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1"/>
  <mc:AlternateContent xmlns:mc="http://schemas.openxmlformats.org/markup-compatibility/2006">
    <mc:Choice Requires="x15">
      <x15ac:absPath xmlns:x15ac="http://schemas.microsoft.com/office/spreadsheetml/2010/11/ac" url="C:\SysAdmin\Log\Research2\prime8_temp_downloads\model_checkouts\"/>
    </mc:Choice>
  </mc:AlternateContent>
  <xr:revisionPtr revIDLastSave="0" documentId="13_ncr:1_{12B7CEED-2826-42EC-B422-1FBCDDF9BBD8}" xr6:coauthVersionLast="47" xr6:coauthVersionMax="47" xr10:uidLastSave="{00000000-0000-0000-0000-000000000000}"/>
  <bookViews>
    <workbookView xWindow="1812" yWindow="8628" windowWidth="14904" windowHeight="18720" tabRatio="842" xr2:uid="{00000000-000D-0000-FFFF-FFFF00000000}"/>
  </bookViews>
  <sheets>
    <sheet name="ImportantDisclosures" sheetId="65" r:id="rId1"/>
    <sheet name="Valuation Summary" sheetId="10" r:id="rId2"/>
    <sheet name="Divisional" sheetId="3" r:id="rId3"/>
    <sheet name="IS" sheetId="2" r:id="rId4"/>
    <sheet name="CFS" sheetId="5" r:id="rId5"/>
    <sheet name="BS" sheetId="4" r:id="rId6"/>
    <sheet name="Civil" sheetId="6" r:id="rId7"/>
    <sheet name="Civil OE" sheetId="14" r:id="rId8"/>
    <sheet name="Civil AM" sheetId="20" r:id="rId9"/>
    <sheet name="Civil AM bridge" sheetId="53" r:id="rId10"/>
    <sheet name="Defence" sheetId="7" r:id="rId11"/>
    <sheet name="Power Systems" sheetId="18" r:id="rId12"/>
    <sheet name="Bull Bear Base" sheetId="54" r:id="rId13"/>
    <sheet name="IndexInformation" sheetId="66" state="hidden" r:id="rId14"/>
    <sheet name="ModPubIndex" sheetId="67" state="hidden" r:id="rId15"/>
  </sheets>
  <functionGroups builtInGroupCount="19"/>
  <definedNames>
    <definedName name="__FDS_HYPERLINK_TOGGLE_STATE__" hidden="1">"ON"</definedName>
    <definedName name="_bdm.05014202F2F74FEBA82C7ECB9BD89D08.edm" hidden="1">#REF!</definedName>
    <definedName name="_bdm.07B5818A383F4DC2A6BFA30C130CBB78.edm" hidden="1">#REF!</definedName>
    <definedName name="_bdm.14D1A22932234486A69AAF8B879B86C4.edm" hidden="1">#REF!</definedName>
    <definedName name="_bdm.45C88C4126C04FC1A356BEA892554FAB.edm" hidden="1">#REF!</definedName>
    <definedName name="_bdm.6288C2271B3A4589A2BBF17A864E45B3.edm" hidden="1">#REF!</definedName>
    <definedName name="_bdm.6DD15C8021DD41E7B33858957126E414.edm" hidden="1">#REF!</definedName>
    <definedName name="_bdm.737135B66E7B4A1896157F93CBB5F4FA.edm" hidden="1">#REF!</definedName>
    <definedName name="_bdm.879B950EBBAB4597B88189350706EC93.edm" hidden="1">#REF!</definedName>
    <definedName name="_bdm.A02D80F893DD4C7DA6D997E701C867FB.edm" hidden="1">#REF!</definedName>
    <definedName name="_bdm.B7CC83D9B1D34661812434787CF5F95D.edm" hidden="1">#REF!</definedName>
    <definedName name="_bdm.BB07DDACC0434320947584FCD403930E.edm" hidden="1">#REF!</definedName>
    <definedName name="_bdm.CFC3CEDB55CA4DC2873A4084E990A0B0.edm" hidden="1">#REF!</definedName>
    <definedName name="_bdm.D8226746037A4B218F06698B6B570FD4.edm" hidden="1">#REF!</definedName>
    <definedName name="_Fill" hidden="1">#REF!</definedName>
    <definedName name="_Key1" hidden="1">#REF!</definedName>
    <definedName name="_Key2" hidden="1">#REF!</definedName>
    <definedName name="_MatInverse_Out" hidden="1">#REF!</definedName>
    <definedName name="_MatMult_B" hidden="1">#REF!</definedName>
    <definedName name="_Order1" hidden="1">0</definedName>
    <definedName name="_Order2" hidden="1">255</definedName>
    <definedName name="_Sort" hidden="1">#REF!</definedName>
    <definedName name="a" hidden="1">#REF!</definedName>
    <definedName name="aaa" hidden="1">{"AVSHAR","BSHAR"}</definedName>
    <definedName name="africa">#REF!</definedName>
    <definedName name="africaCountries">#REF!</definedName>
    <definedName name="allRegions">#REF!</definedName>
    <definedName name="americaRegion">#REF!</definedName>
    <definedName name="americas">#REF!</definedName>
    <definedName name="americasStates">#REF!</definedName>
    <definedName name="AppVersion">#REF!</definedName>
    <definedName name="AS2DocOpenMode" hidden="1">"AS2DocumentEdit"</definedName>
    <definedName name="asiaPacific">#REF!</definedName>
    <definedName name="asiaPacificExJapan">#REF!</definedName>
    <definedName name="asiaPacificExJapanCountries">#REF!</definedName>
    <definedName name="asiaPacificRegion">#REF!</definedName>
    <definedName name="asiaPacificStates">#REF!</definedName>
    <definedName name="australasia">#REF!</definedName>
    <definedName name="BRICS">#REF!</definedName>
    <definedName name="BS추정" hidden="1">{"'보고양식'!$A$58:$K$111"}</definedName>
    <definedName name="centralEasternEurope">#REF!</definedName>
    <definedName name="centralEasternEuropeCountries">#REF!</definedName>
    <definedName name="china">#REF!</definedName>
    <definedName name="consumerDemandExposure">#REF!</definedName>
    <definedName name="consumersExposure">#REF!</definedName>
    <definedName name="countryList">#REF!</definedName>
    <definedName name="cu119.CopyLastPeriodRows" hidden="1">{"AVSHAR","BSHAR"}</definedName>
    <definedName name="developedEuropeExUK">#REF!</definedName>
    <definedName name="developedEuropeExUKCountries">#REF!</definedName>
    <definedName name="domesticAndForeignExposure">#REF!</definedName>
    <definedName name="domesticCostExposure">#REF!</definedName>
    <definedName name="ed" hidden="1">{"'보고양식'!$A$58:$K$111"}</definedName>
    <definedName name="EEMEA">#REF!</definedName>
    <definedName name="endDemandExposure">#REF!</definedName>
    <definedName name="europe">#REF!</definedName>
    <definedName name="europeRegion">#REF!</definedName>
    <definedName name="europeStates">#REF!</definedName>
    <definedName name="f" hidden="1">{"cover a","1q",FALSE,"Cover";"Op Earn Mgd Q1",#N/A,FALSE,"Op-Earn (Mng)";"Op Earn Rpt Q1",#N/A,FALSE,"Op-Earn (Rpt)";"Loans",#N/A,FALSE,"Loans";"Credit Costs",#N/A,FALSE,"CCosts";"Net Interest Margin",#N/A,FALSE,"Margin";"Nonint Income",#N/A,FALSE,"NonII";"Nonint Exp",#N/A,FALSE,"NonIE";"Valuation",#N/A,FALSE,"Valuation"}</definedName>
    <definedName name="ff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forecast" hidden="1">{"cover a","1q",FALSE,"Cover";"Op Earn Mgd Q1",#N/A,FALSE,"Op-Earn (Mng)";"Op Earn Rpt Q1",#N/A,FALSE,"Op-Earn (Rpt)";"Loans",#N/A,FALSE,"Loans";"Credit Costs",#N/A,FALSE,"CCosts";"Net Interest Margin",#N/A,FALSE,"Margin";"Nonint Income",#N/A,FALSE,"NonII";"Nonint Exp",#N/A,FALSE,"NonIE";"Valuation",#N/A,FALSE,"Valuation"}</definedName>
    <definedName name="HTML_CodePage" hidden="1">949</definedName>
    <definedName name="HTML_Control" hidden="1">{"'보고양식'!$A$58:$K$111"}</definedName>
    <definedName name="HTML_Description" hidden="1">""</definedName>
    <definedName name="HTML_Email" hidden="1">""</definedName>
    <definedName name="HTML_Header" hidden="1">""</definedName>
    <definedName name="HTML_LastUpdate" hidden="1">""</definedName>
    <definedName name="HTML_LineAfter" hidden="1">FALSE</definedName>
    <definedName name="HTML_LineBefore" hidden="1">FALSE</definedName>
    <definedName name="HTML_Name" hidden="1">""</definedName>
    <definedName name="HTML_OBDlg2" hidden="1">TRUE</definedName>
    <definedName name="HTML_OBDlg4" hidden="1">TRUE</definedName>
    <definedName name="HTML_OS" hidden="1">0</definedName>
    <definedName name="HTML_PathFile" hidden="1">"C:\My Documents\98년\영업현황\2월 수주현황(2월 마감분).htm"</definedName>
    <definedName name="HTML_Title" hidden="1">""</definedName>
    <definedName name="HTML1_1" hidden="1">"[수주관리98.xls]회선현황!$A$5:$O$53"</definedName>
    <definedName name="HTML1_10" hidden="1">""</definedName>
    <definedName name="HTML1_11" hidden="1">1</definedName>
    <definedName name="HTML1_12" hidden="1">"C:\My Documents\98년\1월\영업현황\시험.htm"</definedName>
    <definedName name="HTML1_2" hidden="1">1</definedName>
    <definedName name="HTML1_3" hidden="1">"수주관리98"</definedName>
    <definedName name="HTML1_4" hidden="1">"회선현황"</definedName>
    <definedName name="HTML1_5" hidden="1">""</definedName>
    <definedName name="HTML1_6" hidden="1">-4146</definedName>
    <definedName name="HTML1_7" hidden="1">-4146</definedName>
    <definedName name="HTML1_8" hidden="1">"98-01-21"</definedName>
    <definedName name="HTML1_9" hidden="1">"김은광"</definedName>
    <definedName name="HTML10_1" hidden="1">"'[수주관리98.xls]2월1주차'!$A$1:$P$31"</definedName>
    <definedName name="HTML10_10" hidden="1">""</definedName>
    <definedName name="HTML10_11" hidden="1">1</definedName>
    <definedName name="HTML10_12" hidden="1">"C:\My Documents\98년\영업현황\일일현황-98.2.6.htm"</definedName>
    <definedName name="HTML10_2" hidden="1">1</definedName>
    <definedName name="HTML10_3" hidden="1">""</definedName>
    <definedName name="HTML10_4" hidden="1">""</definedName>
    <definedName name="HTML10_5" hidden="1">""</definedName>
    <definedName name="HTML10_6" hidden="1">-4146</definedName>
    <definedName name="HTML10_7" hidden="1">-4146</definedName>
    <definedName name="HTML10_8" hidden="1">""</definedName>
    <definedName name="HTML10_9" hidden="1">""</definedName>
    <definedName name="HTML11_1" hidden="1">"'[수주관리98.xls]2월2주차'!$A$1:$P$21"</definedName>
    <definedName name="HTML11_10" hidden="1">""</definedName>
    <definedName name="HTML11_11" hidden="1">1</definedName>
    <definedName name="HTML11_12" hidden="1">"C:\My Documents\98년\영업현황\일일현황-98.2.12.htm"</definedName>
    <definedName name="HTML11_2" hidden="1">1</definedName>
    <definedName name="HTML11_3" hidden="1">""</definedName>
    <definedName name="HTML11_4" hidden="1">""</definedName>
    <definedName name="HTML11_5" hidden="1">""</definedName>
    <definedName name="HTML11_6" hidden="1">-4146</definedName>
    <definedName name="HTML11_7" hidden="1">-4146</definedName>
    <definedName name="HTML11_8" hidden="1">""</definedName>
    <definedName name="HTML11_9" hidden="1">""</definedName>
    <definedName name="HTML12_1" hidden="1">"'[수주관리98.xls]2월2주차'!$A$1:$P$34"</definedName>
    <definedName name="HTML12_10" hidden="1">""</definedName>
    <definedName name="HTML12_11" hidden="1">1</definedName>
    <definedName name="HTML12_12" hidden="1">"C:\My Documents\98년\영업현황\일일현황-98.2.13.htm"</definedName>
    <definedName name="HTML12_2" hidden="1">1</definedName>
    <definedName name="HTML12_3" hidden="1">""</definedName>
    <definedName name="HTML12_4" hidden="1">""</definedName>
    <definedName name="HTML12_5" hidden="1">""</definedName>
    <definedName name="HTML12_6" hidden="1">-4146</definedName>
    <definedName name="HTML12_7" hidden="1">-4146</definedName>
    <definedName name="HTML12_8" hidden="1">""</definedName>
    <definedName name="HTML12_9" hidden="1">""</definedName>
    <definedName name="HTML13_1" hidden="1">"'[수주관리98.xls]2월2주차'!$A$1:$P$19"</definedName>
    <definedName name="HTML13_10" hidden="1">""</definedName>
    <definedName name="HTML13_11" hidden="1">1</definedName>
    <definedName name="HTML13_12" hidden="1">"C:\My Documents\98년\영업현황\일일현황-98.2.12.htm"</definedName>
    <definedName name="HTML13_2" hidden="1">1</definedName>
    <definedName name="HTML13_3" hidden="1">""</definedName>
    <definedName name="HTML13_4" hidden="1">""</definedName>
    <definedName name="HTML13_5" hidden="1">""</definedName>
    <definedName name="HTML13_6" hidden="1">-4146</definedName>
    <definedName name="HTML13_7" hidden="1">-4146</definedName>
    <definedName name="HTML13_8" hidden="1">""</definedName>
    <definedName name="HTML13_9" hidden="1">""</definedName>
    <definedName name="HTML14_1" hidden="1">"'[수주관리98.xls]2월2주차'!$A$1:$P$17"</definedName>
    <definedName name="HTML14_10" hidden="1">""</definedName>
    <definedName name="HTML14_11" hidden="1">1</definedName>
    <definedName name="HTML14_12" hidden="1">"C:\My Documents\98년\영업현황\일일현황-98.2.9.htm"</definedName>
    <definedName name="HTML14_2" hidden="1">1</definedName>
    <definedName name="HTML14_3" hidden="1">""</definedName>
    <definedName name="HTML14_4" hidden="1">""</definedName>
    <definedName name="HTML14_5" hidden="1">""</definedName>
    <definedName name="HTML14_6" hidden="1">-4146</definedName>
    <definedName name="HTML14_7" hidden="1">-4146</definedName>
    <definedName name="HTML14_8" hidden="1">""</definedName>
    <definedName name="HTML14_9" hidden="1">""</definedName>
    <definedName name="HTML15_1" hidden="1">"'[수주관리98.xls]2월3주차'!$A$1:$P$20"</definedName>
    <definedName name="HTML15_10" hidden="1">""</definedName>
    <definedName name="HTML15_11" hidden="1">1</definedName>
    <definedName name="HTML15_12" hidden="1">"C:\My Documents\98년\영업현황\일일현황-98.2.16.htm"</definedName>
    <definedName name="HTML15_2" hidden="1">1</definedName>
    <definedName name="HTML15_3" hidden="1">""</definedName>
    <definedName name="HTML15_4" hidden="1">""</definedName>
    <definedName name="HTML15_5" hidden="1">""</definedName>
    <definedName name="HTML15_6" hidden="1">-4146</definedName>
    <definedName name="HTML15_7" hidden="1">-4146</definedName>
    <definedName name="HTML15_8" hidden="1">""</definedName>
    <definedName name="HTML15_9" hidden="1">""</definedName>
    <definedName name="HTML16_1" hidden="1">"'[수주통합관리98_2_21.xls]2월3주차'!$A$1:$I$89"</definedName>
    <definedName name="HTML16_10" hidden="1">""</definedName>
    <definedName name="HTML16_11" hidden="1">1</definedName>
    <definedName name="HTML16_12" hidden="1">"C:\My Documents\98년\영업현황\일일현황-98.2.25.htm"</definedName>
    <definedName name="HTML16_2" hidden="1">1</definedName>
    <definedName name="HTML16_3" hidden="1">""</definedName>
    <definedName name="HTML16_4" hidden="1">""</definedName>
    <definedName name="HTML16_5" hidden="1">""</definedName>
    <definedName name="HTML16_6" hidden="1">-4146</definedName>
    <definedName name="HTML16_7" hidden="1">-4146</definedName>
    <definedName name="HTML16_8" hidden="1">""</definedName>
    <definedName name="HTML16_9" hidden="1">""</definedName>
    <definedName name="HTML17_1" hidden="1">"'[수주통합관리98_2_21.xls]2월3주차'!$A$4:$H$30"</definedName>
    <definedName name="HTML17_10" hidden="1">""</definedName>
    <definedName name="HTML17_11" hidden="1">1</definedName>
    <definedName name="HTML17_12" hidden="1">"C:\My Documents\98년\영업현황\1월 수주현황.htm"</definedName>
    <definedName name="HTML17_2" hidden="1">1</definedName>
    <definedName name="HTML17_3" hidden="1">""</definedName>
    <definedName name="HTML17_4" hidden="1">""</definedName>
    <definedName name="HTML17_5" hidden="1">""</definedName>
    <definedName name="HTML17_6" hidden="1">-4146</definedName>
    <definedName name="HTML17_7" hidden="1">-4146</definedName>
    <definedName name="HTML17_8" hidden="1">""</definedName>
    <definedName name="HTML17_9" hidden="1">""</definedName>
    <definedName name="HTML18_1" hidden="1">"'[수주통합관리98_2_21.xls]2월3주차'!$A$32:$I$58"</definedName>
    <definedName name="HTML18_10" hidden="1">""</definedName>
    <definedName name="HTML18_11" hidden="1">1</definedName>
    <definedName name="HTML18_12" hidden="1">"C:\My Documents\98년\영업현황\2월 수주현황(2월25일 현재).htm"</definedName>
    <definedName name="HTML18_2" hidden="1">1</definedName>
    <definedName name="HTML18_3" hidden="1">""</definedName>
    <definedName name="HTML18_4" hidden="1">""</definedName>
    <definedName name="HTML18_5" hidden="1">""</definedName>
    <definedName name="HTML18_6" hidden="1">-4146</definedName>
    <definedName name="HTML18_7" hidden="1">-4146</definedName>
    <definedName name="HTML18_8" hidden="1">""</definedName>
    <definedName name="HTML18_9" hidden="1">""</definedName>
    <definedName name="HTML19_1" hidden="1">"'[수주통합관리98_2_21.xls]2월3주차'!$A$63:$F$89"</definedName>
    <definedName name="HTML19_10" hidden="1">""</definedName>
    <definedName name="HTML19_11" hidden="1">1</definedName>
    <definedName name="HTML19_12" hidden="1">"C:\My Documents\98년\영업현황\월별현황(2월25일 현재).htm"</definedName>
    <definedName name="HTML19_2" hidden="1">1</definedName>
    <definedName name="HTML19_3" hidden="1">""</definedName>
    <definedName name="HTML19_4" hidden="1">""</definedName>
    <definedName name="HTML19_5" hidden="1">""</definedName>
    <definedName name="HTML19_6" hidden="1">-4146</definedName>
    <definedName name="HTML19_7" hidden="1">-4146</definedName>
    <definedName name="HTML19_8" hidden="1">""</definedName>
    <definedName name="HTML19_9" hidden="1">""</definedName>
    <definedName name="HTML2_1" hidden="1">"[수주관리98.xls]일일현황!$A$1:$L$10"</definedName>
    <definedName name="HTML2_10" hidden="1">""</definedName>
    <definedName name="HTML2_11" hidden="1">1</definedName>
    <definedName name="HTML2_12" hidden="1">"C:\My Documents\98년\1월\영업현황\일일현황-98.1.22.htm"</definedName>
    <definedName name="HTML2_2" hidden="1">1</definedName>
    <definedName name="HTML2_3" hidden="1">""</definedName>
    <definedName name="HTML2_4" hidden="1">""</definedName>
    <definedName name="HTML2_5" hidden="1">""</definedName>
    <definedName name="HTML2_6" hidden="1">-4146</definedName>
    <definedName name="HTML2_7" hidden="1">1</definedName>
    <definedName name="HTML2_8" hidden="1">"98-01-22"</definedName>
    <definedName name="HTML2_9" hidden="1">""</definedName>
    <definedName name="HTML20_1" hidden="1">"'[수주통합관리98_2_25.xls]2월4주차'!$A$71:$F$97"</definedName>
    <definedName name="HTML20_10" hidden="1">""</definedName>
    <definedName name="HTML20_11" hidden="1">1</definedName>
    <definedName name="HTML20_12" hidden="1">"C:\My Documents\98년\영업현황\월별현황(2월 마감분).htm"</definedName>
    <definedName name="HTML20_2" hidden="1">1</definedName>
    <definedName name="HTML20_3" hidden="1">""</definedName>
    <definedName name="HTML20_4" hidden="1">""</definedName>
    <definedName name="HTML20_5" hidden="1">""</definedName>
    <definedName name="HTML20_6" hidden="1">-4146</definedName>
    <definedName name="HTML20_7" hidden="1">-4146</definedName>
    <definedName name="HTML20_8" hidden="1">""</definedName>
    <definedName name="HTML20_9" hidden="1">""</definedName>
    <definedName name="HTML21_1" hidden="1">"'[수주통합관리98_2_25.xls]2월4주차'!$A$4:$H$29"</definedName>
    <definedName name="HTML21_10" hidden="1">""</definedName>
    <definedName name="HTML21_11" hidden="1">1</definedName>
    <definedName name="HTML21_12" hidden="1">"C:\My Documents\98년\영업현황\1월 수주현황(1월 마감분).htm"</definedName>
    <definedName name="HTML21_2" hidden="1">1</definedName>
    <definedName name="HTML21_3" hidden="1">""</definedName>
    <definedName name="HTML21_4" hidden="1">""</definedName>
    <definedName name="HTML21_5" hidden="1">""</definedName>
    <definedName name="HTML21_6" hidden="1">-4146</definedName>
    <definedName name="HTML21_7" hidden="1">-4146</definedName>
    <definedName name="HTML21_8" hidden="1">""</definedName>
    <definedName name="HTML21_9" hidden="1">""</definedName>
    <definedName name="HTML22_1" hidden="1">"'[수주통합관리98_2_25.xls]2월4주차'!$A$31:$I$66"</definedName>
    <definedName name="HTML22_10" hidden="1">""</definedName>
    <definedName name="HTML22_11" hidden="1">1</definedName>
    <definedName name="HTML22_12" hidden="1">"C:\My Documents\98년\영업현황\1월 수주현황(2월 마감분).htm"</definedName>
    <definedName name="HTML22_2" hidden="1">1</definedName>
    <definedName name="HTML22_3" hidden="1">""</definedName>
    <definedName name="HTML22_4" hidden="1">""</definedName>
    <definedName name="HTML22_5" hidden="1">""</definedName>
    <definedName name="HTML22_6" hidden="1">-4146</definedName>
    <definedName name="HTML22_7" hidden="1">-4146</definedName>
    <definedName name="HTML22_8" hidden="1">""</definedName>
    <definedName name="HTML22_9" hidden="1">""</definedName>
    <definedName name="HTML23_1" hidden="1">"[수주통합관리98_2_25.xls]보고양식!$A$32:$I$68"</definedName>
    <definedName name="HTML23_10" hidden="1">""</definedName>
    <definedName name="HTML23_11" hidden="1">1</definedName>
    <definedName name="HTML23_12" hidden="1">"C:\My Documents\98년\영업현황\2월 수주현황(2월 마감분).htm"</definedName>
    <definedName name="HTML23_2" hidden="1">1</definedName>
    <definedName name="HTML23_3" hidden="1">""</definedName>
    <definedName name="HTML23_4" hidden="1">""</definedName>
    <definedName name="HTML23_5" hidden="1">""</definedName>
    <definedName name="HTML23_6" hidden="1">-4146</definedName>
    <definedName name="HTML23_7" hidden="1">-4146</definedName>
    <definedName name="HTML23_8" hidden="1">""</definedName>
    <definedName name="HTML23_9" hidden="1">""</definedName>
    <definedName name="HTML24_1" hidden="1">"[수주통합관리98_2_25.xls]보고양식!$A$73:$F$98"</definedName>
    <definedName name="HTML24_10" hidden="1">""</definedName>
    <definedName name="HTML24_11" hidden="1">1</definedName>
    <definedName name="HTML24_12" hidden="1">"C:\My Documents\98년\영업현황\월별현황(2월 마감분).htm"</definedName>
    <definedName name="HTML24_2" hidden="1">1</definedName>
    <definedName name="HTML24_3" hidden="1">""</definedName>
    <definedName name="HTML24_4" hidden="1">""</definedName>
    <definedName name="HTML24_5" hidden="1">""</definedName>
    <definedName name="HTML24_6" hidden="1">-4146</definedName>
    <definedName name="HTML24_7" hidden="1">-4146</definedName>
    <definedName name="HTML24_8" hidden="1">""</definedName>
    <definedName name="HTML24_9" hidden="1">""</definedName>
    <definedName name="HTML25_1" hidden="1">"[수주통합관리98_2_25.xls]보고양식!$A$4:$I$29"</definedName>
    <definedName name="HTML25_10" hidden="1">""</definedName>
    <definedName name="HTML25_11" hidden="1">1</definedName>
    <definedName name="HTML25_12" hidden="1">"C:\My Documents\98년\영업현황\1월 수주현황(1월 마감분).htm"</definedName>
    <definedName name="HTML25_2" hidden="1">1</definedName>
    <definedName name="HTML25_3" hidden="1">""</definedName>
    <definedName name="HTML25_4" hidden="1">""</definedName>
    <definedName name="HTML25_5" hidden="1">""</definedName>
    <definedName name="HTML25_6" hidden="1">-4146</definedName>
    <definedName name="HTML25_7" hidden="1">-4146</definedName>
    <definedName name="HTML25_8" hidden="1">""</definedName>
    <definedName name="HTML25_9" hidden="1">""</definedName>
    <definedName name="HTML26_1" hidden="1">"[수주통합관리98_2_25.xls]보고양식!$A$31:$K$80"</definedName>
    <definedName name="HTML26_10" hidden="1">""</definedName>
    <definedName name="HTML26_11" hidden="1">1</definedName>
    <definedName name="HTML26_12" hidden="1">"C:\My Documents\98년\영업현황\2월 수주현황(2월 마감분).htm"</definedName>
    <definedName name="HTML26_2" hidden="1">1</definedName>
    <definedName name="HTML26_3" hidden="1">""</definedName>
    <definedName name="HTML26_4" hidden="1">""</definedName>
    <definedName name="HTML26_5" hidden="1">""</definedName>
    <definedName name="HTML26_6" hidden="1">-4146</definedName>
    <definedName name="HTML26_7" hidden="1">-4146</definedName>
    <definedName name="HTML26_8" hidden="1">""</definedName>
    <definedName name="HTML26_9" hidden="1">""</definedName>
    <definedName name="HTML27_1" hidden="1">"[수주통합관리98_2_25.xls]보고양식!$B$84:$G$109"</definedName>
    <definedName name="HTML27_10" hidden="1">""</definedName>
    <definedName name="HTML27_11" hidden="1">1</definedName>
    <definedName name="HTML27_12" hidden="1">"C:\My Documents\98년\영업현황\월별현황(2월 마감분).htm"</definedName>
    <definedName name="HTML27_2" hidden="1">1</definedName>
    <definedName name="HTML27_3" hidden="1">""</definedName>
    <definedName name="HTML27_4" hidden="1">""</definedName>
    <definedName name="HTML27_5" hidden="1">""</definedName>
    <definedName name="HTML27_6" hidden="1">-4146</definedName>
    <definedName name="HTML27_7" hidden="1">-4146</definedName>
    <definedName name="HTML27_8" hidden="1">""</definedName>
    <definedName name="HTML27_9" hidden="1">""</definedName>
    <definedName name="HTML28_1" hidden="1">"[수주통합관리98_3_2.xls]보고양식!$B$92:$G$117"</definedName>
    <definedName name="HTML28_10" hidden="1">""</definedName>
    <definedName name="HTML28_11" hidden="1">1</definedName>
    <definedName name="HTML28_12" hidden="1">"C:\My Documents\98년\영업현황\월별현황(2월 마감분).htm"</definedName>
    <definedName name="HTML28_2" hidden="1">1</definedName>
    <definedName name="HTML28_3" hidden="1">""</definedName>
    <definedName name="HTML28_4" hidden="1">""</definedName>
    <definedName name="HTML28_5" hidden="1">""</definedName>
    <definedName name="HTML28_6" hidden="1">-4146</definedName>
    <definedName name="HTML28_7" hidden="1">-4146</definedName>
    <definedName name="HTML28_8" hidden="1">""</definedName>
    <definedName name="HTML28_9" hidden="1">""</definedName>
    <definedName name="HTML29_1" hidden="1">"[수주통합관리98_3_2.xls]보고양식!$A$31:$K$88"</definedName>
    <definedName name="HTML29_10" hidden="1">""</definedName>
    <definedName name="HTML29_11" hidden="1">1</definedName>
    <definedName name="HTML29_12" hidden="1">"C:\My Documents\98년\영업현황\2월 수주현황(2월 마감분).htm"</definedName>
    <definedName name="HTML29_2" hidden="1">1</definedName>
    <definedName name="HTML29_3" hidden="1">""</definedName>
    <definedName name="HTML29_4" hidden="1">""</definedName>
    <definedName name="HTML29_5" hidden="1">""</definedName>
    <definedName name="HTML29_6" hidden="1">-4146</definedName>
    <definedName name="HTML29_7" hidden="1">-4146</definedName>
    <definedName name="HTML29_8" hidden="1">""</definedName>
    <definedName name="HTML29_9" hidden="1">""</definedName>
    <definedName name="HTML3_1" hidden="1">"[수주관리98.xls]일일현황!$A$1:$N$9"</definedName>
    <definedName name="HTML3_10" hidden="1">""</definedName>
    <definedName name="HTML3_11" hidden="1">1</definedName>
    <definedName name="HTML3_12" hidden="1">"C:\My Documents\98년\영업현황\일일현황-98.1.23.htm"</definedName>
    <definedName name="HTML3_2" hidden="1">1</definedName>
    <definedName name="HTML3_3" hidden="1">""</definedName>
    <definedName name="HTML3_4" hidden="1">""</definedName>
    <definedName name="HTML3_5" hidden="1">""</definedName>
    <definedName name="HTML3_6" hidden="1">1</definedName>
    <definedName name="HTML3_7" hidden="1">1</definedName>
    <definedName name="HTML3_8" hidden="1">""</definedName>
    <definedName name="HTML3_9" hidden="1">""</definedName>
    <definedName name="HTML30_1" hidden="1">"'[사본 - 영업통합관리(수주.매출).xls]보고양식'!$A$114:$K$131"</definedName>
    <definedName name="HTML30_10" hidden="1">""</definedName>
    <definedName name="HTML30_11" hidden="1">1</definedName>
    <definedName name="HTML30_12" hidden="1">"C:\My Documents\98년\영업현황\일일현황-98.3.12.htm"</definedName>
    <definedName name="HTML30_2" hidden="1">1</definedName>
    <definedName name="HTML30_3" hidden="1">""</definedName>
    <definedName name="HTML30_4" hidden="1">""</definedName>
    <definedName name="HTML30_5" hidden="1">""</definedName>
    <definedName name="HTML30_6" hidden="1">-4146</definedName>
    <definedName name="HTML30_7" hidden="1">-4146</definedName>
    <definedName name="HTML30_8" hidden="1">""</definedName>
    <definedName name="HTML30_9" hidden="1">""</definedName>
    <definedName name="HTML4_1" hidden="1">"[수주관리98.xls]영업!$A$1:$N$15"</definedName>
    <definedName name="HTML4_10" hidden="1">""</definedName>
    <definedName name="HTML4_11" hidden="1">1</definedName>
    <definedName name="HTML4_12" hidden="1">"C:\My Documents\98년\영업현황\일일현황-98.1.31.htm"</definedName>
    <definedName name="HTML4_2" hidden="1">1</definedName>
    <definedName name="HTML4_3" hidden="1">""</definedName>
    <definedName name="HTML4_4" hidden="1">""</definedName>
    <definedName name="HTML4_5" hidden="1">""</definedName>
    <definedName name="HTML4_6" hidden="1">1</definedName>
    <definedName name="HTML4_7" hidden="1">1</definedName>
    <definedName name="HTML4_8" hidden="1">"98-01-31"</definedName>
    <definedName name="HTML4_9" hidden="1">""</definedName>
    <definedName name="HTML5_1" hidden="1">"[수주관리98.xls]영업!$A$1:$N$29"</definedName>
    <definedName name="HTML5_10" hidden="1">""</definedName>
    <definedName name="HTML5_11" hidden="1">1</definedName>
    <definedName name="HTML5_12" hidden="1">"C:\My Documents\98년\영업현황\일일현황-98.1.31.v.htm"</definedName>
    <definedName name="HTML5_2" hidden="1">1</definedName>
    <definedName name="HTML5_3" hidden="1">""</definedName>
    <definedName name="HTML5_4" hidden="1">""</definedName>
    <definedName name="HTML5_5" hidden="1">""</definedName>
    <definedName name="HTML5_6" hidden="1">1</definedName>
    <definedName name="HTML5_7" hidden="1">1</definedName>
    <definedName name="HTML5_8" hidden="1">""</definedName>
    <definedName name="HTML5_9" hidden="1">""</definedName>
    <definedName name="HTML6_1" hidden="1">"'[수주관리98.xls]2월'!$A$1:$P$48"</definedName>
    <definedName name="HTML6_10" hidden="1">""</definedName>
    <definedName name="HTML6_11" hidden="1">1</definedName>
    <definedName name="HTML6_12" hidden="1">"C:\My Documents\98년\영업현황\일일현황-98.1.31.htm"</definedName>
    <definedName name="HTML6_2" hidden="1">1</definedName>
    <definedName name="HTML6_3" hidden="1">""</definedName>
    <definedName name="HTML6_4" hidden="1">""</definedName>
    <definedName name="HTML6_5" hidden="1">""</definedName>
    <definedName name="HTML6_6" hidden="1">-4146</definedName>
    <definedName name="HTML6_7" hidden="1">-4146</definedName>
    <definedName name="HTML6_8" hidden="1">""</definedName>
    <definedName name="HTML6_9" hidden="1">""</definedName>
    <definedName name="HTML7_1" hidden="1">"'[수주관리98.xls]2월'!$A$3:$P$30"</definedName>
    <definedName name="HTML7_10" hidden="1">""</definedName>
    <definedName name="HTML7_11" hidden="1">1</definedName>
    <definedName name="HTML7_12" hidden="1">"C:\My Documents\98년\영업현황\일일현황-98.1.31.htm"</definedName>
    <definedName name="HTML7_2" hidden="1">1</definedName>
    <definedName name="HTML7_3" hidden="1">""</definedName>
    <definedName name="HTML7_4" hidden="1">""</definedName>
    <definedName name="HTML7_5" hidden="1">""</definedName>
    <definedName name="HTML7_6" hidden="1">-4146</definedName>
    <definedName name="HTML7_7" hidden="1">-4146</definedName>
    <definedName name="HTML7_8" hidden="1">""</definedName>
    <definedName name="HTML7_9" hidden="1">""</definedName>
    <definedName name="HTML8_1" hidden="1">"'[수주관리98.xls]2월'!$A$1:$P$30"</definedName>
    <definedName name="HTML8_10" hidden="1">""</definedName>
    <definedName name="HTML8_11" hidden="1">1</definedName>
    <definedName name="HTML8_12" hidden="1">"C:\My Documents\98년\영업현황\일일현황-98.1.31.htm"</definedName>
    <definedName name="HTML8_2" hidden="1">1</definedName>
    <definedName name="HTML8_3" hidden="1">""</definedName>
    <definedName name="HTML8_4" hidden="1">""</definedName>
    <definedName name="HTML8_5" hidden="1">""</definedName>
    <definedName name="HTML8_6" hidden="1">-4146</definedName>
    <definedName name="HTML8_7" hidden="1">-4146</definedName>
    <definedName name="HTML8_8" hidden="1">""</definedName>
    <definedName name="HTML8_9" hidden="1">""</definedName>
    <definedName name="HTML9_1" hidden="1">"'[수주관리98.xls]2월'!$A$1:$P$19"</definedName>
    <definedName name="HTML9_10" hidden="1">""</definedName>
    <definedName name="HTML9_11" hidden="1">1</definedName>
    <definedName name="HTML9_12" hidden="1">"C:\My Documents\98년\영업현황\일일현황-98.2.10.htm"</definedName>
    <definedName name="HTML9_2" hidden="1">1</definedName>
    <definedName name="HTML9_3" hidden="1">""</definedName>
    <definedName name="HTML9_4" hidden="1">""</definedName>
    <definedName name="HTML9_5" hidden="1">""</definedName>
    <definedName name="HTML9_6" hidden="1">-4146</definedName>
    <definedName name="HTML9_7" hidden="1">-4146</definedName>
    <definedName name="HTML9_8" hidden="1">""</definedName>
    <definedName name="HTML9_9" hidden="1">""</definedName>
    <definedName name="HTMLCount" hidden="1">30</definedName>
    <definedName name="i" hidden="1">#REF!</definedName>
    <definedName name="india">#REF!</definedName>
    <definedName name="instructions">#REF!</definedName>
    <definedName name="italy">#REF!</definedName>
    <definedName name="japan">#REF!</definedName>
    <definedName name="KHN" hidden="1">{"'보고양식'!$A$58:$K$111"}</definedName>
    <definedName name="latinAmerica">#REF!</definedName>
    <definedName name="latinAmericaCountries">#REF!</definedName>
    <definedName name="Linking_1">#REF!</definedName>
    <definedName name="Linking_10">#REF!</definedName>
    <definedName name="Linking_11">#REF!</definedName>
    <definedName name="Linking_12">#REF!</definedName>
    <definedName name="Linking_13">#REF!</definedName>
    <definedName name="Linking_14">#REF!</definedName>
    <definedName name="Linking_15">#REF!</definedName>
    <definedName name="Linking_16">#REF!</definedName>
    <definedName name="Linking_17">#REF!</definedName>
    <definedName name="Linking_18">#REF!</definedName>
    <definedName name="Linking_19">#REF!</definedName>
    <definedName name="Linking_2">#REF!</definedName>
    <definedName name="Linking_20">#REF!</definedName>
    <definedName name="Linking_21">#REF!</definedName>
    <definedName name="Linking_22">#REF!</definedName>
    <definedName name="Linking_23">#REF!</definedName>
    <definedName name="Linking_24">#REF!</definedName>
    <definedName name="Linking_25">#REF!</definedName>
    <definedName name="Linking_26">#REF!</definedName>
    <definedName name="Linking_27">#REF!</definedName>
    <definedName name="Linking_28">#REF!</definedName>
    <definedName name="Linking_29">#REF!</definedName>
    <definedName name="Linking_3">#REF!</definedName>
    <definedName name="Linking_4">#REF!</definedName>
    <definedName name="Linking_5">#REF!</definedName>
    <definedName name="Linking_6">#REF!</definedName>
    <definedName name="Linking_7">#REF!</definedName>
    <definedName name="Linking_8">#REF!</definedName>
    <definedName name="Linking_9">#REF!</definedName>
    <definedName name="Linking_Range_1">'Valuation Summary'!$A$1:$AG$86</definedName>
    <definedName name="middleEast">#REF!</definedName>
    <definedName name="middleEastAfrica">#REF!</definedName>
    <definedName name="middleEastAfricaRegion">#REF!</definedName>
    <definedName name="middleEastAfricaStates">#REF!</definedName>
    <definedName name="northAmerica">#REF!</definedName>
    <definedName name="northAmericaCountries">#REF!</definedName>
    <definedName name="otherAfrica">#REF!</definedName>
    <definedName name="otherAsiaPacific">#REF!</definedName>
    <definedName name="otherCentralEasternEurope">#REF!</definedName>
    <definedName name="otherDevelopedEurope">#REF!</definedName>
    <definedName name="otherLATAM">#REF!</definedName>
    <definedName name="_xlnm.Print_Area" localSheetId="5">BS!$A$1:$BM$264</definedName>
    <definedName name="_xlnm.Print_Area" localSheetId="4">CFS!$A$1:$BM$123</definedName>
    <definedName name="_xlnm.Print_Area" localSheetId="6">Civil!$A$1:$BM$126</definedName>
    <definedName name="_xlnm.Print_Area" localSheetId="8">'Civil AM'!$A$1:$BJ$579</definedName>
    <definedName name="_xlnm.Print_Area" localSheetId="7">'Civil OE'!$A$1:$BJ$260</definedName>
    <definedName name="_xlnm.Print_Area" localSheetId="2">Divisional!$A$1:$BM$100</definedName>
    <definedName name="_xlnm.Print_Area" localSheetId="3">IS!$A$1:$BM$178</definedName>
    <definedName name="q" hidden="1">{"Qtr Op Mgd Q2",#N/A,FALSE,"Qtr-Op (Mng)";"Qtr Op Rpt Q2",#N/A,FALSE,"Qtr-Op (Rpt)";"Operating Vs Reported",#N/A,FALSE,"Rpt-Op Inc"}</definedName>
    <definedName name="regionalCostExposure">#REF!</definedName>
    <definedName name="rep" hidden="1">{#N/A,#N/A,FALSE,"COVER";#N/A,#N/A,FALSE,"VALUATION";#N/A,#N/A,FALSE,"FORECAST";#N/A,#N/A,FALSE,"FY ANALYSIS ";#N/A,#N/A,FALSE," HY ANALYSIS"}</definedName>
    <definedName name="rngBRICS">#REF!,#REF!,#REF!,#REF!</definedName>
    <definedName name="rngContinentWiseValue">#REF!</definedName>
    <definedName name="rngCountryWiseValue">#REF!</definedName>
    <definedName name="rngEEMEA">#REF!,#REF!,#REF!,#REF!</definedName>
    <definedName name="rngStateWiseValue">#REF!</definedName>
    <definedName name="rngTotalRegionExposure">#REF!</definedName>
    <definedName name="sds" hidden="1">{"'보고양식'!$A$58:$K$111"}</definedName>
    <definedName name="showVersionCheckMessage">#REF!</definedName>
    <definedName name="shrs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socioEconomicRegion">#REF!</definedName>
    <definedName name="socioEconomicRegions">#REF!</definedName>
    <definedName name="spain">#REF!</definedName>
    <definedName name="totalConsumerDemandExposure">#REF!</definedName>
    <definedName name="totalDomesticCostExposure">#REF!</definedName>
    <definedName name="totalDomesticRevenueExposure">#REF!</definedName>
    <definedName name="totalEndDemandRevenueExposure">#REF!</definedName>
    <definedName name="totalRegionCostExposure">#REF!</definedName>
    <definedName name="totalRegionRevenueExposure">#REF!</definedName>
    <definedName name="TRNR_0134818b0e3741ada5b0866012b32cee_22_1" hidden="1">#REF!</definedName>
    <definedName name="TRNR_02604cd9d73c424991810cfd666d2025_22_1" hidden="1">#REF!</definedName>
    <definedName name="TRNR_05c604cd514b4c86b6b33822bb4d334d_22_1" hidden="1">#REF!</definedName>
    <definedName name="TRNR_09d6a7a47d8942cca753c16463195c72_22_1" hidden="1">#REF!</definedName>
    <definedName name="TRNR_0d81f3d1e37c4b9d87c9bcf5e4476331_22_1" hidden="1">#REF!</definedName>
    <definedName name="TRNR_1a1b5867784145e295ffaa53e8c2e475_22_1" hidden="1">#REF!</definedName>
    <definedName name="TRNR_3117a610ae0946339309582f6e55251b_22_1" hidden="1">#REF!</definedName>
    <definedName name="TRNR_356904f781d84aa49fdcbdbd142d485d_22_1" hidden="1">#REF!</definedName>
    <definedName name="TRNR_35d647726e90442a9ce7103441acfbc9_22_1" hidden="1">#REF!</definedName>
    <definedName name="TRNR_37949db5146b4977834f71e07dcc0aca_22_1" hidden="1">#REF!</definedName>
    <definedName name="TRNR_3b55aa95b8e04f358e84b04a6de3347b_22_1" hidden="1">#REF!</definedName>
    <definedName name="TRNR_3d8b4d71a48c4dc08714b82890a4a8ff_22_1" hidden="1">#REF!</definedName>
    <definedName name="TRNR_3f426d99a232407eb420a51aff5d9a00_22_1" hidden="1">#REF!</definedName>
    <definedName name="TRNR_419429a83fa045079abdf9632af4ef49_22_1" hidden="1">#REF!</definedName>
    <definedName name="TRNR_45f347cb17544610b1d7a9588a1b83c4_22_1" hidden="1">#REF!</definedName>
    <definedName name="TRNR_470f49a6148941c6bd5a1531662faa8f_22_1" hidden="1">#REF!</definedName>
    <definedName name="TRNR_4a4d9b18d45b400c966812b38a855df6_22_1" hidden="1">#REF!</definedName>
    <definedName name="TRNR_4d33e95434654a25a3f59fd6072faffd_22_1" hidden="1">#REF!</definedName>
    <definedName name="TRNR_517900739cf448b7bfdd2b938587b1b7_22_1" hidden="1">#REF!</definedName>
    <definedName name="TRNR_5727d73c402a4234920b1390042ad7ac_22_1" hidden="1">#REF!</definedName>
    <definedName name="TRNR_5a8495227a10445fb0433f7520dd3070_22_1" hidden="1">#REF!</definedName>
    <definedName name="TRNR_5bdd420279a143b88ecb2ef7098f8eca_22_1" hidden="1">#REF!</definedName>
    <definedName name="TRNR_628514c2c77d4c83a2830173b14f1700_22_1" hidden="1">#REF!</definedName>
    <definedName name="TRNR_63ed876c78fa460493adaa2f1ce47ab7_22_1" hidden="1">#REF!</definedName>
    <definedName name="TRNR_64bba9a37e0147a9b3a1faaf210ecb71_22_1" hidden="1">#REF!</definedName>
    <definedName name="TRNR_68d3d864da6e402e8fb355138ef7e6d2_22_1" hidden="1">#REF!</definedName>
    <definedName name="TRNR_73f72c86e89f4f1b9f1469a418c8854c_22_1" hidden="1">#REF!</definedName>
    <definedName name="TRNR_76411694fa1f4d9195ea8cdfde6a91f0_22_1" hidden="1">#REF!</definedName>
    <definedName name="TRNR_835af34335b540379b63490d573704bc_22_1" hidden="1">#REF!</definedName>
    <definedName name="TRNR_89bd95e9786246d58c5eb15480460936_22_1" hidden="1">#REF!</definedName>
    <definedName name="TRNR_8a930e9b8db54b7b8690030e6f2d4fd0_22_1" hidden="1">#REF!</definedName>
    <definedName name="TRNR_8dc7284802534a9e8ef376c7f5319d6a_22_1" hidden="1">#REF!</definedName>
    <definedName name="TRNR_8eb7657fd0024338ae794b54c9c9320e_22_1" hidden="1">#REF!</definedName>
    <definedName name="TRNR_8fdc3c539d9840cdaa06497f4a487bea_22_1" hidden="1">#REF!</definedName>
    <definedName name="TRNR_9c04f0f061b24e2a960a62be27d85a31_22_1" hidden="1">#REF!</definedName>
    <definedName name="TRNR_a692f5c42f2d4c5593e5bf7d840a54de_22_1" hidden="1">#REF!</definedName>
    <definedName name="TRNR_ad287d4dadf34f97bf9f8104c34462ac_22_1" hidden="1">#REF!</definedName>
    <definedName name="TRNR_ba7468e993ab4cfcb172ddfb62806f16_22_1" hidden="1">#REF!</definedName>
    <definedName name="TRNR_ba854bb84a0e4559860d3b69d69564cf_22_1" hidden="1">#REF!</definedName>
    <definedName name="TRNR_bbfb9bae2e6649e1b69ae5bd9b786601_22_1" hidden="1">#REF!</definedName>
    <definedName name="TRNR_bdb669bb968649b6999a670206dcc2ef_22_1" hidden="1">#REF!</definedName>
    <definedName name="TRNR_c29970ad36e14643a402cf3c0541d3e0_22_1" hidden="1">#REF!</definedName>
    <definedName name="TRNR_c5461ad59b4d46e8bc5eac745f003231_22_1" hidden="1">#REF!</definedName>
    <definedName name="TRNR_c7941adc40e94eefb71899b0ff88caf4_22_1" hidden="1">#REF!</definedName>
    <definedName name="TRNR_cfe1cc26de5f4da7bd4649245fa7755e_22_1" hidden="1">#REF!</definedName>
    <definedName name="TRNR_d9fb94a8d11548bfab740c7379bef0a4_22_1" hidden="1">#REF!</definedName>
    <definedName name="TRNR_dc00adb62f2347588eb5493ecae8ea85_22_1" hidden="1">#REF!</definedName>
    <definedName name="TRNR_dd1b0e87f420410a90aa69840b1802d8_22_1" hidden="1">#REF!</definedName>
    <definedName name="TRNR_de025a03ed4c4cfb81efd79db63942aa_22_1" hidden="1">#REF!</definedName>
    <definedName name="TRNR_de0cc0dba7084c38a16672aed8ca5d59_22_1" hidden="1">#REF!</definedName>
    <definedName name="TRNR_df775fb6b9bc429a83adc8336918d65e_22_1" hidden="1">#REF!</definedName>
    <definedName name="TRNR_eb305a50d85f44c7be4aca078300069f_22_1" hidden="1">#REF!</definedName>
    <definedName name="TRNR_ebd14ccc4d974549a98ab3a174f9ed0c_22_1" hidden="1">#REF!</definedName>
    <definedName name="TRNR_f125a7c63bc14f60b921fd9ac8edaeaf_22_1" hidden="1">#REF!</definedName>
    <definedName name="uk">#REF!</definedName>
    <definedName name="ValidDateTable">#REF!</definedName>
    <definedName name="wrn.Aging._.and._.Trend._.Analysis." hidden="1">{#N/A,#N/A,FALSE,"Aging Summary";#N/A,#N/A,FALSE,"Ratio Analysis";#N/A,#N/A,FALSE,"Test 120 Day Accts";#N/A,#N/A,FALSE,"Tickmarks"}</definedName>
    <definedName name="wrn.Complete._.Report.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wrn.CompleteReport.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wrn.Forecast._.Q4a" hidden="1">{"cover a","4q",FALSE,"Cover";"Op Earn Mgd Q4",#N/A,FALSE,"Op-Earn (Mng)";"Op Earn Rpt Q4",#N/A,FALSE,"Op-Earn (Rpt)";"Loans",#N/A,FALSE,"Loans";"Credit Costs",#N/A,FALSE,"CCosts";"Net Interest Margin",#N/A,FALSE,"Margin";"Nonint Income",#N/A,FALSE,"NonII";"Nonint Exp",#N/A,FALSE,"NonIE";"Valuation",#N/A,FALSE,"Valuation"}</definedName>
    <definedName name="wrn.Variance._.Q4" hidden="1">{"Variance Q4",#N/A,FALSE,"Var"}</definedName>
    <definedName name="ws" hidden="1">{"'보고양식'!$A$58:$K$111"}</definedName>
    <definedName name="x" hidden="1">{"cover a","1q",FALSE,"Cover";"Op Earn Mgd Q1",#N/A,FALSE,"Op-Earn (Mng)";"Op Earn Rpt Q1",#N/A,FALSE,"Op-Earn (Rpt)";"Loans",#N/A,FALSE,"Loans";"Credit Costs",#N/A,FALSE,"CCosts";"Net Interest Margin",#N/A,FALSE,"Margin";"Nonint Income",#N/A,FALSE,"NonII";"Nonint Exp",#N/A,FALSE,"NonIE";"Valuation",#N/A,FALSE,"Valuation"}</definedName>
    <definedName name="z" hidden="1">{#N/A,#N/A,FALSE,"Aging Summary";#N/A,#N/A,FALSE,"Ratio Analysis";#N/A,#N/A,FALSE,"Test 120 Day Accts";#N/A,#N/A,FALSE,"Tickmarks"}</definedName>
    <definedName name="ㄴㄴ" hidden="1">{#N/A,#N/A,FALSE,"Aging Summary";#N/A,#N/A,FALSE,"Ratio Analysis";#N/A,#N/A,FALSE,"Test 120 Day Accts";#N/A,#N/A,FALSE,"Tickmarks"}</definedName>
    <definedName name="매출원가" hidden="1">{#N/A,#N/A,FALSE,"Aging Summary";#N/A,#N/A,FALSE,"Ratio Analysis";#N/A,#N/A,FALSE,"Test 120 Day Accts";#N/A,#N/A,FALSE,"Tickmarks"}</definedName>
    <definedName name="매출원가1" hidden="1">{#N/A,#N/A,FALSE,"Aging Summary";#N/A,#N/A,FALSE,"Ratio Analysis";#N/A,#N/A,FALSE,"Test 120 Day Accts";#N/A,#N/A,FALSE,"Tickmarks"}</definedName>
    <definedName name="제조" hidden="1">#REF!</definedName>
    <definedName name="ㅏㅏ" hidden="1">{#N/A,#N/A,FALSE,"Aging Summary";#N/A,#N/A,FALSE,"Ratio Analysis";#N/A,#N/A,FALSE,"Test 120 Day Accts";#N/A,#N/A,FALSE,"Tickmarks"}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J54" i="14" l="1"/>
  <c r="BG54" i="14"/>
  <c r="BM38" i="3" l="1"/>
  <c r="BJ38" i="3"/>
  <c r="BG38" i="3"/>
  <c r="BD38" i="3"/>
  <c r="BM13" i="3"/>
  <c r="BJ13" i="3"/>
  <c r="BG13" i="3"/>
  <c r="AS119" i="20"/>
  <c r="AV119" i="20"/>
  <c r="AV116" i="20"/>
  <c r="AU119" i="20"/>
  <c r="AX78" i="4" l="1"/>
  <c r="J35" i="53" l="1"/>
  <c r="K35" i="53"/>
  <c r="L35" i="53"/>
  <c r="M35" i="53"/>
  <c r="N35" i="53"/>
  <c r="AV107" i="20"/>
  <c r="AX23" i="6"/>
  <c r="AW23" i="6"/>
  <c r="AV23" i="6"/>
  <c r="AU23" i="6"/>
  <c r="AT23" i="6"/>
  <c r="AS23" i="6"/>
  <c r="AR23" i="6"/>
  <c r="AQ23" i="6"/>
  <c r="AP23" i="6"/>
  <c r="AO23" i="6"/>
  <c r="AN23" i="6"/>
  <c r="AM23" i="6"/>
  <c r="AL23" i="6"/>
  <c r="AX17" i="6"/>
  <c r="AW17" i="6"/>
  <c r="AV17" i="6"/>
  <c r="AU17" i="6"/>
  <c r="AT17" i="6"/>
  <c r="AS17" i="6"/>
  <c r="AR17" i="6"/>
  <c r="AQ17" i="6"/>
  <c r="AP17" i="6"/>
  <c r="AO17" i="6"/>
  <c r="AN17" i="6"/>
  <c r="AM17" i="6"/>
  <c r="AL17" i="6"/>
  <c r="BM21" i="6"/>
  <c r="BM20" i="6" s="1"/>
  <c r="BM18" i="6" s="1"/>
  <c r="BJ21" i="6"/>
  <c r="BG21" i="6"/>
  <c r="BD21" i="6"/>
  <c r="BA21" i="6"/>
  <c r="BM17" i="6"/>
  <c r="BL17" i="6"/>
  <c r="BK17" i="6"/>
  <c r="BJ17" i="6"/>
  <c r="BI17" i="6"/>
  <c r="BH17" i="6"/>
  <c r="BG17" i="6"/>
  <c r="BF17" i="6"/>
  <c r="BE17" i="6"/>
  <c r="BD17" i="6"/>
  <c r="BC17" i="6"/>
  <c r="BB17" i="6"/>
  <c r="BA17" i="6"/>
  <c r="AZ17" i="6"/>
  <c r="AY17" i="6"/>
  <c r="AY23" i="6"/>
  <c r="AV19" i="20"/>
  <c r="AZ19" i="6"/>
  <c r="BJ20" i="6"/>
  <c r="BJ18" i="6" s="1"/>
  <c r="BG20" i="6"/>
  <c r="BG18" i="6" s="1"/>
  <c r="BD20" i="6"/>
  <c r="BD18" i="6" s="1"/>
  <c r="BA20" i="6"/>
  <c r="AK21" i="6"/>
  <c r="AL20" i="6"/>
  <c r="AN22" i="6"/>
  <c r="AN21" i="6"/>
  <c r="AN20" i="6"/>
  <c r="AQ22" i="6"/>
  <c r="AQ21" i="6"/>
  <c r="AO20" i="6"/>
  <c r="AR20" i="6"/>
  <c r="AT21" i="6"/>
  <c r="AT19" i="6"/>
  <c r="AT18" i="6"/>
  <c r="AW19" i="6"/>
  <c r="AW21" i="6"/>
  <c r="AW18" i="6"/>
  <c r="AU20" i="6"/>
  <c r="AU22" i="6" s="1"/>
  <c r="AX20" i="6"/>
  <c r="AW20" i="6" s="1"/>
  <c r="AJ22" i="6"/>
  <c r="AK22" i="6" s="1"/>
  <c r="AM20" i="6"/>
  <c r="AP20" i="6"/>
  <c r="AS20" i="6"/>
  <c r="AT20" i="6" s="1"/>
  <c r="AV20" i="6"/>
  <c r="AV22" i="6" s="1"/>
  <c r="AY20" i="6"/>
  <c r="AY22" i="6" s="1"/>
  <c r="AZ22" i="6" s="1"/>
  <c r="AX22" i="6" l="1"/>
  <c r="AW22" i="6" s="1"/>
  <c r="AQ20" i="6"/>
  <c r="BA18" i="6"/>
  <c r="AZ18" i="6" s="1"/>
  <c r="AZ20" i="6"/>
  <c r="AS22" i="6"/>
  <c r="AT22" i="6" s="1"/>
  <c r="AZ21" i="6"/>
  <c r="AJ20" i="6"/>
  <c r="AK20" i="6" s="1"/>
  <c r="AX112" i="14" l="1"/>
  <c r="AU112" i="14"/>
  <c r="AR112" i="14"/>
  <c r="AO112" i="14"/>
  <c r="AL112" i="14"/>
  <c r="AI112" i="14"/>
  <c r="AF112" i="14"/>
  <c r="AC112" i="14"/>
  <c r="BA114" i="20" l="1"/>
  <c r="BD114" i="20" s="1"/>
  <c r="AM214" i="14"/>
  <c r="AQ184" i="14"/>
  <c r="AP184" i="14"/>
  <c r="AD184" i="14"/>
  <c r="AC214" i="14"/>
  <c r="AB214" i="14" s="1"/>
  <c r="AF214" i="14"/>
  <c r="AE214" i="14" s="1"/>
  <c r="AI214" i="14"/>
  <c r="AH214" i="14" s="1"/>
  <c r="AL214" i="14"/>
  <c r="AK214" i="14" s="1"/>
  <c r="AO214" i="14"/>
  <c r="AN214" i="14" s="1"/>
  <c r="AR214" i="14"/>
  <c r="AQ214" i="14" s="1"/>
  <c r="AU214" i="14"/>
  <c r="AT214" i="14" s="1"/>
  <c r="AC204" i="14"/>
  <c r="AB204" i="14" s="1"/>
  <c r="AF204" i="14"/>
  <c r="AE204" i="14" s="1"/>
  <c r="AI204" i="14"/>
  <c r="AH204" i="14" s="1"/>
  <c r="AL204" i="14"/>
  <c r="AK204" i="14" s="1"/>
  <c r="AO204" i="14"/>
  <c r="AN204" i="14" s="1"/>
  <c r="AR204" i="14"/>
  <c r="AQ204" i="14" s="1"/>
  <c r="AU204" i="14"/>
  <c r="AT204" i="14" s="1"/>
  <c r="AC194" i="14"/>
  <c r="AF194" i="14"/>
  <c r="AI194" i="14"/>
  <c r="AL194" i="14"/>
  <c r="AO194" i="14"/>
  <c r="AR194" i="14"/>
  <c r="AQ194" i="14" s="1"/>
  <c r="AU194" i="14"/>
  <c r="AT194" i="14" s="1"/>
  <c r="AC184" i="14"/>
  <c r="AB184" i="14" s="1"/>
  <c r="AF184" i="14"/>
  <c r="AE184" i="14" s="1"/>
  <c r="AI184" i="14"/>
  <c r="AH184" i="14" s="1"/>
  <c r="AL184" i="14"/>
  <c r="AK184" i="14" s="1"/>
  <c r="AO184" i="14"/>
  <c r="AN184" i="14" s="1"/>
  <c r="AR184" i="14"/>
  <c r="AU184" i="14"/>
  <c r="AT184" i="14" s="1"/>
  <c r="BA204" i="14"/>
  <c r="AZ204" i="14" s="1"/>
  <c r="AX204" i="14"/>
  <c r="AW204" i="14" s="1"/>
  <c r="AX194" i="14"/>
  <c r="AV194" i="14" s="1"/>
  <c r="BD106" i="14"/>
  <c r="BD204" i="14" s="1"/>
  <c r="BA107" i="14"/>
  <c r="BA214" i="14" s="1"/>
  <c r="BA106" i="14"/>
  <c r="BA105" i="14"/>
  <c r="BA194" i="14" s="1"/>
  <c r="BA104" i="14"/>
  <c r="AX109" i="14"/>
  <c r="AU109" i="14"/>
  <c r="AR109" i="14"/>
  <c r="AO109" i="14"/>
  <c r="AL109" i="14"/>
  <c r="AI109" i="14"/>
  <c r="AF109" i="14"/>
  <c r="AV120" i="14"/>
  <c r="AV118" i="14"/>
  <c r="AV116" i="14"/>
  <c r="AS120" i="14"/>
  <c r="AR120" i="14"/>
  <c r="AR118" i="14"/>
  <c r="AR117" i="14"/>
  <c r="AR116" i="14"/>
  <c r="AR119" i="14" s="1"/>
  <c r="AR125" i="14" s="1"/>
  <c r="AU117" i="14"/>
  <c r="AU118" i="14"/>
  <c r="AU116" i="14"/>
  <c r="AU120" i="14"/>
  <c r="A120" i="14"/>
  <c r="A117" i="14"/>
  <c r="A118" i="14"/>
  <c r="A119" i="14"/>
  <c r="A116" i="14"/>
  <c r="AV212" i="14"/>
  <c r="AU212" i="14"/>
  <c r="AV202" i="14"/>
  <c r="AU202" i="14"/>
  <c r="AU192" i="14"/>
  <c r="AV192" i="14"/>
  <c r="AV182" i="14"/>
  <c r="AV172" i="14"/>
  <c r="AX214" i="14"/>
  <c r="AW214" i="14" s="1"/>
  <c r="AX184" i="14"/>
  <c r="AW184" i="14" s="1"/>
  <c r="A105" i="14"/>
  <c r="A106" i="14"/>
  <c r="A107" i="14"/>
  <c r="A104" i="14"/>
  <c r="BD64" i="14"/>
  <c r="BG64" i="14" s="1"/>
  <c r="BJ64" i="14" s="1"/>
  <c r="BJ92" i="14"/>
  <c r="BG92" i="14"/>
  <c r="BD92" i="14"/>
  <c r="BA92" i="14"/>
  <c r="AX92" i="14"/>
  <c r="AY98" i="18"/>
  <c r="AY96" i="18"/>
  <c r="AY94" i="18"/>
  <c r="AY89" i="18"/>
  <c r="AY99" i="18" s="1"/>
  <c r="AY87" i="18"/>
  <c r="AY85" i="18"/>
  <c r="AZ91" i="4"/>
  <c r="BA87" i="6"/>
  <c r="BA184" i="14" l="1"/>
  <c r="AZ184" i="14" s="1"/>
  <c r="BD104" i="14"/>
  <c r="AS194" i="14"/>
  <c r="AA204" i="14"/>
  <c r="BD105" i="14"/>
  <c r="BD194" i="14" s="1"/>
  <c r="BC194" i="14" s="1"/>
  <c r="AV204" i="14"/>
  <c r="BD107" i="14"/>
  <c r="AY204" i="14"/>
  <c r="AJ204" i="14"/>
  <c r="AJ214" i="14"/>
  <c r="AG184" i="14"/>
  <c r="AA214" i="14"/>
  <c r="AZ194" i="14"/>
  <c r="AY194" i="14"/>
  <c r="AZ214" i="14"/>
  <c r="AY214" i="14"/>
  <c r="BC204" i="14"/>
  <c r="BB204" i="14"/>
  <c r="AV214" i="14"/>
  <c r="BD184" i="14"/>
  <c r="AS184" i="14"/>
  <c r="AM204" i="14"/>
  <c r="BG106" i="14"/>
  <c r="AJ184" i="14"/>
  <c r="AV184" i="14"/>
  <c r="AD204" i="14"/>
  <c r="AP204" i="14"/>
  <c r="AD214" i="14"/>
  <c r="AP214" i="14"/>
  <c r="AU119" i="14"/>
  <c r="AU125" i="14" s="1"/>
  <c r="AA184" i="14"/>
  <c r="AM184" i="14"/>
  <c r="AP194" i="14"/>
  <c r="AG204" i="14"/>
  <c r="AS204" i="14"/>
  <c r="AG214" i="14"/>
  <c r="AS214" i="14"/>
  <c r="AT120" i="14"/>
  <c r="AY97" i="18"/>
  <c r="AY100" i="18"/>
  <c r="AY90" i="18"/>
  <c r="BD87" i="6"/>
  <c r="BG87" i="6"/>
  <c r="AW113" i="20"/>
  <c r="BG104" i="14" l="1"/>
  <c r="BB194" i="14"/>
  <c r="AY184" i="14"/>
  <c r="BG105" i="14"/>
  <c r="BG194" i="14" s="1"/>
  <c r="BG107" i="14"/>
  <c r="BD214" i="14"/>
  <c r="BB184" i="14"/>
  <c r="BC184" i="14"/>
  <c r="BJ106" i="14"/>
  <c r="BJ204" i="14" s="1"/>
  <c r="BG204" i="14"/>
  <c r="BJ105" i="14"/>
  <c r="BJ194" i="14" s="1"/>
  <c r="BA158" i="20"/>
  <c r="BD156" i="20"/>
  <c r="BA532" i="20"/>
  <c r="BD532" i="20" s="1"/>
  <c r="AV425" i="20"/>
  <c r="AV409" i="20"/>
  <c r="AV235" i="20"/>
  <c r="AS94" i="20"/>
  <c r="AV319" i="20"/>
  <c r="AV317" i="20"/>
  <c r="AV224" i="20"/>
  <c r="AV226" i="20" s="1"/>
  <c r="AV222" i="20"/>
  <c r="AV307" i="20"/>
  <c r="AV94" i="20"/>
  <c r="AV150" i="20"/>
  <c r="BG122" i="14"/>
  <c r="AY41" i="2"/>
  <c r="AY35" i="2"/>
  <c r="BC214" i="14" l="1"/>
  <c r="BB214" i="14"/>
  <c r="BG214" i="14"/>
  <c r="BJ107" i="14"/>
  <c r="BJ214" i="14" s="1"/>
  <c r="BJ104" i="14"/>
  <c r="BG184" i="14"/>
  <c r="BF204" i="14"/>
  <c r="BE204" i="14"/>
  <c r="BH204" i="14"/>
  <c r="BI204" i="14"/>
  <c r="BF194" i="14"/>
  <c r="BE194" i="14"/>
  <c r="BH194" i="14"/>
  <c r="BI194" i="14"/>
  <c r="AV22" i="20"/>
  <c r="AV358" i="20" s="1"/>
  <c r="AV21" i="20"/>
  <c r="AV20" i="20"/>
  <c r="AV86" i="14"/>
  <c r="AV77" i="14"/>
  <c r="AV54" i="14"/>
  <c r="AV69" i="14"/>
  <c r="AV70" i="14"/>
  <c r="AV22" i="14"/>
  <c r="AV256" i="14" s="1"/>
  <c r="AV21" i="14"/>
  <c r="AV239" i="14" s="1"/>
  <c r="AV20" i="14"/>
  <c r="AV40" i="14" s="1"/>
  <c r="BA58" i="5"/>
  <c r="BA36" i="5"/>
  <c r="BA50" i="5"/>
  <c r="BA40" i="5"/>
  <c r="BA17" i="5"/>
  <c r="AY51" i="18"/>
  <c r="AY47" i="18" s="1"/>
  <c r="AY76" i="18"/>
  <c r="AY74" i="18"/>
  <c r="AY18" i="18"/>
  <c r="AY6" i="18"/>
  <c r="AY4" i="18"/>
  <c r="AY33" i="18" s="1"/>
  <c r="AY40" i="7"/>
  <c r="AY41" i="7" s="1"/>
  <c r="AY85" i="7"/>
  <c r="AY84" i="7"/>
  <c r="AY83" i="7"/>
  <c r="AY18" i="7"/>
  <c r="AY6" i="7"/>
  <c r="AY4" i="7"/>
  <c r="AY12" i="7" s="1"/>
  <c r="BJ184" i="14" l="1"/>
  <c r="BI214" i="14"/>
  <c r="BH214" i="14"/>
  <c r="BF214" i="14"/>
  <c r="BE214" i="14"/>
  <c r="BF184" i="14"/>
  <c r="BE184" i="14"/>
  <c r="AY5" i="18"/>
  <c r="AV23" i="20"/>
  <c r="AV258" i="20"/>
  <c r="AV293" i="20"/>
  <c r="AV286" i="20"/>
  <c r="AV294" i="20"/>
  <c r="AY55" i="7"/>
  <c r="AV287" i="20"/>
  <c r="AV295" i="20"/>
  <c r="AY59" i="7"/>
  <c r="AY5" i="7"/>
  <c r="AY56" i="7"/>
  <c r="AY57" i="7"/>
  <c r="AY23" i="18"/>
  <c r="AY58" i="7"/>
  <c r="AV87" i="14"/>
  <c r="AY55" i="18"/>
  <c r="AY54" i="18"/>
  <c r="AY40" i="18"/>
  <c r="AY56" i="18"/>
  <c r="AY14" i="18"/>
  <c r="AY7" i="18"/>
  <c r="AY57" i="18"/>
  <c r="AY9" i="18"/>
  <c r="AY12" i="18"/>
  <c r="AY42" i="7"/>
  <c r="AY14" i="7"/>
  <c r="AY88" i="7" s="1"/>
  <c r="AY7" i="7"/>
  <c r="AY9" i="7"/>
  <c r="BI184" i="14" l="1"/>
  <c r="BH184" i="14"/>
  <c r="AY54" i="7"/>
  <c r="AY19" i="18"/>
  <c r="AY15" i="18"/>
  <c r="AY77" i="18"/>
  <c r="AY53" i="18"/>
  <c r="AY38" i="18"/>
  <c r="AY41" i="18" s="1"/>
  <c r="AY42" i="18"/>
  <c r="AY19" i="7"/>
  <c r="AY15" i="7"/>
  <c r="AY78" i="18" l="1"/>
  <c r="AY104" i="5" l="1"/>
  <c r="AY102" i="5" s="1"/>
  <c r="AY105" i="5"/>
  <c r="AY62" i="5"/>
  <c r="AY23" i="5"/>
  <c r="AY57" i="5"/>
  <c r="BA57" i="5" s="1"/>
  <c r="AY8" i="5"/>
  <c r="BA8" i="5" s="1"/>
  <c r="AY120" i="5"/>
  <c r="AY118" i="5"/>
  <c r="AY93" i="5"/>
  <c r="AY92" i="5"/>
  <c r="AY90" i="5"/>
  <c r="AY71" i="5"/>
  <c r="AY65" i="5"/>
  <c r="AY60" i="5"/>
  <c r="AY56" i="5"/>
  <c r="AY49" i="5"/>
  <c r="AY41" i="5"/>
  <c r="AY37" i="5"/>
  <c r="AY34" i="5"/>
  <c r="AY24" i="5"/>
  <c r="AY19" i="5"/>
  <c r="AY12" i="5"/>
  <c r="AY10" i="5"/>
  <c r="AY9" i="5" s="1"/>
  <c r="AY51" i="2"/>
  <c r="AY103" i="2"/>
  <c r="AY153" i="2"/>
  <c r="AY145" i="2"/>
  <c r="AY144" i="2"/>
  <c r="AY143" i="2"/>
  <c r="AY134" i="2"/>
  <c r="AY138" i="2" s="1"/>
  <c r="AY141" i="2" s="1"/>
  <c r="AY117" i="2"/>
  <c r="AY116" i="2"/>
  <c r="AY109" i="2"/>
  <c r="AY92" i="2"/>
  <c r="AY100" i="2" s="1"/>
  <c r="AY24" i="2" s="1"/>
  <c r="AY82" i="2"/>
  <c r="AY6" i="2" s="1"/>
  <c r="AY74" i="2"/>
  <c r="AY62" i="2"/>
  <c r="AY56" i="2"/>
  <c r="AY53" i="2"/>
  <c r="AY154" i="2"/>
  <c r="AY30" i="2"/>
  <c r="AY68" i="3"/>
  <c r="AY70" i="3" s="1"/>
  <c r="AY25" i="2" s="1"/>
  <c r="AY100" i="5" s="1"/>
  <c r="AY58" i="3"/>
  <c r="AY56" i="3"/>
  <c r="AY54" i="3"/>
  <c r="AY51" i="3"/>
  <c r="AY46" i="3"/>
  <c r="AY48" i="3" s="1"/>
  <c r="AY9" i="2" s="1"/>
  <c r="AY38" i="3"/>
  <c r="AY36" i="3"/>
  <c r="AY34" i="3"/>
  <c r="AY32" i="3"/>
  <c r="AY29" i="3"/>
  <c r="AY21" i="3"/>
  <c r="AY23" i="3" s="1"/>
  <c r="AY13" i="3"/>
  <c r="AY11" i="3"/>
  <c r="AY9" i="3"/>
  <c r="AY7" i="3"/>
  <c r="AY125" i="6"/>
  <c r="AY122" i="6"/>
  <c r="AY121" i="6"/>
  <c r="AY119" i="6"/>
  <c r="AY118" i="6"/>
  <c r="AY99" i="6"/>
  <c r="AY98" i="6"/>
  <c r="AY97" i="6"/>
  <c r="AY94" i="6"/>
  <c r="AY87" i="6"/>
  <c r="AY75" i="6"/>
  <c r="AY71" i="6"/>
  <c r="AY70" i="6"/>
  <c r="AY25" i="6"/>
  <c r="AY207" i="4"/>
  <c r="AY202" i="4"/>
  <c r="AY203" i="4" s="1"/>
  <c r="AY256" i="4"/>
  <c r="AY249" i="4"/>
  <c r="AY251" i="4" s="1"/>
  <c r="AY238" i="4"/>
  <c r="AY223" i="4"/>
  <c r="AY222" i="4"/>
  <c r="AY221" i="4"/>
  <c r="AY206" i="4"/>
  <c r="AY192" i="4"/>
  <c r="AY187" i="4"/>
  <c r="AY176" i="4"/>
  <c r="AY164" i="4"/>
  <c r="AY145" i="4"/>
  <c r="AY149" i="4" s="1"/>
  <c r="AY132" i="4"/>
  <c r="AY136" i="4" s="1"/>
  <c r="AY138" i="4" s="1"/>
  <c r="AY125" i="4"/>
  <c r="AY120" i="4"/>
  <c r="AY85" i="4"/>
  <c r="AY80" i="4" s="1"/>
  <c r="AY76" i="4"/>
  <c r="AY57" i="4"/>
  <c r="AY56" i="4"/>
  <c r="AY55" i="4"/>
  <c r="AY33" i="4"/>
  <c r="AY38" i="4" s="1"/>
  <c r="AY26" i="4"/>
  <c r="AY30" i="4" s="1"/>
  <c r="AY15" i="4"/>
  <c r="AY21" i="4" s="1"/>
  <c r="AY5" i="4"/>
  <c r="AY13" i="4" s="1"/>
  <c r="AY49" i="4"/>
  <c r="AY51" i="4" s="1"/>
  <c r="BG71" i="2"/>
  <c r="BD71" i="2"/>
  <c r="AY78" i="4" l="1"/>
  <c r="AY124" i="4"/>
  <c r="AY58" i="4"/>
  <c r="AY60" i="4" s="1"/>
  <c r="AY239" i="4" s="1"/>
  <c r="AY107" i="5"/>
  <c r="AY108" i="5" s="1"/>
  <c r="AY111" i="5" s="1"/>
  <c r="AY126" i="4"/>
  <c r="AY237" i="4"/>
  <c r="AY77" i="4"/>
  <c r="AY79" i="4" s="1"/>
  <c r="AY5" i="2"/>
  <c r="AY130" i="2" s="1"/>
  <c r="AY80" i="6"/>
  <c r="AY74" i="5"/>
  <c r="AY91" i="5"/>
  <c r="AY54" i="5"/>
  <c r="AY89" i="5"/>
  <c r="AY119" i="5"/>
  <c r="AY36" i="2"/>
  <c r="AY158" i="2" s="1"/>
  <c r="AY7" i="2"/>
  <c r="AY12" i="2" s="1"/>
  <c r="AY23" i="2" s="1"/>
  <c r="AY31" i="2"/>
  <c r="AY33" i="2" s="1"/>
  <c r="AY148" i="2"/>
  <c r="AY49" i="3"/>
  <c r="AY71" i="3"/>
  <c r="AY96" i="6"/>
  <c r="AY210" i="4"/>
  <c r="AY257" i="4"/>
  <c r="AY259" i="4" s="1"/>
  <c r="AY260" i="4" s="1"/>
  <c r="AY241" i="4"/>
  <c r="AY219" i="4"/>
  <c r="AY220" i="4" s="1"/>
  <c r="AY208" i="4"/>
  <c r="AY211" i="4" s="1"/>
  <c r="AY22" i="4"/>
  <c r="AY39" i="4"/>
  <c r="BA465" i="20"/>
  <c r="BA463" i="20"/>
  <c r="AW460" i="20"/>
  <c r="AY26" i="2" l="1"/>
  <c r="AY84" i="5"/>
  <c r="AY13" i="2"/>
  <c r="AY240" i="4"/>
  <c r="AY242" i="4" s="1"/>
  <c r="AY224" i="4"/>
  <c r="AY81" i="4"/>
  <c r="AY115" i="5"/>
  <c r="AY112" i="5"/>
  <c r="AY32" i="2"/>
  <c r="AY38" i="2" s="1"/>
  <c r="AY42" i="2" s="1"/>
  <c r="AY116" i="5" s="1"/>
  <c r="AY5" i="5"/>
  <c r="AY29" i="5" s="1"/>
  <c r="AY88" i="5" s="1"/>
  <c r="AY94" i="5" s="1"/>
  <c r="AY95" i="5" s="1"/>
  <c r="AY8" i="2"/>
  <c r="AY142" i="2"/>
  <c r="AY43" i="2"/>
  <c r="AY46" i="2" s="1"/>
  <c r="AY54" i="2" s="1"/>
  <c r="AY98" i="5"/>
  <c r="AY99" i="5" s="1"/>
  <c r="AY10" i="2"/>
  <c r="AY225" i="4"/>
  <c r="AY226" i="4" s="1"/>
  <c r="AY122" i="2"/>
  <c r="AY18" i="2"/>
  <c r="AY16" i="2"/>
  <c r="AY37" i="2"/>
  <c r="AY157" i="2" s="1"/>
  <c r="AY263" i="4"/>
  <c r="AY52" i="4"/>
  <c r="AY41" i="4"/>
  <c r="AV52" i="20"/>
  <c r="AY44" i="2" l="1"/>
  <c r="AY45" i="2"/>
  <c r="AY50" i="2"/>
  <c r="AY47" i="2"/>
  <c r="AY31" i="5"/>
  <c r="AY76" i="5" s="1"/>
  <c r="AU159" i="20"/>
  <c r="AU158" i="20"/>
  <c r="AU157" i="20"/>
  <c r="AU156" i="20"/>
  <c r="AU155" i="20"/>
  <c r="AU154" i="20"/>
  <c r="AU153" i="20"/>
  <c r="AU152" i="20"/>
  <c r="AU151" i="20"/>
  <c r="BA583" i="20"/>
  <c r="BD583" i="20" s="1"/>
  <c r="AU392" i="20"/>
  <c r="AU551" i="20" s="1"/>
  <c r="AV548" i="20" s="1"/>
  <c r="AU174" i="20"/>
  <c r="AV570" i="20"/>
  <c r="AV564" i="20"/>
  <c r="AV559" i="20"/>
  <c r="AW559" i="20" s="1"/>
  <c r="AV558" i="20"/>
  <c r="AU582" i="20"/>
  <c r="AU576" i="20"/>
  <c r="AU570" i="20"/>
  <c r="AU558" i="20"/>
  <c r="AV519" i="20"/>
  <c r="AV398" i="20"/>
  <c r="AV578" i="20" s="1"/>
  <c r="AV397" i="20"/>
  <c r="AV572" i="20" s="1"/>
  <c r="AW569" i="20" s="1"/>
  <c r="AV396" i="20"/>
  <c r="AV566" i="20" s="1"/>
  <c r="AV395" i="20"/>
  <c r="AV391" i="20"/>
  <c r="AV390" i="20"/>
  <c r="AV383" i="20"/>
  <c r="AV382" i="20"/>
  <c r="AV384" i="20" s="1"/>
  <c r="AV392" i="20"/>
  <c r="AV389" i="20"/>
  <c r="AV388" i="20"/>
  <c r="AV387" i="20"/>
  <c r="AV385" i="20"/>
  <c r="AV386" i="20"/>
  <c r="AV399" i="20"/>
  <c r="AV584" i="20" s="1"/>
  <c r="AU399" i="20"/>
  <c r="AU584" i="20" s="1"/>
  <c r="AV581" i="20" s="1"/>
  <c r="AV585" i="20" s="1"/>
  <c r="AU398" i="20"/>
  <c r="AU578" i="20" s="1"/>
  <c r="AU397" i="20"/>
  <c r="AU572" i="20" s="1"/>
  <c r="AU396" i="20"/>
  <c r="AU566" i="20" s="1"/>
  <c r="AU395" i="20"/>
  <c r="AU391" i="20"/>
  <c r="AU390" i="20"/>
  <c r="AU389" i="20"/>
  <c r="AU388" i="20"/>
  <c r="AU387" i="20"/>
  <c r="AU386" i="20"/>
  <c r="AU385" i="20"/>
  <c r="AT381" i="20"/>
  <c r="AU383" i="20"/>
  <c r="AT383" i="20" s="1"/>
  <c r="AU382" i="20"/>
  <c r="AT382" i="20" s="1"/>
  <c r="AU549" i="20"/>
  <c r="AU543" i="20"/>
  <c r="AU537" i="20"/>
  <c r="AU531" i="20"/>
  <c r="AU525" i="20"/>
  <c r="AU519" i="20"/>
  <c r="AU513" i="20"/>
  <c r="AU507" i="20"/>
  <c r="AT426" i="20"/>
  <c r="AU425" i="20"/>
  <c r="AT424" i="20"/>
  <c r="AT423" i="20"/>
  <c r="AT422" i="20"/>
  <c r="AT421" i="20"/>
  <c r="AT420" i="20"/>
  <c r="AU409" i="20"/>
  <c r="AT408" i="20"/>
  <c r="AT407" i="20"/>
  <c r="AT406" i="20"/>
  <c r="AU319" i="20"/>
  <c r="AU321" i="20" s="1"/>
  <c r="AU317" i="20"/>
  <c r="AT90" i="20"/>
  <c r="AU235" i="20"/>
  <c r="AT227" i="20"/>
  <c r="AU222" i="20"/>
  <c r="AT72" i="20"/>
  <c r="AU307" i="20"/>
  <c r="AU49" i="20" s="1"/>
  <c r="AV509" i="20" l="1"/>
  <c r="AV460" i="20"/>
  <c r="AV545" i="20"/>
  <c r="AV466" i="20"/>
  <c r="AV521" i="20"/>
  <c r="AV462" i="20"/>
  <c r="AV527" i="20"/>
  <c r="AV463" i="20"/>
  <c r="AV533" i="20"/>
  <c r="AV464" i="20"/>
  <c r="AV515" i="20"/>
  <c r="AV461" i="20"/>
  <c r="AV551" i="20"/>
  <c r="AV552" i="20" s="1"/>
  <c r="AV467" i="20"/>
  <c r="AV502" i="20"/>
  <c r="AV457" i="20"/>
  <c r="AV539" i="20"/>
  <c r="AV465" i="20"/>
  <c r="AT409" i="20"/>
  <c r="AT425" i="20"/>
  <c r="AU384" i="20"/>
  <c r="AU502" i="20" s="1"/>
  <c r="AV499" i="20" s="1"/>
  <c r="AV575" i="20"/>
  <c r="AV579" i="20" s="1"/>
  <c r="AW581" i="20"/>
  <c r="AW563" i="20"/>
  <c r="AW575" i="20"/>
  <c r="AV563" i="20"/>
  <c r="AV567" i="20" s="1"/>
  <c r="AV569" i="20"/>
  <c r="AV573" i="20" s="1"/>
  <c r="BB583" i="20"/>
  <c r="BG583" i="20"/>
  <c r="BC583" i="20"/>
  <c r="AT58" i="14"/>
  <c r="AV169" i="14"/>
  <c r="AV503" i="20" l="1"/>
  <c r="AV565" i="20"/>
  <c r="AW565" i="20" s="1"/>
  <c r="AT384" i="20"/>
  <c r="AT502" i="20" s="1"/>
  <c r="AV571" i="20"/>
  <c r="AW571" i="20" s="1"/>
  <c r="BJ583" i="20"/>
  <c r="BE583" i="20"/>
  <c r="BF583" i="20" s="1"/>
  <c r="AV189" i="14"/>
  <c r="AU189" i="14"/>
  <c r="AU182" i="14"/>
  <c r="AS182" i="14"/>
  <c r="AU172" i="14"/>
  <c r="AS172" i="14"/>
  <c r="AP172" i="14"/>
  <c r="AU162" i="14"/>
  <c r="AS169" i="14"/>
  <c r="AP169" i="14"/>
  <c r="AR169" i="14"/>
  <c r="AU169" i="14"/>
  <c r="BH583" i="20" l="1"/>
  <c r="BI583" i="20" s="1"/>
  <c r="AX125" i="6"/>
  <c r="AX97" i="3"/>
  <c r="AX68" i="3"/>
  <c r="AV68" i="3"/>
  <c r="AU68" i="3"/>
  <c r="AS68" i="3"/>
  <c r="AP68" i="3"/>
  <c r="AM68" i="3"/>
  <c r="AJ68" i="3"/>
  <c r="AX46" i="3"/>
  <c r="AV46" i="3"/>
  <c r="AS46" i="3"/>
  <c r="AP46" i="3"/>
  <c r="AM46" i="3"/>
  <c r="AJ46" i="3"/>
  <c r="AX83" i="3"/>
  <c r="AX21" i="3"/>
  <c r="AV21" i="3"/>
  <c r="AU21" i="3"/>
  <c r="AS21" i="3"/>
  <c r="AR21" i="3"/>
  <c r="AP21" i="3"/>
  <c r="AO21" i="3"/>
  <c r="AM21" i="3"/>
  <c r="AJ21" i="3"/>
  <c r="AX99" i="3" l="1"/>
  <c r="AU107" i="20" l="1"/>
  <c r="AT117" i="20"/>
  <c r="AU22" i="14" l="1"/>
  <c r="AU256" i="14" s="1"/>
  <c r="AU21" i="14"/>
  <c r="AU239" i="14" s="1"/>
  <c r="AU22" i="20"/>
  <c r="AU358" i="20" s="1"/>
  <c r="AU21" i="20"/>
  <c r="AU20" i="20"/>
  <c r="AU19" i="20"/>
  <c r="AU94" i="20"/>
  <c r="AU295" i="20" l="1"/>
  <c r="AU342" i="20" s="1"/>
  <c r="AU287" i="20"/>
  <c r="AU97" i="20"/>
  <c r="AU258" i="20"/>
  <c r="AU286" i="20"/>
  <c r="AU294" i="20"/>
  <c r="AU339" i="20" s="1"/>
  <c r="AU336" i="20" s="1"/>
  <c r="AU110" i="20" s="1"/>
  <c r="AU293" i="20"/>
  <c r="AX75" i="6"/>
  <c r="AW79" i="6"/>
  <c r="AT22" i="20" s="1"/>
  <c r="AT358" i="20" s="1"/>
  <c r="AW78" i="6"/>
  <c r="AT21" i="20" s="1"/>
  <c r="AT287" i="20" s="1"/>
  <c r="AW77" i="6"/>
  <c r="AT20" i="20" s="1"/>
  <c r="AT286" i="20" s="1"/>
  <c r="AW76" i="6"/>
  <c r="AT19" i="20" s="1"/>
  <c r="AX71" i="6"/>
  <c r="AW74" i="6"/>
  <c r="AT22" i="14" s="1"/>
  <c r="AT256" i="14" s="1"/>
  <c r="AW73" i="6"/>
  <c r="AT21" i="14" s="1"/>
  <c r="AT239" i="14" s="1"/>
  <c r="AW72" i="6"/>
  <c r="AT20" i="14" s="1"/>
  <c r="AX99" i="6"/>
  <c r="AX98" i="6"/>
  <c r="AW141" i="6"/>
  <c r="AW125" i="6" s="1"/>
  <c r="AW258" i="4"/>
  <c r="AW255" i="4"/>
  <c r="AW254" i="4"/>
  <c r="AW253" i="4"/>
  <c r="AW252" i="4"/>
  <c r="AW250" i="4"/>
  <c r="AW248" i="4"/>
  <c r="AW247" i="4"/>
  <c r="AW246" i="4"/>
  <c r="AW205" i="4"/>
  <c r="AW201" i="4"/>
  <c r="AW199" i="4"/>
  <c r="AW198" i="4"/>
  <c r="AW197" i="4"/>
  <c r="AW196" i="4"/>
  <c r="AW195" i="4"/>
  <c r="AW194" i="4"/>
  <c r="AW191" i="4"/>
  <c r="AW190" i="4"/>
  <c r="AW189" i="4"/>
  <c r="AW186" i="4"/>
  <c r="AW185" i="4"/>
  <c r="AW184" i="4"/>
  <c r="AW183" i="4"/>
  <c r="AW182" i="4"/>
  <c r="AW181" i="4"/>
  <c r="AW180" i="4"/>
  <c r="AW173" i="4"/>
  <c r="AW171" i="4"/>
  <c r="AW154" i="4"/>
  <c r="AW148" i="4"/>
  <c r="AW147" i="4"/>
  <c r="AW146" i="4"/>
  <c r="AW144" i="4"/>
  <c r="AW143" i="4"/>
  <c r="AW142" i="4"/>
  <c r="AW141" i="4"/>
  <c r="AW137" i="4"/>
  <c r="AW135" i="4"/>
  <c r="AW134" i="4"/>
  <c r="AW133" i="4"/>
  <c r="AW131" i="4"/>
  <c r="AW130" i="4"/>
  <c r="AW129" i="4"/>
  <c r="AW128" i="4"/>
  <c r="AW123" i="4"/>
  <c r="AW122" i="4"/>
  <c r="AW121" i="4"/>
  <c r="AW119" i="4"/>
  <c r="AW118" i="4"/>
  <c r="AW117" i="4"/>
  <c r="AW116" i="4"/>
  <c r="AW125" i="4" s="1"/>
  <c r="AW91" i="4"/>
  <c r="AW89" i="4"/>
  <c r="AW88" i="4"/>
  <c r="AW84" i="4"/>
  <c r="AW83" i="4"/>
  <c r="AW113" i="5"/>
  <c r="AW110" i="5"/>
  <c r="AW109" i="5"/>
  <c r="AW106" i="5"/>
  <c r="AW103" i="5"/>
  <c r="AW90" i="4" s="1"/>
  <c r="AW101" i="5"/>
  <c r="AW125" i="2" s="1"/>
  <c r="AW81" i="5"/>
  <c r="AW80" i="5"/>
  <c r="AW79" i="5"/>
  <c r="AW73" i="5"/>
  <c r="AW72" i="5"/>
  <c r="AW69" i="5"/>
  <c r="AW68" i="5"/>
  <c r="AW67" i="5"/>
  <c r="AW66" i="5"/>
  <c r="AW64" i="5"/>
  <c r="AW63" i="5"/>
  <c r="AW61" i="5"/>
  <c r="AW59" i="5"/>
  <c r="AW92" i="5" s="1"/>
  <c r="AW58" i="5"/>
  <c r="AW53" i="5"/>
  <c r="AW52" i="5"/>
  <c r="AW51" i="5"/>
  <c r="AW50" i="5"/>
  <c r="AW48" i="5"/>
  <c r="AW47" i="5"/>
  <c r="AW46" i="5"/>
  <c r="AW45" i="5"/>
  <c r="AW44" i="5"/>
  <c r="AW43" i="5"/>
  <c r="AW42" i="5"/>
  <c r="AW40" i="5"/>
  <c r="AW38" i="5"/>
  <c r="AW35" i="5"/>
  <c r="AW33" i="5"/>
  <c r="AW30" i="5"/>
  <c r="AW90" i="5" s="1"/>
  <c r="AW28" i="5"/>
  <c r="AW27" i="5"/>
  <c r="AW26" i="5"/>
  <c r="AW25" i="5"/>
  <c r="AW23" i="5"/>
  <c r="AW22" i="5"/>
  <c r="AW21" i="5"/>
  <c r="AW20" i="5"/>
  <c r="AW18" i="5"/>
  <c r="AW17" i="5"/>
  <c r="AW16" i="5"/>
  <c r="AW119" i="2" s="1"/>
  <c r="AW15" i="5"/>
  <c r="AW114" i="2" s="1"/>
  <c r="AW14" i="5"/>
  <c r="AW113" i="2" s="1"/>
  <c r="AW13" i="5"/>
  <c r="AW11" i="5"/>
  <c r="AW7" i="5"/>
  <c r="AW147" i="2"/>
  <c r="AW139" i="2"/>
  <c r="AW133" i="2"/>
  <c r="AW132" i="2"/>
  <c r="AW131" i="2"/>
  <c r="AW129" i="2"/>
  <c r="AW108" i="2"/>
  <c r="AW107" i="2"/>
  <c r="AW106" i="2"/>
  <c r="AW105" i="2"/>
  <c r="AW104" i="2"/>
  <c r="AW102" i="2"/>
  <c r="AW99" i="2"/>
  <c r="AW98" i="2"/>
  <c r="AW97" i="2"/>
  <c r="AW96" i="2"/>
  <c r="AW95" i="2"/>
  <c r="AW94" i="2"/>
  <c r="AW93" i="2"/>
  <c r="AW90" i="2"/>
  <c r="AW117" i="2" s="1"/>
  <c r="AW89" i="2"/>
  <c r="AW116" i="2" s="1"/>
  <c r="AW150" i="4" s="1"/>
  <c r="AW88" i="2"/>
  <c r="AW87" i="2"/>
  <c r="AW86" i="2"/>
  <c r="AW85" i="2"/>
  <c r="AW84" i="2"/>
  <c r="AW81" i="2"/>
  <c r="AW80" i="2"/>
  <c r="AW79" i="2"/>
  <c r="AW78" i="2"/>
  <c r="AW71" i="2"/>
  <c r="AW70" i="2"/>
  <c r="AW67" i="2"/>
  <c r="AW66" i="2"/>
  <c r="AW60" i="2"/>
  <c r="AW52" i="2"/>
  <c r="AW49" i="2"/>
  <c r="AW41" i="2"/>
  <c r="AW40" i="2"/>
  <c r="AW39" i="2"/>
  <c r="AW29" i="2"/>
  <c r="AW28" i="2"/>
  <c r="AW27" i="2"/>
  <c r="AW21" i="2"/>
  <c r="AW19" i="2"/>
  <c r="AW17" i="2"/>
  <c r="AW15" i="2"/>
  <c r="AW14" i="2"/>
  <c r="AW11" i="2"/>
  <c r="AW22" i="7"/>
  <c r="AW21" i="7"/>
  <c r="AW17" i="7"/>
  <c r="AW75" i="18"/>
  <c r="AW39" i="18"/>
  <c r="AW31" i="18"/>
  <c r="AW30" i="18"/>
  <c r="AW29" i="18"/>
  <c r="AW22" i="18"/>
  <c r="AW21" i="18"/>
  <c r="AW17" i="18"/>
  <c r="AW13" i="18"/>
  <c r="AW11" i="18"/>
  <c r="AW145" i="2" s="1"/>
  <c r="AW10" i="18"/>
  <c r="AW8" i="18"/>
  <c r="AX51" i="18"/>
  <c r="AX18" i="18"/>
  <c r="AX6" i="18"/>
  <c r="AX4" i="18"/>
  <c r="AX23" i="18" s="1"/>
  <c r="AX85" i="7"/>
  <c r="AX84" i="7"/>
  <c r="AX83" i="7"/>
  <c r="AX40" i="7"/>
  <c r="AX42" i="7" s="1"/>
  <c r="AX18" i="7"/>
  <c r="AX6" i="7"/>
  <c r="AX14" i="7" s="1"/>
  <c r="AX88" i="7" s="1"/>
  <c r="AX4" i="7"/>
  <c r="AX6" i="6"/>
  <c r="AX4" i="6"/>
  <c r="AX12" i="6" s="1"/>
  <c r="BA123" i="6"/>
  <c r="AY123" i="6" s="1"/>
  <c r="AW10" i="6"/>
  <c r="AW13" i="6"/>
  <c r="AW25" i="6"/>
  <c r="AX27" i="6"/>
  <c r="AX28" i="6"/>
  <c r="AX29" i="6"/>
  <c r="AW70" i="6"/>
  <c r="AX87" i="6"/>
  <c r="AW88" i="6"/>
  <c r="AW118" i="6" s="1"/>
  <c r="AW89" i="6"/>
  <c r="AW119" i="6" s="1"/>
  <c r="AW94" i="6"/>
  <c r="AX118" i="6"/>
  <c r="AX119" i="6"/>
  <c r="AX202" i="4"/>
  <c r="AX200" i="4"/>
  <c r="AW200" i="4" s="1"/>
  <c r="AX256" i="4"/>
  <c r="AX249" i="4"/>
  <c r="AX251" i="4" s="1"/>
  <c r="AX238" i="4"/>
  <c r="AX223" i="4"/>
  <c r="AX222" i="4"/>
  <c r="AX221" i="4"/>
  <c r="AX206" i="4"/>
  <c r="AX208" i="4" s="1"/>
  <c r="AX192" i="4"/>
  <c r="AX187" i="4"/>
  <c r="AX176" i="4"/>
  <c r="AY170" i="4" s="1"/>
  <c r="AY175" i="4" s="1"/>
  <c r="AX164" i="4"/>
  <c r="AY158" i="4" s="1"/>
  <c r="AX161" i="4"/>
  <c r="AX159" i="4"/>
  <c r="AX155" i="2"/>
  <c r="AX153" i="2"/>
  <c r="AX125" i="2"/>
  <c r="AX119" i="2"/>
  <c r="AX117" i="2"/>
  <c r="AX116" i="2"/>
  <c r="AX115" i="2"/>
  <c r="AX114" i="2"/>
  <c r="AX113" i="2"/>
  <c r="AX145" i="4"/>
  <c r="AX149" i="4" s="1"/>
  <c r="AX132" i="4"/>
  <c r="AX136" i="4" s="1"/>
  <c r="AX138" i="4" s="1"/>
  <c r="AX125" i="4"/>
  <c r="AX241" i="4" s="1"/>
  <c r="AX120" i="4"/>
  <c r="AX90" i="4"/>
  <c r="AX87" i="4" s="1"/>
  <c r="AX85" i="4"/>
  <c r="AX80" i="4" s="1"/>
  <c r="AX76" i="4"/>
  <c r="AX104" i="5"/>
  <c r="AX119" i="5" s="1"/>
  <c r="AX105" i="5"/>
  <c r="AX120" i="5"/>
  <c r="AX118" i="5"/>
  <c r="AX93" i="5"/>
  <c r="AX92" i="5"/>
  <c r="AX90" i="5"/>
  <c r="AW93" i="5" l="1"/>
  <c r="AW30" i="2"/>
  <c r="AW85" i="4"/>
  <c r="AW80" i="4" s="1"/>
  <c r="AW120" i="4"/>
  <c r="AX219" i="4"/>
  <c r="AW249" i="4"/>
  <c r="AW251" i="4" s="1"/>
  <c r="AX203" i="4"/>
  <c r="AX210" i="4" s="1"/>
  <c r="AW132" i="4"/>
  <c r="AW136" i="4" s="1"/>
  <c r="AW145" i="4"/>
  <c r="AW149" i="4" s="1"/>
  <c r="AW152" i="4" s="1"/>
  <c r="AW71" i="6"/>
  <c r="AW65" i="5"/>
  <c r="AW56" i="2"/>
  <c r="AW256" i="4"/>
  <c r="AW19" i="5"/>
  <c r="AW71" i="5"/>
  <c r="AW24" i="5"/>
  <c r="AW187" i="4"/>
  <c r="AW99" i="6"/>
  <c r="AX112" i="2"/>
  <c r="AX7" i="6"/>
  <c r="AW82" i="2"/>
  <c r="AW6" i="2" s="1"/>
  <c r="AX7" i="7"/>
  <c r="AX33" i="18"/>
  <c r="AX54" i="18" s="1"/>
  <c r="AW49" i="5"/>
  <c r="AT23" i="14"/>
  <c r="AX80" i="6"/>
  <c r="AX166" i="4"/>
  <c r="AW41" i="5"/>
  <c r="AX91" i="6"/>
  <c r="AW87" i="4"/>
  <c r="AU86" i="20"/>
  <c r="AW134" i="2"/>
  <c r="AW138" i="2" s="1"/>
  <c r="AW141" i="2" s="1"/>
  <c r="AW12" i="5"/>
  <c r="AW118" i="5"/>
  <c r="AW97" i="6"/>
  <c r="AX7" i="18"/>
  <c r="AW120" i="5"/>
  <c r="AW192" i="4"/>
  <c r="AW75" i="6"/>
  <c r="AW98" i="6"/>
  <c r="AW219" i="4"/>
  <c r="AW241" i="4"/>
  <c r="AW115" i="2"/>
  <c r="AW118" i="2" s="1"/>
  <c r="AW53" i="2"/>
  <c r="AX26" i="6"/>
  <c r="AX47" i="18"/>
  <c r="AX5" i="18"/>
  <c r="AX12" i="18"/>
  <c r="AX9" i="18"/>
  <c r="AX14" i="18"/>
  <c r="AX41" i="7"/>
  <c r="AX15" i="7"/>
  <c r="AX19" i="7"/>
  <c r="AX9" i="7"/>
  <c r="AX5" i="7"/>
  <c r="AX12" i="7"/>
  <c r="AX9" i="6"/>
  <c r="AX5" i="6"/>
  <c r="AX14" i="6"/>
  <c r="AX15" i="6" s="1"/>
  <c r="AX257" i="4"/>
  <c r="AX211" i="4"/>
  <c r="AX118" i="2"/>
  <c r="AX102" i="5"/>
  <c r="AX70" i="5"/>
  <c r="AW70" i="5" s="1"/>
  <c r="AX65" i="5"/>
  <c r="AX62" i="5"/>
  <c r="AX57" i="5"/>
  <c r="AW57" i="5" s="1"/>
  <c r="AW56" i="5" s="1"/>
  <c r="AX71" i="5"/>
  <c r="AX63" i="4" s="1"/>
  <c r="AX49" i="5"/>
  <c r="AX41" i="5"/>
  <c r="AX34" i="5"/>
  <c r="AX8" i="5"/>
  <c r="AW8" i="5" s="1"/>
  <c r="AX24" i="5"/>
  <c r="AX19" i="5"/>
  <c r="AX12" i="5"/>
  <c r="AX10" i="5"/>
  <c r="AX134" i="2"/>
  <c r="AX138" i="2" s="1"/>
  <c r="AX141" i="2" s="1"/>
  <c r="AX35" i="2"/>
  <c r="AU35" i="2"/>
  <c r="AX30" i="2"/>
  <c r="AX103" i="2"/>
  <c r="AX91" i="2"/>
  <c r="AX82" i="2"/>
  <c r="AW70" i="4"/>
  <c r="AW68" i="4"/>
  <c r="AW67" i="4"/>
  <c r="AW66" i="4"/>
  <c r="AW65" i="4"/>
  <c r="AW64" i="4"/>
  <c r="AW59" i="4"/>
  <c r="AX57" i="4"/>
  <c r="AY215" i="4" s="1"/>
  <c r="AX56" i="4"/>
  <c r="AX55" i="4"/>
  <c r="AY214" i="4" s="1"/>
  <c r="AX33" i="4"/>
  <c r="AX38" i="4" s="1"/>
  <c r="AX26" i="4"/>
  <c r="AX15" i="4"/>
  <c r="AX77" i="4" s="1"/>
  <c r="AX5" i="4"/>
  <c r="AX124" i="4" s="1"/>
  <c r="AX126" i="4" s="1"/>
  <c r="AX49" i="4"/>
  <c r="AW69" i="3"/>
  <c r="AX70" i="3"/>
  <c r="AW67" i="3"/>
  <c r="AW59" i="3"/>
  <c r="AX58" i="3"/>
  <c r="AW57" i="3"/>
  <c r="AX56" i="3"/>
  <c r="AW55" i="3"/>
  <c r="AX54" i="3"/>
  <c r="AW53" i="3"/>
  <c r="AW51" i="3"/>
  <c r="AW47" i="3"/>
  <c r="AW45" i="3"/>
  <c r="AW43" i="3"/>
  <c r="AX38" i="3"/>
  <c r="AW37" i="3"/>
  <c r="AX36" i="3"/>
  <c r="AW35" i="3"/>
  <c r="AW6" i="18" s="1"/>
  <c r="AX34" i="3"/>
  <c r="AW33" i="3"/>
  <c r="AX32" i="3"/>
  <c r="AW31" i="3"/>
  <c r="AW29" i="3"/>
  <c r="AW22" i="3"/>
  <c r="AX23" i="3"/>
  <c r="AW20" i="3"/>
  <c r="AW18" i="3"/>
  <c r="AX13" i="3"/>
  <c r="AW12" i="3"/>
  <c r="AX11" i="3"/>
  <c r="AW10" i="3"/>
  <c r="AW4" i="18" s="1"/>
  <c r="AW12" i="18" s="1"/>
  <c r="AX9" i="3"/>
  <c r="AW8" i="3"/>
  <c r="AX7" i="3"/>
  <c r="AW6" i="3"/>
  <c r="AX98" i="18"/>
  <c r="AX96" i="18"/>
  <c r="AX94" i="18"/>
  <c r="AW92" i="18"/>
  <c r="AW88" i="18"/>
  <c r="AW86" i="18"/>
  <c r="AW84" i="18"/>
  <c r="AX85" i="18"/>
  <c r="AX87" i="18"/>
  <c r="AX89" i="18"/>
  <c r="AX99" i="18" s="1"/>
  <c r="AW80" i="6" l="1"/>
  <c r="AW6" i="6"/>
  <c r="AW91" i="6" s="1"/>
  <c r="AW46" i="3"/>
  <c r="AW48" i="3" s="1"/>
  <c r="AW9" i="2" s="1"/>
  <c r="AW21" i="3"/>
  <c r="AW23" i="3" s="1"/>
  <c r="AW5" i="2" s="1"/>
  <c r="AW123" i="2" s="1"/>
  <c r="AW68" i="3"/>
  <c r="AW70" i="3" s="1"/>
  <c r="AW25" i="2" s="1"/>
  <c r="AX85" i="3"/>
  <c r="AX98" i="3"/>
  <c r="AX56" i="18"/>
  <c r="AX40" i="18"/>
  <c r="AX42" i="18" s="1"/>
  <c r="AX55" i="18"/>
  <c r="AX79" i="4"/>
  <c r="AW7" i="18"/>
  <c r="AX56" i="5"/>
  <c r="AX13" i="4"/>
  <c r="AW33" i="18"/>
  <c r="AW40" i="18" s="1"/>
  <c r="AW23" i="18"/>
  <c r="AW112" i="2"/>
  <c r="AX89" i="5"/>
  <c r="AX259" i="4"/>
  <c r="AX260" i="4" s="1"/>
  <c r="AW257" i="4"/>
  <c r="AW259" i="4" s="1"/>
  <c r="AW260" i="4" s="1"/>
  <c r="AX154" i="2"/>
  <c r="AX156" i="2" s="1"/>
  <c r="AW56" i="3"/>
  <c r="AW14" i="18"/>
  <c r="AW77" i="18" s="1"/>
  <c r="AX21" i="4"/>
  <c r="AX58" i="4"/>
  <c r="AX60" i="4" s="1"/>
  <c r="AX239" i="4" s="1"/>
  <c r="AW5" i="18"/>
  <c r="AW96" i="6"/>
  <c r="AX60" i="5"/>
  <c r="AX212" i="4" s="1"/>
  <c r="AX57" i="18"/>
  <c r="AX51" i="4"/>
  <c r="AX237" i="4"/>
  <c r="AX220" i="4"/>
  <c r="AW9" i="18"/>
  <c r="AX15" i="18"/>
  <c r="AX19" i="18"/>
  <c r="AW32" i="3"/>
  <c r="AW36" i="3"/>
  <c r="AW54" i="3"/>
  <c r="AX36" i="2"/>
  <c r="AW34" i="3"/>
  <c r="AW38" i="3"/>
  <c r="AW58" i="3"/>
  <c r="AX71" i="3"/>
  <c r="AX30" i="4"/>
  <c r="AX39" i="4" s="1"/>
  <c r="AX9" i="5"/>
  <c r="AX109" i="2"/>
  <c r="AX31" i="2" s="1"/>
  <c r="AX48" i="3"/>
  <c r="AX49" i="3" s="1"/>
  <c r="AW89" i="18"/>
  <c r="AW90" i="18" s="1"/>
  <c r="AX100" i="18"/>
  <c r="AX90" i="18"/>
  <c r="AX97" i="18"/>
  <c r="AW87" i="18"/>
  <c r="AX224" i="4" l="1"/>
  <c r="AY93" i="4"/>
  <c r="AX38" i="18"/>
  <c r="AX41" i="18" s="1"/>
  <c r="AX22" i="4"/>
  <c r="AW15" i="18"/>
  <c r="AX74" i="5"/>
  <c r="AX81" i="4"/>
  <c r="AX225" i="4"/>
  <c r="AX226" i="4" s="1"/>
  <c r="AX53" i="18"/>
  <c r="AW130" i="2"/>
  <c r="AW98" i="4"/>
  <c r="AW122" i="2"/>
  <c r="AW121" i="2"/>
  <c r="AW172" i="4"/>
  <c r="AW151" i="4"/>
  <c r="AW174" i="4"/>
  <c r="AW19" i="18"/>
  <c r="AW26" i="2"/>
  <c r="AW228" i="4"/>
  <c r="AW100" i="5"/>
  <c r="AW8" i="2"/>
  <c r="AW99" i="4" s="1"/>
  <c r="AW10" i="2"/>
  <c r="AX240" i="4"/>
  <c r="AX242" i="4" s="1"/>
  <c r="AW7" i="2"/>
  <c r="AW153" i="4"/>
  <c r="AW142" i="2"/>
  <c r="AW38" i="18"/>
  <c r="AW41" i="18" s="1"/>
  <c r="AW42" i="18"/>
  <c r="AW78" i="18"/>
  <c r="AW8" i="6"/>
  <c r="AX121" i="6"/>
  <c r="AX122" i="6"/>
  <c r="AW11" i="6"/>
  <c r="AW143" i="2" s="1"/>
  <c r="AW71" i="3"/>
  <c r="AW49" i="3"/>
  <c r="AX52" i="4"/>
  <c r="AX41" i="4"/>
  <c r="AW16" i="2" l="1"/>
  <c r="AW18" i="2"/>
  <c r="AW12" i="2"/>
  <c r="AW122" i="6"/>
  <c r="AW121" i="6"/>
  <c r="AS19" i="20"/>
  <c r="AW13" i="2" l="1"/>
  <c r="BK139" i="2"/>
  <c r="BL139" i="2" s="1"/>
  <c r="BH139" i="2"/>
  <c r="BI139" i="2" s="1"/>
  <c r="BE139" i="2"/>
  <c r="BF139" i="2" s="1"/>
  <c r="BB139" i="2"/>
  <c r="BC139" i="2" s="1"/>
  <c r="AZ139" i="2"/>
  <c r="BA19" i="2" l="1"/>
  <c r="AR20" i="14"/>
  <c r="A77" i="10"/>
  <c r="A78" i="10"/>
  <c r="A79" i="10"/>
  <c r="A80" i="10"/>
  <c r="A81" i="10"/>
  <c r="A76" i="10"/>
  <c r="BA202" i="4" l="1"/>
  <c r="AT91" i="4"/>
  <c r="AQ113" i="20"/>
  <c r="AN113" i="20"/>
  <c r="AK113" i="20"/>
  <c r="AH113" i="20"/>
  <c r="BJ112" i="20"/>
  <c r="BG112" i="20"/>
  <c r="BD112" i="20"/>
  <c r="BA112" i="20"/>
  <c r="AX112" i="20"/>
  <c r="AU112" i="20"/>
  <c r="AV74" i="2" l="1"/>
  <c r="BA467" i="20" l="1"/>
  <c r="BA464" i="20"/>
  <c r="BK88" i="4"/>
  <c r="BH88" i="4"/>
  <c r="BE88" i="4"/>
  <c r="BB88" i="4"/>
  <c r="BD54" i="14"/>
  <c r="BA54" i="14"/>
  <c r="AX54" i="14"/>
  <c r="BB53" i="14"/>
  <c r="AY53" i="14"/>
  <c r="AU54" i="14"/>
  <c r="BB54" i="14" l="1"/>
  <c r="AY54" i="14"/>
  <c r="F28" i="53"/>
  <c r="AS87" i="20"/>
  <c r="AV98" i="18" l="1"/>
  <c r="AW98" i="18" s="1"/>
  <c r="AV96" i="18"/>
  <c r="AW96" i="18" s="1"/>
  <c r="AV94" i="18"/>
  <c r="AV89" i="18"/>
  <c r="AV99" i="18" s="1"/>
  <c r="AV87" i="18"/>
  <c r="AV85" i="18"/>
  <c r="AV107" i="5"/>
  <c r="AV105" i="5"/>
  <c r="AW105" i="5" s="1"/>
  <c r="AV104" i="5"/>
  <c r="AV120" i="5"/>
  <c r="AV118" i="5"/>
  <c r="AV93" i="5"/>
  <c r="AV92" i="5"/>
  <c r="AV90" i="5"/>
  <c r="AV62" i="5"/>
  <c r="AV71" i="5"/>
  <c r="AV63" i="4" s="1"/>
  <c r="AW63" i="4" s="1"/>
  <c r="AV65" i="5"/>
  <c r="AV56" i="5"/>
  <c r="AV36" i="5"/>
  <c r="AV49" i="5"/>
  <c r="AV41" i="5"/>
  <c r="AV37" i="5"/>
  <c r="AV24" i="5"/>
  <c r="AV19" i="5"/>
  <c r="AV12" i="5"/>
  <c r="AV10" i="5"/>
  <c r="AW10" i="5" s="1"/>
  <c r="AW9" i="5" s="1"/>
  <c r="AV255" i="4"/>
  <c r="AV256" i="4" s="1"/>
  <c r="AV249" i="4"/>
  <c r="AV251" i="4" s="1"/>
  <c r="AV238" i="4"/>
  <c r="AV223" i="4"/>
  <c r="AV222" i="4"/>
  <c r="AV221" i="4"/>
  <c r="AV207" i="4"/>
  <c r="AW207" i="4" s="1"/>
  <c r="BK196" i="4"/>
  <c r="BL196" i="4" s="1"/>
  <c r="BH196" i="4"/>
  <c r="BI196" i="4" s="1"/>
  <c r="BE196" i="4"/>
  <c r="BF196" i="4" s="1"/>
  <c r="BB196" i="4"/>
  <c r="BC196" i="4" s="1"/>
  <c r="AV202" i="4"/>
  <c r="AV206" i="4"/>
  <c r="AW206" i="4" s="1"/>
  <c r="AW208" i="4" s="1"/>
  <c r="AW211" i="4" s="1"/>
  <c r="AV192" i="4"/>
  <c r="AV187" i="4"/>
  <c r="AV176" i="4"/>
  <c r="AW170" i="4" s="1"/>
  <c r="AV164" i="4"/>
  <c r="AW158" i="4" s="1"/>
  <c r="AV161" i="4"/>
  <c r="AW161" i="4" s="1"/>
  <c r="AV145" i="4"/>
  <c r="AV149" i="4" s="1"/>
  <c r="AV132" i="4"/>
  <c r="AV136" i="4" s="1"/>
  <c r="AV138" i="4" s="1"/>
  <c r="AW138" i="4" s="1"/>
  <c r="AW139" i="4" s="1"/>
  <c r="AV125" i="4"/>
  <c r="AV241" i="4" s="1"/>
  <c r="AV124" i="4"/>
  <c r="AV120" i="4"/>
  <c r="AV90" i="4"/>
  <c r="AV87" i="4" s="1"/>
  <c r="AV85" i="4"/>
  <c r="AV80" i="4" s="1"/>
  <c r="AV76" i="4"/>
  <c r="AV59" i="4"/>
  <c r="AV57" i="4"/>
  <c r="AV56" i="4"/>
  <c r="AV55" i="4"/>
  <c r="AV33" i="4"/>
  <c r="AV38" i="4" s="1"/>
  <c r="AV26" i="4"/>
  <c r="AV15" i="4"/>
  <c r="AV77" i="4" s="1"/>
  <c r="AV49" i="4"/>
  <c r="AV51" i="4" s="1"/>
  <c r="AV13" i="4"/>
  <c r="AV35" i="2"/>
  <c r="AV153" i="2"/>
  <c r="AV145" i="2"/>
  <c r="AV144" i="2"/>
  <c r="AV143" i="2"/>
  <c r="AV134" i="2"/>
  <c r="AV138" i="2" s="1"/>
  <c r="AV141" i="2" s="1"/>
  <c r="AV117" i="2"/>
  <c r="AV116" i="2"/>
  <c r="AV150" i="4" s="1"/>
  <c r="AV114" i="2"/>
  <c r="AV56" i="2"/>
  <c r="AV53" i="2"/>
  <c r="AV62" i="2"/>
  <c r="AV103" i="2"/>
  <c r="AV91" i="2"/>
  <c r="AW91" i="2" s="1"/>
  <c r="AV92" i="2"/>
  <c r="AV82" i="2"/>
  <c r="AV6" i="2" s="1"/>
  <c r="AV30" i="2"/>
  <c r="AW94" i="18" l="1"/>
  <c r="AY95" i="18"/>
  <c r="AV203" i="4"/>
  <c r="AW202" i="4"/>
  <c r="AW203" i="4" s="1"/>
  <c r="AW210" i="4" s="1"/>
  <c r="AW263" i="4" s="1"/>
  <c r="AV154" i="2"/>
  <c r="AW35" i="2"/>
  <c r="AV89" i="5"/>
  <c r="AW62" i="5"/>
  <c r="AW162" i="4"/>
  <c r="AV34" i="5"/>
  <c r="AV54" i="5" s="1"/>
  <c r="AW36" i="5"/>
  <c r="AW34" i="5" s="1"/>
  <c r="AV109" i="2"/>
  <c r="AW103" i="2"/>
  <c r="AW109" i="2" s="1"/>
  <c r="AV9" i="5"/>
  <c r="AV36" i="2"/>
  <c r="AW36" i="2" s="1"/>
  <c r="AW97" i="18"/>
  <c r="AW99" i="18"/>
  <c r="AW100" i="18" s="1"/>
  <c r="AV78" i="4"/>
  <c r="AV79" i="4" s="1"/>
  <c r="AV224" i="4" s="1"/>
  <c r="AV30" i="4"/>
  <c r="AV39" i="4" s="1"/>
  <c r="AV21" i="4"/>
  <c r="AV22" i="4" s="1"/>
  <c r="AV208" i="4"/>
  <c r="AV211" i="4" s="1"/>
  <c r="AV219" i="4"/>
  <c r="AV220" i="4" s="1"/>
  <c r="AV60" i="5"/>
  <c r="AV74" i="5" s="1"/>
  <c r="AV58" i="4"/>
  <c r="AV60" i="4" s="1"/>
  <c r="AV84" i="5" s="1"/>
  <c r="AV100" i="2"/>
  <c r="AV126" i="4"/>
  <c r="AV237" i="4"/>
  <c r="AV90" i="18"/>
  <c r="AV100" i="18"/>
  <c r="AV97" i="18"/>
  <c r="AV152" i="4"/>
  <c r="AV119" i="5"/>
  <c r="AV102" i="5"/>
  <c r="AW102" i="5" s="1"/>
  <c r="AW104" i="5" s="1"/>
  <c r="AV257" i="4"/>
  <c r="AV259" i="4" s="1"/>
  <c r="AV260" i="4" s="1"/>
  <c r="AV210" i="4"/>
  <c r="AV148" i="2"/>
  <c r="AV31" i="2"/>
  <c r="AW31" i="2" s="1"/>
  <c r="AW33" i="2" s="1"/>
  <c r="AV76" i="18"/>
  <c r="AV74" i="18"/>
  <c r="AV51" i="18"/>
  <c r="AV47" i="18" s="1"/>
  <c r="AV18" i="18"/>
  <c r="AV6" i="18"/>
  <c r="AV14" i="18" s="1"/>
  <c r="AV77" i="18" s="1"/>
  <c r="AY68" i="18" s="1"/>
  <c r="AV4" i="18"/>
  <c r="AV23" i="18" s="1"/>
  <c r="AV85" i="7"/>
  <c r="AV84" i="7"/>
  <c r="AV83" i="7"/>
  <c r="AV47" i="7"/>
  <c r="AV40" i="7"/>
  <c r="AV57" i="7" s="1"/>
  <c r="AY64" i="7" s="1"/>
  <c r="AV18" i="7"/>
  <c r="AV6" i="7"/>
  <c r="AV4" i="7"/>
  <c r="AV12" i="7" s="1"/>
  <c r="AS582" i="20"/>
  <c r="AS576" i="20"/>
  <c r="AS570" i="20"/>
  <c r="AS564" i="20"/>
  <c r="AS558" i="20"/>
  <c r="AS549" i="20"/>
  <c r="AS543" i="20"/>
  <c r="AS537" i="20"/>
  <c r="AS531" i="20"/>
  <c r="AS525" i="20"/>
  <c r="AS519" i="20"/>
  <c r="AS513" i="20"/>
  <c r="AS507" i="20"/>
  <c r="AS399" i="20"/>
  <c r="AS584" i="20" s="1"/>
  <c r="AT581" i="20" s="1"/>
  <c r="AS425" i="20"/>
  <c r="AS418" i="20"/>
  <c r="AS430" i="20" s="1"/>
  <c r="AS431" i="20" s="1"/>
  <c r="AS409" i="20"/>
  <c r="AS398" i="20"/>
  <c r="AS397" i="20"/>
  <c r="AS396" i="20"/>
  <c r="AS566" i="20" s="1"/>
  <c r="AT563" i="20" s="1"/>
  <c r="AS395" i="20"/>
  <c r="AS392" i="20"/>
  <c r="AS551" i="20" s="1"/>
  <c r="AT548" i="20" s="1"/>
  <c r="AS391" i="20"/>
  <c r="AS545" i="20" s="1"/>
  <c r="AT542" i="20" s="1"/>
  <c r="AS390" i="20"/>
  <c r="AS389" i="20"/>
  <c r="AS533" i="20" s="1"/>
  <c r="AT530" i="20" s="1"/>
  <c r="AS388" i="20"/>
  <c r="AS463" i="20" s="1"/>
  <c r="AS387" i="20"/>
  <c r="AS386" i="20"/>
  <c r="AS515" i="20" s="1"/>
  <c r="AT512" i="20" s="1"/>
  <c r="AS385" i="20"/>
  <c r="AS460" i="20" s="1"/>
  <c r="AS383" i="20"/>
  <c r="AS382" i="20"/>
  <c r="AY79" i="18" l="1"/>
  <c r="AV91" i="5"/>
  <c r="AW43" i="2"/>
  <c r="AW98" i="5"/>
  <c r="AW99" i="5" s="1"/>
  <c r="AW60" i="5"/>
  <c r="AW89" i="5"/>
  <c r="AW154" i="2"/>
  <c r="AW34" i="2"/>
  <c r="AW153" i="2" s="1"/>
  <c r="AW37" i="2"/>
  <c r="AW119" i="5"/>
  <c r="AV158" i="2"/>
  <c r="AV225" i="4"/>
  <c r="AS384" i="20"/>
  <c r="AS502" i="20" s="1"/>
  <c r="AV81" i="4"/>
  <c r="AV263" i="4"/>
  <c r="AS539" i="20"/>
  <c r="AT536" i="20" s="1"/>
  <c r="AS465" i="20"/>
  <c r="AS489" i="20" s="1"/>
  <c r="AV239" i="4"/>
  <c r="AV240" i="4" s="1"/>
  <c r="AV242" i="4" s="1"/>
  <c r="AS471" i="20"/>
  <c r="AS467" i="20"/>
  <c r="AS478" i="20" s="1"/>
  <c r="AS484" i="20"/>
  <c r="AS453" i="20"/>
  <c r="AV41" i="4"/>
  <c r="AS464" i="20"/>
  <c r="AS475" i="20" s="1"/>
  <c r="AS474" i="20"/>
  <c r="AS466" i="20"/>
  <c r="AS477" i="20" s="1"/>
  <c r="AS521" i="20"/>
  <c r="AT518" i="20" s="1"/>
  <c r="AS572" i="20"/>
  <c r="AT569" i="20" s="1"/>
  <c r="AV5" i="7"/>
  <c r="AS509" i="20"/>
  <c r="AT506" i="20" s="1"/>
  <c r="AS461" i="20"/>
  <c r="AS472" i="20" s="1"/>
  <c r="AS527" i="20"/>
  <c r="AT524" i="20" s="1"/>
  <c r="AS462" i="20"/>
  <c r="AS473" i="20" s="1"/>
  <c r="AS578" i="20"/>
  <c r="AT575" i="20" s="1"/>
  <c r="AS487" i="20"/>
  <c r="AV7" i="18"/>
  <c r="AV33" i="18"/>
  <c r="AV52" i="4"/>
  <c r="AV15" i="18"/>
  <c r="AV19" i="18"/>
  <c r="AV5" i="18"/>
  <c r="AV12" i="18"/>
  <c r="AV9" i="18"/>
  <c r="AV41" i="7"/>
  <c r="AV55" i="7"/>
  <c r="AY62" i="7" s="1"/>
  <c r="AV59" i="7"/>
  <c r="AY66" i="7" s="1"/>
  <c r="AV42" i="7"/>
  <c r="AV56" i="7"/>
  <c r="AY63" i="7" s="1"/>
  <c r="AV58" i="7"/>
  <c r="AY65" i="7" s="1"/>
  <c r="AV14" i="7"/>
  <c r="AV9" i="7"/>
  <c r="AV7" i="7"/>
  <c r="AS400" i="20"/>
  <c r="AS419" i="20"/>
  <c r="AS427" i="20" s="1"/>
  <c r="AS393" i="20"/>
  <c r="AS459" i="20" s="1"/>
  <c r="AS374" i="20"/>
  <c r="AS233" i="20" s="1"/>
  <c r="AS249" i="20" s="1"/>
  <c r="AS373" i="20"/>
  <c r="AS323" i="20"/>
  <c r="AS319" i="20"/>
  <c r="AS321" i="20" s="1"/>
  <c r="AS318" i="20"/>
  <c r="AS317" i="20"/>
  <c r="AS307" i="20"/>
  <c r="AV308" i="20" s="1"/>
  <c r="AS280" i="20"/>
  <c r="AS240" i="20"/>
  <c r="AS235" i="20"/>
  <c r="AS232" i="20"/>
  <c r="AS228" i="20"/>
  <c r="AS224" i="20"/>
  <c r="AS223" i="20"/>
  <c r="AS222" i="20"/>
  <c r="AS112" i="20" s="1"/>
  <c r="AS150" i="20"/>
  <c r="AS121" i="20"/>
  <c r="AS118" i="20"/>
  <c r="AT94" i="20"/>
  <c r="AS95" i="20"/>
  <c r="AS60" i="20"/>
  <c r="AS52" i="20"/>
  <c r="AS22" i="20"/>
  <c r="AS358" i="20" s="1"/>
  <c r="AS21" i="20"/>
  <c r="AS295" i="20" s="1"/>
  <c r="AS20" i="20"/>
  <c r="AS103" i="20"/>
  <c r="AS231" i="14"/>
  <c r="AS230" i="14"/>
  <c r="AS229" i="14"/>
  <c r="AS228" i="14"/>
  <c r="AS219" i="14"/>
  <c r="AS218" i="14" s="1"/>
  <c r="AS212" i="14"/>
  <c r="AS209" i="14"/>
  <c r="AS208" i="14" s="1"/>
  <c r="AS202" i="14"/>
  <c r="AS199" i="14"/>
  <c r="AS198" i="14" s="1"/>
  <c r="AS192" i="14"/>
  <c r="AS189" i="14"/>
  <c r="AS226" i="20" l="1"/>
  <c r="AV225" i="20"/>
  <c r="AV56" i="18"/>
  <c r="AY28" i="18"/>
  <c r="AW157" i="2"/>
  <c r="AW229" i="4"/>
  <c r="AW233" i="4" s="1"/>
  <c r="AS457" i="20"/>
  <c r="AS470" i="20" s="1"/>
  <c r="AW212" i="4"/>
  <c r="AW74" i="5"/>
  <c r="AW46" i="2"/>
  <c r="AV226" i="4"/>
  <c r="AS476" i="20"/>
  <c r="AS479" i="20" s="1"/>
  <c r="AV57" i="18"/>
  <c r="AV78" i="18"/>
  <c r="AV40" i="18"/>
  <c r="AV42" i="18" s="1"/>
  <c r="AS258" i="20"/>
  <c r="AS294" i="20"/>
  <c r="AS328" i="20" s="1"/>
  <c r="AS293" i="20"/>
  <c r="AV55" i="18"/>
  <c r="AS76" i="20"/>
  <c r="AS78" i="20" s="1"/>
  <c r="AS239" i="20"/>
  <c r="AS252" i="20" s="1"/>
  <c r="AS491" i="20"/>
  <c r="AS357" i="20"/>
  <c r="AS394" i="20"/>
  <c r="AS402" i="20" s="1"/>
  <c r="AS97" i="20"/>
  <c r="AS231" i="20"/>
  <c r="AS250" i="20" s="1"/>
  <c r="AS362" i="20"/>
  <c r="AS485" i="20"/>
  <c r="AS486" i="20"/>
  <c r="AS227" i="14"/>
  <c r="AS23" i="20"/>
  <c r="AV24" i="20" s="1"/>
  <c r="AS98" i="20"/>
  <c r="AS286" i="20"/>
  <c r="AS488" i="20"/>
  <c r="AS287" i="20"/>
  <c r="AS330" i="20" s="1"/>
  <c r="AS447" i="20"/>
  <c r="AS233" i="14"/>
  <c r="AS490" i="20"/>
  <c r="AV54" i="18"/>
  <c r="AV15" i="7"/>
  <c r="AV88" i="7"/>
  <c r="AY79" i="7" s="1"/>
  <c r="AY90" i="7" s="1"/>
  <c r="AV19" i="7"/>
  <c r="AV54" i="7"/>
  <c r="AY61" i="7" s="1"/>
  <c r="AS238" i="20"/>
  <c r="AS237" i="20" s="1"/>
  <c r="AS253" i="20" s="1"/>
  <c r="AS61" i="20"/>
  <c r="AW57" i="18" l="1"/>
  <c r="AY63" i="18"/>
  <c r="AY36" i="18"/>
  <c r="AY34" i="18"/>
  <c r="AY32" i="18"/>
  <c r="AW54" i="18"/>
  <c r="AW53" i="18" s="1"/>
  <c r="AY60" i="18"/>
  <c r="AW55" i="18"/>
  <c r="AY61" i="18"/>
  <c r="AW56" i="18"/>
  <c r="AW50" i="18" s="1"/>
  <c r="AY62" i="18"/>
  <c r="AS480" i="20"/>
  <c r="AW51" i="18"/>
  <c r="AW49" i="18"/>
  <c r="AW54" i="2"/>
  <c r="AW50" i="2"/>
  <c r="AV38" i="18"/>
  <c r="AV41" i="18" s="1"/>
  <c r="AV53" i="18"/>
  <c r="AY59" i="18" s="1"/>
  <c r="AS492" i="20"/>
  <c r="AS285" i="20"/>
  <c r="AS326" i="20"/>
  <c r="AS348" i="20"/>
  <c r="AS62" i="20"/>
  <c r="AY35" i="18" l="1"/>
  <c r="AW48" i="18"/>
  <c r="AW47" i="18"/>
  <c r="AS289" i="20"/>
  <c r="AS347" i="20" s="1"/>
  <c r="AS292" i="20"/>
  <c r="AS333" i="20"/>
  <c r="AS162" i="14" l="1"/>
  <c r="AS93" i="14"/>
  <c r="AS86" i="14"/>
  <c r="AS77" i="14"/>
  <c r="AS500" i="20" s="1"/>
  <c r="AS70" i="14"/>
  <c r="AS69" i="14"/>
  <c r="AS375" i="20" s="1"/>
  <c r="AS54" i="14"/>
  <c r="AS22" i="14"/>
  <c r="AS21" i="14"/>
  <c r="AS239" i="14" s="1"/>
  <c r="AS20" i="14"/>
  <c r="AS40" i="14" s="1"/>
  <c r="AV125" i="6"/>
  <c r="AV99" i="6"/>
  <c r="AV98" i="6"/>
  <c r="AV97" i="6"/>
  <c r="AV94" i="6"/>
  <c r="AV75" i="6"/>
  <c r="AV71" i="6"/>
  <c r="AV70" i="6"/>
  <c r="AV6" i="6"/>
  <c r="AV4" i="6"/>
  <c r="AV12" i="6" s="1"/>
  <c r="AV70" i="3"/>
  <c r="AV58" i="3"/>
  <c r="AV56" i="3"/>
  <c r="AV54" i="3"/>
  <c r="AV51" i="3"/>
  <c r="AV48" i="3"/>
  <c r="AV38" i="3"/>
  <c r="AV36" i="3"/>
  <c r="AV34" i="3"/>
  <c r="AV32" i="3"/>
  <c r="AV29" i="3"/>
  <c r="AV9" i="3"/>
  <c r="AV23" i="3"/>
  <c r="AV13" i="3"/>
  <c r="AV11" i="3"/>
  <c r="AV7" i="3"/>
  <c r="AY26" i="3" l="1"/>
  <c r="AY25" i="3"/>
  <c r="AY24" i="3"/>
  <c r="AV96" i="6"/>
  <c r="AS241" i="14"/>
  <c r="AS240" i="14"/>
  <c r="AS23" i="14"/>
  <c r="AS256" i="14"/>
  <c r="AS133" i="14"/>
  <c r="AS149" i="14"/>
  <c r="AV5" i="2"/>
  <c r="AV49" i="3"/>
  <c r="AV9" i="2"/>
  <c r="AV7" i="6"/>
  <c r="AV91" i="6"/>
  <c r="AV71" i="3"/>
  <c r="AV25" i="2"/>
  <c r="AS87" i="14"/>
  <c r="AS59" i="14" s="1"/>
  <c r="AS126" i="14" s="1"/>
  <c r="AV80" i="6"/>
  <c r="AY81" i="6" s="1"/>
  <c r="AV9" i="6"/>
  <c r="AV5" i="6"/>
  <c r="AV14" i="6"/>
  <c r="AY27" i="3" l="1"/>
  <c r="AV228" i="4"/>
  <c r="AV100" i="5"/>
  <c r="AV108" i="5" s="1"/>
  <c r="AV111" i="5" s="1"/>
  <c r="AV26" i="2"/>
  <c r="AV33" i="2"/>
  <c r="AV10" i="2"/>
  <c r="AV8" i="2"/>
  <c r="AV99" i="4" s="1"/>
  <c r="AV15" i="6"/>
  <c r="AV128" i="6"/>
  <c r="AV127" i="6"/>
  <c r="AV172" i="4"/>
  <c r="AV98" i="4"/>
  <c r="AV130" i="2"/>
  <c r="AV162" i="4"/>
  <c r="AV174" i="4"/>
  <c r="AV122" i="2"/>
  <c r="AV151" i="4"/>
  <c r="AV7" i="2"/>
  <c r="AV153" i="4"/>
  <c r="AV139" i="4"/>
  <c r="AV142" i="2"/>
  <c r="AS95" i="14"/>
  <c r="AS98" i="14" s="1"/>
  <c r="AS99" i="14" s="1"/>
  <c r="AY251" i="20"/>
  <c r="AV98" i="5" l="1"/>
  <c r="AV99" i="5" s="1"/>
  <c r="AV37" i="2"/>
  <c r="AV157" i="2" s="1"/>
  <c r="AV43" i="2"/>
  <c r="AV115" i="5"/>
  <c r="AV112" i="5"/>
  <c r="AV16" i="2"/>
  <c r="AV12" i="2"/>
  <c r="AV18" i="2"/>
  <c r="AY254" i="20"/>
  <c r="BA514" i="20"/>
  <c r="AV23" i="2" l="1"/>
  <c r="AV13" i="2"/>
  <c r="AV47" i="2"/>
  <c r="AV46" i="2"/>
  <c r="AV229" i="4"/>
  <c r="BB251" i="20"/>
  <c r="BE251" i="20"/>
  <c r="BB254" i="20"/>
  <c r="BE254" i="20"/>
  <c r="AV50" i="2" l="1"/>
  <c r="AV54" i="2"/>
  <c r="AV233" i="4"/>
  <c r="AV32" i="2"/>
  <c r="AV38" i="2" s="1"/>
  <c r="AV42" i="2" s="1"/>
  <c r="AV5" i="5"/>
  <c r="AV29" i="5" s="1"/>
  <c r="T139" i="20"/>
  <c r="T151" i="20"/>
  <c r="AV31" i="5" l="1"/>
  <c r="AV76" i="5" s="1"/>
  <c r="AV88" i="5"/>
  <c r="AV94" i="5" s="1"/>
  <c r="AV45" i="2"/>
  <c r="AV44" i="2"/>
  <c r="AV116" i="5"/>
  <c r="AO159" i="20"/>
  <c r="AO158" i="20"/>
  <c r="AO157" i="20"/>
  <c r="AO156" i="20"/>
  <c r="AO155" i="20"/>
  <c r="AO154" i="20"/>
  <c r="AO153" i="20"/>
  <c r="AO152" i="20"/>
  <c r="AO151" i="20"/>
  <c r="AL159" i="20"/>
  <c r="AL158" i="20"/>
  <c r="AL157" i="20"/>
  <c r="AL156" i="20"/>
  <c r="AL155" i="20"/>
  <c r="AL154" i="20"/>
  <c r="AL153" i="20"/>
  <c r="AL152" i="20"/>
  <c r="AL151" i="20"/>
  <c r="AI159" i="20"/>
  <c r="AI158" i="20"/>
  <c r="AI157" i="20"/>
  <c r="AI156" i="20"/>
  <c r="AI155" i="20"/>
  <c r="AI154" i="20"/>
  <c r="AI153" i="20"/>
  <c r="AI152" i="20"/>
  <c r="AI151" i="20"/>
  <c r="AF159" i="20" l="1"/>
  <c r="AF158" i="20"/>
  <c r="AF157" i="20"/>
  <c r="AF156" i="20"/>
  <c r="AF155" i="20"/>
  <c r="AF154" i="20"/>
  <c r="AF153" i="20"/>
  <c r="AF152" i="20"/>
  <c r="AF151" i="20"/>
  <c r="AC159" i="20"/>
  <c r="AC158" i="20"/>
  <c r="AC157" i="20"/>
  <c r="AC156" i="20"/>
  <c r="AC155" i="20"/>
  <c r="AC154" i="20"/>
  <c r="AC153" i="20"/>
  <c r="AC152" i="20"/>
  <c r="AC151" i="20"/>
  <c r="AR159" i="20"/>
  <c r="AR158" i="20"/>
  <c r="AR157" i="20"/>
  <c r="AR156" i="20"/>
  <c r="AR155" i="20"/>
  <c r="AR154" i="20"/>
  <c r="AR153" i="20"/>
  <c r="AR152" i="20"/>
  <c r="AR151" i="20"/>
  <c r="BA160" i="20"/>
  <c r="BD160" i="20" s="1"/>
  <c r="BG160" i="20" s="1"/>
  <c r="BJ160" i="20" s="1"/>
  <c r="AU97" i="3"/>
  <c r="AU83" i="3"/>
  <c r="AX84" i="3" s="1"/>
  <c r="BM67" i="5"/>
  <c r="BJ67" i="5"/>
  <c r="BG67" i="5"/>
  <c r="BD67" i="5"/>
  <c r="BA67" i="5"/>
  <c r="AU120" i="5"/>
  <c r="AU118" i="5"/>
  <c r="AT113" i="5"/>
  <c r="AU105" i="5"/>
  <c r="AU104" i="5"/>
  <c r="AU119" i="5" s="1"/>
  <c r="AT110" i="5"/>
  <c r="AT109" i="5"/>
  <c r="AT106" i="5"/>
  <c r="AU93" i="5"/>
  <c r="AU92" i="5"/>
  <c r="AU90" i="5"/>
  <c r="AT81" i="5"/>
  <c r="AT80" i="5"/>
  <c r="AT79" i="5"/>
  <c r="AU8" i="5"/>
  <c r="AT8" i="5" s="1"/>
  <c r="AU70" i="5"/>
  <c r="AT70" i="5" s="1"/>
  <c r="AU62" i="5"/>
  <c r="AU89" i="5" s="1"/>
  <c r="AU57" i="5"/>
  <c r="AT73" i="5"/>
  <c r="AT72" i="5"/>
  <c r="AU71" i="5"/>
  <c r="AT69" i="5"/>
  <c r="AT68" i="5"/>
  <c r="AT67" i="5"/>
  <c r="AT66" i="5"/>
  <c r="AU65" i="5"/>
  <c r="AT64" i="5"/>
  <c r="AT63" i="5"/>
  <c r="AT61" i="5"/>
  <c r="AT59" i="5"/>
  <c r="AT92" i="5" s="1"/>
  <c r="AT58" i="5"/>
  <c r="AT53" i="5"/>
  <c r="AT52" i="5"/>
  <c r="AT51" i="5"/>
  <c r="AT50" i="5"/>
  <c r="AU49" i="5"/>
  <c r="AT48" i="5"/>
  <c r="AT47" i="5"/>
  <c r="AT46" i="5"/>
  <c r="AT45" i="5"/>
  <c r="AT44" i="5"/>
  <c r="AT43" i="5"/>
  <c r="AT42" i="5"/>
  <c r="AU41" i="5"/>
  <c r="AT40" i="5"/>
  <c r="AT36" i="5"/>
  <c r="AT35" i="5"/>
  <c r="AU34" i="5"/>
  <c r="AT33" i="5"/>
  <c r="AT28" i="5"/>
  <c r="AT27" i="5"/>
  <c r="AT26" i="5"/>
  <c r="AT25" i="5"/>
  <c r="AU24" i="5"/>
  <c r="AT23" i="5"/>
  <c r="AT22" i="5"/>
  <c r="AT21" i="5"/>
  <c r="AT20" i="5"/>
  <c r="AU19" i="5"/>
  <c r="AT18" i="5"/>
  <c r="AT17" i="5"/>
  <c r="AT16" i="5"/>
  <c r="AT119" i="2" s="1"/>
  <c r="AT14" i="5"/>
  <c r="AT11" i="5"/>
  <c r="AU10" i="5"/>
  <c r="AT7" i="5"/>
  <c r="AU253" i="4"/>
  <c r="AT253" i="4" s="1"/>
  <c r="AT258" i="4"/>
  <c r="AT255" i="4"/>
  <c r="AT254" i="4"/>
  <c r="AT252" i="4"/>
  <c r="AT250" i="4"/>
  <c r="AU249" i="4"/>
  <c r="AU251" i="4" s="1"/>
  <c r="AT248" i="4"/>
  <c r="AT247" i="4"/>
  <c r="AT246" i="4"/>
  <c r="AU238" i="4"/>
  <c r="AU223" i="4"/>
  <c r="AU222" i="4"/>
  <c r="AU221" i="4"/>
  <c r="AU207" i="4"/>
  <c r="AU206" i="4"/>
  <c r="AT205" i="4"/>
  <c r="AU202" i="4"/>
  <c r="AU203" i="4" s="1"/>
  <c r="AT201" i="4"/>
  <c r="AT200" i="4"/>
  <c r="AT199" i="4"/>
  <c r="AT198" i="4"/>
  <c r="AT197" i="4"/>
  <c r="AT196" i="4"/>
  <c r="AT195" i="4"/>
  <c r="AT194" i="4"/>
  <c r="AT191" i="4"/>
  <c r="AT190" i="4"/>
  <c r="AU192" i="4"/>
  <c r="AU187" i="4"/>
  <c r="AT186" i="4"/>
  <c r="AT185" i="4"/>
  <c r="AT184" i="4"/>
  <c r="AT183" i="4"/>
  <c r="AT182" i="4"/>
  <c r="AT181" i="4"/>
  <c r="AT180" i="4"/>
  <c r="AU176" i="4"/>
  <c r="AT173" i="4"/>
  <c r="AT171" i="4"/>
  <c r="AT38" i="5"/>
  <c r="AU164" i="4"/>
  <c r="AU161" i="4"/>
  <c r="AT154" i="4"/>
  <c r="AT148" i="4"/>
  <c r="AT147" i="4"/>
  <c r="AT146" i="4"/>
  <c r="AU145" i="4"/>
  <c r="AU149" i="4" s="1"/>
  <c r="AT144" i="4"/>
  <c r="AT143" i="4"/>
  <c r="AT142" i="4"/>
  <c r="AT141" i="4"/>
  <c r="AT137" i="4"/>
  <c r="AT135" i="4"/>
  <c r="AT134" i="4"/>
  <c r="AT133" i="4"/>
  <c r="AU132" i="4"/>
  <c r="AU136" i="4" s="1"/>
  <c r="AU138" i="4" s="1"/>
  <c r="AT131" i="4"/>
  <c r="AT130" i="4"/>
  <c r="AT129" i="4"/>
  <c r="AT128" i="4"/>
  <c r="AU125" i="4"/>
  <c r="AU241" i="4" s="1"/>
  <c r="AU124" i="4"/>
  <c r="AT123" i="4"/>
  <c r="AT122" i="4"/>
  <c r="AT121" i="4"/>
  <c r="AU120" i="4"/>
  <c r="AT119" i="4"/>
  <c r="AT118" i="4"/>
  <c r="AT117" i="4"/>
  <c r="AT116" i="4"/>
  <c r="AT125" i="4" s="1"/>
  <c r="AT241" i="4" s="1"/>
  <c r="AT89" i="4"/>
  <c r="AU85" i="4"/>
  <c r="AU80" i="4" s="1"/>
  <c r="AT84" i="4"/>
  <c r="AT83" i="4"/>
  <c r="AU76" i="4"/>
  <c r="AU65" i="4"/>
  <c r="AT70" i="4"/>
  <c r="AT68" i="4"/>
  <c r="AT67" i="4"/>
  <c r="AT66" i="4"/>
  <c r="AT64" i="4"/>
  <c r="AT63" i="4"/>
  <c r="AU59" i="4"/>
  <c r="AT59" i="4" s="1"/>
  <c r="AU57" i="4"/>
  <c r="AU56" i="4"/>
  <c r="AU55" i="4"/>
  <c r="AU33" i="4"/>
  <c r="AU38" i="4" s="1"/>
  <c r="AU26" i="4"/>
  <c r="AU15" i="4"/>
  <c r="AU21" i="4" s="1"/>
  <c r="AT50" i="4"/>
  <c r="AT238" i="4" s="1"/>
  <c r="AU49" i="4"/>
  <c r="AU51" i="4" s="1"/>
  <c r="AT48" i="4"/>
  <c r="AT47" i="4"/>
  <c r="AT46" i="4"/>
  <c r="AT45" i="4"/>
  <c r="AT44" i="4"/>
  <c r="AT43" i="4"/>
  <c r="AT37" i="4"/>
  <c r="AT36" i="4"/>
  <c r="AT35" i="4"/>
  <c r="AT34" i="4"/>
  <c r="AT32" i="4"/>
  <c r="AT31" i="4"/>
  <c r="AT29" i="4"/>
  <c r="AT28" i="4"/>
  <c r="AT27" i="4"/>
  <c r="AT25" i="4"/>
  <c r="AT24" i="4"/>
  <c r="AT20" i="4"/>
  <c r="AT19" i="4"/>
  <c r="AT55" i="4" s="1"/>
  <c r="AT18" i="4"/>
  <c r="AT56" i="4" s="1"/>
  <c r="AT17" i="4"/>
  <c r="AT16" i="4"/>
  <c r="AT14" i="4"/>
  <c r="AT76" i="4" s="1"/>
  <c r="AU13" i="4"/>
  <c r="AT12" i="4"/>
  <c r="AT11" i="4"/>
  <c r="AT10" i="4"/>
  <c r="AT9" i="4"/>
  <c r="AT8" i="4"/>
  <c r="AT222" i="4" s="1"/>
  <c r="AT7" i="4"/>
  <c r="AT6" i="4"/>
  <c r="AT221" i="4" s="1"/>
  <c r="AT5" i="4"/>
  <c r="AT124" i="4" s="1"/>
  <c r="AU155" i="2"/>
  <c r="AU153" i="2"/>
  <c r="AT30" i="5"/>
  <c r="AT90" i="5" s="1"/>
  <c r="AT147" i="2"/>
  <c r="AU145" i="2"/>
  <c r="AU144" i="2"/>
  <c r="AU143" i="2"/>
  <c r="AT139" i="2"/>
  <c r="AU134" i="2"/>
  <c r="AU138" i="2" s="1"/>
  <c r="AU141" i="2" s="1"/>
  <c r="AT133" i="2"/>
  <c r="AT132" i="2"/>
  <c r="AT131" i="2"/>
  <c r="AT129" i="2"/>
  <c r="AT101" i="5"/>
  <c r="AT13" i="5"/>
  <c r="AU119" i="2"/>
  <c r="AU117" i="2"/>
  <c r="AU116" i="2"/>
  <c r="AU150" i="4" s="1"/>
  <c r="AU113" i="2"/>
  <c r="AU15" i="5"/>
  <c r="AU114" i="2" s="1"/>
  <c r="AT71" i="2"/>
  <c r="AT70" i="2"/>
  <c r="AT67" i="2"/>
  <c r="AT66" i="2"/>
  <c r="AU62" i="2"/>
  <c r="AT60" i="2"/>
  <c r="AU53" i="2"/>
  <c r="AT41" i="2"/>
  <c r="AT40" i="2"/>
  <c r="AT39" i="2"/>
  <c r="AU30" i="2"/>
  <c r="AT29" i="2"/>
  <c r="AT28" i="2"/>
  <c r="AT27" i="2"/>
  <c r="AU107" i="2"/>
  <c r="AT108" i="2"/>
  <c r="AT106" i="2"/>
  <c r="AT105" i="2"/>
  <c r="AT104" i="2"/>
  <c r="AU103" i="2"/>
  <c r="AT102" i="2"/>
  <c r="AT99" i="2"/>
  <c r="AT98" i="2"/>
  <c r="AT97" i="2"/>
  <c r="AT96" i="2"/>
  <c r="AT95" i="2"/>
  <c r="AT94" i="2"/>
  <c r="AT93" i="2"/>
  <c r="AU92" i="2"/>
  <c r="AT91" i="2"/>
  <c r="AT90" i="2"/>
  <c r="AT117" i="2" s="1"/>
  <c r="AT89" i="2"/>
  <c r="AT116" i="2" s="1"/>
  <c r="AT150" i="4" s="1"/>
  <c r="AT88" i="2"/>
  <c r="AT87" i="2"/>
  <c r="AT86" i="2"/>
  <c r="AT85" i="2"/>
  <c r="AT84" i="2"/>
  <c r="AT81" i="2"/>
  <c r="AT80" i="2"/>
  <c r="AT79" i="2"/>
  <c r="AT78" i="2"/>
  <c r="AU82" i="2"/>
  <c r="AU6" i="2" s="1"/>
  <c r="AT22" i="2"/>
  <c r="AT21" i="2"/>
  <c r="AT20" i="2"/>
  <c r="AT19" i="2"/>
  <c r="AT17" i="2"/>
  <c r="AT15" i="2"/>
  <c r="AT14" i="2"/>
  <c r="AT11" i="2"/>
  <c r="AU76" i="18"/>
  <c r="AT75" i="18"/>
  <c r="AU74" i="18"/>
  <c r="AT73" i="18"/>
  <c r="AT72" i="18"/>
  <c r="AU51" i="18"/>
  <c r="AU47" i="18" s="1"/>
  <c r="AT39" i="18"/>
  <c r="AW45" i="18" s="1"/>
  <c r="AT31" i="18"/>
  <c r="AT30" i="18"/>
  <c r="AT29" i="18"/>
  <c r="AT22" i="18"/>
  <c r="AT21" i="18"/>
  <c r="AU18" i="18"/>
  <c r="AT17" i="18"/>
  <c r="AW18" i="18" s="1"/>
  <c r="AT13" i="18"/>
  <c r="AT11" i="18"/>
  <c r="AT145" i="2" s="1"/>
  <c r="AT10" i="18"/>
  <c r="AT8" i="18"/>
  <c r="AU6" i="18"/>
  <c r="AU4" i="18"/>
  <c r="AU12" i="18" s="1"/>
  <c r="AU85" i="7"/>
  <c r="AU84" i="7"/>
  <c r="AU83" i="7"/>
  <c r="AU47" i="7"/>
  <c r="AU40" i="7"/>
  <c r="AU55" i="7" s="1"/>
  <c r="AT39" i="7"/>
  <c r="AT38" i="7"/>
  <c r="AT32" i="7"/>
  <c r="AT31" i="7"/>
  <c r="AT30" i="7"/>
  <c r="AT29" i="7"/>
  <c r="AT22" i="7"/>
  <c r="AT21" i="7"/>
  <c r="AU18" i="7"/>
  <c r="AT17" i="7"/>
  <c r="AW18" i="7" s="1"/>
  <c r="AT13" i="7"/>
  <c r="AT11" i="7"/>
  <c r="AT10" i="7"/>
  <c r="AT8" i="7"/>
  <c r="AU6" i="7"/>
  <c r="AU4" i="7"/>
  <c r="AU12" i="7" s="1"/>
  <c r="H8" i="53"/>
  <c r="H4" i="53"/>
  <c r="AR582" i="20"/>
  <c r="AR576" i="20"/>
  <c r="AR570" i="20"/>
  <c r="AR558" i="20"/>
  <c r="AR549" i="20"/>
  <c r="AR543" i="20"/>
  <c r="AR537" i="20"/>
  <c r="AR531" i="20"/>
  <c r="AR525" i="20"/>
  <c r="AR519" i="20"/>
  <c r="AR513" i="20"/>
  <c r="AR507" i="20"/>
  <c r="AQ426" i="20"/>
  <c r="AR425" i="20"/>
  <c r="AQ424" i="20"/>
  <c r="AQ423" i="20"/>
  <c r="AQ422" i="20"/>
  <c r="AQ421" i="20"/>
  <c r="AQ420" i="20"/>
  <c r="AR418" i="20"/>
  <c r="AR430" i="20" s="1"/>
  <c r="AR431" i="20" s="1"/>
  <c r="AQ417" i="20"/>
  <c r="AQ416" i="20"/>
  <c r="AQ415" i="20"/>
  <c r="AQ414" i="20"/>
  <c r="AQ413" i="20"/>
  <c r="AQ412" i="20"/>
  <c r="AQ411" i="20"/>
  <c r="AQ410" i="20"/>
  <c r="AR409" i="20"/>
  <c r="AQ408" i="20"/>
  <c r="AQ407" i="20"/>
  <c r="AQ406" i="20"/>
  <c r="AR398" i="20"/>
  <c r="AR578" i="20" s="1"/>
  <c r="AR397" i="20"/>
  <c r="AR572" i="20" s="1"/>
  <c r="AR396" i="20"/>
  <c r="AR395" i="20"/>
  <c r="AR392" i="20"/>
  <c r="AR551" i="20" s="1"/>
  <c r="AR391" i="20"/>
  <c r="AR545" i="20" s="1"/>
  <c r="AR390" i="20"/>
  <c r="AR389" i="20"/>
  <c r="AR388" i="20"/>
  <c r="AR527" i="20" s="1"/>
  <c r="AR387" i="20"/>
  <c r="AR521" i="20" s="1"/>
  <c r="AR386" i="20"/>
  <c r="AR385" i="20"/>
  <c r="AR383" i="20"/>
  <c r="AR382" i="20"/>
  <c r="AR374" i="20"/>
  <c r="AR323" i="20"/>
  <c r="AQ322" i="20"/>
  <c r="AR319" i="20"/>
  <c r="AU320" i="20" s="1"/>
  <c r="AR318" i="20"/>
  <c r="AR317" i="20"/>
  <c r="AQ316" i="20"/>
  <c r="AR307" i="20"/>
  <c r="AR280" i="20"/>
  <c r="AQ254" i="20"/>
  <c r="AQ251" i="20"/>
  <c r="AR240" i="20"/>
  <c r="AR235" i="20"/>
  <c r="AR232" i="20"/>
  <c r="AR228" i="20"/>
  <c r="AQ227" i="20"/>
  <c r="AR224" i="20"/>
  <c r="AR222" i="20"/>
  <c r="AR112" i="20" s="1"/>
  <c r="AQ221" i="20"/>
  <c r="AR49" i="20" l="1"/>
  <c r="AU308" i="20"/>
  <c r="AS542" i="20"/>
  <c r="AS546" i="20" s="1"/>
  <c r="AU542" i="20"/>
  <c r="AS548" i="20"/>
  <c r="AS550" i="20" s="1"/>
  <c r="AU548" i="20"/>
  <c r="AS518" i="20"/>
  <c r="AS520" i="20" s="1"/>
  <c r="AU518" i="20"/>
  <c r="AS569" i="20"/>
  <c r="AU569" i="20"/>
  <c r="AS524" i="20"/>
  <c r="AS528" i="20" s="1"/>
  <c r="AU524" i="20"/>
  <c r="AS575" i="20"/>
  <c r="AS579" i="20" s="1"/>
  <c r="AU575" i="20"/>
  <c r="AV158" i="4"/>
  <c r="AX158" i="4"/>
  <c r="AX163" i="4" s="1"/>
  <c r="AV214" i="4"/>
  <c r="AX214" i="4"/>
  <c r="AV170" i="4"/>
  <c r="AV175" i="4" s="1"/>
  <c r="AX170" i="4"/>
  <c r="AX175" i="4" s="1"/>
  <c r="AV215" i="4"/>
  <c r="AX215" i="4"/>
  <c r="AT33" i="4"/>
  <c r="AT38" i="4" s="1"/>
  <c r="AS573" i="20"/>
  <c r="AS571" i="20"/>
  <c r="AT71" i="5"/>
  <c r="AU78" i="4"/>
  <c r="AU208" i="4"/>
  <c r="AU211" i="4" s="1"/>
  <c r="AU256" i="4"/>
  <c r="AU257" i="4" s="1"/>
  <c r="AT257" i="4" s="1"/>
  <c r="AT259" i="4" s="1"/>
  <c r="AT260" i="4" s="1"/>
  <c r="AR463" i="20"/>
  <c r="AR474" i="20" s="1"/>
  <c r="AT223" i="4"/>
  <c r="AT132" i="4"/>
  <c r="AT136" i="4" s="1"/>
  <c r="AT93" i="5"/>
  <c r="AT57" i="4"/>
  <c r="AT58" i="4" s="1"/>
  <c r="AT60" i="4" s="1"/>
  <c r="AU210" i="4"/>
  <c r="AU219" i="4"/>
  <c r="AU220" i="4" s="1"/>
  <c r="AT120" i="5"/>
  <c r="AU23" i="18"/>
  <c r="AT219" i="4"/>
  <c r="AT220" i="4" s="1"/>
  <c r="AT249" i="4"/>
  <c r="AT251" i="4" s="1"/>
  <c r="AU12" i="5"/>
  <c r="AT49" i="5"/>
  <c r="AU237" i="4"/>
  <c r="AR464" i="20"/>
  <c r="AR475" i="20" s="1"/>
  <c r="AT15" i="5"/>
  <c r="AT12" i="5" s="1"/>
  <c r="AU60" i="5"/>
  <c r="AU212" i="4" s="1"/>
  <c r="AU99" i="3"/>
  <c r="AU152" i="4"/>
  <c r="AU56" i="5"/>
  <c r="AT65" i="5"/>
  <c r="AT41" i="5"/>
  <c r="AT34" i="5"/>
  <c r="AT24" i="5"/>
  <c r="AT19" i="5"/>
  <c r="AU9" i="5"/>
  <c r="AT256" i="4"/>
  <c r="AT187" i="4"/>
  <c r="AT145" i="4"/>
  <c r="AT149" i="4" s="1"/>
  <c r="AT152" i="4" s="1"/>
  <c r="AR509" i="20"/>
  <c r="AU7" i="7"/>
  <c r="AR533" i="20"/>
  <c r="AU58" i="7"/>
  <c r="AT26" i="4"/>
  <c r="AR460" i="20"/>
  <c r="AR471" i="20" s="1"/>
  <c r="AR466" i="20"/>
  <c r="AR477" i="20" s="1"/>
  <c r="AQ409" i="20"/>
  <c r="AR462" i="20"/>
  <c r="AR473" i="20" s="1"/>
  <c r="AR467" i="20"/>
  <c r="AR478" i="20" s="1"/>
  <c r="AU7" i="18"/>
  <c r="AU30" i="4"/>
  <c r="AU39" i="4" s="1"/>
  <c r="AR357" i="20"/>
  <c r="AR515" i="20"/>
  <c r="AR461" i="20"/>
  <c r="AR472" i="20" s="1"/>
  <c r="AR539" i="20"/>
  <c r="AR465" i="20"/>
  <c r="AR476" i="20" s="1"/>
  <c r="AR566" i="20"/>
  <c r="AU109" i="2"/>
  <c r="AU31" i="2" s="1"/>
  <c r="AU100" i="2"/>
  <c r="AT35" i="2"/>
  <c r="AU58" i="4"/>
  <c r="AU60" i="4" s="1"/>
  <c r="AU42" i="7"/>
  <c r="AU57" i="7"/>
  <c r="AU59" i="7"/>
  <c r="AU56" i="7"/>
  <c r="AU41" i="7"/>
  <c r="AU148" i="2"/>
  <c r="AU154" i="2"/>
  <c r="AU156" i="2" s="1"/>
  <c r="AT40" i="7"/>
  <c r="AT42" i="7" s="1"/>
  <c r="AU33" i="18"/>
  <c r="AX28" i="18" s="1"/>
  <c r="AT82" i="2"/>
  <c r="AT144" i="2"/>
  <c r="AU77" i="4"/>
  <c r="AT85" i="4"/>
  <c r="AT80" i="4" s="1"/>
  <c r="AT120" i="4"/>
  <c r="AU126" i="4"/>
  <c r="AT126" i="4"/>
  <c r="AT65" i="4"/>
  <c r="AT49" i="4"/>
  <c r="AU22" i="4"/>
  <c r="AT13" i="4"/>
  <c r="AT15" i="4"/>
  <c r="AT134" i="2"/>
  <c r="AT138" i="2" s="1"/>
  <c r="AT141" i="2" s="1"/>
  <c r="AU36" i="2"/>
  <c r="AT30" i="2"/>
  <c r="AU14" i="18"/>
  <c r="AU9" i="18"/>
  <c r="AU5" i="18"/>
  <c r="AU14" i="7"/>
  <c r="AU9" i="7"/>
  <c r="AU5" i="7"/>
  <c r="AQ425" i="20"/>
  <c r="AQ418" i="20"/>
  <c r="AR419" i="20"/>
  <c r="AR427" i="20" s="1"/>
  <c r="AR321" i="20"/>
  <c r="AQ318" i="20"/>
  <c r="AR238" i="20"/>
  <c r="AQ224" i="20"/>
  <c r="AQ226" i="20" s="1"/>
  <c r="AR226" i="20"/>
  <c r="AQ117" i="20"/>
  <c r="AR121" i="20"/>
  <c r="AR118" i="20"/>
  <c r="AR107" i="20"/>
  <c r="AT88" i="4"/>
  <c r="AR94" i="20"/>
  <c r="AR87" i="20"/>
  <c r="AR95" i="20" s="1"/>
  <c r="AU90" i="4"/>
  <c r="AT103" i="5"/>
  <c r="AQ72" i="20"/>
  <c r="AR22" i="20"/>
  <c r="AR358" i="20" s="1"/>
  <c r="AR362" i="20" s="1"/>
  <c r="AR21" i="20"/>
  <c r="AR20" i="20"/>
  <c r="AR19" i="20"/>
  <c r="AR231" i="14"/>
  <c r="AR230" i="14"/>
  <c r="AR229" i="14"/>
  <c r="AQ219" i="14"/>
  <c r="AR218" i="14"/>
  <c r="AQ217" i="14"/>
  <c r="AR212" i="14"/>
  <c r="AQ209" i="14"/>
  <c r="AR208" i="14"/>
  <c r="AQ207" i="14"/>
  <c r="AR202" i="14"/>
  <c r="AR198" i="14"/>
  <c r="AQ197" i="14"/>
  <c r="AR192" i="14"/>
  <c r="AQ188" i="14"/>
  <c r="AQ187" i="14"/>
  <c r="AR189" i="14"/>
  <c r="AS544" i="20" l="1"/>
  <c r="AS552" i="20"/>
  <c r="AS526" i="20"/>
  <c r="AW175" i="4"/>
  <c r="AW176" i="4" s="1"/>
  <c r="AS506" i="20"/>
  <c r="AU506" i="20"/>
  <c r="AS522" i="20"/>
  <c r="AS512" i="20"/>
  <c r="AS514" i="20" s="1"/>
  <c r="AU512" i="20"/>
  <c r="AU579" i="20"/>
  <c r="AU577" i="20"/>
  <c r="AS563" i="20"/>
  <c r="AS567" i="20" s="1"/>
  <c r="AU563" i="20"/>
  <c r="AU567" i="20" s="1"/>
  <c r="AT78" i="4"/>
  <c r="AS577" i="20"/>
  <c r="AS530" i="20"/>
  <c r="AS534" i="20" s="1"/>
  <c r="AU530" i="20"/>
  <c r="AU573" i="20"/>
  <c r="AU571" i="20"/>
  <c r="AS536" i="20"/>
  <c r="AS540" i="20" s="1"/>
  <c r="AU536" i="20"/>
  <c r="AX36" i="18"/>
  <c r="AX34" i="18"/>
  <c r="AX32" i="18"/>
  <c r="AR487" i="20"/>
  <c r="AT41" i="7"/>
  <c r="AU79" i="4"/>
  <c r="AS565" i="20"/>
  <c r="AS510" i="20"/>
  <c r="AS508" i="20"/>
  <c r="AU74" i="5"/>
  <c r="AR488" i="20"/>
  <c r="AR491" i="20"/>
  <c r="AU263" i="4"/>
  <c r="AT30" i="4"/>
  <c r="AT39" i="4" s="1"/>
  <c r="AT84" i="5"/>
  <c r="AT239" i="4"/>
  <c r="AT51" i="4"/>
  <c r="AT237" i="4"/>
  <c r="AT90" i="4"/>
  <c r="AQ86" i="20" s="1"/>
  <c r="AQ91" i="20" s="1"/>
  <c r="AT118" i="5"/>
  <c r="AU239" i="4"/>
  <c r="AU240" i="4" s="1"/>
  <c r="AU242" i="4" s="1"/>
  <c r="AU84" i="5"/>
  <c r="AR453" i="20"/>
  <c r="AR554" i="20"/>
  <c r="AU259" i="4"/>
  <c r="AU260" i="4" s="1"/>
  <c r="AR479" i="20"/>
  <c r="AU41" i="4"/>
  <c r="AR490" i="20"/>
  <c r="AR489" i="20"/>
  <c r="AR485" i="20"/>
  <c r="AR484" i="20"/>
  <c r="AR486" i="20"/>
  <c r="AQ87" i="20"/>
  <c r="AQ95" i="20" s="1"/>
  <c r="AU40" i="18"/>
  <c r="AU56" i="18"/>
  <c r="AX62" i="18" s="1"/>
  <c r="AU54" i="18"/>
  <c r="AX60" i="18" s="1"/>
  <c r="AU55" i="18"/>
  <c r="AX61" i="18" s="1"/>
  <c r="AU54" i="7"/>
  <c r="AU158" i="2"/>
  <c r="AT21" i="4"/>
  <c r="AT22" i="4" s="1"/>
  <c r="AT77" i="4"/>
  <c r="AQ419" i="20"/>
  <c r="AQ427" i="20" s="1"/>
  <c r="AR447" i="20"/>
  <c r="AR86" i="20"/>
  <c r="AR89" i="20" s="1"/>
  <c r="AU87" i="4"/>
  <c r="AU15" i="7"/>
  <c r="AU88" i="7"/>
  <c r="AX79" i="7" s="1"/>
  <c r="AU19" i="7"/>
  <c r="AU15" i="18"/>
  <c r="AU77" i="18"/>
  <c r="AU19" i="18"/>
  <c r="AT154" i="2"/>
  <c r="AU57" i="18"/>
  <c r="AX63" i="18" s="1"/>
  <c r="AQ430" i="20"/>
  <c r="AQ431" i="20" s="1"/>
  <c r="AR295" i="20"/>
  <c r="AR287" i="20"/>
  <c r="AR294" i="20"/>
  <c r="AR286" i="20"/>
  <c r="AR293" i="20"/>
  <c r="AR103" i="20"/>
  <c r="AR258" i="20"/>
  <c r="AQ189" i="14"/>
  <c r="AR23" i="20"/>
  <c r="AR98" i="20"/>
  <c r="AR97" i="20"/>
  <c r="AR330" i="20" l="1"/>
  <c r="AR342" i="20"/>
  <c r="AR328" i="20"/>
  <c r="AR339" i="20"/>
  <c r="AR336" i="20" s="1"/>
  <c r="AR110" i="20" s="1"/>
  <c r="AU111" i="20" s="1"/>
  <c r="AU114" i="20" s="1"/>
  <c r="AS532" i="20"/>
  <c r="AS516" i="20"/>
  <c r="AS538" i="20"/>
  <c r="AX35" i="18"/>
  <c r="AX90" i="7"/>
  <c r="AV93" i="4"/>
  <c r="AV92" i="4" s="1"/>
  <c r="AX93" i="4"/>
  <c r="AX92" i="4" s="1"/>
  <c r="AU81" i="4"/>
  <c r="AU224" i="4"/>
  <c r="AU225" i="4" s="1"/>
  <c r="AU226" i="4" s="1"/>
  <c r="AV231" i="4" s="1"/>
  <c r="AT240" i="4"/>
  <c r="AT242" i="4" s="1"/>
  <c r="AQ89" i="20"/>
  <c r="AQ90" i="20" s="1"/>
  <c r="AR91" i="20"/>
  <c r="AR92" i="20" s="1"/>
  <c r="AT87" i="4"/>
  <c r="AR96" i="20"/>
  <c r="AR99" i="20" s="1"/>
  <c r="AR90" i="20"/>
  <c r="AR492" i="20"/>
  <c r="AR285" i="20"/>
  <c r="AR289" i="20" s="1"/>
  <c r="AU78" i="18"/>
  <c r="AR326" i="20"/>
  <c r="AR348" i="20"/>
  <c r="AT41" i="4"/>
  <c r="AU53" i="18"/>
  <c r="AX59" i="18" s="1"/>
  <c r="AT79" i="4"/>
  <c r="AT224" i="4" s="1"/>
  <c r="AT225" i="4" s="1"/>
  <c r="AT226" i="4" s="1"/>
  <c r="AU42" i="18"/>
  <c r="AU38" i="18"/>
  <c r="AU41" i="18" s="1"/>
  <c r="AR182" i="14"/>
  <c r="AQ177" i="14"/>
  <c r="AR172" i="14"/>
  <c r="AQ167" i="14"/>
  <c r="AR257" i="20" l="1"/>
  <c r="AR270" i="20" s="1"/>
  <c r="AV230" i="4"/>
  <c r="AV234" i="4"/>
  <c r="AV235" i="4" s="1"/>
  <c r="AR292" i="20"/>
  <c r="AT81" i="4"/>
  <c r="AR347" i="20"/>
  <c r="AR333" i="20"/>
  <c r="AR162" i="14"/>
  <c r="AQ94" i="14"/>
  <c r="AQ92" i="14"/>
  <c r="AQ91" i="14"/>
  <c r="AQ90" i="14"/>
  <c r="AQ88" i="14"/>
  <c r="AQ558" i="20" s="1"/>
  <c r="AR86" i="14"/>
  <c r="AQ85" i="14"/>
  <c r="AQ84" i="14"/>
  <c r="AQ83" i="14"/>
  <c r="AQ82" i="14"/>
  <c r="AQ81" i="14"/>
  <c r="AQ80" i="14"/>
  <c r="AT519" i="20" s="1"/>
  <c r="AQ79" i="14"/>
  <c r="AQ78" i="14"/>
  <c r="AQ507" i="20" s="1"/>
  <c r="AR77" i="14"/>
  <c r="AR500" i="20" s="1"/>
  <c r="AQ76" i="14"/>
  <c r="AQ75" i="14"/>
  <c r="AQ74" i="14"/>
  <c r="AR70" i="14"/>
  <c r="AQ68" i="14"/>
  <c r="AQ374" i="20" s="1"/>
  <c r="AQ58" i="14"/>
  <c r="AR57" i="14"/>
  <c r="AR22" i="14"/>
  <c r="AR256" i="14" s="1"/>
  <c r="AR21" i="14"/>
  <c r="AR239" i="14" s="1"/>
  <c r="AR40" i="14"/>
  <c r="AT141" i="6"/>
  <c r="AT125" i="6" s="1"/>
  <c r="AU125" i="6"/>
  <c r="AU122" i="6"/>
  <c r="AU121" i="6"/>
  <c r="AU119" i="6"/>
  <c r="AU118" i="6"/>
  <c r="AU99" i="6"/>
  <c r="AU98" i="6"/>
  <c r="AU97" i="6"/>
  <c r="AU87" i="6"/>
  <c r="AT79" i="6"/>
  <c r="AQ22" i="20" s="1"/>
  <c r="AQ358" i="20" s="1"/>
  <c r="AT78" i="6"/>
  <c r="AQ21" i="20" s="1"/>
  <c r="AT77" i="6"/>
  <c r="AQ20" i="20" s="1"/>
  <c r="AT76" i="6"/>
  <c r="AQ19" i="20" s="1"/>
  <c r="AQ258" i="20" s="1"/>
  <c r="AU75" i="6"/>
  <c r="AT74" i="6"/>
  <c r="AT99" i="6" s="1"/>
  <c r="AT73" i="6"/>
  <c r="AQ21" i="14" s="1"/>
  <c r="AT72" i="6"/>
  <c r="AT97" i="6" s="1"/>
  <c r="AU71" i="6"/>
  <c r="AT13" i="6"/>
  <c r="AT11" i="6"/>
  <c r="AT10" i="6"/>
  <c r="AT8" i="6"/>
  <c r="AT121" i="6" s="1"/>
  <c r="AU6" i="6"/>
  <c r="AU14" i="6" s="1"/>
  <c r="AU4" i="6"/>
  <c r="AU12" i="6" s="1"/>
  <c r="AT69" i="3"/>
  <c r="AT67" i="3"/>
  <c r="AT59" i="3"/>
  <c r="AU58" i="3"/>
  <c r="AT57" i="3"/>
  <c r="AU56" i="3"/>
  <c r="AT55" i="3"/>
  <c r="AU54" i="3"/>
  <c r="AT53" i="3"/>
  <c r="AT51" i="3"/>
  <c r="AT43" i="3"/>
  <c r="AU45" i="3"/>
  <c r="AT47" i="3"/>
  <c r="AU38" i="3"/>
  <c r="AT37" i="3"/>
  <c r="AU36" i="3"/>
  <c r="AT35" i="3"/>
  <c r="AT6" i="18" s="1"/>
  <c r="AU34" i="3"/>
  <c r="AT33" i="3"/>
  <c r="AT6" i="7" s="1"/>
  <c r="AU32" i="3"/>
  <c r="AT31" i="3"/>
  <c r="AT22" i="3"/>
  <c r="AU23" i="3"/>
  <c r="AT20" i="3"/>
  <c r="AT18" i="3"/>
  <c r="AU13" i="3"/>
  <c r="AT12" i="3"/>
  <c r="AU11" i="3"/>
  <c r="AT10" i="3"/>
  <c r="AU9" i="3"/>
  <c r="AT8" i="3"/>
  <c r="AU7" i="3"/>
  <c r="AT6" i="3"/>
  <c r="AU46" i="3" l="1"/>
  <c r="AU48" i="3" s="1"/>
  <c r="AT21" i="3"/>
  <c r="AT23" i="3" s="1"/>
  <c r="AW25" i="3" s="1"/>
  <c r="AT68" i="3"/>
  <c r="AT70" i="3" s="1"/>
  <c r="AT25" i="2" s="1"/>
  <c r="AT4" i="7"/>
  <c r="AT9" i="7" s="1"/>
  <c r="AW9" i="3"/>
  <c r="AW13" i="3"/>
  <c r="AX26" i="3"/>
  <c r="AX24" i="3"/>
  <c r="AT4" i="6"/>
  <c r="AT9" i="6" s="1"/>
  <c r="AW7" i="3"/>
  <c r="AT4" i="18"/>
  <c r="AT33" i="18" s="1"/>
  <c r="AW28" i="18" s="1"/>
  <c r="AW11" i="3"/>
  <c r="AU5" i="2"/>
  <c r="AU162" i="4" s="1"/>
  <c r="AU85" i="3"/>
  <c r="AU98" i="3"/>
  <c r="AQ172" i="14"/>
  <c r="AQ525" i="20"/>
  <c r="AQ212" i="14"/>
  <c r="AQ549" i="20"/>
  <c r="AQ231" i="14"/>
  <c r="AQ576" i="20"/>
  <c r="AQ202" i="14"/>
  <c r="AQ543" i="20"/>
  <c r="AQ230" i="14"/>
  <c r="AQ570" i="20"/>
  <c r="AT14" i="7"/>
  <c r="AQ362" i="20"/>
  <c r="AQ77" i="14"/>
  <c r="AQ500" i="20" s="1"/>
  <c r="AQ182" i="14"/>
  <c r="AQ531" i="20"/>
  <c r="AQ229" i="14"/>
  <c r="AQ582" i="20"/>
  <c r="AT122" i="6"/>
  <c r="AT143" i="2"/>
  <c r="AT148" i="2" s="1"/>
  <c r="AT9" i="18"/>
  <c r="AT14" i="18"/>
  <c r="AQ162" i="14"/>
  <c r="AQ513" i="20"/>
  <c r="AQ192" i="14"/>
  <c r="AQ537" i="20"/>
  <c r="AU15" i="6"/>
  <c r="AQ295" i="20"/>
  <c r="AQ287" i="20"/>
  <c r="AQ330" i="20" s="1"/>
  <c r="AU96" i="6"/>
  <c r="AQ294" i="20"/>
  <c r="AQ328" i="20" s="1"/>
  <c r="AQ286" i="20"/>
  <c r="AQ293" i="20"/>
  <c r="AQ326" i="20" s="1"/>
  <c r="AT32" i="3"/>
  <c r="AT36" i="3"/>
  <c r="AT54" i="3"/>
  <c r="AT58" i="3"/>
  <c r="AU127" i="6"/>
  <c r="AQ22" i="14"/>
  <c r="AU9" i="6"/>
  <c r="AT34" i="3"/>
  <c r="AQ239" i="14"/>
  <c r="AQ20" i="14"/>
  <c r="AQ40" i="14" s="1"/>
  <c r="AT6" i="6"/>
  <c r="AT14" i="6" s="1"/>
  <c r="AU128" i="6"/>
  <c r="AQ23" i="20"/>
  <c r="AQ97" i="20"/>
  <c r="AQ103" i="20"/>
  <c r="AT38" i="3"/>
  <c r="AT56" i="3"/>
  <c r="AU7" i="6"/>
  <c r="AQ98" i="20"/>
  <c r="AT98" i="6"/>
  <c r="AT96" i="6" s="1"/>
  <c r="AR87" i="14"/>
  <c r="AU5" i="6"/>
  <c r="AU91" i="6"/>
  <c r="AR23" i="14"/>
  <c r="AQ86" i="14"/>
  <c r="AT75" i="6"/>
  <c r="AU80" i="6"/>
  <c r="AT71" i="6"/>
  <c r="AU70" i="3"/>
  <c r="AT45" i="3"/>
  <c r="AT46" i="3" s="1"/>
  <c r="V92" i="18"/>
  <c r="S92" i="18"/>
  <c r="Y92" i="18"/>
  <c r="AB92" i="18"/>
  <c r="AE92" i="18"/>
  <c r="AH92" i="18"/>
  <c r="AK92" i="18"/>
  <c r="AN92" i="18"/>
  <c r="AQ92" i="18"/>
  <c r="Q99" i="18"/>
  <c r="Q98" i="18"/>
  <c r="Q94" i="18"/>
  <c r="T99" i="18"/>
  <c r="R99" i="18"/>
  <c r="T98" i="18"/>
  <c r="R98" i="18"/>
  <c r="T94" i="18"/>
  <c r="R94" i="18"/>
  <c r="W98" i="18"/>
  <c r="U98" i="18"/>
  <c r="W96" i="18"/>
  <c r="U96" i="18"/>
  <c r="W94" i="18"/>
  <c r="U94" i="18"/>
  <c r="W85" i="18"/>
  <c r="U85" i="18"/>
  <c r="Z98" i="18"/>
  <c r="X98" i="18"/>
  <c r="Z96" i="18"/>
  <c r="X96" i="18"/>
  <c r="Z94" i="18"/>
  <c r="X94" i="18"/>
  <c r="AC98" i="18"/>
  <c r="AA98" i="18"/>
  <c r="AC96" i="18"/>
  <c r="AA96" i="18"/>
  <c r="AC94" i="18"/>
  <c r="AA94" i="18"/>
  <c r="AF98" i="18"/>
  <c r="AD98" i="18"/>
  <c r="AF96" i="18"/>
  <c r="AD96" i="18"/>
  <c r="AF94" i="18"/>
  <c r="AD94" i="18"/>
  <c r="AI98" i="18"/>
  <c r="AG98" i="18"/>
  <c r="AI96" i="18"/>
  <c r="AG96" i="18"/>
  <c r="AI94" i="18"/>
  <c r="AG94" i="18"/>
  <c r="AL98" i="18"/>
  <c r="AJ98" i="18"/>
  <c r="AL96" i="18"/>
  <c r="AJ96" i="18"/>
  <c r="AL94" i="18"/>
  <c r="AJ94" i="18"/>
  <c r="AO98" i="18"/>
  <c r="AM98" i="18"/>
  <c r="AO96" i="18"/>
  <c r="AM96" i="18"/>
  <c r="AO94" i="18"/>
  <c r="AM94" i="18"/>
  <c r="AR98" i="18"/>
  <c r="AP98" i="18"/>
  <c r="AR96" i="18"/>
  <c r="AP96" i="18"/>
  <c r="AR94" i="18"/>
  <c r="AP94" i="18"/>
  <c r="AT92" i="18"/>
  <c r="AS98" i="18"/>
  <c r="AS96" i="18"/>
  <c r="AS94" i="18"/>
  <c r="AV95" i="18" s="1"/>
  <c r="AU98" i="18"/>
  <c r="AU96" i="18"/>
  <c r="AU94" i="18"/>
  <c r="AX95" i="18" s="1"/>
  <c r="T85" i="18"/>
  <c r="Z85" i="18"/>
  <c r="X85" i="18"/>
  <c r="AC85" i="18"/>
  <c r="AA85" i="18"/>
  <c r="AF85" i="18"/>
  <c r="AD85" i="18"/>
  <c r="AI85" i="18"/>
  <c r="AG85" i="18"/>
  <c r="AL85" i="18"/>
  <c r="AJ85" i="18"/>
  <c r="AO85" i="18"/>
  <c r="AM85" i="18"/>
  <c r="AR85" i="18"/>
  <c r="AP85" i="18"/>
  <c r="AS85" i="18"/>
  <c r="AU85" i="18"/>
  <c r="W89" i="18"/>
  <c r="W90" i="18" s="1"/>
  <c r="U89" i="18"/>
  <c r="U90" i="18" s="1"/>
  <c r="V88" i="18"/>
  <c r="W87" i="18"/>
  <c r="U87" i="18"/>
  <c r="V86" i="18"/>
  <c r="V84" i="18"/>
  <c r="T90" i="18"/>
  <c r="R90" i="18"/>
  <c r="S88" i="18"/>
  <c r="T86" i="18"/>
  <c r="T87" i="18" s="1"/>
  <c r="R86" i="18"/>
  <c r="R87" i="18" s="1"/>
  <c r="S84" i="18"/>
  <c r="Q90" i="18"/>
  <c r="Q86" i="18"/>
  <c r="Q87" i="18" s="1"/>
  <c r="Z89" i="18"/>
  <c r="Z90" i="18" s="1"/>
  <c r="X89" i="18"/>
  <c r="X90" i="18" s="1"/>
  <c r="Y88" i="18"/>
  <c r="Z87" i="18"/>
  <c r="X87" i="18"/>
  <c r="Y86" i="18"/>
  <c r="Y84" i="18"/>
  <c r="AA89" i="18"/>
  <c r="AA90" i="18" s="1"/>
  <c r="AB88" i="18"/>
  <c r="AA87" i="18"/>
  <c r="AB86" i="18"/>
  <c r="AB84" i="18"/>
  <c r="AC89" i="18"/>
  <c r="AC90" i="18" s="1"/>
  <c r="AC87" i="18"/>
  <c r="AD89" i="18"/>
  <c r="AD90" i="18" s="1"/>
  <c r="AE88" i="18"/>
  <c r="AD87" i="18"/>
  <c r="AE86" i="18"/>
  <c r="AE84" i="18"/>
  <c r="AF89" i="18"/>
  <c r="AF90" i="18" s="1"/>
  <c r="AF87" i="18"/>
  <c r="AG89" i="18"/>
  <c r="AG90" i="18" s="1"/>
  <c r="AH88" i="18"/>
  <c r="AG87" i="18"/>
  <c r="AH86" i="18"/>
  <c r="AH84" i="18"/>
  <c r="AI89" i="18"/>
  <c r="AI90" i="18" s="1"/>
  <c r="AI87" i="18"/>
  <c r="AJ89" i="18"/>
  <c r="AJ90" i="18" s="1"/>
  <c r="AK88" i="18"/>
  <c r="AJ87" i="18"/>
  <c r="AK86" i="18"/>
  <c r="AK84" i="18"/>
  <c r="AL89" i="18"/>
  <c r="AL90" i="18" s="1"/>
  <c r="AL87" i="18"/>
  <c r="AN88" i="18"/>
  <c r="AN86" i="18"/>
  <c r="AN84" i="18"/>
  <c r="AM89" i="18"/>
  <c r="AM90" i="18" s="1"/>
  <c r="AM87" i="18"/>
  <c r="AO89" i="18"/>
  <c r="AO90" i="18" s="1"/>
  <c r="AO87" i="18"/>
  <c r="AR89" i="18"/>
  <c r="AR90" i="18" s="1"/>
  <c r="AP89" i="18"/>
  <c r="AP90" i="18" s="1"/>
  <c r="AQ88" i="18"/>
  <c r="AR87" i="18"/>
  <c r="AP87" i="18"/>
  <c r="AQ86" i="18"/>
  <c r="AQ84" i="18"/>
  <c r="AT88" i="18"/>
  <c r="AT86" i="18"/>
  <c r="AT84" i="18"/>
  <c r="AW85" i="18" s="1"/>
  <c r="AS89" i="18"/>
  <c r="AS90" i="18" s="1"/>
  <c r="AS87" i="18"/>
  <c r="AU87" i="18"/>
  <c r="AU89" i="18"/>
  <c r="AU90" i="18" s="1"/>
  <c r="AT12" i="7" l="1"/>
  <c r="AT23" i="7"/>
  <c r="AU9" i="2"/>
  <c r="AU49" i="3"/>
  <c r="AT12" i="18"/>
  <c r="AT23" i="18"/>
  <c r="AT48" i="3"/>
  <c r="AT9" i="2" s="1"/>
  <c r="AT7" i="7"/>
  <c r="AT5" i="7"/>
  <c r="AU122" i="2"/>
  <c r="AU172" i="4"/>
  <c r="AT5" i="18"/>
  <c r="AX27" i="3"/>
  <c r="AT12" i="6"/>
  <c r="AT15" i="6"/>
  <c r="AW36" i="18"/>
  <c r="AW32" i="18"/>
  <c r="AW34" i="18"/>
  <c r="AT5" i="2"/>
  <c r="AT151" i="4" s="1"/>
  <c r="AW24" i="3"/>
  <c r="AT7" i="18"/>
  <c r="AU8" i="2"/>
  <c r="AU99" i="4" s="1"/>
  <c r="AU142" i="2"/>
  <c r="AU130" i="2"/>
  <c r="AU174" i="4"/>
  <c r="AU10" i="2"/>
  <c r="AU121" i="2"/>
  <c r="AU151" i="4"/>
  <c r="AU7" i="2"/>
  <c r="AU18" i="2" s="1"/>
  <c r="AU153" i="4"/>
  <c r="AU98" i="4"/>
  <c r="AU139" i="4"/>
  <c r="AT228" i="4"/>
  <c r="AT100" i="5"/>
  <c r="AH94" i="18"/>
  <c r="AT15" i="18"/>
  <c r="AT77" i="18"/>
  <c r="AW68" i="18" s="1"/>
  <c r="AT19" i="18"/>
  <c r="AU71" i="3"/>
  <c r="AU25" i="2"/>
  <c r="AQ87" i="14"/>
  <c r="AQ285" i="20"/>
  <c r="AQ292" i="20" s="1"/>
  <c r="AQ333" i="20"/>
  <c r="AT40" i="18"/>
  <c r="AT15" i="7"/>
  <c r="AT88" i="7"/>
  <c r="AT19" i="7"/>
  <c r="AT96" i="18"/>
  <c r="AQ85" i="18"/>
  <c r="AK85" i="18"/>
  <c r="AJ95" i="18"/>
  <c r="U95" i="18"/>
  <c r="V98" i="18"/>
  <c r="AB85" i="18"/>
  <c r="V85" i="18"/>
  <c r="AQ23" i="14"/>
  <c r="AT89" i="18"/>
  <c r="AT90" i="18" s="1"/>
  <c r="Y85" i="18"/>
  <c r="AT85" i="18"/>
  <c r="AT94" i="18"/>
  <c r="AW95" i="18" s="1"/>
  <c r="AS97" i="18"/>
  <c r="AO97" i="18"/>
  <c r="AT5" i="6"/>
  <c r="AG95" i="18"/>
  <c r="AA95" i="18"/>
  <c r="AO95" i="18"/>
  <c r="AL99" i="18"/>
  <c r="AL100" i="18" s="1"/>
  <c r="AC99" i="18"/>
  <c r="AC100" i="18" s="1"/>
  <c r="AO99" i="18"/>
  <c r="AO100" i="18" s="1"/>
  <c r="T100" i="18"/>
  <c r="AU99" i="18"/>
  <c r="AU100" i="18" s="1"/>
  <c r="AS99" i="18"/>
  <c r="AS100" i="18" s="1"/>
  <c r="Y98" i="18"/>
  <c r="AU92" i="6"/>
  <c r="AI99" i="18"/>
  <c r="AI100" i="18" s="1"/>
  <c r="Z99" i="18"/>
  <c r="Z100" i="18" s="1"/>
  <c r="AF99" i="18"/>
  <c r="AF100" i="18" s="1"/>
  <c r="AN85" i="18"/>
  <c r="V89" i="18"/>
  <c r="V90" i="18" s="1"/>
  <c r="AU97" i="18"/>
  <c r="AP99" i="18"/>
  <c r="AP100" i="18" s="1"/>
  <c r="AN98" i="18"/>
  <c r="AE94" i="18"/>
  <c r="AE98" i="18"/>
  <c r="U99" i="18"/>
  <c r="U100" i="18" s="1"/>
  <c r="R96" i="18"/>
  <c r="R97" i="18" s="1"/>
  <c r="R100" i="18"/>
  <c r="AQ92" i="20"/>
  <c r="AT127" i="6"/>
  <c r="AR99" i="18"/>
  <c r="AR100" i="18" s="1"/>
  <c r="AM99" i="18"/>
  <c r="AM100" i="18" s="1"/>
  <c r="AJ99" i="18"/>
  <c r="AJ100" i="18" s="1"/>
  <c r="AG99" i="18"/>
  <c r="AG100" i="18" s="1"/>
  <c r="AD99" i="18"/>
  <c r="AD100" i="18" s="1"/>
  <c r="AA99" i="18"/>
  <c r="AA100" i="18" s="1"/>
  <c r="X99" i="18"/>
  <c r="X100" i="18" s="1"/>
  <c r="W99" i="18"/>
  <c r="W100" i="18" s="1"/>
  <c r="T96" i="18"/>
  <c r="T97" i="18" s="1"/>
  <c r="AT71" i="3"/>
  <c r="AT7" i="6"/>
  <c r="AT91" i="6"/>
  <c r="AT128" i="6"/>
  <c r="AE85" i="18"/>
  <c r="AS95" i="18"/>
  <c r="AR97" i="18"/>
  <c r="AQ98" i="18"/>
  <c r="Q96" i="18"/>
  <c r="Q97" i="18" s="1"/>
  <c r="AT80" i="6"/>
  <c r="Q100" i="18"/>
  <c r="X95" i="18"/>
  <c r="S94" i="18"/>
  <c r="S98" i="18"/>
  <c r="AB98" i="18"/>
  <c r="AA97" i="18"/>
  <c r="AI97" i="18"/>
  <c r="AK98" i="18"/>
  <c r="AP97" i="18"/>
  <c r="AT98" i="18"/>
  <c r="W97" i="18"/>
  <c r="V96" i="18"/>
  <c r="Y96" i="18"/>
  <c r="AC95" i="18"/>
  <c r="AB94" i="18"/>
  <c r="AH96" i="18"/>
  <c r="AH98" i="18"/>
  <c r="AM97" i="18"/>
  <c r="AU95" i="18"/>
  <c r="T95" i="18"/>
  <c r="W95" i="18"/>
  <c r="V94" i="18"/>
  <c r="U97" i="18"/>
  <c r="Z95" i="18"/>
  <c r="AD95" i="18"/>
  <c r="AC97" i="18"/>
  <c r="AI95" i="18"/>
  <c r="AF97" i="18"/>
  <c r="AF95" i="18"/>
  <c r="AG97" i="18"/>
  <c r="AL95" i="18"/>
  <c r="AL97" i="18"/>
  <c r="AP95" i="18"/>
  <c r="AN94" i="18"/>
  <c r="AR95" i="18"/>
  <c r="AQ94" i="18"/>
  <c r="AQ96" i="18"/>
  <c r="Y94" i="18"/>
  <c r="X97" i="18"/>
  <c r="Z97" i="18"/>
  <c r="AB96" i="18"/>
  <c r="AD97" i="18"/>
  <c r="AE96" i="18"/>
  <c r="AK94" i="18"/>
  <c r="AJ97" i="18"/>
  <c r="AM95" i="18"/>
  <c r="AK96" i="18"/>
  <c r="AN96" i="18"/>
  <c r="Y89" i="18"/>
  <c r="Y90" i="18" s="1"/>
  <c r="AH85" i="18"/>
  <c r="AT87" i="18"/>
  <c r="AN87" i="18"/>
  <c r="AN89" i="18"/>
  <c r="AN90" i="18" s="1"/>
  <c r="V87" i="18"/>
  <c r="S86" i="18"/>
  <c r="Y87" i="18"/>
  <c r="AB87" i="18"/>
  <c r="AB89" i="18"/>
  <c r="AB90" i="18" s="1"/>
  <c r="AE87" i="18"/>
  <c r="AE89" i="18"/>
  <c r="AE90" i="18" s="1"/>
  <c r="AH87" i="18"/>
  <c r="AH89" i="18"/>
  <c r="AH90" i="18" s="1"/>
  <c r="AK87" i="18"/>
  <c r="AK89" i="18"/>
  <c r="AK90" i="18" s="1"/>
  <c r="AQ89" i="18"/>
  <c r="AQ90" i="18" s="1"/>
  <c r="AQ87" i="18"/>
  <c r="AT49" i="3" l="1"/>
  <c r="AW35" i="18"/>
  <c r="AH97" i="18"/>
  <c r="AT26" i="2"/>
  <c r="AT153" i="4"/>
  <c r="AT174" i="4"/>
  <c r="AT8" i="2"/>
  <c r="AT99" i="4" s="1"/>
  <c r="AW79" i="18"/>
  <c r="AT10" i="2"/>
  <c r="AT142" i="2"/>
  <c r="AT172" i="4"/>
  <c r="AT130" i="2"/>
  <c r="AT98" i="4"/>
  <c r="AT122" i="2"/>
  <c r="AK95" i="18"/>
  <c r="Y99" i="18"/>
  <c r="Y100" i="18" s="1"/>
  <c r="AH95" i="18"/>
  <c r="AU16" i="2"/>
  <c r="AU12" i="2"/>
  <c r="AU13" i="2" s="1"/>
  <c r="V99" i="18"/>
  <c r="V100" i="18" s="1"/>
  <c r="AQ99" i="18"/>
  <c r="AQ100" i="18" s="1"/>
  <c r="AT99" i="18"/>
  <c r="AT100" i="18" s="1"/>
  <c r="AU228" i="4"/>
  <c r="AU100" i="5"/>
  <c r="Y95" i="18"/>
  <c r="AT78" i="18"/>
  <c r="AT42" i="18"/>
  <c r="AT38" i="18"/>
  <c r="AU26" i="2"/>
  <c r="AU33" i="2"/>
  <c r="AU98" i="5" s="1"/>
  <c r="AT97" i="18"/>
  <c r="V95" i="18"/>
  <c r="AH99" i="18"/>
  <c r="AH100" i="18" s="1"/>
  <c r="AQ95" i="18"/>
  <c r="S96" i="18"/>
  <c r="S99" i="18" s="1"/>
  <c r="S100" i="18" s="1"/>
  <c r="AE95" i="18"/>
  <c r="AT92" i="6"/>
  <c r="V97" i="18"/>
  <c r="AB95" i="18"/>
  <c r="AQ97" i="18"/>
  <c r="AT95" i="18"/>
  <c r="Y97" i="18"/>
  <c r="AB99" i="18"/>
  <c r="AB100" i="18" s="1"/>
  <c r="AB97" i="18"/>
  <c r="AE99" i="18"/>
  <c r="AE100" i="18" s="1"/>
  <c r="AE97" i="18"/>
  <c r="AK97" i="18"/>
  <c r="AK99" i="18"/>
  <c r="AK100" i="18" s="1"/>
  <c r="AN95" i="18"/>
  <c r="AN99" i="18"/>
  <c r="AN100" i="18" s="1"/>
  <c r="AN97" i="18"/>
  <c r="S87" i="18"/>
  <c r="S89" i="18"/>
  <c r="S90" i="18" s="1"/>
  <c r="AT41" i="18" l="1"/>
  <c r="AW44" i="18"/>
  <c r="AU23" i="2"/>
  <c r="AU32" i="2" s="1"/>
  <c r="AU38" i="2" s="1"/>
  <c r="AU42" i="2" s="1"/>
  <c r="AU99" i="5"/>
  <c r="AU107" i="5"/>
  <c r="AU37" i="2"/>
  <c r="AU157" i="2" s="1"/>
  <c r="AU43" i="2"/>
  <c r="S97" i="18"/>
  <c r="AU5" i="5" l="1"/>
  <c r="AU29" i="5" s="1"/>
  <c r="AU31" i="5" s="1"/>
  <c r="AU44" i="2"/>
  <c r="AU45" i="2"/>
  <c r="AU108" i="5"/>
  <c r="AU111" i="5" s="1"/>
  <c r="AU115" i="5" s="1"/>
  <c r="AU229" i="4"/>
  <c r="AU46" i="2"/>
  <c r="AU50" i="2" s="1"/>
  <c r="AU47" i="2"/>
  <c r="AU88" i="5" l="1"/>
  <c r="AU112" i="5"/>
  <c r="AU116" i="5"/>
  <c r="AU233" i="4"/>
  <c r="BE50" i="2"/>
  <c r="BB50" i="2"/>
  <c r="BK70" i="4"/>
  <c r="BL70" i="4" s="1"/>
  <c r="BK67" i="4"/>
  <c r="BL67" i="4" s="1"/>
  <c r="BK66" i="4"/>
  <c r="BL66" i="4" s="1"/>
  <c r="BH70" i="4"/>
  <c r="BI70" i="4" s="1"/>
  <c r="BH67" i="4"/>
  <c r="BI67" i="4" s="1"/>
  <c r="BH66" i="4"/>
  <c r="BI66" i="4" s="1"/>
  <c r="BE70" i="4"/>
  <c r="BF70" i="4" s="1"/>
  <c r="BE67" i="4"/>
  <c r="BF67" i="4" s="1"/>
  <c r="BE66" i="4"/>
  <c r="BF66" i="4" s="1"/>
  <c r="BB70" i="4"/>
  <c r="BC70" i="4" s="1"/>
  <c r="BB67" i="4"/>
  <c r="BB66" i="4"/>
  <c r="BC66" i="4" s="1"/>
  <c r="AZ70" i="4"/>
  <c r="AZ66" i="4"/>
  <c r="BM23" i="5"/>
  <c r="BJ23" i="5"/>
  <c r="BG23" i="5"/>
  <c r="BD23" i="5"/>
  <c r="BA23" i="5"/>
  <c r="AS47" i="18"/>
  <c r="AP94" i="20"/>
  <c r="AQ94" i="20" l="1"/>
  <c r="AQ96" i="20" s="1"/>
  <c r="AQ99" i="20" s="1"/>
  <c r="BA47" i="4"/>
  <c r="BC67" i="4"/>
  <c r="AZ67" i="4"/>
  <c r="BB62" i="18"/>
  <c r="BB60" i="18"/>
  <c r="BB63" i="18"/>
  <c r="BD61" i="18"/>
  <c r="BA331" i="20"/>
  <c r="AY331" i="20" s="1"/>
  <c r="BG532" i="20"/>
  <c r="AQ382" i="20"/>
  <c r="AR399" i="20"/>
  <c r="AP399" i="20"/>
  <c r="AP398" i="20"/>
  <c r="AP397" i="20"/>
  <c r="AP396" i="20"/>
  <c r="AP395" i="20"/>
  <c r="AP392" i="20"/>
  <c r="AP391" i="20"/>
  <c r="AP390" i="20"/>
  <c r="AP465" i="20" s="1"/>
  <c r="AP389" i="20"/>
  <c r="AP388" i="20"/>
  <c r="AP387" i="20"/>
  <c r="AP386" i="20"/>
  <c r="AP385" i="20"/>
  <c r="AP383" i="20"/>
  <c r="AP382" i="20"/>
  <c r="AQ381" i="20"/>
  <c r="AR584" i="20" l="1"/>
  <c r="AS581" i="20" s="1"/>
  <c r="AU581" i="20"/>
  <c r="BA565" i="20"/>
  <c r="AS585" i="20"/>
  <c r="AS583" i="20"/>
  <c r="AZ47" i="4"/>
  <c r="BD47" i="4"/>
  <c r="BA32" i="4"/>
  <c r="BE63" i="18"/>
  <c r="BE62" i="18"/>
  <c r="BE60" i="18"/>
  <c r="BG61" i="18"/>
  <c r="BB61" i="18"/>
  <c r="AR384" i="20"/>
  <c r="AQ383" i="20"/>
  <c r="AU585" i="20" l="1"/>
  <c r="AU583" i="20"/>
  <c r="AR502" i="20"/>
  <c r="AS499" i="20" s="1"/>
  <c r="AR457" i="20"/>
  <c r="AR470" i="20" s="1"/>
  <c r="BC47" i="4"/>
  <c r="BG47" i="4"/>
  <c r="AZ32" i="4"/>
  <c r="BD32" i="4"/>
  <c r="BH60" i="18"/>
  <c r="BK60" i="18"/>
  <c r="BK63" i="18"/>
  <c r="BH63" i="18"/>
  <c r="BK62" i="18"/>
  <c r="BH62" i="18"/>
  <c r="BE61" i="18"/>
  <c r="BJ61" i="18"/>
  <c r="AR480" i="20" l="1"/>
  <c r="AS503" i="20"/>
  <c r="AS501" i="20"/>
  <c r="BJ47" i="4"/>
  <c r="BF47" i="4"/>
  <c r="BG32" i="4"/>
  <c r="BC32" i="4"/>
  <c r="BM61" i="18"/>
  <c r="BK61" i="18" s="1"/>
  <c r="BH61" i="18"/>
  <c r="BI47" i="4" l="1"/>
  <c r="BM47" i="4"/>
  <c r="BL47" i="4" s="1"/>
  <c r="BJ32" i="4"/>
  <c r="BF32" i="4"/>
  <c r="AP461" i="20"/>
  <c r="BI32" i="4" l="1"/>
  <c r="BM32" i="4"/>
  <c r="BL32" i="4" s="1"/>
  <c r="B7" i="54" l="1"/>
  <c r="AS120" i="5"/>
  <c r="AS118" i="5"/>
  <c r="AS107" i="5"/>
  <c r="AT107" i="5" s="1"/>
  <c r="AS105" i="5"/>
  <c r="AT105" i="5" s="1"/>
  <c r="AS104" i="5"/>
  <c r="AS119" i="5" s="1"/>
  <c r="AS93" i="5"/>
  <c r="AS92" i="5"/>
  <c r="AS90" i="5"/>
  <c r="AS62" i="5"/>
  <c r="AS57" i="5"/>
  <c r="AS71" i="5"/>
  <c r="AS65" i="5"/>
  <c r="AS49" i="5"/>
  <c r="AS41" i="5"/>
  <c r="AS37" i="5"/>
  <c r="AS34" i="5"/>
  <c r="AS24" i="5"/>
  <c r="AS19" i="5"/>
  <c r="AS12" i="5"/>
  <c r="AS10" i="5"/>
  <c r="AS256" i="4"/>
  <c r="AS249" i="4"/>
  <c r="AS251" i="4" s="1"/>
  <c r="AS238" i="4"/>
  <c r="AS223" i="4"/>
  <c r="AS222" i="4"/>
  <c r="AS221" i="4"/>
  <c r="AS207" i="4"/>
  <c r="AT207" i="4" s="1"/>
  <c r="AS206" i="4"/>
  <c r="AT206" i="4" s="1"/>
  <c r="AS202" i="4"/>
  <c r="AS189" i="4"/>
  <c r="AS187" i="4"/>
  <c r="AS176" i="4"/>
  <c r="AT170" i="4" s="1"/>
  <c r="AS164" i="4"/>
  <c r="AT158" i="4" s="1"/>
  <c r="AS161" i="4"/>
  <c r="AT161" i="4" s="1"/>
  <c r="AT162" i="4" s="1"/>
  <c r="AS145" i="4"/>
  <c r="AS149" i="4" s="1"/>
  <c r="AS132" i="4"/>
  <c r="AS136" i="4" s="1"/>
  <c r="AS138" i="4" s="1"/>
  <c r="AT138" i="4" s="1"/>
  <c r="AT139" i="4" s="1"/>
  <c r="AS125" i="4"/>
  <c r="AS241" i="4" s="1"/>
  <c r="AS124" i="4"/>
  <c r="AS120" i="4"/>
  <c r="AS90" i="4"/>
  <c r="AS87" i="4" s="1"/>
  <c r="AS85" i="4"/>
  <c r="AS80" i="4" s="1"/>
  <c r="AS76" i="4"/>
  <c r="AS57" i="4"/>
  <c r="AT215" i="4" s="1"/>
  <c r="AS56" i="4"/>
  <c r="AS55" i="4"/>
  <c r="AT214" i="4" s="1"/>
  <c r="AS33" i="4"/>
  <c r="AS38" i="4" s="1"/>
  <c r="AS26" i="4"/>
  <c r="AS30" i="4" s="1"/>
  <c r="AS49" i="4"/>
  <c r="AS51" i="4" s="1"/>
  <c r="AS15" i="4"/>
  <c r="AS77" i="4" s="1"/>
  <c r="AS13" i="4"/>
  <c r="AS154" i="2"/>
  <c r="AS153" i="2"/>
  <c r="AS145" i="2"/>
  <c r="AS144" i="2"/>
  <c r="AS143" i="2"/>
  <c r="AS134" i="2"/>
  <c r="AS138" i="2" s="1"/>
  <c r="AS141" i="2" s="1"/>
  <c r="AS117" i="2"/>
  <c r="AS116" i="2"/>
  <c r="AS150" i="4" s="1"/>
  <c r="AS62" i="2"/>
  <c r="AT62" i="2" s="1"/>
  <c r="AT61" i="2" s="1"/>
  <c r="AS36" i="2"/>
  <c r="AT36" i="2" s="1"/>
  <c r="AS30" i="2"/>
  <c r="AS107" i="2"/>
  <c r="AT107" i="2" s="1"/>
  <c r="AS103" i="2"/>
  <c r="AT103" i="2" s="1"/>
  <c r="AS92" i="2"/>
  <c r="AS82" i="2"/>
  <c r="AS6" i="2" s="1"/>
  <c r="AS76" i="18"/>
  <c r="AT76" i="18" s="1"/>
  <c r="AS74" i="18"/>
  <c r="AT74" i="18" s="1"/>
  <c r="AS18" i="18"/>
  <c r="AS6" i="18"/>
  <c r="AS14" i="18" s="1"/>
  <c r="AS77" i="18" s="1"/>
  <c r="AV68" i="18" s="1"/>
  <c r="AS4" i="18"/>
  <c r="AS85" i="7"/>
  <c r="AT85" i="7" s="1"/>
  <c r="AS84" i="7"/>
  <c r="AT84" i="7" s="1"/>
  <c r="AS83" i="7"/>
  <c r="AT83" i="7" s="1"/>
  <c r="AS47" i="7"/>
  <c r="AS40" i="7"/>
  <c r="AS42" i="7" s="1"/>
  <c r="AS18" i="7"/>
  <c r="AS6" i="7"/>
  <c r="AS4" i="7"/>
  <c r="AS12" i="7" s="1"/>
  <c r="AP513" i="20"/>
  <c r="AP507" i="20"/>
  <c r="AP425" i="20"/>
  <c r="AP418" i="20"/>
  <c r="AP430" i="20" s="1"/>
  <c r="AP431" i="20" s="1"/>
  <c r="AP409" i="20"/>
  <c r="AP374" i="20"/>
  <c r="AS376" i="20" s="1"/>
  <c r="AP373" i="20"/>
  <c r="AP361" i="20"/>
  <c r="AQ361" i="20" s="1"/>
  <c r="AP323" i="20"/>
  <c r="AP319" i="20"/>
  <c r="AS320" i="20" s="1"/>
  <c r="AP318" i="20"/>
  <c r="AP317" i="20"/>
  <c r="AP307" i="20"/>
  <c r="AS308" i="20" s="1"/>
  <c r="AP280" i="20"/>
  <c r="AP232" i="20"/>
  <c r="AQ232" i="20" s="1"/>
  <c r="AQ234" i="20" s="1"/>
  <c r="AP235" i="20"/>
  <c r="AP228" i="20"/>
  <c r="AP224" i="20"/>
  <c r="AP223" i="20"/>
  <c r="AP222" i="20"/>
  <c r="AP112" i="20" s="1"/>
  <c r="AP150" i="20"/>
  <c r="AP121" i="20"/>
  <c r="AP118" i="20"/>
  <c r="AP87" i="20"/>
  <c r="AP95" i="20" s="1"/>
  <c r="AP60" i="20"/>
  <c r="AP52" i="20"/>
  <c r="AS53" i="20" s="1"/>
  <c r="AP22" i="20"/>
  <c r="AP358" i="20" s="1"/>
  <c r="AP21" i="20"/>
  <c r="AP287" i="20" s="1"/>
  <c r="AP20" i="20"/>
  <c r="AP294" i="20" s="1"/>
  <c r="AP19" i="20"/>
  <c r="AP250" i="14"/>
  <c r="AP249" i="14" s="1"/>
  <c r="AP231" i="14"/>
  <c r="AP230" i="14"/>
  <c r="AP229" i="14"/>
  <c r="AP228" i="14"/>
  <c r="AP219" i="14"/>
  <c r="AP218" i="14" s="1"/>
  <c r="AQ218" i="14" s="1"/>
  <c r="AP212" i="14"/>
  <c r="AP209" i="14"/>
  <c r="AP208" i="14" s="1"/>
  <c r="AQ208" i="14" s="1"/>
  <c r="AP202" i="14"/>
  <c r="AP199" i="14"/>
  <c r="AP198" i="14" s="1"/>
  <c r="AQ198" i="14" s="1"/>
  <c r="AQ199" i="14" s="1"/>
  <c r="AP192" i="14"/>
  <c r="AP189" i="14"/>
  <c r="AP182" i="14"/>
  <c r="AT208" i="4" l="1"/>
  <c r="AV79" i="18"/>
  <c r="AP226" i="20"/>
  <c r="AS225" i="20"/>
  <c r="AS192" i="4"/>
  <c r="AT189" i="4"/>
  <c r="AT192" i="4" s="1"/>
  <c r="AT211" i="4" s="1"/>
  <c r="AS56" i="5"/>
  <c r="AT57" i="5"/>
  <c r="AT56" i="5" s="1"/>
  <c r="AS203" i="4"/>
  <c r="AS210" i="4" s="1"/>
  <c r="AT202" i="4"/>
  <c r="AT203" i="4" s="1"/>
  <c r="AT210" i="4" s="1"/>
  <c r="AS60" i="5"/>
  <c r="AT62" i="5"/>
  <c r="AS9" i="5"/>
  <c r="AT10" i="5"/>
  <c r="AT9" i="5" s="1"/>
  <c r="AP321" i="20"/>
  <c r="AQ319" i="20"/>
  <c r="AS100" i="2"/>
  <c r="AT92" i="2"/>
  <c r="AT100" i="2" s="1"/>
  <c r="AT34" i="2"/>
  <c r="AT109" i="2"/>
  <c r="AQ357" i="20"/>
  <c r="AP55" i="20"/>
  <c r="AQ307" i="20"/>
  <c r="AS109" i="2"/>
  <c r="AS31" i="2" s="1"/>
  <c r="AT31" i="2" s="1"/>
  <c r="AT33" i="2" s="1"/>
  <c r="AT98" i="5" s="1"/>
  <c r="AT99" i="5" s="1"/>
  <c r="AP362" i="20"/>
  <c r="AP360" i="20" s="1"/>
  <c r="AP356" i="20" s="1"/>
  <c r="AS208" i="4"/>
  <c r="AS91" i="5"/>
  <c r="AS89" i="5"/>
  <c r="AP49" i="20"/>
  <c r="AS58" i="7"/>
  <c r="AP330" i="20"/>
  <c r="AS331" i="20" s="1"/>
  <c r="AS5" i="7"/>
  <c r="AS55" i="7"/>
  <c r="AS58" i="4"/>
  <c r="AS60" i="4" s="1"/>
  <c r="AS152" i="4"/>
  <c r="AS219" i="4"/>
  <c r="AS220" i="4" s="1"/>
  <c r="AS21" i="4"/>
  <c r="AS22" i="4" s="1"/>
  <c r="AS237" i="4"/>
  <c r="AS19" i="18"/>
  <c r="AS7" i="18"/>
  <c r="AS33" i="18"/>
  <c r="AP328" i="20"/>
  <c r="AS329" i="20" s="1"/>
  <c r="AP357" i="20"/>
  <c r="AS54" i="5"/>
  <c r="AS257" i="4"/>
  <c r="AS259" i="4" s="1"/>
  <c r="AS260" i="4" s="1"/>
  <c r="AS126" i="4"/>
  <c r="AS59" i="7"/>
  <c r="AS148" i="2"/>
  <c r="AS78" i="4"/>
  <c r="AS79" i="4" s="1"/>
  <c r="AP23" i="20"/>
  <c r="AS24" i="20" s="1"/>
  <c r="AS56" i="7"/>
  <c r="AS23" i="18"/>
  <c r="AP286" i="20"/>
  <c r="AP285" i="20" s="1"/>
  <c r="AP289" i="20" s="1"/>
  <c r="AQ289" i="20" s="1"/>
  <c r="AQ290" i="20" s="1"/>
  <c r="AS57" i="7"/>
  <c r="AS9" i="18"/>
  <c r="AP295" i="20"/>
  <c r="AS39" i="4"/>
  <c r="AS15" i="18"/>
  <c r="AS5" i="18"/>
  <c r="AS12" i="18"/>
  <c r="AS41" i="7"/>
  <c r="AS14" i="7"/>
  <c r="AS88" i="7" s="1"/>
  <c r="AV79" i="7" s="1"/>
  <c r="AS7" i="7"/>
  <c r="AS9" i="7"/>
  <c r="AP419" i="20"/>
  <c r="AP427" i="20" s="1"/>
  <c r="AP103" i="20"/>
  <c r="AP97" i="20"/>
  <c r="AP258" i="20"/>
  <c r="AP293" i="20"/>
  <c r="AP227" i="14"/>
  <c r="AP233" i="14"/>
  <c r="AP98" i="20"/>
  <c r="AP61" i="20"/>
  <c r="AP62" i="20" s="1"/>
  <c r="AT57" i="7" l="1"/>
  <c r="AV64" i="7"/>
  <c r="AT59" i="7"/>
  <c r="AV66" i="7"/>
  <c r="AT56" i="7"/>
  <c r="AT49" i="7" s="1"/>
  <c r="AV63" i="7"/>
  <c r="AT58" i="7"/>
  <c r="AT51" i="7" s="1"/>
  <c r="AV65" i="7"/>
  <c r="AT263" i="4"/>
  <c r="AT55" i="7"/>
  <c r="AT48" i="7" s="1"/>
  <c r="AV62" i="7"/>
  <c r="AS55" i="18"/>
  <c r="AV61" i="18" s="1"/>
  <c r="AV28" i="18"/>
  <c r="AV90" i="7"/>
  <c r="AS74" i="5"/>
  <c r="AS212" i="4"/>
  <c r="AS211" i="4"/>
  <c r="AS263" i="4" s="1"/>
  <c r="AS158" i="2"/>
  <c r="AT89" i="5"/>
  <c r="AT60" i="5"/>
  <c r="AT212" i="4" s="1"/>
  <c r="AT158" i="2"/>
  <c r="AT43" i="2"/>
  <c r="AT37" i="2"/>
  <c r="AT50" i="7"/>
  <c r="AT52" i="7"/>
  <c r="AQ321" i="20"/>
  <c r="AS224" i="4"/>
  <c r="AS225" i="4" s="1"/>
  <c r="AT93" i="4"/>
  <c r="AT92" i="4" s="1"/>
  <c r="AT153" i="2"/>
  <c r="AS54" i="18"/>
  <c r="AV60" i="18" s="1"/>
  <c r="AS57" i="18"/>
  <c r="AV63" i="18" s="1"/>
  <c r="AS40" i="18"/>
  <c r="AS42" i="18" s="1"/>
  <c r="AS78" i="18"/>
  <c r="AS56" i="18"/>
  <c r="AV62" i="18" s="1"/>
  <c r="AS54" i="7"/>
  <c r="AV61" i="7" s="1"/>
  <c r="AS239" i="4"/>
  <c r="AS240" i="4" s="1"/>
  <c r="AS242" i="4" s="1"/>
  <c r="AS84" i="5"/>
  <c r="AS81" i="4"/>
  <c r="AS41" i="4"/>
  <c r="AS19" i="7"/>
  <c r="AS15" i="7"/>
  <c r="AP348" i="20"/>
  <c r="AP326" i="20"/>
  <c r="AS327" i="20" s="1"/>
  <c r="AP292" i="20"/>
  <c r="AT54" i="7" l="1"/>
  <c r="AV36" i="18"/>
  <c r="AV34" i="18"/>
  <c r="AV32" i="18"/>
  <c r="AT55" i="18"/>
  <c r="AS226" i="4"/>
  <c r="AT234" i="4"/>
  <c r="AT74" i="5"/>
  <c r="AT157" i="2"/>
  <c r="AT229" i="4"/>
  <c r="AT46" i="2"/>
  <c r="AT47" i="2"/>
  <c r="AP347" i="20"/>
  <c r="AQ348" i="20"/>
  <c r="AT56" i="18"/>
  <c r="AW62" i="18" s="1"/>
  <c r="AT57" i="18"/>
  <c r="AW63" i="18" s="1"/>
  <c r="AT47" i="7"/>
  <c r="AT54" i="18"/>
  <c r="AW60" i="18" s="1"/>
  <c r="BB55" i="18"/>
  <c r="BE55" i="18" s="1"/>
  <c r="BH55" i="18" s="1"/>
  <c r="BK55" i="18" s="1"/>
  <c r="AS53" i="18"/>
  <c r="AV59" i="18" s="1"/>
  <c r="AS38" i="18"/>
  <c r="AS41" i="18" s="1"/>
  <c r="AP333" i="20"/>
  <c r="AS334" i="20" s="1"/>
  <c r="AV35" i="18" l="1"/>
  <c r="AT49" i="18"/>
  <c r="AW61" i="18"/>
  <c r="AT230" i="4"/>
  <c r="AT233" i="4"/>
  <c r="AT235" i="4" s="1"/>
  <c r="AT231" i="4"/>
  <c r="BB54" i="18"/>
  <c r="AT50" i="18"/>
  <c r="AT48" i="18"/>
  <c r="AT53" i="18"/>
  <c r="AW59" i="18" s="1"/>
  <c r="AT51" i="18"/>
  <c r="AQ349" i="20"/>
  <c r="AQ347" i="20"/>
  <c r="BB57" i="18"/>
  <c r="BB56" i="18"/>
  <c r="AP162" i="14"/>
  <c r="AP93" i="14"/>
  <c r="AP86" i="14"/>
  <c r="AP77" i="14"/>
  <c r="AP500" i="20" s="1"/>
  <c r="AP70" i="14"/>
  <c r="AP69" i="14"/>
  <c r="AP375" i="20" s="1"/>
  <c r="AP65" i="14"/>
  <c r="AP64" i="14"/>
  <c r="AP62" i="14"/>
  <c r="AP57" i="14"/>
  <c r="AQ57" i="14" s="1"/>
  <c r="AQ60" i="14" s="1"/>
  <c r="AP54" i="14"/>
  <c r="AP22" i="14"/>
  <c r="AP256" i="14" s="1"/>
  <c r="AQ256" i="14" s="1"/>
  <c r="AP21" i="14"/>
  <c r="AP239" i="14" s="1"/>
  <c r="AP20" i="14"/>
  <c r="AP40" i="14" s="1"/>
  <c r="AS125" i="6"/>
  <c r="AS122" i="6"/>
  <c r="AS121" i="6"/>
  <c r="AS119" i="6"/>
  <c r="AS118" i="6"/>
  <c r="AS99" i="6"/>
  <c r="AS98" i="6"/>
  <c r="AS97" i="6"/>
  <c r="AS94" i="6"/>
  <c r="AS87" i="6"/>
  <c r="AS75" i="6"/>
  <c r="AS71" i="6"/>
  <c r="AS70" i="6"/>
  <c r="AS6" i="6"/>
  <c r="AS14" i="6" s="1"/>
  <c r="AS4" i="6"/>
  <c r="AS12" i="6" s="1"/>
  <c r="AS70" i="3"/>
  <c r="AS58" i="3"/>
  <c r="AS56" i="3"/>
  <c r="AS54" i="3"/>
  <c r="AS51" i="3"/>
  <c r="AS48" i="3"/>
  <c r="AS9" i="2" s="1"/>
  <c r="AS38" i="3"/>
  <c r="AS36" i="3"/>
  <c r="AS34" i="3"/>
  <c r="AS32" i="3"/>
  <c r="AS29" i="3"/>
  <c r="AS23" i="3"/>
  <c r="AS13" i="3"/>
  <c r="AS11" i="3"/>
  <c r="AS9" i="3"/>
  <c r="AS7" i="3"/>
  <c r="AV26" i="3" l="1"/>
  <c r="AW26" i="3" s="1"/>
  <c r="AW27" i="3" s="1"/>
  <c r="AV24" i="3"/>
  <c r="AS25" i="2"/>
  <c r="AS228" i="4" s="1"/>
  <c r="AS5" i="2"/>
  <c r="AS172" i="4" s="1"/>
  <c r="AT47" i="18"/>
  <c r="BE56" i="18"/>
  <c r="BB53" i="18"/>
  <c r="BB51" i="18" s="1"/>
  <c r="BE54" i="18"/>
  <c r="BE57" i="18"/>
  <c r="AS100" i="5"/>
  <c r="AS108" i="5" s="1"/>
  <c r="AS111" i="5" s="1"/>
  <c r="AP23" i="14"/>
  <c r="AS24" i="14" s="1"/>
  <c r="AP133" i="14"/>
  <c r="AS15" i="6"/>
  <c r="AP87" i="14"/>
  <c r="AP95" i="14" s="1"/>
  <c r="AS49" i="3"/>
  <c r="AS7" i="6"/>
  <c r="AS91" i="6"/>
  <c r="AP241" i="14"/>
  <c r="AP243" i="14"/>
  <c r="AP240" i="14"/>
  <c r="AP149" i="14"/>
  <c r="AS71" i="3"/>
  <c r="AS96" i="6"/>
  <c r="AS127" i="6"/>
  <c r="AS128" i="6"/>
  <c r="AS80" i="6"/>
  <c r="AV81" i="6" s="1"/>
  <c r="AS9" i="6"/>
  <c r="AS5" i="6"/>
  <c r="AJ307" i="20"/>
  <c r="AS151" i="4" l="1"/>
  <c r="AV27" i="3"/>
  <c r="AS162" i="4"/>
  <c r="AS122" i="2"/>
  <c r="AS174" i="4"/>
  <c r="AS7" i="2"/>
  <c r="AS16" i="2" s="1"/>
  <c r="AS153" i="4"/>
  <c r="AS26" i="2"/>
  <c r="AS33" i="2"/>
  <c r="AS98" i="5" s="1"/>
  <c r="AS99" i="5" s="1"/>
  <c r="AS130" i="2"/>
  <c r="AS8" i="2"/>
  <c r="AS99" i="4" s="1"/>
  <c r="AS139" i="4"/>
  <c r="AS98" i="4"/>
  <c r="AS142" i="2"/>
  <c r="AS10" i="2"/>
  <c r="BB48" i="18"/>
  <c r="BB40" i="18"/>
  <c r="BH56" i="18"/>
  <c r="BH57" i="18"/>
  <c r="BE53" i="18"/>
  <c r="BE40" i="18" s="1"/>
  <c r="BH54" i="18"/>
  <c r="BB49" i="18"/>
  <c r="BB59" i="18"/>
  <c r="BB50" i="18"/>
  <c r="AS112" i="5"/>
  <c r="AT112" i="5" s="1"/>
  <c r="AS115" i="5"/>
  <c r="AS92" i="6"/>
  <c r="AP98" i="14"/>
  <c r="AP99" i="14" s="1"/>
  <c r="BK175" i="6"/>
  <c r="BL175" i="6" s="1"/>
  <c r="BH175" i="6"/>
  <c r="BI175" i="6" s="1"/>
  <c r="BE175" i="6"/>
  <c r="BF175" i="6" s="1"/>
  <c r="BB175" i="6"/>
  <c r="BC175" i="6" s="1"/>
  <c r="AZ175" i="6"/>
  <c r="AW175" i="6"/>
  <c r="AW87" i="6" s="1"/>
  <c r="AT175" i="6"/>
  <c r="AR87" i="6"/>
  <c r="AS18" i="2" l="1"/>
  <c r="AS43" i="2"/>
  <c r="AS46" i="2" s="1"/>
  <c r="AS12" i="2"/>
  <c r="AS23" i="2" s="1"/>
  <c r="AS37" i="2"/>
  <c r="AS157" i="2" s="1"/>
  <c r="AT87" i="6"/>
  <c r="AQ280" i="20"/>
  <c r="BB47" i="18"/>
  <c r="BE49" i="18"/>
  <c r="BE59" i="18"/>
  <c r="BE48" i="18"/>
  <c r="BE50" i="18"/>
  <c r="BH53" i="18"/>
  <c r="BH40" i="18" s="1"/>
  <c r="BK54" i="18"/>
  <c r="BK57" i="18"/>
  <c r="BE51" i="18"/>
  <c r="BK56" i="18"/>
  <c r="AM399" i="20"/>
  <c r="AP584" i="20"/>
  <c r="AQ581" i="20" s="1"/>
  <c r="AS47" i="2" l="1"/>
  <c r="AS13" i="2"/>
  <c r="AS229" i="4"/>
  <c r="AS233" i="4" s="1"/>
  <c r="BH48" i="18"/>
  <c r="BH49" i="18"/>
  <c r="BH59" i="18"/>
  <c r="BH50" i="18"/>
  <c r="BH51" i="18"/>
  <c r="BK53" i="18"/>
  <c r="BK50" i="18" s="1"/>
  <c r="BE47" i="18"/>
  <c r="AS32" i="2"/>
  <c r="AS38" i="2" s="1"/>
  <c r="AS42" i="2" s="1"/>
  <c r="AS116" i="5" s="1"/>
  <c r="AS5" i="5"/>
  <c r="AS29" i="5" s="1"/>
  <c r="AP545" i="20"/>
  <c r="AQ542" i="20" s="1"/>
  <c r="AP466" i="20"/>
  <c r="AP477" i="20" s="1"/>
  <c r="AP578" i="20"/>
  <c r="AQ575" i="20" s="1"/>
  <c r="AP472" i="20"/>
  <c r="AP515" i="20"/>
  <c r="AQ512" i="20" s="1"/>
  <c r="AP384" i="20"/>
  <c r="AP457" i="20" s="1"/>
  <c r="AP521" i="20"/>
  <c r="AQ518" i="20" s="1"/>
  <c r="AP462" i="20"/>
  <c r="AP473" i="20" s="1"/>
  <c r="AP539" i="20"/>
  <c r="AQ536" i="20" s="1"/>
  <c r="AP476" i="20"/>
  <c r="AP572" i="20"/>
  <c r="AQ569" i="20" s="1"/>
  <c r="AP527" i="20"/>
  <c r="AQ524" i="20" s="1"/>
  <c r="AP463" i="20"/>
  <c r="AP474" i="20" s="1"/>
  <c r="AP509" i="20"/>
  <c r="AQ506" i="20" s="1"/>
  <c r="AP460" i="20"/>
  <c r="AP471" i="20" s="1"/>
  <c r="AP533" i="20"/>
  <c r="AQ530" i="20" s="1"/>
  <c r="AP464" i="20"/>
  <c r="AP475" i="20" s="1"/>
  <c r="AP551" i="20"/>
  <c r="AQ548" i="20" s="1"/>
  <c r="AP467" i="20"/>
  <c r="AP478" i="20" s="1"/>
  <c r="AP566" i="20"/>
  <c r="AQ563" i="20" s="1"/>
  <c r="AA49" i="20"/>
  <c r="AP51" i="20" s="1"/>
  <c r="AS44" i="2" l="1"/>
  <c r="AS45" i="2"/>
  <c r="BK51" i="18"/>
  <c r="BK40" i="18"/>
  <c r="BH47" i="18"/>
  <c r="BK48" i="18"/>
  <c r="BK49" i="18"/>
  <c r="BK59" i="18"/>
  <c r="AP453" i="20"/>
  <c r="AP486" i="20"/>
  <c r="AP490" i="20"/>
  <c r="AP485" i="20"/>
  <c r="AS88" i="5"/>
  <c r="AS94" i="5" s="1"/>
  <c r="AS31" i="5"/>
  <c r="AS76" i="5" s="1"/>
  <c r="AP479" i="20"/>
  <c r="AP491" i="20"/>
  <c r="AP447" i="20"/>
  <c r="AP484" i="20"/>
  <c r="AP487" i="20"/>
  <c r="AP470" i="20"/>
  <c r="AP502" i="20"/>
  <c r="AQ499" i="20" s="1"/>
  <c r="AP488" i="20"/>
  <c r="AP489" i="20"/>
  <c r="AM121" i="20"/>
  <c r="AJ121" i="20"/>
  <c r="AG121" i="20"/>
  <c r="AD121" i="20"/>
  <c r="BK47" i="18" l="1"/>
  <c r="AP480" i="20"/>
  <c r="AP492" i="20"/>
  <c r="BI310" i="20" l="1"/>
  <c r="BF310" i="20"/>
  <c r="BC310" i="20"/>
  <c r="AZ310" i="20"/>
  <c r="AW310" i="20"/>
  <c r="AT310" i="20"/>
  <c r="AH310" i="20"/>
  <c r="AG310" i="20"/>
  <c r="AK310" i="20"/>
  <c r="AJ310" i="20"/>
  <c r="AM310" i="20"/>
  <c r="AG319" i="20"/>
  <c r="BA310" i="20" l="1"/>
  <c r="AN310" i="20"/>
  <c r="AM318" i="20"/>
  <c r="AL318" i="20"/>
  <c r="AJ318" i="20"/>
  <c r="AM319" i="20"/>
  <c r="AP320" i="20" s="1"/>
  <c r="AJ319" i="20"/>
  <c r="AJ321" i="20" s="1"/>
  <c r="AL319" i="20"/>
  <c r="AO319" i="20"/>
  <c r="AO318" i="20"/>
  <c r="AM317" i="20"/>
  <c r="AL317" i="20"/>
  <c r="AJ317" i="20"/>
  <c r="AI317" i="20"/>
  <c r="AG317" i="20"/>
  <c r="AF317" i="20"/>
  <c r="AO317" i="20"/>
  <c r="AN316" i="20"/>
  <c r="AQ317" i="20" s="1"/>
  <c r="AK316" i="20"/>
  <c r="AH316" i="20"/>
  <c r="AE316" i="20"/>
  <c r="AO321" i="20" l="1"/>
  <c r="AR320" i="20"/>
  <c r="BD310" i="20"/>
  <c r="AY310" i="20"/>
  <c r="AH317" i="20"/>
  <c r="AW319" i="20"/>
  <c r="BA319" i="20"/>
  <c r="AY319" i="20" s="1"/>
  <c r="AX320" i="20"/>
  <c r="AW317" i="20"/>
  <c r="AK319" i="20"/>
  <c r="AO320" i="20"/>
  <c r="AL321" i="20"/>
  <c r="AK317" i="20"/>
  <c r="AN319" i="20"/>
  <c r="AQ320" i="20" s="1"/>
  <c r="AN317" i="20"/>
  <c r="AM321" i="20"/>
  <c r="AM320" i="20"/>
  <c r="AX182" i="20"/>
  <c r="BA182" i="20" s="1"/>
  <c r="BD182" i="20" s="1"/>
  <c r="BG182" i="20" s="1"/>
  <c r="AX181" i="20"/>
  <c r="BA181" i="20" s="1"/>
  <c r="BD181" i="20" s="1"/>
  <c r="BG181" i="20" s="1"/>
  <c r="AX180" i="20"/>
  <c r="BA180" i="20" s="1"/>
  <c r="BD180" i="20" s="1"/>
  <c r="BG180" i="20" s="1"/>
  <c r="AX179" i="20"/>
  <c r="BA179" i="20" s="1"/>
  <c r="BD179" i="20" s="1"/>
  <c r="BG179" i="20" s="1"/>
  <c r="AX178" i="20"/>
  <c r="BA178" i="20" s="1"/>
  <c r="BD178" i="20" s="1"/>
  <c r="BG178" i="20" s="1"/>
  <c r="AX177" i="20"/>
  <c r="BA177" i="20" s="1"/>
  <c r="BD177" i="20" s="1"/>
  <c r="BG177" i="20" s="1"/>
  <c r="AX176" i="20"/>
  <c r="BA176" i="20" s="1"/>
  <c r="BD176" i="20" s="1"/>
  <c r="BG176" i="20" s="1"/>
  <c r="AX175" i="20"/>
  <c r="BA175" i="20" s="1"/>
  <c r="BD175" i="20" s="1"/>
  <c r="BG175" i="20" s="1"/>
  <c r="AR174" i="20"/>
  <c r="AX174" i="20" s="1"/>
  <c r="BA174" i="20" s="1"/>
  <c r="BD174" i="20" s="1"/>
  <c r="BG174" i="20" s="1"/>
  <c r="AO174" i="20"/>
  <c r="AL174" i="20"/>
  <c r="AI174" i="20"/>
  <c r="AF174" i="20"/>
  <c r="AC174" i="20"/>
  <c r="AP63" i="20" l="1"/>
  <c r="BB310" i="20"/>
  <c r="BG310" i="20"/>
  <c r="AV320" i="20"/>
  <c r="AY320" i="20"/>
  <c r="AZ319" i="20"/>
  <c r="AZ320" i="20" s="1"/>
  <c r="BA320" i="20"/>
  <c r="AN320" i="20"/>
  <c r="AT319" i="20"/>
  <c r="BD319" i="20"/>
  <c r="BB319" i="20" s="1"/>
  <c r="AZ317" i="20"/>
  <c r="AY317" i="20"/>
  <c r="BD317" i="20"/>
  <c r="AT320" i="20" l="1"/>
  <c r="AS63" i="20"/>
  <c r="AP59" i="20"/>
  <c r="BJ310" i="20"/>
  <c r="BH310" i="20" s="1"/>
  <c r="BE310" i="20"/>
  <c r="BG319" i="20"/>
  <c r="BJ319" i="20" s="1"/>
  <c r="BD320" i="20"/>
  <c r="AW320" i="20"/>
  <c r="AY316" i="20"/>
  <c r="AV323" i="20"/>
  <c r="BC319" i="20"/>
  <c r="BC320" i="20" s="1"/>
  <c r="BB320" i="20"/>
  <c r="BB317" i="20"/>
  <c r="BG317" i="20"/>
  <c r="BC317" i="20"/>
  <c r="AS59" i="20" l="1"/>
  <c r="AS68" i="20" s="1"/>
  <c r="BE319" i="20"/>
  <c r="BE320" i="20" s="1"/>
  <c r="AP66" i="20"/>
  <c r="AP67" i="20"/>
  <c r="AP68" i="20"/>
  <c r="BG320" i="20"/>
  <c r="BH319" i="20"/>
  <c r="BJ320" i="20"/>
  <c r="BJ317" i="20"/>
  <c r="BF317" i="20"/>
  <c r="BE317" i="20"/>
  <c r="AY322" i="20"/>
  <c r="AY323" i="20" s="1"/>
  <c r="BB316" i="20"/>
  <c r="AS67" i="20" l="1"/>
  <c r="AS66" i="20"/>
  <c r="BF319" i="20"/>
  <c r="BF320" i="20" s="1"/>
  <c r="BH320" i="20"/>
  <c r="BH317" i="20"/>
  <c r="BI317" i="20"/>
  <c r="BI319" i="20"/>
  <c r="BB322" i="20"/>
  <c r="BB323" i="20" s="1"/>
  <c r="BE316" i="20"/>
  <c r="BE322" i="20" s="1"/>
  <c r="BI320" i="20" l="1"/>
  <c r="BE323" i="20"/>
  <c r="BH316" i="20"/>
  <c r="BH322" i="20" s="1"/>
  <c r="BH323" i="20" s="1"/>
  <c r="BA341" i="20" l="1"/>
  <c r="BD341" i="20" s="1"/>
  <c r="BG341" i="20" s="1"/>
  <c r="BJ341" i="20" s="1"/>
  <c r="BH341" i="20" s="1"/>
  <c r="A339" i="20"/>
  <c r="BD331" i="20"/>
  <c r="BG331" i="20" l="1"/>
  <c r="BB331" i="20"/>
  <c r="AY341" i="20"/>
  <c r="BE341" i="20"/>
  <c r="BB341" i="20"/>
  <c r="AY340" i="20"/>
  <c r="AM582" i="20"/>
  <c r="AJ582" i="20"/>
  <c r="AG582" i="20"/>
  <c r="AY583" i="20"/>
  <c r="AZ583" i="20" s="1"/>
  <c r="AC582" i="20"/>
  <c r="AC581" i="20"/>
  <c r="AO399" i="20"/>
  <c r="AL399" i="20"/>
  <c r="AL584" i="20" s="1"/>
  <c r="AM581" i="20" s="1"/>
  <c r="AI399" i="20"/>
  <c r="AL581" i="20" s="1"/>
  <c r="AF399" i="20"/>
  <c r="AI581" i="20" s="1"/>
  <c r="AC399" i="20"/>
  <c r="AC584" i="20" s="1"/>
  <c r="AO582" i="20"/>
  <c r="AL582" i="20"/>
  <c r="AI582" i="20"/>
  <c r="AF582" i="20"/>
  <c r="AM93" i="14"/>
  <c r="AJ93" i="14"/>
  <c r="AI93" i="14"/>
  <c r="AG93" i="14"/>
  <c r="AC93" i="14"/>
  <c r="AA93" i="14"/>
  <c r="Z93" i="14"/>
  <c r="X93" i="14"/>
  <c r="W93" i="14"/>
  <c r="U93" i="14"/>
  <c r="T93" i="14"/>
  <c r="S93" i="14"/>
  <c r="R93" i="14"/>
  <c r="Q93" i="14"/>
  <c r="P93" i="14"/>
  <c r="O93" i="14"/>
  <c r="N93" i="14"/>
  <c r="M93" i="14"/>
  <c r="L93" i="14"/>
  <c r="K93" i="14"/>
  <c r="J93" i="14"/>
  <c r="I93" i="14"/>
  <c r="H93" i="14"/>
  <c r="G93" i="14"/>
  <c r="F93" i="14"/>
  <c r="E93" i="14"/>
  <c r="D93" i="14"/>
  <c r="C93" i="14"/>
  <c r="B93" i="14"/>
  <c r="AO228" i="20"/>
  <c r="AM228" i="20"/>
  <c r="AL228" i="20"/>
  <c r="AJ228" i="20"/>
  <c r="AI228" i="20"/>
  <c r="AG228" i="20"/>
  <c r="AF228" i="20"/>
  <c r="AT113" i="20"/>
  <c r="BA113" i="20"/>
  <c r="BD113" i="20" s="1"/>
  <c r="AC307" i="20"/>
  <c r="BA582" i="20"/>
  <c r="AX582" i="20"/>
  <c r="AR311" i="20" l="1"/>
  <c r="AU311" i="20"/>
  <c r="AM584" i="20"/>
  <c r="AN581" i="20" s="1"/>
  <c r="AR581" i="20"/>
  <c r="BJ331" i="20"/>
  <c r="BH331" i="20" s="1"/>
  <c r="BE331" i="20"/>
  <c r="BD582" i="20"/>
  <c r="AF311" i="20"/>
  <c r="AC311" i="20"/>
  <c r="BA344" i="20"/>
  <c r="BB340" i="20"/>
  <c r="AF400" i="20"/>
  <c r="AB399" i="20"/>
  <c r="AN399" i="20"/>
  <c r="AN584" i="20" s="1"/>
  <c r="AO584" i="20"/>
  <c r="AP581" i="20" s="1"/>
  <c r="AE399" i="20"/>
  <c r="AE584" i="20" s="1"/>
  <c r="AC583" i="20"/>
  <c r="AK399" i="20"/>
  <c r="AK584" i="20" s="1"/>
  <c r="AA399" i="20"/>
  <c r="AO581" i="20"/>
  <c r="AD581" i="20"/>
  <c r="AF581" i="20"/>
  <c r="AF584" i="20"/>
  <c r="AC585" i="20"/>
  <c r="AD399" i="20"/>
  <c r="AD584" i="20" s="1"/>
  <c r="AE581" i="20" s="1"/>
  <c r="AL585" i="20"/>
  <c r="AL583" i="20"/>
  <c r="AG399" i="20"/>
  <c r="AG584" i="20" s="1"/>
  <c r="AH581" i="20" s="1"/>
  <c r="AH399" i="20"/>
  <c r="AH584" i="20" s="1"/>
  <c r="AI584" i="20"/>
  <c r="AJ399" i="20"/>
  <c r="AJ584" i="20" s="1"/>
  <c r="AK581" i="20" s="1"/>
  <c r="AY113" i="20"/>
  <c r="AZ113" i="20" s="1"/>
  <c r="BG113" i="20"/>
  <c r="BB113" i="20"/>
  <c r="BC113" i="20" s="1"/>
  <c r="AM585" i="20" l="1"/>
  <c r="AM583" i="20"/>
  <c r="AR585" i="20"/>
  <c r="AR583" i="20"/>
  <c r="BJ582" i="20"/>
  <c r="BG582" i="20"/>
  <c r="BD344" i="20"/>
  <c r="AY344" i="20"/>
  <c r="BE340" i="20"/>
  <c r="AN585" i="20"/>
  <c r="AO585" i="20"/>
  <c r="AO583" i="20"/>
  <c r="AE585" i="20"/>
  <c r="AK585" i="20"/>
  <c r="AD585" i="20"/>
  <c r="AH585" i="20"/>
  <c r="AI583" i="20"/>
  <c r="AJ581" i="20"/>
  <c r="AJ585" i="20" s="1"/>
  <c r="AF583" i="20"/>
  <c r="AG581" i="20"/>
  <c r="AI585" i="20"/>
  <c r="AF585" i="20"/>
  <c r="BE113" i="20"/>
  <c r="BF113" i="20" s="1"/>
  <c r="BJ113" i="20"/>
  <c r="BG344" i="20" l="1"/>
  <c r="BB344" i="20"/>
  <c r="BH340" i="20"/>
  <c r="AJ583" i="20"/>
  <c r="AG585" i="20"/>
  <c r="AG583" i="20"/>
  <c r="BH113" i="20"/>
  <c r="BI113" i="20" s="1"/>
  <c r="BJ344" i="20" l="1"/>
  <c r="BH344" i="20" s="1"/>
  <c r="BE344" i="20"/>
  <c r="AM397" i="20" l="1"/>
  <c r="AM398" i="20"/>
  <c r="AM396" i="20"/>
  <c r="AM395" i="20"/>
  <c r="AM392" i="20"/>
  <c r="AM391" i="20"/>
  <c r="AM390" i="20"/>
  <c r="AM389" i="20"/>
  <c r="AM388" i="20"/>
  <c r="AM387" i="20"/>
  <c r="AM386" i="20"/>
  <c r="AM385" i="20"/>
  <c r="AM460" i="20" s="1"/>
  <c r="AM383" i="20"/>
  <c r="AM382" i="20"/>
  <c r="B9" i="54"/>
  <c r="B11" i="54" s="1"/>
  <c r="B13" i="54" s="1"/>
  <c r="B15" i="54" s="1"/>
  <c r="BD130" i="2"/>
  <c r="BD45" i="3"/>
  <c r="BG45" i="3" s="1"/>
  <c r="BJ45" i="3" s="1"/>
  <c r="BM45" i="3" s="1"/>
  <c r="BD9" i="18"/>
  <c r="BG9" i="18" s="1"/>
  <c r="BJ9" i="18" s="1"/>
  <c r="BM9" i="18" s="1"/>
  <c r="AO107" i="20"/>
  <c r="AM400" i="20" l="1"/>
  <c r="BG63" i="7"/>
  <c r="BB63" i="7" l="1"/>
  <c r="BB62" i="7"/>
  <c r="BG62" i="7"/>
  <c r="BJ63" i="7"/>
  <c r="BE63" i="7"/>
  <c r="BM63" i="7" l="1"/>
  <c r="BK63" i="7" s="1"/>
  <c r="BH63" i="7"/>
  <c r="BE62" i="7"/>
  <c r="BJ62" i="7"/>
  <c r="BM62" i="7" l="1"/>
  <c r="BK62" i="7" s="1"/>
  <c r="BH62" i="7"/>
  <c r="BJ12" i="6" l="1"/>
  <c r="BM12" i="6" s="1"/>
  <c r="AN381" i="20"/>
  <c r="AM384" i="20"/>
  <c r="AO94" i="20"/>
  <c r="AO87" i="20"/>
  <c r="BA151" i="20"/>
  <c r="BD151" i="20" s="1"/>
  <c r="BG151" i="20" s="1"/>
  <c r="BJ151" i="20" s="1"/>
  <c r="Z139" i="20"/>
  <c r="AC139" i="20" s="1"/>
  <c r="AF185" i="20"/>
  <c r="AI185" i="20" s="1"/>
  <c r="AL185" i="20" s="1"/>
  <c r="AO185" i="20" s="1"/>
  <c r="AR185" i="20" s="1"/>
  <c r="A139" i="20"/>
  <c r="A151" i="20" s="1"/>
  <c r="A163" i="20" s="1"/>
  <c r="A174" i="20" s="1"/>
  <c r="A185" i="20" s="1"/>
  <c r="AM267" i="20"/>
  <c r="BA538" i="20"/>
  <c r="BA520" i="20"/>
  <c r="BA508" i="20"/>
  <c r="BD508" i="20" s="1"/>
  <c r="BD463" i="20"/>
  <c r="BA462" i="20"/>
  <c r="AO383" i="20"/>
  <c r="AO382" i="20"/>
  <c r="AN382" i="20" s="1"/>
  <c r="AO398" i="20"/>
  <c r="AO397" i="20"/>
  <c r="AO396" i="20"/>
  <c r="AO395" i="20"/>
  <c r="AO392" i="20"/>
  <c r="AO391" i="20"/>
  <c r="AO390" i="20"/>
  <c r="AO389" i="20"/>
  <c r="AO388" i="20"/>
  <c r="AO387" i="20"/>
  <c r="AO462" i="20" s="1"/>
  <c r="AO386" i="20"/>
  <c r="AO385" i="20"/>
  <c r="AC70" i="14"/>
  <c r="Z70" i="14"/>
  <c r="Y70" i="14"/>
  <c r="X70" i="14"/>
  <c r="W70" i="14"/>
  <c r="V70" i="14"/>
  <c r="U70" i="14"/>
  <c r="T70" i="14"/>
  <c r="S70" i="14"/>
  <c r="R70" i="14"/>
  <c r="Q70" i="14"/>
  <c r="BJ70" i="14"/>
  <c r="BG70" i="14"/>
  <c r="BD70" i="14"/>
  <c r="BA70" i="14"/>
  <c r="AX70" i="14"/>
  <c r="AU70" i="14"/>
  <c r="AO70" i="14"/>
  <c r="AM70" i="14"/>
  <c r="AL70" i="14"/>
  <c r="AJ70" i="14"/>
  <c r="AI70" i="14"/>
  <c r="AG70" i="14"/>
  <c r="AF70" i="14"/>
  <c r="AU185" i="20" l="1"/>
  <c r="AX185" i="20" s="1"/>
  <c r="BA185" i="20" s="1"/>
  <c r="BD185" i="20" s="1"/>
  <c r="BG185" i="20" s="1"/>
  <c r="BJ185" i="20" s="1"/>
  <c r="AO400" i="20"/>
  <c r="AN383" i="20"/>
  <c r="A196" i="20"/>
  <c r="A207" i="20" s="1"/>
  <c r="AF139" i="20"/>
  <c r="AO384" i="20"/>
  <c r="BB463" i="20"/>
  <c r="BC463" i="20"/>
  <c r="BG463" i="20"/>
  <c r="AI139" i="20" l="1"/>
  <c r="BJ463" i="20"/>
  <c r="BF463" i="20"/>
  <c r="BE463" i="20"/>
  <c r="AL139" i="20" l="1"/>
  <c r="BI463" i="20"/>
  <c r="BH463" i="20"/>
  <c r="AO139" i="20" l="1"/>
  <c r="AR139" i="20" l="1"/>
  <c r="AU139" i="20" l="1"/>
  <c r="AX139" i="20" l="1"/>
  <c r="AX127" i="20" s="1"/>
  <c r="BA139" i="20" l="1"/>
  <c r="BD139" i="20" l="1"/>
  <c r="BG139" i="20" l="1"/>
  <c r="BJ139" i="20" l="1"/>
  <c r="AV123" i="14" l="1"/>
  <c r="AV117" i="14" s="1"/>
  <c r="AV119" i="14" s="1"/>
  <c r="AV125" i="14" s="1"/>
  <c r="AS123" i="14"/>
  <c r="AS117" i="14" s="1"/>
  <c r="AT117" i="14" s="1"/>
  <c r="AS124" i="14"/>
  <c r="AS118" i="14" s="1"/>
  <c r="AT118" i="14" s="1"/>
  <c r="AS122" i="14"/>
  <c r="AS116" i="14" s="1"/>
  <c r="BJ125" i="14"/>
  <c r="BH125" i="14" s="1"/>
  <c r="BJ124" i="14"/>
  <c r="BH124" i="14" s="1"/>
  <c r="BG123" i="14"/>
  <c r="BJ123" i="14" s="1"/>
  <c r="BH123" i="14" s="1"/>
  <c r="BB122" i="14"/>
  <c r="AY122" i="14"/>
  <c r="BH81" i="14"/>
  <c r="BI81" i="14" s="1"/>
  <c r="BE81" i="14"/>
  <c r="BF81" i="14" s="1"/>
  <c r="BB81" i="14"/>
  <c r="BC81" i="14" s="1"/>
  <c r="AY81" i="14"/>
  <c r="AZ81" i="14" s="1"/>
  <c r="AT81" i="14"/>
  <c r="BH79" i="14"/>
  <c r="BI79" i="14" s="1"/>
  <c r="BE79" i="14"/>
  <c r="BF79" i="14" s="1"/>
  <c r="BB79" i="14"/>
  <c r="BC79" i="14" s="1"/>
  <c r="AY79" i="14"/>
  <c r="AZ79" i="14" s="1"/>
  <c r="AT79" i="14"/>
  <c r="A126" i="14"/>
  <c r="A123" i="14"/>
  <c r="A124" i="14"/>
  <c r="A125" i="14"/>
  <c r="A122" i="14"/>
  <c r="A151" i="14"/>
  <c r="A150" i="14"/>
  <c r="A149" i="14"/>
  <c r="A148" i="14"/>
  <c r="A147" i="14"/>
  <c r="A146" i="14"/>
  <c r="A145" i="14"/>
  <c r="A144" i="14"/>
  <c r="A143" i="14"/>
  <c r="A142" i="14"/>
  <c r="A141" i="14"/>
  <c r="A140" i="14"/>
  <c r="A139" i="14"/>
  <c r="A138" i="14"/>
  <c r="A137" i="14"/>
  <c r="A136" i="14"/>
  <c r="A135" i="14"/>
  <c r="A134" i="14"/>
  <c r="A133" i="14"/>
  <c r="A132" i="14"/>
  <c r="A131" i="14"/>
  <c r="A130" i="14"/>
  <c r="AR97" i="3"/>
  <c r="AR83" i="3"/>
  <c r="AU84" i="3" s="1"/>
  <c r="AR120" i="5"/>
  <c r="AR118" i="5"/>
  <c r="AQ113" i="5"/>
  <c r="AR107" i="5"/>
  <c r="AR105" i="5"/>
  <c r="AR104" i="5"/>
  <c r="AR119" i="5" s="1"/>
  <c r="AQ110" i="5"/>
  <c r="AQ109" i="5"/>
  <c r="AQ106" i="5"/>
  <c r="AR93" i="5"/>
  <c r="AR92" i="5"/>
  <c r="AR90" i="5"/>
  <c r="AQ81" i="5"/>
  <c r="AQ80" i="5"/>
  <c r="AQ79" i="5"/>
  <c r="AR70" i="5"/>
  <c r="AQ70" i="5" s="1"/>
  <c r="AR62" i="5"/>
  <c r="AQ73" i="5"/>
  <c r="AQ72" i="5"/>
  <c r="AR71" i="5"/>
  <c r="AQ69" i="5"/>
  <c r="AQ68" i="5"/>
  <c r="AQ67" i="5"/>
  <c r="AQ66" i="5"/>
  <c r="AR65" i="5"/>
  <c r="AQ64" i="5"/>
  <c r="AQ63" i="5"/>
  <c r="AQ61" i="5"/>
  <c r="AQ59" i="5"/>
  <c r="AQ92" i="5" s="1"/>
  <c r="AQ58" i="5"/>
  <c r="AQ57" i="5"/>
  <c r="AR56" i="5"/>
  <c r="AQ53" i="5"/>
  <c r="AQ52" i="5"/>
  <c r="AQ51" i="5"/>
  <c r="AQ50" i="5"/>
  <c r="AR49" i="5"/>
  <c r="AQ48" i="5"/>
  <c r="AQ47" i="5"/>
  <c r="AQ46" i="5"/>
  <c r="AQ45" i="5"/>
  <c r="AQ44" i="5"/>
  <c r="AQ43" i="5"/>
  <c r="AQ42" i="5"/>
  <c r="AR41" i="5"/>
  <c r="AQ40" i="5"/>
  <c r="AQ36" i="5"/>
  <c r="AQ35" i="5"/>
  <c r="AR34" i="5"/>
  <c r="AQ33" i="5"/>
  <c r="AQ28" i="5"/>
  <c r="AQ27" i="5"/>
  <c r="AQ26" i="5"/>
  <c r="AQ25" i="5"/>
  <c r="AR24" i="5"/>
  <c r="AQ23" i="5"/>
  <c r="AQ22" i="5"/>
  <c r="AQ21" i="5"/>
  <c r="AQ20" i="5"/>
  <c r="AR19" i="5"/>
  <c r="AQ18" i="5"/>
  <c r="AQ17" i="5"/>
  <c r="AQ11" i="5"/>
  <c r="AR10" i="5"/>
  <c r="AR9" i="5" s="1"/>
  <c r="AQ8" i="5"/>
  <c r="AQ7" i="5"/>
  <c r="AQ258" i="4"/>
  <c r="AR256" i="4"/>
  <c r="AQ255" i="4"/>
  <c r="AQ254" i="4"/>
  <c r="AQ253" i="4"/>
  <c r="AQ252" i="4"/>
  <c r="AQ250" i="4"/>
  <c r="AR249" i="4"/>
  <c r="AR251" i="4" s="1"/>
  <c r="AQ248" i="4"/>
  <c r="AQ247" i="4"/>
  <c r="AQ246" i="4"/>
  <c r="AR238" i="4"/>
  <c r="AR223" i="4"/>
  <c r="AR222" i="4"/>
  <c r="AR221" i="4"/>
  <c r="AR207" i="4"/>
  <c r="AQ205" i="4"/>
  <c r="AR202" i="4"/>
  <c r="AQ201" i="4"/>
  <c r="AQ200" i="4"/>
  <c r="AQ199" i="4"/>
  <c r="AQ197" i="4"/>
  <c r="AQ196" i="4"/>
  <c r="AQ195" i="4"/>
  <c r="AQ194" i="4"/>
  <c r="AQ191" i="4"/>
  <c r="AQ190" i="4"/>
  <c r="AR189" i="4"/>
  <c r="AR192" i="4" s="1"/>
  <c r="AR187" i="4"/>
  <c r="AQ186" i="4"/>
  <c r="AQ185" i="4"/>
  <c r="AQ184" i="4"/>
  <c r="AQ183" i="4"/>
  <c r="AQ182" i="4"/>
  <c r="AQ181" i="4"/>
  <c r="AQ180" i="4"/>
  <c r="AR176" i="4"/>
  <c r="AQ173" i="4"/>
  <c r="AQ171" i="4"/>
  <c r="AQ38" i="5"/>
  <c r="AR164" i="4"/>
  <c r="AR161" i="4"/>
  <c r="AQ154" i="4"/>
  <c r="AQ148" i="4"/>
  <c r="AQ147" i="4"/>
  <c r="AQ146" i="4"/>
  <c r="AR145" i="4"/>
  <c r="AR149" i="4" s="1"/>
  <c r="AQ144" i="4"/>
  <c r="AQ143" i="4"/>
  <c r="AQ142" i="4"/>
  <c r="AQ141" i="4"/>
  <c r="AQ137" i="4"/>
  <c r="AQ135" i="4"/>
  <c r="AQ134" i="4"/>
  <c r="AQ133" i="4"/>
  <c r="AR132" i="4"/>
  <c r="AR136" i="4" s="1"/>
  <c r="AR138" i="4" s="1"/>
  <c r="AQ131" i="4"/>
  <c r="AQ130" i="4"/>
  <c r="AQ129" i="4"/>
  <c r="AQ128" i="4"/>
  <c r="AR125" i="4"/>
  <c r="AR241" i="4" s="1"/>
  <c r="AR124" i="4"/>
  <c r="AQ123" i="4"/>
  <c r="AQ122" i="4"/>
  <c r="AQ121" i="4"/>
  <c r="AR120" i="4"/>
  <c r="AQ119" i="4"/>
  <c r="AQ118" i="4"/>
  <c r="AQ117" i="4"/>
  <c r="AQ116" i="4"/>
  <c r="AQ125" i="4" s="1"/>
  <c r="AQ219" i="4" s="1"/>
  <c r="AQ89" i="4"/>
  <c r="AR85" i="4"/>
  <c r="AR80" i="4" s="1"/>
  <c r="AQ84" i="4"/>
  <c r="AQ83" i="4"/>
  <c r="AR76" i="4"/>
  <c r="AQ64" i="4"/>
  <c r="AQ63" i="4"/>
  <c r="AR65" i="4"/>
  <c r="AQ70" i="4"/>
  <c r="AQ68" i="4"/>
  <c r="AQ67" i="4"/>
  <c r="AQ66" i="4"/>
  <c r="AQ59" i="4"/>
  <c r="AR57" i="4"/>
  <c r="AR56" i="4"/>
  <c r="AR55" i="4"/>
  <c r="AU214" i="4" s="1"/>
  <c r="AR33" i="4"/>
  <c r="AR38" i="4" s="1"/>
  <c r="AR26" i="4"/>
  <c r="AQ26" i="4" s="1"/>
  <c r="AR15" i="4"/>
  <c r="AR77" i="4" s="1"/>
  <c r="AQ50" i="4"/>
  <c r="AQ238" i="4" s="1"/>
  <c r="AR49" i="4"/>
  <c r="AR51" i="4" s="1"/>
  <c r="AQ48" i="4"/>
  <c r="AQ47" i="4"/>
  <c r="AQ46" i="4"/>
  <c r="AQ45" i="4"/>
  <c r="AQ44" i="4"/>
  <c r="AQ43" i="4"/>
  <c r="AQ37" i="4"/>
  <c r="AQ36" i="4"/>
  <c r="AQ35" i="4"/>
  <c r="AQ34" i="4"/>
  <c r="AQ32" i="4"/>
  <c r="AQ31" i="4"/>
  <c r="AQ29" i="4"/>
  <c r="AQ28" i="4"/>
  <c r="AQ27" i="4"/>
  <c r="AQ25" i="4"/>
  <c r="AQ24" i="4"/>
  <c r="AQ20" i="4"/>
  <c r="AQ19" i="4"/>
  <c r="AQ55" i="4" s="1"/>
  <c r="AQ18" i="4"/>
  <c r="AQ56" i="4" s="1"/>
  <c r="AQ17" i="4"/>
  <c r="AQ16" i="4"/>
  <c r="AQ14" i="4"/>
  <c r="AQ76" i="4" s="1"/>
  <c r="AR13" i="4"/>
  <c r="AQ12" i="4"/>
  <c r="AQ11" i="4"/>
  <c r="AQ10" i="4"/>
  <c r="AQ9" i="4"/>
  <c r="AQ8" i="4"/>
  <c r="AQ222" i="4" s="1"/>
  <c r="AQ7" i="4"/>
  <c r="AQ6" i="4"/>
  <c r="AQ221" i="4" s="1"/>
  <c r="AQ5" i="4"/>
  <c r="AQ124" i="4" s="1"/>
  <c r="AQ30" i="5"/>
  <c r="AQ90" i="5" s="1"/>
  <c r="AR154" i="2"/>
  <c r="AR153" i="2"/>
  <c r="AQ71" i="2"/>
  <c r="AQ70" i="2"/>
  <c r="AQ67" i="2"/>
  <c r="AQ66" i="2"/>
  <c r="AR62" i="2"/>
  <c r="AQ60" i="2"/>
  <c r="AR56" i="2"/>
  <c r="AQ52" i="2"/>
  <c r="AR51" i="2"/>
  <c r="AQ49" i="2"/>
  <c r="AQ41" i="2"/>
  <c r="AQ40" i="2"/>
  <c r="AQ39" i="2"/>
  <c r="AR36" i="2"/>
  <c r="AQ35" i="2"/>
  <c r="AQ154" i="2" s="1"/>
  <c r="AR30" i="2"/>
  <c r="AQ29" i="2"/>
  <c r="AQ28" i="2"/>
  <c r="AQ27" i="2"/>
  <c r="AQ17" i="2"/>
  <c r="AQ22" i="2"/>
  <c r="AQ21" i="2"/>
  <c r="AQ20" i="2"/>
  <c r="AQ19" i="2"/>
  <c r="AQ15" i="2"/>
  <c r="AQ14" i="2"/>
  <c r="AQ11" i="2"/>
  <c r="AQ147" i="2"/>
  <c r="AR145" i="2"/>
  <c r="AR144" i="2"/>
  <c r="AR143" i="2"/>
  <c r="AQ139" i="2"/>
  <c r="AR134" i="2"/>
  <c r="AR138" i="2" s="1"/>
  <c r="AR141" i="2" s="1"/>
  <c r="AQ133" i="2"/>
  <c r="AQ132" i="2"/>
  <c r="AQ131" i="2"/>
  <c r="AQ129" i="2"/>
  <c r="AQ101" i="5"/>
  <c r="AQ16" i="5"/>
  <c r="AR15" i="5"/>
  <c r="AR12" i="5" s="1"/>
  <c r="AQ14" i="5"/>
  <c r="AQ13" i="5"/>
  <c r="AR117" i="2"/>
  <c r="AR116" i="2"/>
  <c r="AR150" i="4" s="1"/>
  <c r="AR103" i="2"/>
  <c r="AR109" i="2" s="1"/>
  <c r="AQ108" i="2"/>
  <c r="AQ107" i="2"/>
  <c r="AQ106" i="2"/>
  <c r="AQ105" i="2"/>
  <c r="AQ104" i="2"/>
  <c r="AQ102" i="2"/>
  <c r="AR97" i="2"/>
  <c r="AQ99" i="2"/>
  <c r="AQ98" i="2"/>
  <c r="AQ96" i="2"/>
  <c r="AQ95" i="2"/>
  <c r="AQ94" i="2"/>
  <c r="AQ93" i="2"/>
  <c r="AR92" i="2"/>
  <c r="AQ91" i="2"/>
  <c r="AQ90" i="2"/>
  <c r="AQ117" i="2" s="1"/>
  <c r="AQ89" i="2"/>
  <c r="AQ116" i="2" s="1"/>
  <c r="AQ150" i="4" s="1"/>
  <c r="AQ88" i="2"/>
  <c r="AQ87" i="2"/>
  <c r="AQ86" i="2"/>
  <c r="AQ85" i="2"/>
  <c r="AQ84" i="2"/>
  <c r="AR82" i="2"/>
  <c r="AQ81" i="2"/>
  <c r="AQ80" i="2"/>
  <c r="AQ79" i="2"/>
  <c r="AQ78" i="2"/>
  <c r="AO578" i="20"/>
  <c r="AR575" i="20" s="1"/>
  <c r="AO576" i="20"/>
  <c r="AO572" i="20"/>
  <c r="AR569" i="20" s="1"/>
  <c r="AO570" i="20"/>
  <c r="AO566" i="20"/>
  <c r="AR563" i="20" s="1"/>
  <c r="AR567" i="20" s="1"/>
  <c r="AO558" i="20"/>
  <c r="AO551" i="20"/>
  <c r="AR548" i="20" s="1"/>
  <c r="AO549" i="20"/>
  <c r="AO545" i="20"/>
  <c r="AR542" i="20" s="1"/>
  <c r="AO543" i="20"/>
  <c r="AO539" i="20"/>
  <c r="AR536" i="20" s="1"/>
  <c r="AO537" i="20"/>
  <c r="AO533" i="20"/>
  <c r="AR530" i="20" s="1"/>
  <c r="AO531" i="20"/>
  <c r="AO527" i="20"/>
  <c r="AR524" i="20" s="1"/>
  <c r="AO525" i="20"/>
  <c r="AO521" i="20"/>
  <c r="AR518" i="20" s="1"/>
  <c r="AO519" i="20"/>
  <c r="AO515" i="20"/>
  <c r="AO513" i="20"/>
  <c r="AO509" i="20"/>
  <c r="AO507" i="20"/>
  <c r="AO502" i="20"/>
  <c r="G8" i="53"/>
  <c r="G4" i="53"/>
  <c r="AO467" i="20"/>
  <c r="AO478" i="20" s="1"/>
  <c r="AO466" i="20"/>
  <c r="AO477" i="20" s="1"/>
  <c r="AO465" i="20"/>
  <c r="AO476" i="20" s="1"/>
  <c r="AO464" i="20"/>
  <c r="AO475" i="20" s="1"/>
  <c r="AO463" i="20"/>
  <c r="AO474" i="20" s="1"/>
  <c r="AO473" i="20"/>
  <c r="AO461" i="20"/>
  <c r="AO472" i="20" s="1"/>
  <c r="AR165" i="20" s="1"/>
  <c r="AO486" i="20"/>
  <c r="AT116" i="14" l="1"/>
  <c r="AS119" i="14"/>
  <c r="AW79" i="14"/>
  <c r="AV513" i="20"/>
  <c r="AV162" i="14"/>
  <c r="AT525" i="20"/>
  <c r="AT172" i="14"/>
  <c r="AW81" i="14"/>
  <c r="AV525" i="20"/>
  <c r="AT513" i="20"/>
  <c r="AT162" i="14"/>
  <c r="AS158" i="4"/>
  <c r="AU158" i="4"/>
  <c r="AS170" i="4"/>
  <c r="AS175" i="4" s="1"/>
  <c r="AU170" i="4"/>
  <c r="AU175" i="4" s="1"/>
  <c r="AS215" i="4"/>
  <c r="AU215" i="4"/>
  <c r="AP506" i="20"/>
  <c r="AP510" i="20" s="1"/>
  <c r="AR506" i="20"/>
  <c r="AR522" i="20"/>
  <c r="AR520" i="20"/>
  <c r="AR534" i="20"/>
  <c r="AR532" i="20"/>
  <c r="AR546" i="20"/>
  <c r="AR544" i="20"/>
  <c r="AR579" i="20"/>
  <c r="AR577" i="20"/>
  <c r="AP499" i="20"/>
  <c r="AP501" i="20" s="1"/>
  <c r="AR499" i="20"/>
  <c r="AP512" i="20"/>
  <c r="AP516" i="20" s="1"/>
  <c r="AR512" i="20"/>
  <c r="AR528" i="20"/>
  <c r="AR526" i="20"/>
  <c r="AR540" i="20"/>
  <c r="AR538" i="20"/>
  <c r="AR552" i="20"/>
  <c r="AR550" i="20"/>
  <c r="AR573" i="20"/>
  <c r="AR571" i="20"/>
  <c r="AS214" i="4"/>
  <c r="AO490" i="20"/>
  <c r="AO485" i="20"/>
  <c r="AO489" i="20"/>
  <c r="AP503" i="20"/>
  <c r="AR31" i="2"/>
  <c r="AO491" i="20"/>
  <c r="AO488" i="20"/>
  <c r="AO487" i="20"/>
  <c r="AQ223" i="4"/>
  <c r="AY124" i="14"/>
  <c r="AY125" i="14"/>
  <c r="BB125" i="14"/>
  <c r="BE125" i="14"/>
  <c r="BE124" i="14"/>
  <c r="BB124" i="14"/>
  <c r="AY123" i="14"/>
  <c r="BB123" i="14"/>
  <c r="BE123" i="14"/>
  <c r="AO554" i="20"/>
  <c r="AR99" i="3"/>
  <c r="AQ15" i="4"/>
  <c r="AQ77" i="4" s="1"/>
  <c r="AR21" i="4"/>
  <c r="AR22" i="4" s="1"/>
  <c r="AQ132" i="4"/>
  <c r="AQ136" i="4" s="1"/>
  <c r="AR126" i="4"/>
  <c r="AQ57" i="4"/>
  <c r="AQ58" i="4" s="1"/>
  <c r="AQ60" i="4" s="1"/>
  <c r="AQ120" i="5"/>
  <c r="AQ145" i="4"/>
  <c r="AQ149" i="4" s="1"/>
  <c r="AQ152" i="4" s="1"/>
  <c r="AQ93" i="5"/>
  <c r="AR100" i="2"/>
  <c r="AR24" i="2" s="1"/>
  <c r="AQ33" i="4"/>
  <c r="AQ78" i="4" s="1"/>
  <c r="AQ220" i="4"/>
  <c r="AQ56" i="5"/>
  <c r="AQ71" i="5"/>
  <c r="AR78" i="4"/>
  <c r="AR79" i="4" s="1"/>
  <c r="AQ241" i="4"/>
  <c r="AQ30" i="2"/>
  <c r="AQ53" i="2"/>
  <c r="AR152" i="4"/>
  <c r="AR219" i="4"/>
  <c r="AR220" i="4" s="1"/>
  <c r="AR148" i="2"/>
  <c r="AR58" i="4"/>
  <c r="AR60" i="4" s="1"/>
  <c r="AQ85" i="4"/>
  <c r="AQ80" i="4" s="1"/>
  <c r="AR114" i="2"/>
  <c r="AO453" i="20"/>
  <c r="AQ82" i="2"/>
  <c r="AR237" i="4"/>
  <c r="AQ65" i="5"/>
  <c r="AR89" i="5"/>
  <c r="AR60" i="5"/>
  <c r="AR212" i="4" s="1"/>
  <c r="AQ49" i="5"/>
  <c r="AQ41" i="5"/>
  <c r="AQ34" i="5"/>
  <c r="AQ24" i="5"/>
  <c r="AQ19" i="5"/>
  <c r="AQ256" i="4"/>
  <c r="AR257" i="4"/>
  <c r="AQ257" i="4" s="1"/>
  <c r="AQ259" i="4" s="1"/>
  <c r="AQ260" i="4" s="1"/>
  <c r="AQ249" i="4"/>
  <c r="AQ251" i="4" s="1"/>
  <c r="AQ187" i="4"/>
  <c r="AQ120" i="4"/>
  <c r="AQ126" i="4"/>
  <c r="AQ49" i="4"/>
  <c r="AQ30" i="4"/>
  <c r="AQ13" i="4"/>
  <c r="AR30" i="4"/>
  <c r="AR39" i="4" s="1"/>
  <c r="AQ56" i="2"/>
  <c r="AQ134" i="2"/>
  <c r="AQ138" i="2" s="1"/>
  <c r="AQ141" i="2" s="1"/>
  <c r="AS125" i="14" l="1"/>
  <c r="AT119" i="14"/>
  <c r="AT175" i="4"/>
  <c r="AT176" i="4" s="1"/>
  <c r="AP514" i="20"/>
  <c r="AP508" i="20"/>
  <c r="AS93" i="4"/>
  <c r="AS92" i="4" s="1"/>
  <c r="AU93" i="4"/>
  <c r="AU92" i="4" s="1"/>
  <c r="AR503" i="20"/>
  <c r="AR501" i="20"/>
  <c r="AR516" i="20"/>
  <c r="AR514" i="20"/>
  <c r="AR510" i="20"/>
  <c r="AR508" i="20"/>
  <c r="AQ79" i="4"/>
  <c r="AQ224" i="4" s="1"/>
  <c r="AQ225" i="4" s="1"/>
  <c r="AQ226" i="4" s="1"/>
  <c r="BE122" i="14"/>
  <c r="BJ122" i="14"/>
  <c r="BH122" i="14" s="1"/>
  <c r="AQ21" i="4"/>
  <c r="AQ22" i="4" s="1"/>
  <c r="AQ38" i="4"/>
  <c r="AQ39" i="4" s="1"/>
  <c r="AR158" i="2"/>
  <c r="AR259" i="4"/>
  <c r="AR260" i="4" s="1"/>
  <c r="AQ51" i="4"/>
  <c r="AQ237" i="4"/>
  <c r="AQ239" i="4"/>
  <c r="AQ84" i="5"/>
  <c r="AR224" i="4"/>
  <c r="AR225" i="4" s="1"/>
  <c r="AR81" i="4"/>
  <c r="AR239" i="4"/>
  <c r="AR240" i="4" s="1"/>
  <c r="AR242" i="4" s="1"/>
  <c r="AR84" i="5"/>
  <c r="AR74" i="5"/>
  <c r="AR41" i="4"/>
  <c r="AQ81" i="4" l="1"/>
  <c r="AU234" i="4"/>
  <c r="AU235" i="4" s="1"/>
  <c r="AU230" i="4"/>
  <c r="AR226" i="4"/>
  <c r="AS234" i="4"/>
  <c r="AS235" i="4" s="1"/>
  <c r="AS230" i="4"/>
  <c r="AQ240" i="4"/>
  <c r="AQ242" i="4" s="1"/>
  <c r="AQ41" i="4"/>
  <c r="AS231" i="4" l="1"/>
  <c r="AU231" i="4"/>
  <c r="AN426" i="20"/>
  <c r="AO425" i="20"/>
  <c r="AN424" i="20"/>
  <c r="AN423" i="20"/>
  <c r="AN422" i="20"/>
  <c r="AN421" i="20"/>
  <c r="AN420" i="20"/>
  <c r="AO418" i="20"/>
  <c r="AO430" i="20" s="1"/>
  <c r="AO431" i="20" s="1"/>
  <c r="AN417" i="20"/>
  <c r="AN416" i="20"/>
  <c r="AN415" i="20"/>
  <c r="AN414" i="20"/>
  <c r="AN413" i="20"/>
  <c r="AN412" i="20"/>
  <c r="AN411" i="20"/>
  <c r="AN410" i="20"/>
  <c r="AO409" i="20"/>
  <c r="AN408" i="20"/>
  <c r="AN407" i="20"/>
  <c r="AN406" i="20"/>
  <c r="AO307" i="20"/>
  <c r="AR308" i="20" s="1"/>
  <c r="AO323" i="20"/>
  <c r="AN322" i="20"/>
  <c r="AQ323" i="20" s="1"/>
  <c r="AO280" i="20"/>
  <c r="AN254" i="20"/>
  <c r="AN251" i="20"/>
  <c r="AO240" i="20"/>
  <c r="AR241" i="20" s="1"/>
  <c r="AO235" i="20"/>
  <c r="AO232" i="20"/>
  <c r="AN227" i="20"/>
  <c r="AQ228" i="20" s="1"/>
  <c r="AO224" i="20"/>
  <c r="AO223" i="20"/>
  <c r="AO222" i="20"/>
  <c r="AO112" i="20" s="1"/>
  <c r="AN221" i="20"/>
  <c r="AQ222" i="20" s="1"/>
  <c r="AQ112" i="20" s="1"/>
  <c r="AO121" i="20"/>
  <c r="AR122" i="20" s="1"/>
  <c r="AO118" i="20"/>
  <c r="AN117" i="20"/>
  <c r="AQ118" i="20" s="1"/>
  <c r="AO73" i="20"/>
  <c r="AO74" i="20" s="1"/>
  <c r="AQ88" i="4"/>
  <c r="AN87" i="20" s="1"/>
  <c r="AQ103" i="5"/>
  <c r="AQ118" i="5" s="1"/>
  <c r="AN72" i="20"/>
  <c r="AO63" i="20"/>
  <c r="AO60" i="20"/>
  <c r="AO52" i="20"/>
  <c r="AO22" i="20"/>
  <c r="AO21" i="20"/>
  <c r="AO287" i="20" s="1"/>
  <c r="AO20" i="20"/>
  <c r="AO286" i="20" s="1"/>
  <c r="AO19" i="20"/>
  <c r="AO97" i="20" s="1"/>
  <c r="AO231" i="14"/>
  <c r="AO230" i="14"/>
  <c r="AO229" i="14"/>
  <c r="AN219" i="14"/>
  <c r="AO218" i="14"/>
  <c r="AN217" i="14"/>
  <c r="AO212" i="14"/>
  <c r="AN209" i="14"/>
  <c r="AO208" i="14"/>
  <c r="AN207" i="14"/>
  <c r="AO202" i="14"/>
  <c r="AO198" i="14"/>
  <c r="AO192" i="14"/>
  <c r="AO189" i="14"/>
  <c r="AN188" i="14"/>
  <c r="AN187" i="14"/>
  <c r="AO182" i="14"/>
  <c r="AN177" i="14"/>
  <c r="AO172" i="14"/>
  <c r="AO169" i="14"/>
  <c r="AO226" i="20" l="1"/>
  <c r="AR225" i="20"/>
  <c r="AO49" i="20"/>
  <c r="AO311" i="20"/>
  <c r="AN63" i="20"/>
  <c r="AN318" i="20"/>
  <c r="AN321" i="20"/>
  <c r="AO55" i="20"/>
  <c r="AN223" i="20"/>
  <c r="AO358" i="20"/>
  <c r="AN189" i="14"/>
  <c r="AO285" i="20"/>
  <c r="AN95" i="20"/>
  <c r="AO103" i="20"/>
  <c r="AO258" i="20"/>
  <c r="AO293" i="20"/>
  <c r="AO295" i="20"/>
  <c r="AO95" i="20"/>
  <c r="AO98" i="20"/>
  <c r="AO294" i="20"/>
  <c r="AO339" i="20" s="1"/>
  <c r="AO23" i="20"/>
  <c r="AO238" i="20"/>
  <c r="AN425" i="20"/>
  <c r="AO419" i="20"/>
  <c r="AO427" i="20" s="1"/>
  <c r="AN418" i="20"/>
  <c r="AN430" i="20" s="1"/>
  <c r="AN431" i="20" s="1"/>
  <c r="AN409" i="20"/>
  <c r="AN60" i="20"/>
  <c r="AO61" i="20"/>
  <c r="AN224" i="20"/>
  <c r="AQ225" i="20" s="1"/>
  <c r="AN52" i="20"/>
  <c r="AR24" i="20" l="1"/>
  <c r="AO342" i="20"/>
  <c r="AO336" i="20" s="1"/>
  <c r="AO110" i="20" s="1"/>
  <c r="AO289" i="20"/>
  <c r="AO292" i="20"/>
  <c r="AO348" i="20"/>
  <c r="AN419" i="20"/>
  <c r="AN427" i="20" s="1"/>
  <c r="AO62" i="20"/>
  <c r="AO59" i="20" s="1"/>
  <c r="AN61" i="20"/>
  <c r="AN226" i="20"/>
  <c r="AR111" i="20" l="1"/>
  <c r="AR114" i="20" s="1"/>
  <c r="AO105" i="20"/>
  <c r="AO35" i="20" s="1"/>
  <c r="AO257" i="20"/>
  <c r="AO270" i="20" s="1"/>
  <c r="AO338" i="20"/>
  <c r="AO347" i="20"/>
  <c r="AO68" i="20"/>
  <c r="AO66" i="20"/>
  <c r="AO67" i="20"/>
  <c r="AN62" i="20"/>
  <c r="AN59" i="20" s="1"/>
  <c r="AR337" i="20" l="1"/>
  <c r="AR338" i="20"/>
  <c r="AX339" i="20"/>
  <c r="AN68" i="20"/>
  <c r="AN66" i="20"/>
  <c r="AN67" i="20"/>
  <c r="BA339" i="20" l="1"/>
  <c r="AO162" i="14"/>
  <c r="AN94" i="14"/>
  <c r="AN91" i="14"/>
  <c r="AN90" i="14"/>
  <c r="AN92" i="14"/>
  <c r="AN582" i="20" s="1"/>
  <c r="AN583" i="20" s="1"/>
  <c r="AN88" i="14"/>
  <c r="AO86" i="14"/>
  <c r="AN85" i="14"/>
  <c r="AN84" i="14"/>
  <c r="AN83" i="14"/>
  <c r="AN82" i="14"/>
  <c r="AN81" i="14"/>
  <c r="AN80" i="14"/>
  <c r="AQ519" i="20" s="1"/>
  <c r="AN79" i="14"/>
  <c r="AN513" i="20" s="1"/>
  <c r="AN78" i="14"/>
  <c r="AN507" i="20" s="1"/>
  <c r="AO77" i="14"/>
  <c r="AN76" i="14"/>
  <c r="AN75" i="14"/>
  <c r="AN74" i="14"/>
  <c r="AO62" i="14"/>
  <c r="AO64" i="14"/>
  <c r="AN58" i="14"/>
  <c r="AO22" i="14"/>
  <c r="AO256" i="14" s="1"/>
  <c r="AO21" i="14"/>
  <c r="AO20" i="14"/>
  <c r="AO40" i="14" s="1"/>
  <c r="AR125" i="6"/>
  <c r="AR122" i="6"/>
  <c r="AR121" i="6"/>
  <c r="AR119" i="6"/>
  <c r="AR118" i="6"/>
  <c r="AR99" i="6"/>
  <c r="AR98" i="6"/>
  <c r="AR97" i="6"/>
  <c r="AQ79" i="6"/>
  <c r="AN22" i="20" s="1"/>
  <c r="AN358" i="20" s="1"/>
  <c r="AQ78" i="6"/>
  <c r="AN21" i="20" s="1"/>
  <c r="AQ77" i="6"/>
  <c r="AN20" i="20" s="1"/>
  <c r="AQ76" i="6"/>
  <c r="AN19" i="20" s="1"/>
  <c r="AR75" i="6"/>
  <c r="AQ74" i="6"/>
  <c r="AN22" i="14" s="1"/>
  <c r="AQ73" i="6"/>
  <c r="AN21" i="14" s="1"/>
  <c r="AN239" i="14" s="1"/>
  <c r="AQ72" i="6"/>
  <c r="AN20" i="14" s="1"/>
  <c r="AR71" i="6"/>
  <c r="AR76" i="18"/>
  <c r="AQ75" i="18"/>
  <c r="AQ73" i="18"/>
  <c r="AQ72" i="18"/>
  <c r="AR47" i="18"/>
  <c r="AQ39" i="18"/>
  <c r="AT45" i="18" s="1"/>
  <c r="AQ31" i="18"/>
  <c r="AQ30" i="18"/>
  <c r="AQ29" i="18"/>
  <c r="AR28" i="18"/>
  <c r="AR36" i="18" s="1"/>
  <c r="AQ22" i="18"/>
  <c r="AQ21" i="18"/>
  <c r="AR18" i="18"/>
  <c r="AQ17" i="18"/>
  <c r="AT18" i="18" s="1"/>
  <c r="AQ13" i="18"/>
  <c r="AQ11" i="18"/>
  <c r="AQ145" i="2" s="1"/>
  <c r="AQ10" i="18"/>
  <c r="AQ8" i="18"/>
  <c r="AR6" i="18"/>
  <c r="AR4" i="18"/>
  <c r="AR12" i="18" s="1"/>
  <c r="AR47" i="7"/>
  <c r="AR85" i="7"/>
  <c r="AR84" i="7"/>
  <c r="AR83" i="7"/>
  <c r="AR40" i="7"/>
  <c r="AR42" i="7" s="1"/>
  <c r="AQ39" i="7"/>
  <c r="AT45" i="7" s="1"/>
  <c r="AQ38" i="7"/>
  <c r="AT44" i="7" s="1"/>
  <c r="AQ32" i="7"/>
  <c r="AQ31" i="7"/>
  <c r="AQ30" i="7"/>
  <c r="AQ29" i="7"/>
  <c r="AQ22" i="7"/>
  <c r="AQ21" i="7"/>
  <c r="AR18" i="7"/>
  <c r="AQ17" i="7"/>
  <c r="AT18" i="7" s="1"/>
  <c r="AQ13" i="7"/>
  <c r="AQ11" i="7"/>
  <c r="AQ144" i="2" s="1"/>
  <c r="AQ10" i="7"/>
  <c r="AQ8" i="7"/>
  <c r="AR6" i="7"/>
  <c r="AR14" i="7" s="1"/>
  <c r="AR88" i="7" s="1"/>
  <c r="AU79" i="7" s="1"/>
  <c r="AU90" i="7" s="1"/>
  <c r="AR4" i="7"/>
  <c r="AR12" i="7" s="1"/>
  <c r="AQ175" i="6"/>
  <c r="AN280" i="20" s="1"/>
  <c r="AQ141" i="6"/>
  <c r="AQ125" i="6" s="1"/>
  <c r="AQ13" i="6"/>
  <c r="AQ11" i="6"/>
  <c r="AQ143" i="2" s="1"/>
  <c r="AQ10" i="6"/>
  <c r="AQ8" i="6"/>
  <c r="AQ121" i="6" s="1"/>
  <c r="AR6" i="6"/>
  <c r="AR91" i="6" s="1"/>
  <c r="AR4" i="6"/>
  <c r="AR12" i="6" s="1"/>
  <c r="AR67" i="3"/>
  <c r="AR68" i="3" s="1"/>
  <c r="AQ69" i="3"/>
  <c r="AQ65" i="3"/>
  <c r="AQ63" i="3"/>
  <c r="AQ61" i="3"/>
  <c r="AQ59" i="3"/>
  <c r="AR58" i="3"/>
  <c r="AQ57" i="3"/>
  <c r="AR56" i="3"/>
  <c r="AQ55" i="3"/>
  <c r="AR54" i="3"/>
  <c r="AQ53" i="3"/>
  <c r="AR45" i="3"/>
  <c r="AQ47" i="3"/>
  <c r="AR38" i="3"/>
  <c r="AQ37" i="3"/>
  <c r="AR36" i="3"/>
  <c r="AQ35" i="3"/>
  <c r="AQ6" i="18" s="1"/>
  <c r="AR34" i="3"/>
  <c r="AQ33" i="3"/>
  <c r="AQ6" i="7" s="1"/>
  <c r="AR32" i="3"/>
  <c r="AQ31" i="3"/>
  <c r="AQ22" i="3"/>
  <c r="AR23" i="3"/>
  <c r="AQ20" i="3"/>
  <c r="AQ18" i="3"/>
  <c r="AR13" i="3"/>
  <c r="AQ12" i="3"/>
  <c r="AR11" i="3"/>
  <c r="AQ10" i="3"/>
  <c r="AR9" i="3"/>
  <c r="AQ8" i="3"/>
  <c r="AT9" i="3" s="1"/>
  <c r="AR7" i="3"/>
  <c r="AQ6" i="3"/>
  <c r="AQ45" i="3" l="1"/>
  <c r="AR46" i="3"/>
  <c r="AQ6" i="6"/>
  <c r="AQ46" i="3"/>
  <c r="AQ21" i="3"/>
  <c r="AQ4" i="6"/>
  <c r="AT7" i="3"/>
  <c r="AQ4" i="18"/>
  <c r="AQ5" i="18" s="1"/>
  <c r="AT11" i="3"/>
  <c r="AT13" i="3"/>
  <c r="AU24" i="3"/>
  <c r="AU26" i="3"/>
  <c r="AQ67" i="3"/>
  <c r="AQ68" i="3" s="1"/>
  <c r="AN558" i="20"/>
  <c r="BD339" i="20"/>
  <c r="AR80" i="6"/>
  <c r="AQ148" i="2"/>
  <c r="AN229" i="14"/>
  <c r="AR5" i="2"/>
  <c r="AR142" i="2" s="1"/>
  <c r="AR85" i="3"/>
  <c r="AR98" i="3"/>
  <c r="AR96" i="6"/>
  <c r="AQ98" i="6"/>
  <c r="AR48" i="3"/>
  <c r="AR49" i="3" s="1"/>
  <c r="AR55" i="7"/>
  <c r="AU62" i="7" s="1"/>
  <c r="AN162" i="14"/>
  <c r="AR7" i="18"/>
  <c r="AN23" i="14"/>
  <c r="AQ24" i="14" s="1"/>
  <c r="AN40" i="14"/>
  <c r="AN23" i="20"/>
  <c r="AQ24" i="20" s="1"/>
  <c r="AN258" i="20"/>
  <c r="AN103" i="20"/>
  <c r="AN97" i="20"/>
  <c r="AQ87" i="6"/>
  <c r="AN543" i="20"/>
  <c r="AN202" i="14"/>
  <c r="AR56" i="7"/>
  <c r="AU63" i="7" s="1"/>
  <c r="AR59" i="7"/>
  <c r="AU66" i="7" s="1"/>
  <c r="AR33" i="18"/>
  <c r="AQ71" i="6"/>
  <c r="AN293" i="20"/>
  <c r="AN286" i="20"/>
  <c r="AN294" i="20"/>
  <c r="AN98" i="20"/>
  <c r="AO23" i="14"/>
  <c r="AO239" i="14"/>
  <c r="AO87" i="14"/>
  <c r="AO500" i="20"/>
  <c r="AN525" i="20"/>
  <c r="AN172" i="14"/>
  <c r="AN549" i="20"/>
  <c r="AN212" i="14"/>
  <c r="AR15" i="7"/>
  <c r="AR57" i="7"/>
  <c r="AU64" i="7" s="1"/>
  <c r="AN295" i="20"/>
  <c r="AN287" i="20"/>
  <c r="AQ97" i="6"/>
  <c r="AQ99" i="6"/>
  <c r="AQ122" i="6"/>
  <c r="AN531" i="20"/>
  <c r="AN182" i="14"/>
  <c r="AN570" i="20"/>
  <c r="AN230" i="14"/>
  <c r="AQ40" i="7"/>
  <c r="AQ42" i="7" s="1"/>
  <c r="AR58" i="7"/>
  <c r="AU65" i="7" s="1"/>
  <c r="AN77" i="14"/>
  <c r="AN500" i="20" s="1"/>
  <c r="AN537" i="20"/>
  <c r="AN192" i="14"/>
  <c r="AN576" i="20"/>
  <c r="AN231" i="14"/>
  <c r="AQ91" i="6"/>
  <c r="AQ14" i="18"/>
  <c r="AQ32" i="3"/>
  <c r="AQ36" i="3"/>
  <c r="AQ54" i="3"/>
  <c r="AQ4" i="7"/>
  <c r="AQ12" i="7" s="1"/>
  <c r="AQ56" i="3"/>
  <c r="AQ58" i="3"/>
  <c r="AR7" i="6"/>
  <c r="AR7" i="7"/>
  <c r="AR19" i="7"/>
  <c r="AR23" i="18"/>
  <c r="AQ34" i="3"/>
  <c r="AQ38" i="3"/>
  <c r="AR5" i="7"/>
  <c r="AN86" i="14"/>
  <c r="AQ75" i="6"/>
  <c r="AR9" i="18"/>
  <c r="AR14" i="18"/>
  <c r="AR5" i="18"/>
  <c r="AR41" i="7"/>
  <c r="AQ14" i="7"/>
  <c r="AR9" i="7"/>
  <c r="AQ14" i="6"/>
  <c r="AR14" i="6"/>
  <c r="AR9" i="6"/>
  <c r="AR5" i="6"/>
  <c r="AR70" i="3"/>
  <c r="AQ43" i="3"/>
  <c r="AQ48" i="3" s="1"/>
  <c r="AQ23" i="3"/>
  <c r="AT24" i="3" s="1"/>
  <c r="Z4" i="10"/>
  <c r="AQ7" i="6" l="1"/>
  <c r="AQ9" i="6"/>
  <c r="AQ70" i="3"/>
  <c r="AQ71" i="3" s="1"/>
  <c r="AQ5" i="6"/>
  <c r="AQ12" i="6"/>
  <c r="AQ33" i="18"/>
  <c r="AQ40" i="18" s="1"/>
  <c r="AQ38" i="18" s="1"/>
  <c r="AQ9" i="18"/>
  <c r="AQ12" i="18"/>
  <c r="AQ7" i="18"/>
  <c r="AQ23" i="18"/>
  <c r="AR40" i="18"/>
  <c r="AR42" i="18" s="1"/>
  <c r="AU28" i="18"/>
  <c r="AU27" i="3"/>
  <c r="AR92" i="6"/>
  <c r="AU81" i="6"/>
  <c r="AT25" i="3"/>
  <c r="AR24" i="14"/>
  <c r="BG339" i="20"/>
  <c r="AR151" i="4"/>
  <c r="AR98" i="4"/>
  <c r="AR174" i="4"/>
  <c r="AR130" i="2"/>
  <c r="AR172" i="4"/>
  <c r="AQ9" i="7"/>
  <c r="AR139" i="4"/>
  <c r="AR122" i="2"/>
  <c r="AR162" i="4"/>
  <c r="AQ41" i="7"/>
  <c r="AR153" i="4"/>
  <c r="AQ23" i="7"/>
  <c r="AR57" i="18"/>
  <c r="AU63" i="18" s="1"/>
  <c r="AR34" i="18"/>
  <c r="AR35" i="18" s="1"/>
  <c r="AN87" i="14"/>
  <c r="AR54" i="18"/>
  <c r="AU60" i="18" s="1"/>
  <c r="AQ80" i="6"/>
  <c r="AR9" i="2"/>
  <c r="AR10" i="2" s="1"/>
  <c r="AN285" i="20"/>
  <c r="AN292" i="20" s="1"/>
  <c r="AQ96" i="6"/>
  <c r="AO243" i="14"/>
  <c r="AR54" i="7"/>
  <c r="AU61" i="7" s="1"/>
  <c r="AR55" i="18"/>
  <c r="AU61" i="18" s="1"/>
  <c r="AR56" i="18"/>
  <c r="AU62" i="18" s="1"/>
  <c r="AR32" i="18"/>
  <c r="AQ15" i="7"/>
  <c r="AQ88" i="7"/>
  <c r="AT79" i="7" s="1"/>
  <c r="AT90" i="7" s="1"/>
  <c r="AQ49" i="3"/>
  <c r="AQ9" i="2"/>
  <c r="AR71" i="3"/>
  <c r="AR25" i="2"/>
  <c r="AQ5" i="7"/>
  <c r="AQ7" i="7"/>
  <c r="AQ5" i="2"/>
  <c r="AR15" i="6"/>
  <c r="AR127" i="6"/>
  <c r="AR128" i="6"/>
  <c r="AR15" i="18"/>
  <c r="AR19" i="18"/>
  <c r="AR77" i="18"/>
  <c r="AU68" i="18" s="1"/>
  <c r="AQ15" i="6"/>
  <c r="AQ127" i="6"/>
  <c r="AQ128" i="6"/>
  <c r="AQ19" i="7"/>
  <c r="AQ15" i="18"/>
  <c r="AQ19" i="18"/>
  <c r="AQ77" i="18"/>
  <c r="AT68" i="18" s="1"/>
  <c r="AT79" i="18" s="1"/>
  <c r="AQ25" i="2" l="1"/>
  <c r="AT28" i="18"/>
  <c r="AT34" i="18" s="1"/>
  <c r="AR38" i="18"/>
  <c r="AR41" i="18" s="1"/>
  <c r="AQ42" i="18"/>
  <c r="AU79" i="18"/>
  <c r="AT32" i="18"/>
  <c r="AU36" i="18"/>
  <c r="AU32" i="18"/>
  <c r="AU34" i="18"/>
  <c r="AQ41" i="18"/>
  <c r="AT44" i="18"/>
  <c r="AQ92" i="6"/>
  <c r="AT81" i="6"/>
  <c r="BJ339" i="20"/>
  <c r="AR8" i="2"/>
  <c r="AR99" i="4" s="1"/>
  <c r="AR53" i="18"/>
  <c r="AU59" i="18" s="1"/>
  <c r="AR228" i="4"/>
  <c r="AR26" i="2"/>
  <c r="AR100" i="5"/>
  <c r="AR108" i="5" s="1"/>
  <c r="AR111" i="5" s="1"/>
  <c r="AR33" i="2"/>
  <c r="AQ122" i="2"/>
  <c r="AQ98" i="4"/>
  <c r="AQ142" i="2"/>
  <c r="AQ151" i="4"/>
  <c r="AQ174" i="4"/>
  <c r="AQ130" i="2"/>
  <c r="AQ172" i="4"/>
  <c r="AQ153" i="4"/>
  <c r="AQ78" i="18"/>
  <c r="AR78" i="18"/>
  <c r="AQ100" i="5"/>
  <c r="AQ26" i="2"/>
  <c r="AQ228" i="4"/>
  <c r="AQ8" i="2"/>
  <c r="AQ99" i="4" s="1"/>
  <c r="AQ10" i="2"/>
  <c r="AM189" i="14"/>
  <c r="AL189" i="14"/>
  <c r="AI189" i="14"/>
  <c r="AF189" i="14"/>
  <c r="AM182" i="14"/>
  <c r="AT36" i="18" l="1"/>
  <c r="AU35" i="18"/>
  <c r="AT35" i="18"/>
  <c r="BA54" i="18"/>
  <c r="BA55" i="18"/>
  <c r="BA57" i="18"/>
  <c r="BA56" i="18"/>
  <c r="AR37" i="2"/>
  <c r="AR157" i="2" s="1"/>
  <c r="AR43" i="2"/>
  <c r="AR98" i="5"/>
  <c r="AR99" i="5" s="1"/>
  <c r="AR112" i="5"/>
  <c r="AR115" i="5"/>
  <c r="BJ532" i="20"/>
  <c r="BA526" i="20"/>
  <c r="BD526" i="20" s="1"/>
  <c r="BD520" i="20"/>
  <c r="R6" i="18"/>
  <c r="U6" i="18"/>
  <c r="X6" i="18"/>
  <c r="AA6" i="18"/>
  <c r="AD6" i="18"/>
  <c r="AG6" i="18"/>
  <c r="AJ6" i="18"/>
  <c r="AM6" i="18"/>
  <c r="AP6" i="18"/>
  <c r="R4" i="18"/>
  <c r="U4" i="18"/>
  <c r="X4" i="18"/>
  <c r="AA4" i="18"/>
  <c r="AD4" i="18"/>
  <c r="AG4" i="18"/>
  <c r="AJ4" i="18"/>
  <c r="AM4" i="18"/>
  <c r="AP4" i="18"/>
  <c r="R6" i="7"/>
  <c r="U6" i="7"/>
  <c r="X6" i="7"/>
  <c r="AA6" i="7"/>
  <c r="AD6" i="7"/>
  <c r="AG6" i="7"/>
  <c r="AJ6" i="7"/>
  <c r="AM6" i="7"/>
  <c r="AP6" i="7"/>
  <c r="R4" i="7"/>
  <c r="U4" i="7"/>
  <c r="X4" i="7"/>
  <c r="AA4" i="7"/>
  <c r="AD4" i="7"/>
  <c r="AG4" i="7"/>
  <c r="AJ4" i="7"/>
  <c r="AM4" i="7"/>
  <c r="AP4" i="7"/>
  <c r="AB221" i="20"/>
  <c r="AE221" i="20"/>
  <c r="AH221" i="20"/>
  <c r="AK221" i="20"/>
  <c r="AN222" i="20" s="1"/>
  <c r="AN112" i="20" s="1"/>
  <c r="BD56" i="18" l="1"/>
  <c r="AZ56" i="18"/>
  <c r="AZ57" i="18"/>
  <c r="BD57" i="18"/>
  <c r="BD54" i="18"/>
  <c r="BA53" i="18"/>
  <c r="AZ54" i="18"/>
  <c r="AZ55" i="18"/>
  <c r="BD55" i="18"/>
  <c r="AR46" i="2"/>
  <c r="AR47" i="2"/>
  <c r="AR229" i="4"/>
  <c r="AY526" i="20"/>
  <c r="AZ526" i="20" s="1"/>
  <c r="BB526" i="20"/>
  <c r="BC526" i="20" s="1"/>
  <c r="BG526" i="20"/>
  <c r="BB520" i="20"/>
  <c r="BC520" i="20" s="1"/>
  <c r="BG520" i="20"/>
  <c r="AY520" i="20"/>
  <c r="AZ520" i="20" s="1"/>
  <c r="U110" i="20"/>
  <c r="V110" i="20" s="1"/>
  <c r="U116" i="20"/>
  <c r="V117" i="20"/>
  <c r="S374" i="20"/>
  <c r="R374" i="20"/>
  <c r="S373" i="20"/>
  <c r="R373" i="20"/>
  <c r="V374" i="20"/>
  <c r="U374" i="20"/>
  <c r="V373" i="20"/>
  <c r="U373" i="20"/>
  <c r="Y374" i="20"/>
  <c r="X374" i="20"/>
  <c r="Y373" i="20"/>
  <c r="X373" i="20"/>
  <c r="AA120" i="20"/>
  <c r="AA118" i="20"/>
  <c r="X116" i="20"/>
  <c r="Y117" i="20"/>
  <c r="AB117" i="20"/>
  <c r="AA116" i="20"/>
  <c r="AE117" i="20"/>
  <c r="AD116" i="20"/>
  <c r="AH117" i="20"/>
  <c r="AG116" i="20"/>
  <c r="AK117" i="20"/>
  <c r="AJ116" i="20"/>
  <c r="AB68" i="14"/>
  <c r="AB70" i="14" s="1"/>
  <c r="AA68" i="14"/>
  <c r="AE68" i="14"/>
  <c r="AH68" i="14"/>
  <c r="AK68" i="14"/>
  <c r="AN89" i="6"/>
  <c r="AN88" i="6"/>
  <c r="AK89" i="6"/>
  <c r="AK88" i="6"/>
  <c r="AH89" i="6"/>
  <c r="AH88" i="6"/>
  <c r="AE89" i="6"/>
  <c r="AE88" i="6"/>
  <c r="AN79" i="6"/>
  <c r="AN78" i="6"/>
  <c r="AN77" i="6"/>
  <c r="AN76" i="6"/>
  <c r="AK79" i="6"/>
  <c r="AK78" i="6"/>
  <c r="AK77" i="6"/>
  <c r="AK76" i="6"/>
  <c r="AH79" i="6"/>
  <c r="AH78" i="6"/>
  <c r="AH77" i="6"/>
  <c r="AH76" i="6"/>
  <c r="AE79" i="6"/>
  <c r="AE78" i="6"/>
  <c r="AE77" i="6"/>
  <c r="AE76" i="6"/>
  <c r="AB79" i="6"/>
  <c r="AB78" i="6"/>
  <c r="AB77" i="6"/>
  <c r="AB76" i="6"/>
  <c r="Y79" i="6"/>
  <c r="Y78" i="6"/>
  <c r="Y77" i="6"/>
  <c r="Y76" i="6"/>
  <c r="AN74" i="6"/>
  <c r="AN73" i="6"/>
  <c r="AN72" i="6"/>
  <c r="AK74" i="6"/>
  <c r="AK73" i="6"/>
  <c r="AK72" i="6"/>
  <c r="AH74" i="6"/>
  <c r="AH73" i="6"/>
  <c r="AH72" i="6"/>
  <c r="AE74" i="6"/>
  <c r="AE73" i="6"/>
  <c r="AE72" i="6"/>
  <c r="AB74" i="6"/>
  <c r="AB73" i="6"/>
  <c r="AB72" i="6"/>
  <c r="Y74" i="6"/>
  <c r="Y73" i="6"/>
  <c r="Y72" i="6"/>
  <c r="R6" i="6"/>
  <c r="R4" i="6"/>
  <c r="U6" i="6"/>
  <c r="U4" i="6"/>
  <c r="X6" i="6"/>
  <c r="X4" i="6"/>
  <c r="AA6" i="6"/>
  <c r="AA4" i="6"/>
  <c r="AD6" i="6"/>
  <c r="AD4" i="6"/>
  <c r="AG6" i="6"/>
  <c r="AG4" i="6"/>
  <c r="AJ6" i="6"/>
  <c r="AJ4" i="6"/>
  <c r="AM6" i="6"/>
  <c r="AM4" i="6"/>
  <c r="AP6" i="6"/>
  <c r="AP4" i="6"/>
  <c r="S65" i="3"/>
  <c r="S63" i="3"/>
  <c r="S61" i="3"/>
  <c r="S59" i="3"/>
  <c r="S57" i="3"/>
  <c r="S55" i="3"/>
  <c r="S53" i="3"/>
  <c r="S43" i="3"/>
  <c r="S37" i="3"/>
  <c r="S18" i="3"/>
  <c r="S16" i="3"/>
  <c r="S14" i="3"/>
  <c r="S10" i="3"/>
  <c r="S4" i="18" s="1"/>
  <c r="S8" i="3"/>
  <c r="S4" i="7" s="1"/>
  <c r="S6" i="3"/>
  <c r="S4" i="6" s="1"/>
  <c r="V67" i="3"/>
  <c r="V65" i="3"/>
  <c r="V63" i="3"/>
  <c r="V61" i="3"/>
  <c r="V59" i="3"/>
  <c r="V57" i="3"/>
  <c r="V55" i="3"/>
  <c r="V53" i="3"/>
  <c r="V43" i="3"/>
  <c r="V37" i="3"/>
  <c r="V18" i="3"/>
  <c r="V10" i="3"/>
  <c r="V8" i="3"/>
  <c r="V6" i="3"/>
  <c r="V14" i="3"/>
  <c r="V16" i="3"/>
  <c r="V20" i="3"/>
  <c r="Y69" i="3"/>
  <c r="Y67" i="3"/>
  <c r="Y63" i="3"/>
  <c r="Y61" i="3"/>
  <c r="Y59" i="3"/>
  <c r="Y57" i="3"/>
  <c r="Y55" i="3"/>
  <c r="Y53" i="3"/>
  <c r="Y47" i="3"/>
  <c r="Y45" i="3"/>
  <c r="Y43" i="3"/>
  <c r="Y37" i="3"/>
  <c r="Y35" i="3"/>
  <c r="Y33" i="3"/>
  <c r="Y31" i="3"/>
  <c r="Y22" i="3"/>
  <c r="Y20" i="3"/>
  <c r="Y10" i="3"/>
  <c r="Y4" i="18" s="1"/>
  <c r="Y8" i="3"/>
  <c r="Y4" i="7" s="1"/>
  <c r="Y6" i="3"/>
  <c r="AB67" i="3"/>
  <c r="AB65" i="3"/>
  <c r="AB63" i="3"/>
  <c r="AB61" i="3"/>
  <c r="AB59" i="3"/>
  <c r="AB57" i="3"/>
  <c r="AB55" i="3"/>
  <c r="AB53" i="3"/>
  <c r="AB47" i="3"/>
  <c r="AB45" i="3"/>
  <c r="AB43" i="3"/>
  <c r="AB37" i="3"/>
  <c r="AB35" i="3"/>
  <c r="AB33" i="3"/>
  <c r="AB31" i="3"/>
  <c r="AB6" i="6" s="1"/>
  <c r="AB20" i="3"/>
  <c r="AB18" i="3"/>
  <c r="AB10" i="3"/>
  <c r="AB4" i="18" s="1"/>
  <c r="AB8" i="3"/>
  <c r="AB6" i="3"/>
  <c r="AB4" i="6" s="1"/>
  <c r="AE69" i="3"/>
  <c r="AE67" i="3"/>
  <c r="AE65" i="3"/>
  <c r="AE63" i="3"/>
  <c r="AE61" i="3"/>
  <c r="AE59" i="3"/>
  <c r="AE57" i="3"/>
  <c r="AE55" i="3"/>
  <c r="AE53" i="3"/>
  <c r="AE47" i="3"/>
  <c r="AE45" i="3"/>
  <c r="AE43" i="3"/>
  <c r="AE37" i="3"/>
  <c r="AE35" i="3"/>
  <c r="AE6" i="18" s="1"/>
  <c r="AE33" i="3"/>
  <c r="AE31" i="3"/>
  <c r="AE22" i="3"/>
  <c r="AE20" i="3"/>
  <c r="AE18" i="3"/>
  <c r="AE10" i="3"/>
  <c r="AE4" i="18" s="1"/>
  <c r="AE8" i="3"/>
  <c r="AE4" i="7" s="1"/>
  <c r="AE6" i="3"/>
  <c r="AE4" i="6" s="1"/>
  <c r="AH69" i="3"/>
  <c r="AH65" i="3"/>
  <c r="AH63" i="3"/>
  <c r="AH61" i="3"/>
  <c r="AH59" i="3"/>
  <c r="AH57" i="3"/>
  <c r="AH55" i="3"/>
  <c r="AH53" i="3"/>
  <c r="AH47" i="3"/>
  <c r="AH43" i="3"/>
  <c r="AH37" i="3"/>
  <c r="AH35" i="3"/>
  <c r="AH6" i="18" s="1"/>
  <c r="AH33" i="3"/>
  <c r="AH31" i="3"/>
  <c r="AH22" i="3"/>
  <c r="AH18" i="3"/>
  <c r="AH12" i="3"/>
  <c r="AH10" i="3"/>
  <c r="AH4" i="18" s="1"/>
  <c r="AH8" i="3"/>
  <c r="AH4" i="7" s="1"/>
  <c r="AH6" i="3"/>
  <c r="AH4" i="6" s="1"/>
  <c r="AK69" i="3"/>
  <c r="AK65" i="3"/>
  <c r="AK63" i="3"/>
  <c r="AK61" i="3"/>
  <c r="AK59" i="3"/>
  <c r="AK57" i="3"/>
  <c r="AK55" i="3"/>
  <c r="AK53" i="3"/>
  <c r="AK47" i="3"/>
  <c r="AK43" i="3"/>
  <c r="AK37" i="3"/>
  <c r="AK35" i="3"/>
  <c r="AK6" i="18" s="1"/>
  <c r="AK33" i="3"/>
  <c r="AK6" i="7" s="1"/>
  <c r="AK31" i="3"/>
  <c r="AK22" i="3"/>
  <c r="AK18" i="3"/>
  <c r="AK12" i="3"/>
  <c r="AK10" i="3"/>
  <c r="AK8" i="3"/>
  <c r="AK6" i="3"/>
  <c r="AN69" i="3"/>
  <c r="AN65" i="3"/>
  <c r="AN63" i="3"/>
  <c r="AN61" i="3"/>
  <c r="AN59" i="3"/>
  <c r="AN57" i="3"/>
  <c r="AN55" i="3"/>
  <c r="AN53" i="3"/>
  <c r="AK4" i="6" l="1"/>
  <c r="AN121" i="20"/>
  <c r="AQ121" i="20"/>
  <c r="BA48" i="18"/>
  <c r="BA40" i="18"/>
  <c r="BA50" i="18"/>
  <c r="BG56" i="18"/>
  <c r="BC56" i="18"/>
  <c r="BG54" i="18"/>
  <c r="BD53" i="18"/>
  <c r="BC54" i="18"/>
  <c r="AZ60" i="18"/>
  <c r="BA59" i="18"/>
  <c r="AZ53" i="18"/>
  <c r="BA49" i="18"/>
  <c r="BA51" i="18"/>
  <c r="AZ62" i="18"/>
  <c r="BC55" i="18"/>
  <c r="BG55" i="18"/>
  <c r="BC57" i="18"/>
  <c r="BG57" i="18"/>
  <c r="AZ61" i="18"/>
  <c r="AZ63" i="18"/>
  <c r="AH121" i="20"/>
  <c r="AE121" i="20"/>
  <c r="AN118" i="20"/>
  <c r="AK121" i="20"/>
  <c r="AE70" i="14"/>
  <c r="AH70" i="14"/>
  <c r="AD70" i="14"/>
  <c r="AA70" i="14"/>
  <c r="AK70" i="14"/>
  <c r="AR233" i="4"/>
  <c r="AR50" i="2"/>
  <c r="AR54" i="2"/>
  <c r="AB7" i="6"/>
  <c r="R5" i="6"/>
  <c r="AB118" i="20"/>
  <c r="AH9" i="3"/>
  <c r="AH56" i="3"/>
  <c r="AE32" i="3"/>
  <c r="V58" i="3"/>
  <c r="AK32" i="3"/>
  <c r="AH32" i="3"/>
  <c r="Y56" i="3"/>
  <c r="V56" i="3"/>
  <c r="BJ526" i="20"/>
  <c r="BE526" i="20"/>
  <c r="BF526" i="20" s="1"/>
  <c r="BJ520" i="20"/>
  <c r="BE520" i="20"/>
  <c r="BF520" i="20" s="1"/>
  <c r="AB36" i="3"/>
  <c r="AB6" i="18"/>
  <c r="Y36" i="3"/>
  <c r="Y6" i="18"/>
  <c r="S56" i="3"/>
  <c r="AH6" i="6"/>
  <c r="AH7" i="6" s="1"/>
  <c r="AE56" i="3"/>
  <c r="Y54" i="3"/>
  <c r="S58" i="3"/>
  <c r="AK11" i="3"/>
  <c r="AK4" i="18"/>
  <c r="AH34" i="3"/>
  <c r="AH6" i="7"/>
  <c r="AE34" i="3"/>
  <c r="AE6" i="7"/>
  <c r="AB9" i="3"/>
  <c r="AB4" i="7"/>
  <c r="V9" i="3"/>
  <c r="V4" i="7"/>
  <c r="AK9" i="3"/>
  <c r="AK4" i="7"/>
  <c r="AB34" i="3"/>
  <c r="AB6" i="7"/>
  <c r="Y34" i="3"/>
  <c r="Y6" i="7"/>
  <c r="V11" i="3"/>
  <c r="V4" i="18"/>
  <c r="V54" i="3"/>
  <c r="S54" i="3"/>
  <c r="AP7" i="6"/>
  <c r="R7" i="6"/>
  <c r="Y46" i="3"/>
  <c r="AE6" i="6"/>
  <c r="AE7" i="6" s="1"/>
  <c r="Y58" i="3"/>
  <c r="AB54" i="3"/>
  <c r="Y32" i="3"/>
  <c r="V7" i="3"/>
  <c r="V4" i="6"/>
  <c r="AK6" i="6"/>
  <c r="AK7" i="6" s="1"/>
  <c r="AB32" i="3"/>
  <c r="AB56" i="3"/>
  <c r="Y6" i="6"/>
  <c r="AK34" i="3"/>
  <c r="AH11" i="3"/>
  <c r="Y7" i="3"/>
  <c r="Y4" i="6"/>
  <c r="AK36" i="3"/>
  <c r="AB58" i="3"/>
  <c r="AM7" i="6"/>
  <c r="AJ7" i="6"/>
  <c r="AG7" i="6"/>
  <c r="AD7" i="6"/>
  <c r="AA7" i="6"/>
  <c r="X7" i="6"/>
  <c r="U7" i="6"/>
  <c r="U5" i="6"/>
  <c r="X5" i="6"/>
  <c r="AA5" i="6"/>
  <c r="AB5" i="6"/>
  <c r="AD5" i="6"/>
  <c r="AG5" i="6"/>
  <c r="AJ5" i="6"/>
  <c r="AM5" i="6"/>
  <c r="AP5" i="6"/>
  <c r="Y9" i="3"/>
  <c r="Y11" i="3"/>
  <c r="AB11" i="3"/>
  <c r="AB7" i="3"/>
  <c r="AK54" i="3"/>
  <c r="AE54" i="3"/>
  <c r="AK7" i="3"/>
  <c r="AE36" i="3"/>
  <c r="AK56" i="3"/>
  <c r="AK58" i="3"/>
  <c r="AH36" i="3"/>
  <c r="AH58" i="3"/>
  <c r="AE58" i="3"/>
  <c r="AH7" i="3"/>
  <c r="AH54" i="3"/>
  <c r="AN47" i="3"/>
  <c r="AN37" i="3"/>
  <c r="AN35" i="3"/>
  <c r="AN6" i="18" s="1"/>
  <c r="AN33" i="3"/>
  <c r="AN6" i="7" s="1"/>
  <c r="AN31" i="3"/>
  <c r="AN22" i="3"/>
  <c r="AN20" i="3"/>
  <c r="AN18" i="3"/>
  <c r="AN12" i="3"/>
  <c r="AN10" i="3"/>
  <c r="AN8" i="3"/>
  <c r="AN6" i="3"/>
  <c r="AN6" i="6" l="1"/>
  <c r="AN21" i="3"/>
  <c r="BD51" i="18"/>
  <c r="BD40" i="18"/>
  <c r="AZ59" i="18"/>
  <c r="AZ40" i="18"/>
  <c r="BA47" i="18"/>
  <c r="BF57" i="18"/>
  <c r="BJ57" i="18"/>
  <c r="BC53" i="18"/>
  <c r="BC48" i="18" s="1"/>
  <c r="BD59" i="18"/>
  <c r="BD49" i="18"/>
  <c r="BJ55" i="18"/>
  <c r="BF55" i="18"/>
  <c r="BC61" i="18"/>
  <c r="BC62" i="18"/>
  <c r="BC60" i="18"/>
  <c r="BJ54" i="18"/>
  <c r="BF54" i="18"/>
  <c r="BG53" i="18"/>
  <c r="BG40" i="18" s="1"/>
  <c r="AZ49" i="18"/>
  <c r="AZ50" i="18"/>
  <c r="BJ56" i="18"/>
  <c r="BM56" i="18" s="1"/>
  <c r="BF56" i="18"/>
  <c r="BC63" i="18"/>
  <c r="AZ51" i="18"/>
  <c r="AZ48" i="18"/>
  <c r="BD50" i="18"/>
  <c r="BD48" i="18"/>
  <c r="AH5" i="6"/>
  <c r="AN4" i="18"/>
  <c r="AQ11" i="3"/>
  <c r="AN4" i="6"/>
  <c r="AN5" i="6" s="1"/>
  <c r="AQ7" i="3"/>
  <c r="AN4" i="7"/>
  <c r="AQ9" i="3"/>
  <c r="AQ13" i="3"/>
  <c r="AK5" i="6"/>
  <c r="BH526" i="20"/>
  <c r="BI526" i="20" s="1"/>
  <c r="BH520" i="20"/>
  <c r="BI520" i="20" s="1"/>
  <c r="Y7" i="6"/>
  <c r="AE5" i="6"/>
  <c r="Y5" i="6"/>
  <c r="AC213" i="14"/>
  <c r="AF213" i="14"/>
  <c r="BK67" i="2"/>
  <c r="BK66" i="2"/>
  <c r="BH67" i="2"/>
  <c r="BH66" i="2"/>
  <c r="BE67" i="2"/>
  <c r="BE66" i="2"/>
  <c r="BB67" i="2"/>
  <c r="BB66" i="2"/>
  <c r="BK71" i="2"/>
  <c r="BK67" i="5" s="1"/>
  <c r="BL67" i="5" s="1"/>
  <c r="BK70" i="2"/>
  <c r="BH71" i="2"/>
  <c r="BH67" i="5" s="1"/>
  <c r="BI67" i="5" s="1"/>
  <c r="BH70" i="2"/>
  <c r="BE71" i="2"/>
  <c r="BE67" i="5" s="1"/>
  <c r="BF67" i="5" s="1"/>
  <c r="BE70" i="2"/>
  <c r="BB71" i="2"/>
  <c r="BB67" i="5" s="1"/>
  <c r="BC67" i="5" s="1"/>
  <c r="BB70" i="2"/>
  <c r="AZ67" i="5"/>
  <c r="AS52" i="2"/>
  <c r="AP56" i="2"/>
  <c r="AP53" i="2"/>
  <c r="AP51" i="2"/>
  <c r="AM56" i="2"/>
  <c r="AM53" i="2"/>
  <c r="AN52" i="2"/>
  <c r="AM51" i="2"/>
  <c r="AN49" i="2"/>
  <c r="AQ51" i="2" s="1"/>
  <c r="AJ51" i="2"/>
  <c r="AJ56" i="2"/>
  <c r="AJ53" i="2"/>
  <c r="AK52" i="2"/>
  <c r="AK49" i="2"/>
  <c r="AG56" i="2"/>
  <c r="AG53" i="2"/>
  <c r="AH52" i="2"/>
  <c r="AG51" i="2"/>
  <c r="AH49" i="2"/>
  <c r="X56" i="2"/>
  <c r="AA56" i="2"/>
  <c r="AD56" i="2"/>
  <c r="AD51" i="2"/>
  <c r="AD53" i="2"/>
  <c r="AE52" i="2"/>
  <c r="AE49" i="2"/>
  <c r="AA51" i="2"/>
  <c r="AA53" i="2"/>
  <c r="AB52" i="2"/>
  <c r="AB49" i="2"/>
  <c r="X53" i="2"/>
  <c r="Y52" i="2"/>
  <c r="Y49" i="2"/>
  <c r="R53" i="2"/>
  <c r="U53" i="2"/>
  <c r="V52" i="2"/>
  <c r="V49" i="2"/>
  <c r="U51" i="2"/>
  <c r="S49" i="2"/>
  <c r="S52" i="2"/>
  <c r="AT52" i="2" l="1"/>
  <c r="BG48" i="18"/>
  <c r="BG50" i="18"/>
  <c r="BC59" i="18"/>
  <c r="BC40" i="18"/>
  <c r="BG51" i="18"/>
  <c r="BD47" i="18"/>
  <c r="BC50" i="18"/>
  <c r="BM55" i="18"/>
  <c r="BI55" i="18"/>
  <c r="BJ53" i="18"/>
  <c r="BM54" i="18"/>
  <c r="BI54" i="18"/>
  <c r="BF62" i="18"/>
  <c r="BC49" i="18"/>
  <c r="BC51" i="18"/>
  <c r="BF53" i="18"/>
  <c r="BG59" i="18"/>
  <c r="BM57" i="18"/>
  <c r="BI57" i="18"/>
  <c r="BF61" i="18"/>
  <c r="BI56" i="18"/>
  <c r="AZ47" i="18"/>
  <c r="BF60" i="18"/>
  <c r="BG49" i="18"/>
  <c r="BF63" i="18"/>
  <c r="AN7" i="6"/>
  <c r="AB51" i="2"/>
  <c r="AH51" i="2"/>
  <c r="S53" i="2"/>
  <c r="V51" i="2"/>
  <c r="AE51" i="2"/>
  <c r="V53" i="2"/>
  <c r="AN51" i="2"/>
  <c r="AN53" i="2"/>
  <c r="AK51" i="2"/>
  <c r="AK53" i="2"/>
  <c r="AH53" i="2"/>
  <c r="AE53" i="2"/>
  <c r="AB53" i="2"/>
  <c r="Y53" i="2"/>
  <c r="BC47" i="18" l="1"/>
  <c r="BG47" i="18"/>
  <c r="BF59" i="18"/>
  <c r="BF40" i="18"/>
  <c r="BJ50" i="18"/>
  <c r="BJ40" i="18"/>
  <c r="BI60" i="18"/>
  <c r="BM53" i="18"/>
  <c r="BM40" i="18" s="1"/>
  <c r="BL54" i="18"/>
  <c r="BJ59" i="18"/>
  <c r="BI53" i="18"/>
  <c r="BI50" i="18" s="1"/>
  <c r="BL57" i="18"/>
  <c r="BF51" i="18"/>
  <c r="BI61" i="18"/>
  <c r="BL56" i="18"/>
  <c r="BI62" i="18"/>
  <c r="BF49" i="18"/>
  <c r="BJ48" i="18"/>
  <c r="BJ49" i="18"/>
  <c r="BF48" i="18"/>
  <c r="BI63" i="18"/>
  <c r="BJ51" i="18"/>
  <c r="BF50" i="18"/>
  <c r="BL55" i="18"/>
  <c r="AI213" i="14"/>
  <c r="BK201" i="4"/>
  <c r="BL201" i="4" s="1"/>
  <c r="BK199" i="4"/>
  <c r="BL199" i="4" s="1"/>
  <c r="BK198" i="4"/>
  <c r="BL198" i="4" s="1"/>
  <c r="BK197" i="4"/>
  <c r="BL197" i="4" s="1"/>
  <c r="BK195" i="4"/>
  <c r="BL195" i="4" s="1"/>
  <c r="BH201" i="4"/>
  <c r="BI201" i="4" s="1"/>
  <c r="BH199" i="4"/>
  <c r="BI199" i="4" s="1"/>
  <c r="BH198" i="4"/>
  <c r="BI198" i="4" s="1"/>
  <c r="BH197" i="4"/>
  <c r="BI197" i="4" s="1"/>
  <c r="BH195" i="4"/>
  <c r="BI195" i="4" s="1"/>
  <c r="BE201" i="4"/>
  <c r="BF201" i="4" s="1"/>
  <c r="BE199" i="4"/>
  <c r="BF199" i="4" s="1"/>
  <c r="BE198" i="4"/>
  <c r="BF198" i="4" s="1"/>
  <c r="BE197" i="4"/>
  <c r="BE195" i="4"/>
  <c r="BF195" i="4" s="1"/>
  <c r="BB201" i="4"/>
  <c r="BC201" i="4" s="1"/>
  <c r="BB199" i="4"/>
  <c r="BC199" i="4" s="1"/>
  <c r="BB198" i="4"/>
  <c r="BB206" i="4" s="1"/>
  <c r="BB197" i="4"/>
  <c r="BB195" i="4"/>
  <c r="BC195" i="4" s="1"/>
  <c r="AZ201" i="4"/>
  <c r="AZ199" i="4"/>
  <c r="AZ198" i="4"/>
  <c r="AZ197" i="4"/>
  <c r="AZ196" i="4"/>
  <c r="AZ195" i="4"/>
  <c r="AN68" i="4"/>
  <c r="AK68" i="4"/>
  <c r="AH68" i="4"/>
  <c r="AE68" i="4"/>
  <c r="AB68" i="4"/>
  <c r="V68" i="4"/>
  <c r="S68" i="4"/>
  <c r="R120" i="5"/>
  <c r="S109" i="5"/>
  <c r="S107" i="5"/>
  <c r="S105" i="5"/>
  <c r="S102" i="5"/>
  <c r="S101" i="5"/>
  <c r="S125" i="2" s="1"/>
  <c r="R93" i="5"/>
  <c r="R90" i="5"/>
  <c r="R89" i="5"/>
  <c r="W78" i="5"/>
  <c r="S81" i="5"/>
  <c r="S80" i="5"/>
  <c r="S79" i="5"/>
  <c r="S73" i="5"/>
  <c r="S72" i="5"/>
  <c r="R71" i="5"/>
  <c r="S70" i="5"/>
  <c r="S69" i="5"/>
  <c r="S68" i="5"/>
  <c r="S67" i="5"/>
  <c r="S66" i="5"/>
  <c r="R65" i="5"/>
  <c r="S64" i="5"/>
  <c r="S63" i="5"/>
  <c r="S62" i="5"/>
  <c r="S61" i="5"/>
  <c r="R60" i="5"/>
  <c r="R212" i="4" s="1"/>
  <c r="S59" i="5"/>
  <c r="S58" i="5"/>
  <c r="S57" i="5"/>
  <c r="R56" i="5"/>
  <c r="S53" i="5"/>
  <c r="S52" i="5"/>
  <c r="S51" i="5"/>
  <c r="S50" i="5"/>
  <c r="R49" i="5"/>
  <c r="S48" i="5"/>
  <c r="S47" i="5"/>
  <c r="S46" i="5"/>
  <c r="S45" i="5"/>
  <c r="S44" i="5"/>
  <c r="S43" i="5"/>
  <c r="S42" i="5"/>
  <c r="R41" i="5"/>
  <c r="S40" i="5"/>
  <c r="S39" i="5"/>
  <c r="S38" i="5"/>
  <c r="R37" i="5"/>
  <c r="S36" i="5"/>
  <c r="S35" i="5"/>
  <c r="R34" i="5"/>
  <c r="S33" i="5"/>
  <c r="S30" i="5"/>
  <c r="S90" i="5" s="1"/>
  <c r="S28" i="5"/>
  <c r="S27" i="5"/>
  <c r="S26" i="5"/>
  <c r="S25" i="5"/>
  <c r="R24" i="5"/>
  <c r="S23" i="5"/>
  <c r="S22" i="5"/>
  <c r="S21" i="5"/>
  <c r="S20" i="5"/>
  <c r="R19" i="5"/>
  <c r="S18" i="5"/>
  <c r="S17" i="5"/>
  <c r="S16" i="5"/>
  <c r="S119" i="2" s="1"/>
  <c r="S15" i="5"/>
  <c r="S114" i="2" s="1"/>
  <c r="S14" i="5"/>
  <c r="S13" i="5"/>
  <c r="S115" i="2" s="1"/>
  <c r="R12" i="5"/>
  <c r="S11" i="5"/>
  <c r="R9" i="5"/>
  <c r="S8" i="5"/>
  <c r="S7" i="5"/>
  <c r="R238" i="4"/>
  <c r="R223" i="4"/>
  <c r="R222" i="4"/>
  <c r="R221" i="4"/>
  <c r="S207" i="4"/>
  <c r="R206" i="4"/>
  <c r="R208" i="4" s="1"/>
  <c r="R203" i="4"/>
  <c r="S202" i="4"/>
  <c r="S201" i="4"/>
  <c r="S200" i="4"/>
  <c r="S199" i="4"/>
  <c r="S198" i="4"/>
  <c r="S197" i="4"/>
  <c r="S196" i="4"/>
  <c r="S195" i="4"/>
  <c r="S194" i="4"/>
  <c r="R192" i="4"/>
  <c r="S190" i="4"/>
  <c r="R187" i="4"/>
  <c r="S186" i="4"/>
  <c r="S185" i="4"/>
  <c r="S184" i="4"/>
  <c r="S183" i="4"/>
  <c r="S182" i="4"/>
  <c r="S181" i="4"/>
  <c r="S180" i="4"/>
  <c r="R164" i="4"/>
  <c r="R161" i="4"/>
  <c r="R159" i="4"/>
  <c r="S154" i="4"/>
  <c r="S148" i="4"/>
  <c r="S147" i="4"/>
  <c r="S146" i="4"/>
  <c r="R145" i="4"/>
  <c r="R149" i="4" s="1"/>
  <c r="S144" i="4"/>
  <c r="S143" i="4"/>
  <c r="S142" i="4"/>
  <c r="S141" i="4"/>
  <c r="R137" i="4"/>
  <c r="S135" i="4"/>
  <c r="S134" i="4"/>
  <c r="S133" i="4"/>
  <c r="R132" i="4"/>
  <c r="R136" i="4" s="1"/>
  <c r="R138" i="4" s="1"/>
  <c r="S131" i="4"/>
  <c r="S130" i="4"/>
  <c r="S129" i="4"/>
  <c r="S128" i="4"/>
  <c r="R125" i="4"/>
  <c r="R219" i="4" s="1"/>
  <c r="R124" i="4"/>
  <c r="S123" i="4"/>
  <c r="S122" i="4"/>
  <c r="S121" i="4"/>
  <c r="R120" i="4"/>
  <c r="S119" i="4"/>
  <c r="S118" i="4"/>
  <c r="S117" i="4"/>
  <c r="S116" i="4"/>
  <c r="S125" i="4" s="1"/>
  <c r="S241" i="4" s="1"/>
  <c r="R85" i="4"/>
  <c r="R80" i="4" s="1"/>
  <c r="S84" i="4"/>
  <c r="S83" i="4"/>
  <c r="R78" i="4"/>
  <c r="R77" i="4"/>
  <c r="R76" i="4"/>
  <c r="S70" i="4"/>
  <c r="S67" i="4"/>
  <c r="S66" i="4"/>
  <c r="S65" i="4"/>
  <c r="S64" i="4"/>
  <c r="S63" i="4"/>
  <c r="S59" i="4"/>
  <c r="R57" i="4"/>
  <c r="R56" i="4"/>
  <c r="R55" i="4"/>
  <c r="S50" i="4"/>
  <c r="S238" i="4" s="1"/>
  <c r="S48" i="4"/>
  <c r="S47" i="4"/>
  <c r="S46" i="4"/>
  <c r="S45" i="4"/>
  <c r="S44" i="4"/>
  <c r="S43" i="4"/>
  <c r="S37" i="4"/>
  <c r="S36" i="4"/>
  <c r="S35" i="4"/>
  <c r="S34" i="4"/>
  <c r="S33" i="4"/>
  <c r="S32" i="4"/>
  <c r="S31" i="4"/>
  <c r="S29" i="4"/>
  <c r="S28" i="4"/>
  <c r="S27" i="4"/>
  <c r="S26" i="4"/>
  <c r="S25" i="4"/>
  <c r="S24" i="4"/>
  <c r="S20" i="4"/>
  <c r="S19" i="4"/>
  <c r="S18" i="4"/>
  <c r="S56" i="4" s="1"/>
  <c r="S17" i="4"/>
  <c r="S16" i="4"/>
  <c r="S15" i="4"/>
  <c r="S77" i="4" s="1"/>
  <c r="S14" i="4"/>
  <c r="S12" i="4"/>
  <c r="S11" i="4"/>
  <c r="S10" i="4"/>
  <c r="S9" i="4"/>
  <c r="S8" i="4"/>
  <c r="S222" i="4" s="1"/>
  <c r="S6" i="4"/>
  <c r="S221" i="4" s="1"/>
  <c r="S5" i="4"/>
  <c r="R49" i="4"/>
  <c r="R51" i="4" s="1"/>
  <c r="R38" i="4"/>
  <c r="R30" i="4"/>
  <c r="R21" i="4"/>
  <c r="R13" i="4"/>
  <c r="R155" i="2"/>
  <c r="R153" i="2"/>
  <c r="S140" i="2"/>
  <c r="S139" i="2"/>
  <c r="S137" i="2"/>
  <c r="S136" i="2"/>
  <c r="S135" i="2"/>
  <c r="R134" i="2"/>
  <c r="R138" i="2" s="1"/>
  <c r="R141" i="2" s="1"/>
  <c r="S133" i="2"/>
  <c r="S132" i="2"/>
  <c r="S131" i="2"/>
  <c r="S129" i="2"/>
  <c r="R125" i="2"/>
  <c r="R119" i="2"/>
  <c r="R117" i="2"/>
  <c r="R116" i="2"/>
  <c r="R150" i="4" s="1"/>
  <c r="R115" i="2"/>
  <c r="R114" i="2"/>
  <c r="R113" i="2"/>
  <c r="S108" i="2"/>
  <c r="R109" i="2"/>
  <c r="S106" i="2"/>
  <c r="S105" i="2"/>
  <c r="S104" i="2"/>
  <c r="S103" i="2"/>
  <c r="S102" i="2"/>
  <c r="S99" i="2"/>
  <c r="S98" i="2"/>
  <c r="S97" i="2"/>
  <c r="S96" i="2"/>
  <c r="S95" i="2"/>
  <c r="S94" i="2"/>
  <c r="R92" i="2"/>
  <c r="R100" i="2" s="1"/>
  <c r="R24" i="2" s="1"/>
  <c r="S91" i="2"/>
  <c r="S90" i="2"/>
  <c r="S117" i="2" s="1"/>
  <c r="S89" i="2"/>
  <c r="S116" i="2" s="1"/>
  <c r="S150" i="4" s="1"/>
  <c r="S88" i="2"/>
  <c r="S87" i="2"/>
  <c r="S86" i="2"/>
  <c r="S85" i="2"/>
  <c r="S84" i="2"/>
  <c r="R82" i="2"/>
  <c r="R6" i="2" s="1"/>
  <c r="S81" i="2"/>
  <c r="S80" i="2"/>
  <c r="S79" i="2"/>
  <c r="S78" i="2"/>
  <c r="R71" i="2"/>
  <c r="R70" i="2"/>
  <c r="S67" i="2"/>
  <c r="S66" i="2"/>
  <c r="R62" i="2"/>
  <c r="S60" i="2"/>
  <c r="S41" i="2"/>
  <c r="S40" i="2"/>
  <c r="S39" i="2"/>
  <c r="S35" i="2"/>
  <c r="S154" i="2" s="1"/>
  <c r="R30" i="2"/>
  <c r="S29" i="2"/>
  <c r="S28" i="2"/>
  <c r="S27" i="2"/>
  <c r="S22" i="2"/>
  <c r="S21" i="2"/>
  <c r="S20" i="2"/>
  <c r="S19" i="2"/>
  <c r="S17" i="2"/>
  <c r="S15" i="2"/>
  <c r="S14" i="2"/>
  <c r="S11" i="2"/>
  <c r="X120" i="5"/>
  <c r="U120" i="5"/>
  <c r="V109" i="5"/>
  <c r="V107" i="5"/>
  <c r="V105" i="5"/>
  <c r="V102" i="5"/>
  <c r="V101" i="5"/>
  <c r="V125" i="2" s="1"/>
  <c r="U93" i="5"/>
  <c r="U90" i="5"/>
  <c r="U89" i="5"/>
  <c r="U22" i="5"/>
  <c r="V22" i="5" s="1"/>
  <c r="V81" i="5"/>
  <c r="V80" i="5"/>
  <c r="V79" i="5"/>
  <c r="V73" i="5"/>
  <c r="V72" i="5"/>
  <c r="U71" i="5"/>
  <c r="V70" i="5"/>
  <c r="V69" i="5"/>
  <c r="V68" i="5"/>
  <c r="V67" i="5"/>
  <c r="V66" i="5"/>
  <c r="U65" i="5"/>
  <c r="V64" i="5"/>
  <c r="V63" i="5"/>
  <c r="V62" i="5"/>
  <c r="V61" i="5"/>
  <c r="U60" i="5"/>
  <c r="U212" i="4" s="1"/>
  <c r="V59" i="5"/>
  <c r="V58" i="5"/>
  <c r="V57" i="5"/>
  <c r="U56" i="5"/>
  <c r="V53" i="5"/>
  <c r="V52" i="5"/>
  <c r="V51" i="5"/>
  <c r="V50" i="5"/>
  <c r="U49" i="5"/>
  <c r="V48" i="5"/>
  <c r="V47" i="5"/>
  <c r="V46" i="5"/>
  <c r="V45" i="5"/>
  <c r="V44" i="5"/>
  <c r="V43" i="5"/>
  <c r="V42" i="5"/>
  <c r="U41" i="5"/>
  <c r="V40" i="5"/>
  <c r="V39" i="5"/>
  <c r="V38" i="5"/>
  <c r="U37" i="5"/>
  <c r="V36" i="5"/>
  <c r="V35" i="5"/>
  <c r="U34" i="5"/>
  <c r="V33" i="5"/>
  <c r="V30" i="5"/>
  <c r="V90" i="5" s="1"/>
  <c r="V28" i="5"/>
  <c r="V27" i="5"/>
  <c r="V26" i="5"/>
  <c r="V25" i="5"/>
  <c r="U24" i="5"/>
  <c r="V23" i="5"/>
  <c r="V21" i="5"/>
  <c r="V20" i="5"/>
  <c r="V18" i="5"/>
  <c r="V17" i="5"/>
  <c r="V16" i="5"/>
  <c r="V119" i="2" s="1"/>
  <c r="V15" i="5"/>
  <c r="V114" i="2" s="1"/>
  <c r="V14" i="5"/>
  <c r="V113" i="2" s="1"/>
  <c r="V13" i="5"/>
  <c r="V115" i="2" s="1"/>
  <c r="U12" i="5"/>
  <c r="V11" i="5"/>
  <c r="U9" i="5"/>
  <c r="V8" i="5"/>
  <c r="V7" i="5"/>
  <c r="U238" i="4"/>
  <c r="U223" i="4"/>
  <c r="U222" i="4"/>
  <c r="U221" i="4"/>
  <c r="V207" i="4"/>
  <c r="U206" i="4"/>
  <c r="V205" i="4"/>
  <c r="U203" i="4"/>
  <c r="V202" i="4"/>
  <c r="V201" i="4"/>
  <c r="V200" i="4"/>
  <c r="V199" i="4"/>
  <c r="V198" i="4"/>
  <c r="V197" i="4"/>
  <c r="V196" i="4"/>
  <c r="V195" i="4"/>
  <c r="V194" i="4"/>
  <c r="U192" i="4"/>
  <c r="V190" i="4"/>
  <c r="U187" i="4"/>
  <c r="V186" i="4"/>
  <c r="V185" i="4"/>
  <c r="V184" i="4"/>
  <c r="V183" i="4"/>
  <c r="V182" i="4"/>
  <c r="V181" i="4"/>
  <c r="V180" i="4"/>
  <c r="U164" i="4"/>
  <c r="U161" i="4"/>
  <c r="U159" i="4"/>
  <c r="U137" i="4"/>
  <c r="V154" i="4"/>
  <c r="V148" i="4"/>
  <c r="V147" i="4"/>
  <c r="V146" i="4"/>
  <c r="U145" i="4"/>
  <c r="U149" i="4" s="1"/>
  <c r="V144" i="4"/>
  <c r="V143" i="4"/>
  <c r="V142" i="4"/>
  <c r="V141" i="4"/>
  <c r="V135" i="4"/>
  <c r="V134" i="4"/>
  <c r="V133" i="4"/>
  <c r="U132" i="4"/>
  <c r="U136" i="4" s="1"/>
  <c r="U138" i="4" s="1"/>
  <c r="V131" i="4"/>
  <c r="V130" i="4"/>
  <c r="V129" i="4"/>
  <c r="V128" i="4"/>
  <c r="U125" i="4"/>
  <c r="U219" i="4" s="1"/>
  <c r="U124" i="4"/>
  <c r="V123" i="4"/>
  <c r="V122" i="4"/>
  <c r="V121" i="4"/>
  <c r="U120" i="4"/>
  <c r="V119" i="4"/>
  <c r="V118" i="4"/>
  <c r="V117" i="4"/>
  <c r="V116" i="4"/>
  <c r="V125" i="4" s="1"/>
  <c r="V219" i="4" s="1"/>
  <c r="U85" i="4"/>
  <c r="U80" i="4" s="1"/>
  <c r="V84" i="4"/>
  <c r="V83" i="4"/>
  <c r="U78" i="4"/>
  <c r="U77" i="4"/>
  <c r="U76" i="4"/>
  <c r="V70" i="4"/>
  <c r="V67" i="4"/>
  <c r="V66" i="4"/>
  <c r="V64" i="4"/>
  <c r="V63" i="4"/>
  <c r="V59" i="4"/>
  <c r="U57" i="4"/>
  <c r="U56" i="4"/>
  <c r="U55" i="4"/>
  <c r="V50" i="4"/>
  <c r="V238" i="4" s="1"/>
  <c r="V48" i="4"/>
  <c r="V47" i="4"/>
  <c r="V46" i="4"/>
  <c r="V45" i="4"/>
  <c r="V44" i="4"/>
  <c r="V43" i="4"/>
  <c r="V37" i="4"/>
  <c r="V36" i="4"/>
  <c r="V35" i="4"/>
  <c r="V34" i="4"/>
  <c r="V33" i="4"/>
  <c r="V32" i="4"/>
  <c r="V31" i="4"/>
  <c r="V28" i="4"/>
  <c r="V27" i="4"/>
  <c r="V26" i="4"/>
  <c r="V25" i="4"/>
  <c r="V24" i="4"/>
  <c r="V20" i="4"/>
  <c r="V19" i="4"/>
  <c r="V18" i="4"/>
  <c r="V56" i="4" s="1"/>
  <c r="V17" i="4"/>
  <c r="V16" i="4"/>
  <c r="V15" i="4"/>
  <c r="V77" i="4" s="1"/>
  <c r="V14" i="4"/>
  <c r="V12" i="4"/>
  <c r="V11" i="4"/>
  <c r="V10" i="4"/>
  <c r="V9" i="4"/>
  <c r="V8" i="4"/>
  <c r="V222" i="4" s="1"/>
  <c r="V6" i="4"/>
  <c r="V221" i="4" s="1"/>
  <c r="V5" i="4"/>
  <c r="U49" i="4"/>
  <c r="U51" i="4" s="1"/>
  <c r="U38" i="4"/>
  <c r="U30" i="4"/>
  <c r="U21" i="4"/>
  <c r="U13" i="4"/>
  <c r="V137" i="2"/>
  <c r="V136" i="2"/>
  <c r="V135" i="2"/>
  <c r="U107" i="2"/>
  <c r="U109" i="2" s="1"/>
  <c r="U155" i="2"/>
  <c r="U153" i="2"/>
  <c r="V140" i="2"/>
  <c r="V139" i="2"/>
  <c r="V133" i="2"/>
  <c r="V132" i="2"/>
  <c r="U134" i="2"/>
  <c r="U138" i="2" s="1"/>
  <c r="U141" i="2" s="1"/>
  <c r="V131" i="2"/>
  <c r="V129" i="2"/>
  <c r="U125" i="2"/>
  <c r="U119" i="2"/>
  <c r="U117" i="2"/>
  <c r="U116" i="2"/>
  <c r="U150" i="4" s="1"/>
  <c r="U115" i="2"/>
  <c r="U114" i="2"/>
  <c r="U113" i="2"/>
  <c r="V108" i="2"/>
  <c r="V106" i="2"/>
  <c r="V105" i="2"/>
  <c r="V104" i="2"/>
  <c r="V103" i="2"/>
  <c r="V102" i="2"/>
  <c r="V99" i="2"/>
  <c r="V98" i="2"/>
  <c r="V97" i="2"/>
  <c r="V96" i="2"/>
  <c r="V95" i="2"/>
  <c r="V94" i="2"/>
  <c r="U92" i="2"/>
  <c r="U100" i="2" s="1"/>
  <c r="U24" i="2" s="1"/>
  <c r="V91" i="2"/>
  <c r="V90" i="2"/>
  <c r="V117" i="2" s="1"/>
  <c r="V89" i="2"/>
  <c r="V116" i="2" s="1"/>
  <c r="V150" i="4" s="1"/>
  <c r="V88" i="2"/>
  <c r="V87" i="2"/>
  <c r="V86" i="2"/>
  <c r="V85" i="2"/>
  <c r="V84" i="2"/>
  <c r="U82" i="2"/>
  <c r="U6" i="2" s="1"/>
  <c r="V81" i="2"/>
  <c r="V80" i="2"/>
  <c r="V79" i="2"/>
  <c r="V78" i="2"/>
  <c r="U71" i="2"/>
  <c r="U70" i="2"/>
  <c r="V67" i="2"/>
  <c r="V66" i="2"/>
  <c r="U62" i="2"/>
  <c r="V60" i="2"/>
  <c r="V41" i="2"/>
  <c r="V40" i="2"/>
  <c r="V39" i="2"/>
  <c r="U154" i="2"/>
  <c r="U30" i="2"/>
  <c r="V29" i="2"/>
  <c r="V28" i="2"/>
  <c r="V27" i="2"/>
  <c r="V22" i="2"/>
  <c r="V21" i="2"/>
  <c r="V20" i="2"/>
  <c r="V19" i="2"/>
  <c r="V17" i="2"/>
  <c r="V15" i="2"/>
  <c r="V14" i="2"/>
  <c r="V11" i="2"/>
  <c r="AG71" i="2"/>
  <c r="AG70" i="2"/>
  <c r="AD71" i="2"/>
  <c r="AD70" i="2"/>
  <c r="AA71" i="2"/>
  <c r="AA70" i="2"/>
  <c r="X71" i="2"/>
  <c r="X70" i="2"/>
  <c r="AE17" i="2"/>
  <c r="AB17" i="2"/>
  <c r="Y17" i="2"/>
  <c r="Y207" i="4"/>
  <c r="X206" i="4"/>
  <c r="Y205" i="4"/>
  <c r="X203" i="4"/>
  <c r="Y202" i="4"/>
  <c r="Y201" i="4"/>
  <c r="Y200" i="4"/>
  <c r="Y199" i="4"/>
  <c r="Y198" i="4"/>
  <c r="Y197" i="4"/>
  <c r="Y196" i="4"/>
  <c r="Y195" i="4"/>
  <c r="Y194" i="4"/>
  <c r="X192" i="4"/>
  <c r="Y190" i="4"/>
  <c r="X187" i="4"/>
  <c r="Y186" i="4"/>
  <c r="Y185" i="4"/>
  <c r="Y184" i="4"/>
  <c r="Y183" i="4"/>
  <c r="Y182" i="4"/>
  <c r="Y181" i="4"/>
  <c r="Y180" i="4"/>
  <c r="Y109" i="5"/>
  <c r="Y101" i="5"/>
  <c r="Y125" i="2" s="1"/>
  <c r="X93" i="5"/>
  <c r="X90" i="5"/>
  <c r="X89" i="5"/>
  <c r="X84" i="5"/>
  <c r="X22" i="5"/>
  <c r="X19" i="5" s="1"/>
  <c r="Y81" i="5"/>
  <c r="Y80" i="5"/>
  <c r="Y79" i="5"/>
  <c r="Y73" i="5"/>
  <c r="Y72" i="5"/>
  <c r="X71" i="5"/>
  <c r="Y70" i="5"/>
  <c r="Y69" i="5"/>
  <c r="Y68" i="5"/>
  <c r="Y67" i="5"/>
  <c r="Y66" i="5"/>
  <c r="X65" i="5"/>
  <c r="Y64" i="5"/>
  <c r="Y63" i="5"/>
  <c r="Y62" i="5"/>
  <c r="Y61" i="5"/>
  <c r="X60" i="5"/>
  <c r="X212" i="4" s="1"/>
  <c r="Y59" i="5"/>
  <c r="Y58" i="5"/>
  <c r="Y57" i="5"/>
  <c r="X56" i="5"/>
  <c r="Y53" i="5"/>
  <c r="Y52" i="5"/>
  <c r="Y51" i="5"/>
  <c r="Y50" i="5"/>
  <c r="X49" i="5"/>
  <c r="Y48" i="5"/>
  <c r="Y47" i="5"/>
  <c r="Y46" i="5"/>
  <c r="Y45" i="5"/>
  <c r="Y44" i="5"/>
  <c r="Y43" i="5"/>
  <c r="Y42" i="5"/>
  <c r="X41" i="5"/>
  <c r="Y40" i="5"/>
  <c r="Y39" i="5"/>
  <c r="Y38" i="5"/>
  <c r="X37" i="5"/>
  <c r="Y36" i="5"/>
  <c r="Y35" i="5"/>
  <c r="X34" i="5"/>
  <c r="Y33" i="5"/>
  <c r="Y30" i="5"/>
  <c r="Y90" i="5" s="1"/>
  <c r="Y28" i="5"/>
  <c r="Y27" i="5"/>
  <c r="Y26" i="5"/>
  <c r="Y25" i="5"/>
  <c r="X24" i="5"/>
  <c r="Y23" i="5"/>
  <c r="Y20" i="5"/>
  <c r="Y18" i="5"/>
  <c r="Y17" i="5"/>
  <c r="Y16" i="5"/>
  <c r="Y119" i="2" s="1"/>
  <c r="Y15" i="5"/>
  <c r="Y114" i="2" s="1"/>
  <c r="Y14" i="5"/>
  <c r="Y13" i="5"/>
  <c r="Y115" i="2" s="1"/>
  <c r="X12" i="5"/>
  <c r="Y11" i="5"/>
  <c r="X9" i="5"/>
  <c r="Y8" i="5"/>
  <c r="Y7" i="5"/>
  <c r="X132" i="2"/>
  <c r="Y132" i="2" s="1"/>
  <c r="X155" i="2"/>
  <c r="X153" i="2"/>
  <c r="Y140" i="2"/>
  <c r="Y139" i="2"/>
  <c r="Y133" i="2"/>
  <c r="Y131" i="2"/>
  <c r="Y129" i="2"/>
  <c r="X125" i="2"/>
  <c r="X119" i="2"/>
  <c r="X117" i="2"/>
  <c r="X116" i="2"/>
  <c r="X115" i="2"/>
  <c r="X114" i="2"/>
  <c r="X113" i="2"/>
  <c r="X109" i="2"/>
  <c r="Y108" i="2"/>
  <c r="Y107" i="2"/>
  <c r="Y106" i="2"/>
  <c r="Y105" i="2"/>
  <c r="Y104" i="2"/>
  <c r="Y103" i="2"/>
  <c r="Y102" i="2"/>
  <c r="Y99" i="2"/>
  <c r="Y98" i="2"/>
  <c r="Y97" i="2"/>
  <c r="Y96" i="2"/>
  <c r="Y95" i="2"/>
  <c r="Y94" i="2"/>
  <c r="Y93" i="2"/>
  <c r="X92" i="2"/>
  <c r="Y91" i="2"/>
  <c r="Y90" i="2"/>
  <c r="Y117" i="2" s="1"/>
  <c r="Y89" i="2"/>
  <c r="Y116" i="2" s="1"/>
  <c r="Y88" i="2"/>
  <c r="Y87" i="2"/>
  <c r="Y86" i="2"/>
  <c r="Y85" i="2"/>
  <c r="Y84" i="2"/>
  <c r="X82" i="2"/>
  <c r="X6" i="2" s="1"/>
  <c r="Y81" i="2"/>
  <c r="Y80" i="2"/>
  <c r="Y79" i="2"/>
  <c r="Y78" i="2"/>
  <c r="Y67" i="2"/>
  <c r="Y66" i="2"/>
  <c r="X62" i="2"/>
  <c r="Y41" i="2"/>
  <c r="Y40" i="2"/>
  <c r="Y39" i="2"/>
  <c r="Y35" i="2"/>
  <c r="X30" i="2"/>
  <c r="Y29" i="2"/>
  <c r="Y28" i="2"/>
  <c r="Y27" i="2"/>
  <c r="Y22" i="2"/>
  <c r="Y21" i="2"/>
  <c r="Y20" i="2"/>
  <c r="Y19" i="2"/>
  <c r="Y15" i="2"/>
  <c r="Y14" i="2"/>
  <c r="Y11" i="2"/>
  <c r="AA120" i="5"/>
  <c r="AA118" i="5"/>
  <c r="AA107" i="5"/>
  <c r="AA105" i="5"/>
  <c r="AA104" i="5"/>
  <c r="AA119" i="5" s="1"/>
  <c r="AB113" i="5"/>
  <c r="AB109" i="5"/>
  <c r="AB106" i="5"/>
  <c r="AB103" i="5"/>
  <c r="AB118" i="5" s="1"/>
  <c r="AB101" i="5"/>
  <c r="AA93" i="5"/>
  <c r="AA92" i="5"/>
  <c r="AA90" i="5"/>
  <c r="AA89" i="5"/>
  <c r="AB81" i="5"/>
  <c r="AB80" i="5"/>
  <c r="AB79" i="5"/>
  <c r="AB73" i="5"/>
  <c r="AB72" i="5"/>
  <c r="AA71" i="5"/>
  <c r="AB70" i="5"/>
  <c r="AB69" i="5"/>
  <c r="AB68" i="5"/>
  <c r="AB67" i="5"/>
  <c r="AB66" i="5"/>
  <c r="AA65" i="5"/>
  <c r="AB64" i="5"/>
  <c r="AB63" i="5"/>
  <c r="AB62" i="5"/>
  <c r="AB61" i="5"/>
  <c r="AA60" i="5"/>
  <c r="AA212" i="4" s="1"/>
  <c r="AB59" i="5"/>
  <c r="AB92" i="5" s="1"/>
  <c r="AB58" i="5"/>
  <c r="AB57" i="5"/>
  <c r="AA56" i="5"/>
  <c r="AB53" i="5"/>
  <c r="AB52" i="5"/>
  <c r="AB51" i="5"/>
  <c r="AB50" i="5"/>
  <c r="AA49" i="5"/>
  <c r="AB48" i="5"/>
  <c r="AB47" i="5"/>
  <c r="AB46" i="5"/>
  <c r="AB45" i="5"/>
  <c r="AB44" i="5"/>
  <c r="AB43" i="5"/>
  <c r="AB42" i="5"/>
  <c r="AA41" i="5"/>
  <c r="AB40" i="5"/>
  <c r="AB38" i="5"/>
  <c r="AA37" i="5"/>
  <c r="AB36" i="5"/>
  <c r="AB35" i="5"/>
  <c r="AA34" i="5"/>
  <c r="AB30" i="5"/>
  <c r="AB90" i="5" s="1"/>
  <c r="AB28" i="5"/>
  <c r="AB27" i="5"/>
  <c r="AB26" i="5"/>
  <c r="AB25" i="5"/>
  <c r="AA24" i="5"/>
  <c r="AB23" i="5"/>
  <c r="AB20" i="5"/>
  <c r="AB18" i="5"/>
  <c r="AB17" i="5"/>
  <c r="AB16" i="5"/>
  <c r="AB119" i="2" s="1"/>
  <c r="AB15" i="5"/>
  <c r="AB114" i="2" s="1"/>
  <c r="AB14" i="5"/>
  <c r="AB113" i="2" s="1"/>
  <c r="AB13" i="5"/>
  <c r="AB115" i="2" s="1"/>
  <c r="AA12" i="5"/>
  <c r="AB11" i="5"/>
  <c r="AA9" i="5"/>
  <c r="AB8" i="5"/>
  <c r="AB7" i="5"/>
  <c r="AB258" i="4"/>
  <c r="AA256" i="4"/>
  <c r="AB255" i="4"/>
  <c r="AB254" i="4"/>
  <c r="AB253" i="4"/>
  <c r="AB252" i="4"/>
  <c r="AB250" i="4"/>
  <c r="AA249" i="4"/>
  <c r="AA251" i="4" s="1"/>
  <c r="AB248" i="4"/>
  <c r="AB247" i="4"/>
  <c r="AB246" i="4"/>
  <c r="AA238" i="4"/>
  <c r="AA223" i="4"/>
  <c r="AA222" i="4"/>
  <c r="AA221" i="4"/>
  <c r="AB207" i="4"/>
  <c r="AA206" i="4"/>
  <c r="AA208" i="4" s="1"/>
  <c r="AB205" i="4"/>
  <c r="AA203" i="4"/>
  <c r="AB202" i="4"/>
  <c r="AB201" i="4"/>
  <c r="AB200" i="4"/>
  <c r="AB199" i="4"/>
  <c r="AB198" i="4"/>
  <c r="AB197" i="4"/>
  <c r="AB196" i="4"/>
  <c r="AB195" i="4"/>
  <c r="AB194" i="4"/>
  <c r="AA192" i="4"/>
  <c r="AB190" i="4"/>
  <c r="AA187" i="4"/>
  <c r="AB186" i="4"/>
  <c r="AB185" i="4"/>
  <c r="AB184" i="4"/>
  <c r="AB183" i="4"/>
  <c r="AB182" i="4"/>
  <c r="AB181" i="4"/>
  <c r="AB180" i="4"/>
  <c r="AA164" i="4"/>
  <c r="AA161" i="4"/>
  <c r="AA159" i="4"/>
  <c r="AB154" i="4"/>
  <c r="AB148" i="4"/>
  <c r="AB147" i="4"/>
  <c r="AB146" i="4"/>
  <c r="AA145" i="4"/>
  <c r="AA149" i="4" s="1"/>
  <c r="AB144" i="4"/>
  <c r="AB143" i="4"/>
  <c r="AB142" i="4"/>
  <c r="AB141" i="4"/>
  <c r="AB135" i="4"/>
  <c r="AB134" i="4"/>
  <c r="AB133" i="4"/>
  <c r="AA132" i="4"/>
  <c r="AA136" i="4" s="1"/>
  <c r="AA138" i="4" s="1"/>
  <c r="AB131" i="4"/>
  <c r="AB130" i="4"/>
  <c r="AB129" i="4"/>
  <c r="AB128" i="4"/>
  <c r="AA125" i="4"/>
  <c r="AA219" i="4" s="1"/>
  <c r="AA124" i="4"/>
  <c r="AB123" i="4"/>
  <c r="AB122" i="4"/>
  <c r="AB121" i="4"/>
  <c r="AA120" i="4"/>
  <c r="AB119" i="4"/>
  <c r="AB118" i="4"/>
  <c r="AB117" i="4"/>
  <c r="AB116" i="4"/>
  <c r="AB125" i="4" s="1"/>
  <c r="AB219" i="4" s="1"/>
  <c r="AA85" i="4"/>
  <c r="AA80" i="4" s="1"/>
  <c r="AB84" i="4"/>
  <c r="AB83" i="4"/>
  <c r="AA78" i="4"/>
  <c r="AA77" i="4"/>
  <c r="AA76" i="4"/>
  <c r="AB70" i="4"/>
  <c r="AB67" i="4"/>
  <c r="AB66" i="4"/>
  <c r="AB65" i="4"/>
  <c r="AB64" i="4"/>
  <c r="AB63" i="4"/>
  <c r="AB59" i="4"/>
  <c r="AA57" i="4"/>
  <c r="AA56" i="4"/>
  <c r="AA55" i="4"/>
  <c r="AB50" i="4"/>
  <c r="AB238" i="4" s="1"/>
  <c r="AB48" i="4"/>
  <c r="AB46" i="4"/>
  <c r="AB45" i="4"/>
  <c r="AB44" i="4"/>
  <c r="AB43" i="4"/>
  <c r="AB37" i="4"/>
  <c r="AB36" i="4"/>
  <c r="AB35" i="4"/>
  <c r="AB34" i="4"/>
  <c r="AB32" i="4"/>
  <c r="AB31" i="4"/>
  <c r="AB29" i="4"/>
  <c r="AB28" i="4"/>
  <c r="AB27" i="4"/>
  <c r="AB25" i="4"/>
  <c r="AB24" i="4"/>
  <c r="AB20" i="4"/>
  <c r="AB19" i="4"/>
  <c r="AB18" i="4"/>
  <c r="AB56" i="4" s="1"/>
  <c r="AB17" i="4"/>
  <c r="AB16" i="4"/>
  <c r="AB14" i="4"/>
  <c r="AB12" i="4"/>
  <c r="AB11" i="4"/>
  <c r="AB223" i="4" s="1"/>
  <c r="AB10" i="4"/>
  <c r="AB9" i="4"/>
  <c r="AB8" i="4"/>
  <c r="AB222" i="4" s="1"/>
  <c r="AB6" i="4"/>
  <c r="AB221" i="4" s="1"/>
  <c r="AB5" i="4"/>
  <c r="AA49" i="4"/>
  <c r="AA51" i="4" s="1"/>
  <c r="AA38" i="4"/>
  <c r="AA30" i="4"/>
  <c r="AA21" i="4"/>
  <c r="AA13" i="4"/>
  <c r="AB3" i="2"/>
  <c r="AA3" i="2"/>
  <c r="AA132" i="2"/>
  <c r="AB132" i="2" s="1"/>
  <c r="AA62" i="2"/>
  <c r="AD62" i="2"/>
  <c r="AG62" i="2"/>
  <c r="AA97" i="2"/>
  <c r="AA155" i="2"/>
  <c r="AA153" i="2"/>
  <c r="AB147" i="2"/>
  <c r="AA145" i="2"/>
  <c r="AA144" i="2"/>
  <c r="AA143" i="2"/>
  <c r="AB140" i="2"/>
  <c r="AB139" i="2"/>
  <c r="AB133" i="2"/>
  <c r="AB131" i="2"/>
  <c r="AB129" i="2"/>
  <c r="AA125" i="2"/>
  <c r="AA119" i="2"/>
  <c r="AA117" i="2"/>
  <c r="AA116" i="2"/>
  <c r="AA150" i="4" s="1"/>
  <c r="AA115" i="2"/>
  <c r="AA114" i="2"/>
  <c r="AA113" i="2"/>
  <c r="AB108" i="2"/>
  <c r="AA109" i="2"/>
  <c r="AB106" i="2"/>
  <c r="AB105" i="2"/>
  <c r="AB104" i="2"/>
  <c r="AB103" i="2"/>
  <c r="AB102" i="2"/>
  <c r="AB99" i="2"/>
  <c r="AB98" i="2"/>
  <c r="AB96" i="2"/>
  <c r="AB95" i="2"/>
  <c r="AB94" i="2"/>
  <c r="AB93" i="2"/>
  <c r="AA92" i="2"/>
  <c r="AA100" i="2" s="1"/>
  <c r="AA24" i="2" s="1"/>
  <c r="AB91" i="2"/>
  <c r="AB90" i="2"/>
  <c r="AB117" i="2" s="1"/>
  <c r="AB89" i="2"/>
  <c r="AB116" i="2" s="1"/>
  <c r="AB88" i="2"/>
  <c r="AB87" i="2"/>
  <c r="AB86" i="2"/>
  <c r="AB85" i="2"/>
  <c r="AA82" i="2"/>
  <c r="AA6" i="2" s="1"/>
  <c r="AB81" i="2"/>
  <c r="AB80" i="2"/>
  <c r="AB79" i="2"/>
  <c r="AB78" i="2"/>
  <c r="AB66" i="2"/>
  <c r="AB61" i="2"/>
  <c r="AB60" i="2"/>
  <c r="AB41" i="2"/>
  <c r="AB40" i="2"/>
  <c r="AA154" i="2"/>
  <c r="AA30" i="2"/>
  <c r="AB29" i="2"/>
  <c r="AB28" i="2"/>
  <c r="AB27" i="2"/>
  <c r="AB22" i="2"/>
  <c r="AB21" i="2"/>
  <c r="AB20" i="2"/>
  <c r="AB19" i="2"/>
  <c r="AB15" i="2"/>
  <c r="AB14" i="2"/>
  <c r="AB11" i="2"/>
  <c r="AE64" i="4"/>
  <c r="AD107" i="5"/>
  <c r="AD105" i="5"/>
  <c r="AD104" i="5"/>
  <c r="AD120" i="5"/>
  <c r="AD118" i="5"/>
  <c r="AE109" i="5"/>
  <c r="AE106" i="5"/>
  <c r="AE101" i="5"/>
  <c r="AE125" i="2" s="1"/>
  <c r="AD92" i="5"/>
  <c r="AD90" i="5"/>
  <c r="AD89" i="5"/>
  <c r="AD33" i="5"/>
  <c r="AD93" i="5" s="1"/>
  <c r="AD27" i="5"/>
  <c r="AE27" i="5" s="1"/>
  <c r="AD22" i="5"/>
  <c r="AD21" i="5"/>
  <c r="AE81" i="5"/>
  <c r="AE80" i="5"/>
  <c r="AE79" i="5"/>
  <c r="AE73" i="5"/>
  <c r="AE72" i="5"/>
  <c r="AD71" i="5"/>
  <c r="AE70" i="5"/>
  <c r="AE69" i="5"/>
  <c r="AE68" i="5"/>
  <c r="AE67" i="5"/>
  <c r="AE66" i="5"/>
  <c r="AD65" i="5"/>
  <c r="AE64" i="5"/>
  <c r="AE63" i="5"/>
  <c r="AE62" i="5"/>
  <c r="AE61" i="5"/>
  <c r="AE59" i="5"/>
  <c r="AE92" i="5" s="1"/>
  <c r="AE58" i="5"/>
  <c r="AE57" i="5"/>
  <c r="AD56" i="5"/>
  <c r="AE53" i="5"/>
  <c r="AE52" i="5"/>
  <c r="AE51" i="5"/>
  <c r="AE50" i="5"/>
  <c r="AD49" i="5"/>
  <c r="AE48" i="5"/>
  <c r="AE47" i="5"/>
  <c r="AE46" i="5"/>
  <c r="AE45" i="5"/>
  <c r="AE44" i="5"/>
  <c r="AE43" i="5"/>
  <c r="AE42" i="5"/>
  <c r="AD41" i="5"/>
  <c r="AE40" i="5"/>
  <c r="AE39" i="5"/>
  <c r="AE38" i="5"/>
  <c r="AD37" i="5"/>
  <c r="AE36" i="5"/>
  <c r="AE35" i="5"/>
  <c r="AD34" i="5"/>
  <c r="AE30" i="5"/>
  <c r="AE90" i="5" s="1"/>
  <c r="AE28" i="5"/>
  <c r="AE26" i="5"/>
  <c r="AE25" i="5"/>
  <c r="AD24" i="5"/>
  <c r="AE20" i="5"/>
  <c r="AE18" i="5"/>
  <c r="AE17" i="5"/>
  <c r="AE16" i="5"/>
  <c r="AE119" i="2" s="1"/>
  <c r="AE15" i="5"/>
  <c r="AE114" i="2" s="1"/>
  <c r="AE14" i="5"/>
  <c r="AE113" i="2" s="1"/>
  <c r="AE13" i="5"/>
  <c r="AE115" i="2" s="1"/>
  <c r="AD12" i="5"/>
  <c r="AE11" i="5"/>
  <c r="AD9" i="5"/>
  <c r="AE8" i="5"/>
  <c r="AE258" i="4"/>
  <c r="AD256" i="4"/>
  <c r="AE255" i="4"/>
  <c r="AE254" i="4"/>
  <c r="AE253" i="4"/>
  <c r="AE252" i="4"/>
  <c r="AE250" i="4"/>
  <c r="AD249" i="4"/>
  <c r="AD251" i="4" s="1"/>
  <c r="AE248" i="4"/>
  <c r="AE247" i="4"/>
  <c r="AE246" i="4"/>
  <c r="AD238" i="4"/>
  <c r="AD223" i="4"/>
  <c r="AD222" i="4"/>
  <c r="AD221" i="4"/>
  <c r="AE207" i="4"/>
  <c r="AD206" i="4"/>
  <c r="AE205" i="4"/>
  <c r="AE202" i="4"/>
  <c r="AD203" i="4"/>
  <c r="AE201" i="4"/>
  <c r="AE200" i="4"/>
  <c r="AE199" i="4"/>
  <c r="AE198" i="4"/>
  <c r="AE197" i="4"/>
  <c r="AE196" i="4"/>
  <c r="AE195" i="4"/>
  <c r="AE194" i="4"/>
  <c r="AD192" i="4"/>
  <c r="AE191" i="4"/>
  <c r="AE190" i="4"/>
  <c r="AD187" i="4"/>
  <c r="AE186" i="4"/>
  <c r="AE185" i="4"/>
  <c r="AE184" i="4"/>
  <c r="AE183" i="4"/>
  <c r="AE182" i="4"/>
  <c r="AE181" i="4"/>
  <c r="AE180" i="4"/>
  <c r="AD164" i="4"/>
  <c r="AE158" i="4" s="1"/>
  <c r="AD161" i="4"/>
  <c r="AD159" i="4"/>
  <c r="AD154" i="4"/>
  <c r="AE154" i="4" s="1"/>
  <c r="AE148" i="4"/>
  <c r="AE147" i="4"/>
  <c r="AE146" i="4"/>
  <c r="AD145" i="4"/>
  <c r="AD149" i="4" s="1"/>
  <c r="AE144" i="4"/>
  <c r="AE143" i="4"/>
  <c r="AE142" i="4"/>
  <c r="AE141" i="4"/>
  <c r="AE135" i="4"/>
  <c r="AE134" i="4"/>
  <c r="AE133" i="4"/>
  <c r="AD132" i="4"/>
  <c r="AD136" i="4" s="1"/>
  <c r="AD138" i="4" s="1"/>
  <c r="AE131" i="4"/>
  <c r="AE130" i="4"/>
  <c r="AE129" i="4"/>
  <c r="AE128" i="4"/>
  <c r="AD125" i="4"/>
  <c r="AD241" i="4" s="1"/>
  <c r="AD124" i="4"/>
  <c r="AE123" i="4"/>
  <c r="AE122" i="4"/>
  <c r="AE121" i="4"/>
  <c r="AD120" i="4"/>
  <c r="AE119" i="4"/>
  <c r="AE118" i="4"/>
  <c r="AE117" i="4"/>
  <c r="AE116" i="4"/>
  <c r="AE125" i="4" s="1"/>
  <c r="AE241" i="4" s="1"/>
  <c r="AD85" i="4"/>
  <c r="AD80" i="4" s="1"/>
  <c r="AE84" i="4"/>
  <c r="AE83" i="4"/>
  <c r="AD76" i="4"/>
  <c r="AE70" i="4"/>
  <c r="AE67" i="4"/>
  <c r="AE66" i="4"/>
  <c r="AE63" i="4"/>
  <c r="AE59" i="4"/>
  <c r="AD57" i="4"/>
  <c r="AD56" i="4"/>
  <c r="AD55" i="4"/>
  <c r="AE50" i="4"/>
  <c r="AE238" i="4" s="1"/>
  <c r="AE46" i="4"/>
  <c r="AE45" i="4"/>
  <c r="AE44" i="4"/>
  <c r="AE43" i="4"/>
  <c r="AE37" i="4"/>
  <c r="AE36" i="4"/>
  <c r="AE35" i="4"/>
  <c r="AE34" i="4"/>
  <c r="AE32" i="4"/>
  <c r="AE31" i="4"/>
  <c r="AE29" i="4"/>
  <c r="AE28" i="4"/>
  <c r="AE27" i="4"/>
  <c r="AE25" i="4"/>
  <c r="AE24" i="4"/>
  <c r="AE20" i="4"/>
  <c r="AE19" i="4"/>
  <c r="AE18" i="4"/>
  <c r="AE56" i="4" s="1"/>
  <c r="AE17" i="4"/>
  <c r="AE16" i="4"/>
  <c r="AE14" i="4"/>
  <c r="AE76" i="4" s="1"/>
  <c r="AE12" i="4"/>
  <c r="AE11" i="4"/>
  <c r="AE223" i="4" s="1"/>
  <c r="AE10" i="4"/>
  <c r="AE9" i="4"/>
  <c r="AE8" i="4"/>
  <c r="AE222" i="4" s="1"/>
  <c r="AE7" i="4"/>
  <c r="AE6" i="4"/>
  <c r="AE221" i="4" s="1"/>
  <c r="AE5" i="4"/>
  <c r="AD47" i="4"/>
  <c r="AD49" i="4" s="1"/>
  <c r="AD33" i="4"/>
  <c r="AD38" i="4" s="1"/>
  <c r="AD26" i="4"/>
  <c r="AD15" i="4"/>
  <c r="AD77" i="4" s="1"/>
  <c r="AD13" i="4"/>
  <c r="AD107" i="2"/>
  <c r="AF104" i="2"/>
  <c r="AE104" i="2" s="1"/>
  <c r="AD93" i="2"/>
  <c r="AE93" i="2" s="1"/>
  <c r="AD97" i="2"/>
  <c r="AD155" i="2"/>
  <c r="AD153" i="2"/>
  <c r="AD145" i="2"/>
  <c r="AD144" i="2"/>
  <c r="AD143" i="2"/>
  <c r="AE140" i="2"/>
  <c r="AE139" i="2"/>
  <c r="AD134" i="2"/>
  <c r="AD138" i="2" s="1"/>
  <c r="AD141" i="2" s="1"/>
  <c r="AE133" i="2"/>
  <c r="AE131" i="2"/>
  <c r="AD125" i="2"/>
  <c r="AD119" i="2"/>
  <c r="AD117" i="2"/>
  <c r="AD116" i="2"/>
  <c r="AD115" i="2"/>
  <c r="AD114" i="2"/>
  <c r="AD113" i="2"/>
  <c r="AE108" i="2"/>
  <c r="AE106" i="2"/>
  <c r="AE105" i="2"/>
  <c r="AE102" i="2"/>
  <c r="AE99" i="2"/>
  <c r="AE98" i="2"/>
  <c r="AE96" i="2"/>
  <c r="AE95" i="2"/>
  <c r="AE94" i="2"/>
  <c r="AD92" i="2"/>
  <c r="AE91" i="2"/>
  <c r="AE90" i="2"/>
  <c r="AE117" i="2" s="1"/>
  <c r="AE89" i="2"/>
  <c r="AE116" i="2" s="1"/>
  <c r="AE150" i="4" s="1"/>
  <c r="AE88" i="2"/>
  <c r="AE87" i="2"/>
  <c r="AE86" i="2"/>
  <c r="AE85" i="2"/>
  <c r="AE84" i="2"/>
  <c r="AD82" i="2"/>
  <c r="AD6" i="2" s="1"/>
  <c r="AE81" i="2"/>
  <c r="AE80" i="2"/>
  <c r="AE79" i="2"/>
  <c r="AE78" i="2"/>
  <c r="AE66" i="2"/>
  <c r="AD64" i="2"/>
  <c r="AE61" i="2"/>
  <c r="AE60" i="2"/>
  <c r="AE56" i="2" s="1"/>
  <c r="AE41" i="2"/>
  <c r="AE40" i="2"/>
  <c r="AD30" i="2"/>
  <c r="AE29" i="2"/>
  <c r="AE28" i="2"/>
  <c r="AE27" i="2"/>
  <c r="AE22" i="2"/>
  <c r="AE21" i="2"/>
  <c r="AE20" i="2"/>
  <c r="AE19" i="2"/>
  <c r="AE15" i="2"/>
  <c r="AE14" i="2"/>
  <c r="AE11" i="2"/>
  <c r="AG120" i="5"/>
  <c r="AG118" i="5"/>
  <c r="AG107" i="5"/>
  <c r="AG105" i="5"/>
  <c r="AG104" i="5"/>
  <c r="AG119" i="5" s="1"/>
  <c r="AH113" i="5"/>
  <c r="AH110" i="5"/>
  <c r="AH109" i="5"/>
  <c r="AH106" i="5"/>
  <c r="AH101" i="5"/>
  <c r="AH125" i="2" s="1"/>
  <c r="AG93" i="5"/>
  <c r="AG92" i="5"/>
  <c r="AG90" i="5"/>
  <c r="AG62" i="5"/>
  <c r="AG89" i="5" s="1"/>
  <c r="AG40" i="5"/>
  <c r="AG23" i="5"/>
  <c r="AG15" i="5"/>
  <c r="AH81" i="5"/>
  <c r="AH80" i="5"/>
  <c r="AH79" i="5"/>
  <c r="AH73" i="5"/>
  <c r="AH72" i="5"/>
  <c r="AG71" i="5"/>
  <c r="AH70" i="5"/>
  <c r="AH69" i="5"/>
  <c r="AH68" i="5"/>
  <c r="AH67" i="5"/>
  <c r="AH66" i="5"/>
  <c r="AG65" i="5"/>
  <c r="AH64" i="5"/>
  <c r="AH63" i="5"/>
  <c r="AH61" i="5"/>
  <c r="AH59" i="5"/>
  <c r="AH92" i="5" s="1"/>
  <c r="AH58" i="5"/>
  <c r="AH57" i="5"/>
  <c r="AG56" i="5"/>
  <c r="AH53" i="5"/>
  <c r="AH52" i="5"/>
  <c r="AH51" i="5"/>
  <c r="AH50" i="5"/>
  <c r="AG49" i="5"/>
  <c r="AH48" i="5"/>
  <c r="AH47" i="5"/>
  <c r="AH46" i="5"/>
  <c r="AH45" i="5"/>
  <c r="AH44" i="5"/>
  <c r="AH43" i="5"/>
  <c r="AH42" i="5"/>
  <c r="AG41" i="5"/>
  <c r="AH39" i="5"/>
  <c r="AH38" i="5"/>
  <c r="AH36" i="5"/>
  <c r="AH35" i="5"/>
  <c r="AG34" i="5"/>
  <c r="AH33" i="5"/>
  <c r="AH93" i="5" s="1"/>
  <c r="AH30" i="5"/>
  <c r="AH90" i="5" s="1"/>
  <c r="AH28" i="5"/>
  <c r="AH26" i="5"/>
  <c r="AH25" i="5"/>
  <c r="AG24" i="5"/>
  <c r="AH22" i="5"/>
  <c r="AH21" i="5"/>
  <c r="AH20" i="5"/>
  <c r="AG19" i="5"/>
  <c r="AH18" i="5"/>
  <c r="AH17" i="5"/>
  <c r="AH14" i="5"/>
  <c r="AH113" i="2" s="1"/>
  <c r="AH13" i="5"/>
  <c r="AH11" i="5"/>
  <c r="AG9" i="5"/>
  <c r="AH8" i="5"/>
  <c r="AH7" i="5"/>
  <c r="AH258" i="4"/>
  <c r="AH255" i="4"/>
  <c r="AH254" i="4"/>
  <c r="AG256" i="4"/>
  <c r="AH253" i="4"/>
  <c r="AH252" i="4"/>
  <c r="AH248" i="4"/>
  <c r="AH247" i="4"/>
  <c r="AG249" i="4"/>
  <c r="AG251" i="4" s="1"/>
  <c r="AG238" i="4"/>
  <c r="AG223" i="4"/>
  <c r="AG222" i="4"/>
  <c r="AG221" i="4"/>
  <c r="AG207" i="4"/>
  <c r="AG202" i="4"/>
  <c r="AG203" i="4" s="1"/>
  <c r="AG206" i="4"/>
  <c r="AH205" i="4"/>
  <c r="AH201" i="4"/>
  <c r="AH200" i="4"/>
  <c r="AH199" i="4"/>
  <c r="AH198" i="4"/>
  <c r="AH197" i="4"/>
  <c r="AH196" i="4"/>
  <c r="AH195" i="4"/>
  <c r="AH194" i="4"/>
  <c r="AH191" i="4"/>
  <c r="AH190" i="4"/>
  <c r="AG192" i="4"/>
  <c r="AG187" i="4"/>
  <c r="AH185" i="4"/>
  <c r="AH184" i="4"/>
  <c r="AH183" i="4"/>
  <c r="AH182" i="4"/>
  <c r="AH181" i="4"/>
  <c r="AH180" i="4"/>
  <c r="AG173" i="4"/>
  <c r="AG176" i="4"/>
  <c r="AH170" i="4" s="1"/>
  <c r="AH171" i="4"/>
  <c r="AG164" i="4"/>
  <c r="AG161" i="4"/>
  <c r="AG159" i="4"/>
  <c r="AH154" i="4"/>
  <c r="AH148" i="4"/>
  <c r="AH147" i="4"/>
  <c r="AH146" i="4"/>
  <c r="AG145" i="4"/>
  <c r="AG149" i="4" s="1"/>
  <c r="AH144" i="4"/>
  <c r="AH143" i="4"/>
  <c r="AH142" i="4"/>
  <c r="AH141" i="4"/>
  <c r="AH137" i="4"/>
  <c r="AH135" i="4"/>
  <c r="AH134" i="4"/>
  <c r="AH133" i="4"/>
  <c r="AG132" i="4"/>
  <c r="AG136" i="4" s="1"/>
  <c r="AG138" i="4" s="1"/>
  <c r="AH131" i="4"/>
  <c r="AH130" i="4"/>
  <c r="AH129" i="4"/>
  <c r="AH128" i="4"/>
  <c r="AG125" i="4"/>
  <c r="AG241" i="4" s="1"/>
  <c r="AG124" i="4"/>
  <c r="AH123" i="4"/>
  <c r="AH122" i="4"/>
  <c r="AH121" i="4"/>
  <c r="AG120" i="4"/>
  <c r="AH119" i="4"/>
  <c r="AH118" i="4"/>
  <c r="AH117" i="4"/>
  <c r="AH116" i="4"/>
  <c r="AH125" i="4" s="1"/>
  <c r="AH241" i="4" s="1"/>
  <c r="AG89" i="4"/>
  <c r="AH89" i="4" s="1"/>
  <c r="AG85" i="4"/>
  <c r="AG80" i="4" s="1"/>
  <c r="AH84" i="4"/>
  <c r="AH83" i="4"/>
  <c r="AG76" i="4"/>
  <c r="AH65" i="4"/>
  <c r="AG57" i="4"/>
  <c r="AG55" i="4"/>
  <c r="AH70" i="4"/>
  <c r="AH67" i="4"/>
  <c r="AH66" i="4"/>
  <c r="AH63" i="4"/>
  <c r="AH59" i="4"/>
  <c r="AG56" i="4"/>
  <c r="AH50" i="4"/>
  <c r="AH238" i="4" s="1"/>
  <c r="AH48" i="4"/>
  <c r="AH46" i="4"/>
  <c r="AH45" i="4"/>
  <c r="AH44" i="4"/>
  <c r="AH43" i="4"/>
  <c r="AH37" i="4"/>
  <c r="AH36" i="4"/>
  <c r="AH35" i="4"/>
  <c r="AH34" i="4"/>
  <c r="AH32" i="4"/>
  <c r="AH31" i="4"/>
  <c r="AH29" i="4"/>
  <c r="AH28" i="4"/>
  <c r="AH27" i="4"/>
  <c r="AH25" i="4"/>
  <c r="AH24" i="4"/>
  <c r="AH20" i="4"/>
  <c r="AH19" i="4"/>
  <c r="AH18" i="4"/>
  <c r="AH56" i="4" s="1"/>
  <c r="AH17" i="4"/>
  <c r="AH16" i="4"/>
  <c r="AH14" i="4"/>
  <c r="AH76" i="4" s="1"/>
  <c r="AH12" i="4"/>
  <c r="AH11" i="4"/>
  <c r="AH10" i="4"/>
  <c r="AH9" i="4"/>
  <c r="AH8" i="4"/>
  <c r="AH222" i="4" s="1"/>
  <c r="AH7" i="4"/>
  <c r="AH6" i="4"/>
  <c r="AH221" i="4" s="1"/>
  <c r="AH5" i="4"/>
  <c r="AH124" i="4" s="1"/>
  <c r="AG47" i="4"/>
  <c r="AG49" i="4" s="1"/>
  <c r="AG51" i="4" s="1"/>
  <c r="AG33" i="4"/>
  <c r="AG38" i="4" s="1"/>
  <c r="AG26" i="4"/>
  <c r="AG30" i="4" s="1"/>
  <c r="AG15" i="4"/>
  <c r="AG77" i="4" s="1"/>
  <c r="AG13" i="4"/>
  <c r="AH140" i="2"/>
  <c r="AG97" i="2"/>
  <c r="AG107" i="2"/>
  <c r="AG103" i="2"/>
  <c r="AG155" i="2"/>
  <c r="AG153" i="2"/>
  <c r="AH147" i="2"/>
  <c r="AG145" i="2"/>
  <c r="AG144" i="2"/>
  <c r="AG143" i="2"/>
  <c r="AH139" i="2"/>
  <c r="AG134" i="2"/>
  <c r="AG138" i="2" s="1"/>
  <c r="AG141" i="2" s="1"/>
  <c r="AH133" i="2"/>
  <c r="AH132" i="2"/>
  <c r="AH131" i="2"/>
  <c r="AH129" i="2"/>
  <c r="AG125" i="2"/>
  <c r="AG119" i="2"/>
  <c r="AG117" i="2"/>
  <c r="AG116" i="2"/>
  <c r="AG150" i="4" s="1"/>
  <c r="AG115" i="2"/>
  <c r="AG113" i="2"/>
  <c r="AH108" i="2"/>
  <c r="AH106" i="2"/>
  <c r="AH105" i="2"/>
  <c r="AH104" i="2"/>
  <c r="AH99" i="2"/>
  <c r="AH98" i="2"/>
  <c r="AH96" i="2"/>
  <c r="AH95" i="2"/>
  <c r="AH94" i="2"/>
  <c r="AH93" i="2"/>
  <c r="AG92" i="2"/>
  <c r="AH91" i="2"/>
  <c r="AH89" i="2"/>
  <c r="AH116" i="2" s="1"/>
  <c r="AH150" i="4" s="1"/>
  <c r="AH88" i="2"/>
  <c r="AH87" i="2"/>
  <c r="AH86" i="2"/>
  <c r="AH85" i="2"/>
  <c r="AH84" i="2"/>
  <c r="AG82" i="2"/>
  <c r="AG6" i="2" s="1"/>
  <c r="AH81" i="2"/>
  <c r="AH80" i="2"/>
  <c r="AH79" i="2"/>
  <c r="AH78" i="2"/>
  <c r="AH67" i="2"/>
  <c r="AH66" i="2"/>
  <c r="AH61" i="2"/>
  <c r="AH60" i="2"/>
  <c r="AH56" i="2" s="1"/>
  <c r="AH41" i="2"/>
  <c r="AH40" i="2"/>
  <c r="AH39" i="2"/>
  <c r="AG154" i="2"/>
  <c r="AG30" i="2"/>
  <c r="AH29" i="2"/>
  <c r="AH28" i="2"/>
  <c r="AH27" i="2"/>
  <c r="AH21" i="2"/>
  <c r="AH19" i="2"/>
  <c r="AH15" i="2"/>
  <c r="AH14" i="2"/>
  <c r="AH11" i="2"/>
  <c r="AK113" i="5"/>
  <c r="AK110" i="5"/>
  <c r="AK109" i="5"/>
  <c r="AK106" i="5"/>
  <c r="AK101" i="5"/>
  <c r="AK81" i="5"/>
  <c r="AK80" i="5"/>
  <c r="AK79" i="5"/>
  <c r="AK73" i="5"/>
  <c r="AK72" i="5"/>
  <c r="AK69" i="5"/>
  <c r="AK68" i="5"/>
  <c r="AK67" i="5"/>
  <c r="AK66" i="5"/>
  <c r="AK64" i="5"/>
  <c r="AK63" i="5"/>
  <c r="AK61" i="5"/>
  <c r="AK59" i="5"/>
  <c r="AK92" i="5" s="1"/>
  <c r="AK58" i="5"/>
  <c r="AK57" i="5"/>
  <c r="AK53" i="5"/>
  <c r="AK52" i="5"/>
  <c r="AK51" i="5"/>
  <c r="AK50" i="5"/>
  <c r="AK48" i="5"/>
  <c r="AK47" i="5"/>
  <c r="AK46" i="5"/>
  <c r="AK45" i="5"/>
  <c r="AK44" i="5"/>
  <c r="AK43" i="5"/>
  <c r="AK42" i="5"/>
  <c r="AK40" i="5"/>
  <c r="AK38" i="5"/>
  <c r="AK36" i="5"/>
  <c r="AK35" i="5"/>
  <c r="AK33" i="5"/>
  <c r="AK30" i="5"/>
  <c r="AK90" i="5" s="1"/>
  <c r="AK28" i="5"/>
  <c r="AK27" i="5"/>
  <c r="AK26" i="5"/>
  <c r="AK25" i="5"/>
  <c r="AK22" i="5"/>
  <c r="AK21" i="5"/>
  <c r="AK20" i="5"/>
  <c r="AK18" i="5"/>
  <c r="AK17" i="5"/>
  <c r="AK16" i="5"/>
  <c r="AK119" i="2" s="1"/>
  <c r="AK14" i="5"/>
  <c r="AK113" i="2" s="1"/>
  <c r="AK13" i="5"/>
  <c r="AK115" i="2" s="1"/>
  <c r="AK11" i="5"/>
  <c r="AK8" i="5"/>
  <c r="AK7" i="5"/>
  <c r="AK258" i="4"/>
  <c r="AK253" i="4"/>
  <c r="AK252" i="4"/>
  <c r="AK250" i="4"/>
  <c r="AK248" i="4"/>
  <c r="AK247" i="4"/>
  <c r="AK205" i="4"/>
  <c r="AK201" i="4"/>
  <c r="AK200" i="4"/>
  <c r="AK199" i="4"/>
  <c r="AK198" i="4"/>
  <c r="AK197" i="4"/>
  <c r="AK196" i="4"/>
  <c r="AK195" i="4"/>
  <c r="AK194" i="4"/>
  <c r="AK191" i="4"/>
  <c r="AK186" i="4"/>
  <c r="AK185" i="4"/>
  <c r="AK184" i="4"/>
  <c r="AK183" i="4"/>
  <c r="AK182" i="4"/>
  <c r="AK181" i="4"/>
  <c r="AK180" i="4"/>
  <c r="AK173" i="4"/>
  <c r="AK171" i="4"/>
  <c r="AK154" i="4"/>
  <c r="AK148" i="4"/>
  <c r="AK147" i="4"/>
  <c r="AK146" i="4"/>
  <c r="AK144" i="4"/>
  <c r="AK143" i="4"/>
  <c r="AK142" i="4"/>
  <c r="AK141" i="4"/>
  <c r="AK137" i="4"/>
  <c r="AK135" i="4"/>
  <c r="AK134" i="4"/>
  <c r="AK133" i="4"/>
  <c r="AK131" i="4"/>
  <c r="AK130" i="4"/>
  <c r="AK129" i="4"/>
  <c r="AK128" i="4"/>
  <c r="AK123" i="4"/>
  <c r="AK122" i="4"/>
  <c r="AK121" i="4"/>
  <c r="AK119" i="4"/>
  <c r="AK118" i="4"/>
  <c r="AK117" i="4"/>
  <c r="AK116" i="4"/>
  <c r="AK125" i="4" s="1"/>
  <c r="AK84" i="4"/>
  <c r="AK83" i="4"/>
  <c r="AK88" i="4"/>
  <c r="AK63" i="4"/>
  <c r="AK70" i="4"/>
  <c r="AK67" i="4"/>
  <c r="AK66" i="4"/>
  <c r="AK59" i="4"/>
  <c r="AK50" i="4"/>
  <c r="AK238" i="4" s="1"/>
  <c r="AK48" i="4"/>
  <c r="AK46" i="4"/>
  <c r="AK45" i="4"/>
  <c r="AK44" i="4"/>
  <c r="AK43" i="4"/>
  <c r="AK37" i="4"/>
  <c r="AK36" i="4"/>
  <c r="AK35" i="4"/>
  <c r="AK34" i="4"/>
  <c r="AK32" i="4"/>
  <c r="AK31" i="4"/>
  <c r="AK29" i="4"/>
  <c r="AK28" i="4"/>
  <c r="AK27" i="4"/>
  <c r="AK25" i="4"/>
  <c r="AK24" i="4"/>
  <c r="AK20" i="4"/>
  <c r="AK19" i="4"/>
  <c r="AK18" i="4"/>
  <c r="AK56" i="4" s="1"/>
  <c r="AK17" i="4"/>
  <c r="AK16" i="4"/>
  <c r="AK14" i="4"/>
  <c r="AK12" i="4"/>
  <c r="AK11" i="4"/>
  <c r="AK10" i="4"/>
  <c r="AK9" i="4"/>
  <c r="AK8" i="4"/>
  <c r="AK222" i="4" s="1"/>
  <c r="AK7" i="4"/>
  <c r="AK6" i="4"/>
  <c r="AK221" i="4" s="1"/>
  <c r="AK5" i="4"/>
  <c r="AK124" i="4" s="1"/>
  <c r="AN61" i="2"/>
  <c r="AN15" i="2"/>
  <c r="AK15" i="2"/>
  <c r="AK147" i="2"/>
  <c r="AK139" i="2"/>
  <c r="AK133" i="2"/>
  <c r="AK132" i="2"/>
  <c r="AK131" i="2"/>
  <c r="AK129" i="2"/>
  <c r="AK125" i="2"/>
  <c r="AK108" i="2"/>
  <c r="AK107" i="2"/>
  <c r="AK106" i="2"/>
  <c r="AK105" i="2"/>
  <c r="AK104" i="2"/>
  <c r="AK102" i="2"/>
  <c r="AK99" i="2"/>
  <c r="AK98" i="2"/>
  <c r="AK96" i="2"/>
  <c r="AK95" i="2"/>
  <c r="AK94" i="2"/>
  <c r="AK93" i="2"/>
  <c r="AK91" i="2"/>
  <c r="AK90" i="2"/>
  <c r="AK117" i="2" s="1"/>
  <c r="AK89" i="2"/>
  <c r="AK116" i="2" s="1"/>
  <c r="AK88" i="2"/>
  <c r="AK87" i="2"/>
  <c r="AK86" i="2"/>
  <c r="AK85" i="2"/>
  <c r="AK84" i="2"/>
  <c r="AK81" i="2"/>
  <c r="AK80" i="2"/>
  <c r="AK79" i="2"/>
  <c r="AK78" i="2"/>
  <c r="AK71" i="2"/>
  <c r="AK70" i="2"/>
  <c r="AK67" i="2"/>
  <c r="AK66" i="2"/>
  <c r="AK60" i="2"/>
  <c r="AK56" i="2" s="1"/>
  <c r="AK41" i="2"/>
  <c r="AK40" i="2"/>
  <c r="AK39" i="2"/>
  <c r="AK29" i="2"/>
  <c r="AK28" i="2"/>
  <c r="AK27" i="2"/>
  <c r="AK21" i="2"/>
  <c r="AK19" i="2"/>
  <c r="AK14" i="2"/>
  <c r="AK11" i="2"/>
  <c r="AJ120" i="5"/>
  <c r="AJ118" i="5"/>
  <c r="AJ107" i="5"/>
  <c r="AJ105" i="5"/>
  <c r="AJ104" i="5"/>
  <c r="AJ119" i="5" s="1"/>
  <c r="AJ93" i="5"/>
  <c r="AJ92" i="5"/>
  <c r="AJ90" i="5"/>
  <c r="AJ62" i="5"/>
  <c r="AJ23" i="5"/>
  <c r="AK23" i="5" s="1"/>
  <c r="AJ15" i="5"/>
  <c r="AJ12" i="5" s="1"/>
  <c r="AJ71" i="5"/>
  <c r="AJ65" i="5"/>
  <c r="AJ56" i="5"/>
  <c r="AJ49" i="5"/>
  <c r="AJ41" i="5"/>
  <c r="AJ37" i="5"/>
  <c r="AJ34" i="5"/>
  <c r="AJ24" i="5"/>
  <c r="AJ19" i="5"/>
  <c r="AJ10" i="5"/>
  <c r="AJ9" i="5" s="1"/>
  <c r="AJ255" i="4"/>
  <c r="AJ254" i="4"/>
  <c r="AJ246" i="4"/>
  <c r="AJ249" i="4" s="1"/>
  <c r="AJ251" i="4" s="1"/>
  <c r="AJ238" i="4"/>
  <c r="AJ223" i="4"/>
  <c r="AJ222" i="4"/>
  <c r="AJ221" i="4"/>
  <c r="AJ207" i="4"/>
  <c r="AJ202" i="4"/>
  <c r="AJ203" i="4" s="1"/>
  <c r="AJ190" i="4"/>
  <c r="AJ206" i="4"/>
  <c r="AJ189" i="4"/>
  <c r="AJ187" i="4"/>
  <c r="AJ176" i="4"/>
  <c r="AK170" i="4" s="1"/>
  <c r="AJ164" i="4"/>
  <c r="AK158" i="4" s="1"/>
  <c r="AJ161" i="4"/>
  <c r="AJ159" i="4"/>
  <c r="AJ145" i="4"/>
  <c r="AJ149" i="4" s="1"/>
  <c r="AJ132" i="4"/>
  <c r="AJ136" i="4" s="1"/>
  <c r="AJ138" i="4" s="1"/>
  <c r="AJ125" i="4"/>
  <c r="AJ241" i="4" s="1"/>
  <c r="AJ124" i="4"/>
  <c r="AJ120" i="4"/>
  <c r="AJ89" i="4"/>
  <c r="AK89" i="4" s="1"/>
  <c r="AJ85" i="4"/>
  <c r="AJ80" i="4" s="1"/>
  <c r="AJ76" i="4"/>
  <c r="AK65" i="4"/>
  <c r="AJ57" i="4"/>
  <c r="AJ55" i="4"/>
  <c r="AJ56" i="4"/>
  <c r="AJ47" i="4"/>
  <c r="AJ49" i="4" s="1"/>
  <c r="AJ33" i="4"/>
  <c r="AJ38" i="4" s="1"/>
  <c r="AJ26" i="4"/>
  <c r="AJ30" i="4" s="1"/>
  <c r="AJ15" i="4"/>
  <c r="AJ13" i="4"/>
  <c r="AJ155" i="2"/>
  <c r="AJ153" i="2"/>
  <c r="AJ145" i="2"/>
  <c r="AJ144" i="2"/>
  <c r="AJ143" i="2"/>
  <c r="AJ134" i="2"/>
  <c r="AJ138" i="2" s="1"/>
  <c r="AJ141" i="2" s="1"/>
  <c r="AJ125" i="2"/>
  <c r="AJ119" i="2"/>
  <c r="AJ117" i="2"/>
  <c r="AJ116" i="2"/>
  <c r="AJ150" i="4" s="1"/>
  <c r="AJ115" i="2"/>
  <c r="AJ113" i="2"/>
  <c r="AJ62" i="2"/>
  <c r="AJ103" i="2"/>
  <c r="AJ109" i="2" s="1"/>
  <c r="AJ92" i="2"/>
  <c r="AJ100" i="2" s="1"/>
  <c r="AJ24" i="2" s="1"/>
  <c r="AJ82" i="2"/>
  <c r="AJ6" i="2" s="1"/>
  <c r="AJ154" i="2"/>
  <c r="AJ30" i="2"/>
  <c r="AN113" i="5"/>
  <c r="AN110" i="5"/>
  <c r="AN109" i="5"/>
  <c r="AN106" i="5"/>
  <c r="AN101" i="5"/>
  <c r="AN125" i="2" s="1"/>
  <c r="AN81" i="5"/>
  <c r="AN80" i="5"/>
  <c r="AN79" i="5"/>
  <c r="AN73" i="5"/>
  <c r="AN72" i="5"/>
  <c r="AN69" i="5"/>
  <c r="AN68" i="5"/>
  <c r="AN67" i="5"/>
  <c r="AN66" i="5"/>
  <c r="AN64" i="5"/>
  <c r="AN63" i="5"/>
  <c r="AN61" i="5"/>
  <c r="AN59" i="5"/>
  <c r="AN92" i="5" s="1"/>
  <c r="AN58" i="5"/>
  <c r="AN57" i="5"/>
  <c r="AN38" i="5"/>
  <c r="AN35" i="5"/>
  <c r="AN53" i="5"/>
  <c r="AN52" i="5"/>
  <c r="AN51" i="5"/>
  <c r="AN50" i="5"/>
  <c r="AN48" i="5"/>
  <c r="AN47" i="5"/>
  <c r="AN46" i="5"/>
  <c r="AN45" i="5"/>
  <c r="AN44" i="5"/>
  <c r="AN43" i="5"/>
  <c r="AN42" i="5"/>
  <c r="AN40" i="5"/>
  <c r="AN36" i="5"/>
  <c r="AN33" i="5"/>
  <c r="AN30" i="5"/>
  <c r="AN90" i="5" s="1"/>
  <c r="AN8" i="5"/>
  <c r="AN16" i="5"/>
  <c r="AN14" i="5"/>
  <c r="AN13" i="5"/>
  <c r="AN28" i="5"/>
  <c r="AN27" i="5"/>
  <c r="AN26" i="5"/>
  <c r="AN25" i="5"/>
  <c r="AN22" i="5"/>
  <c r="AN21" i="5"/>
  <c r="AN20" i="5"/>
  <c r="AN18" i="5"/>
  <c r="AN17" i="5"/>
  <c r="AN11" i="5"/>
  <c r="AN7" i="5"/>
  <c r="AN258" i="4"/>
  <c r="AN255" i="4"/>
  <c r="AN254" i="4"/>
  <c r="AN253" i="4"/>
  <c r="AN252" i="4"/>
  <c r="AN250" i="4"/>
  <c r="AN248" i="4"/>
  <c r="AN247" i="4"/>
  <c r="AN246" i="4"/>
  <c r="AN205" i="4"/>
  <c r="AN201" i="4"/>
  <c r="AN200" i="4"/>
  <c r="AN199" i="4"/>
  <c r="AN197" i="4"/>
  <c r="AN196" i="4"/>
  <c r="AN195" i="4"/>
  <c r="AN194" i="4"/>
  <c r="AN191" i="4"/>
  <c r="AN190" i="4"/>
  <c r="AN186" i="4"/>
  <c r="AN185" i="4"/>
  <c r="AN184" i="4"/>
  <c r="AN183" i="4"/>
  <c r="AN182" i="4"/>
  <c r="AN181" i="4"/>
  <c r="AN180" i="4"/>
  <c r="AN173" i="4"/>
  <c r="AN171" i="4"/>
  <c r="AN154" i="4"/>
  <c r="AN148" i="4"/>
  <c r="AN147" i="4"/>
  <c r="AN146" i="4"/>
  <c r="AN144" i="4"/>
  <c r="AN143" i="4"/>
  <c r="AN142" i="4"/>
  <c r="AN141" i="4"/>
  <c r="AN137" i="4"/>
  <c r="AN135" i="4"/>
  <c r="AN134" i="4"/>
  <c r="AN133" i="4"/>
  <c r="AN131" i="4"/>
  <c r="AN130" i="4"/>
  <c r="AN129" i="4"/>
  <c r="AN128" i="4"/>
  <c r="AN123" i="4"/>
  <c r="AN122" i="4"/>
  <c r="AN121" i="4"/>
  <c r="AN119" i="4"/>
  <c r="AN118" i="4"/>
  <c r="AN117" i="4"/>
  <c r="AN116" i="4"/>
  <c r="AN125" i="4" s="1"/>
  <c r="AN84" i="4"/>
  <c r="AN83" i="4"/>
  <c r="AN70" i="4"/>
  <c r="AN67" i="4"/>
  <c r="AN66" i="4"/>
  <c r="AN59" i="4"/>
  <c r="AN50" i="4"/>
  <c r="AN238" i="4" s="1"/>
  <c r="AN48" i="4"/>
  <c r="AN47" i="4"/>
  <c r="AN46" i="4"/>
  <c r="AN45" i="4"/>
  <c r="AN44" i="4"/>
  <c r="AN43" i="4"/>
  <c r="AN37" i="4"/>
  <c r="AN36" i="4"/>
  <c r="AN35" i="4"/>
  <c r="AN32" i="4"/>
  <c r="AN31" i="4"/>
  <c r="AN29" i="4"/>
  <c r="AN28" i="4"/>
  <c r="AN27" i="4"/>
  <c r="AN25" i="4"/>
  <c r="AN24" i="4"/>
  <c r="AN20" i="4"/>
  <c r="AN19" i="4"/>
  <c r="AN55" i="4" s="1"/>
  <c r="AN18" i="4"/>
  <c r="AN56" i="4" s="1"/>
  <c r="AN17" i="4"/>
  <c r="AN16" i="4"/>
  <c r="AN14" i="4"/>
  <c r="AN12" i="4"/>
  <c r="AN11" i="4"/>
  <c r="AN10" i="4"/>
  <c r="AN9" i="4"/>
  <c r="AN8" i="4"/>
  <c r="AN222" i="4" s="1"/>
  <c r="AN7" i="4"/>
  <c r="AN6" i="4"/>
  <c r="AN221" i="4" s="1"/>
  <c r="AN5" i="4"/>
  <c r="AN147" i="2"/>
  <c r="AN139" i="2"/>
  <c r="AN133" i="2"/>
  <c r="AN132" i="2"/>
  <c r="AN131" i="2"/>
  <c r="AN129" i="2"/>
  <c r="AN108" i="2"/>
  <c r="AN106" i="2"/>
  <c r="AN105" i="2"/>
  <c r="AN104" i="2"/>
  <c r="AN102" i="2"/>
  <c r="AN99" i="2"/>
  <c r="AN98" i="2"/>
  <c r="AN96" i="2"/>
  <c r="AN95" i="2"/>
  <c r="AN94" i="2"/>
  <c r="AN93" i="2"/>
  <c r="AN91" i="2"/>
  <c r="AN90" i="2"/>
  <c r="AN117" i="2" s="1"/>
  <c r="AN89" i="2"/>
  <c r="AN116" i="2" s="1"/>
  <c r="AN150" i="4" s="1"/>
  <c r="AN88" i="2"/>
  <c r="AN87" i="2"/>
  <c r="AN86" i="2"/>
  <c r="AN85" i="2"/>
  <c r="AN84" i="2"/>
  <c r="AN81" i="2"/>
  <c r="AN80" i="2"/>
  <c r="AN79" i="2"/>
  <c r="AN78" i="2"/>
  <c r="AN71" i="2"/>
  <c r="AN70" i="2"/>
  <c r="AN67" i="2"/>
  <c r="AN66" i="2"/>
  <c r="AN60" i="2"/>
  <c r="AN28" i="2"/>
  <c r="AN27" i="2"/>
  <c r="AN11" i="2"/>
  <c r="AN41" i="2"/>
  <c r="AN40" i="2"/>
  <c r="AN29" i="2"/>
  <c r="AN21" i="2"/>
  <c r="AN19" i="2"/>
  <c r="AN14" i="2"/>
  <c r="AH223" i="4" l="1"/>
  <c r="AA210" i="4"/>
  <c r="BM48" i="18"/>
  <c r="BM50" i="18"/>
  <c r="BM49" i="18"/>
  <c r="BM51" i="18"/>
  <c r="BI59" i="18"/>
  <c r="BI40" i="18"/>
  <c r="BI51" i="18"/>
  <c r="BL62" i="18"/>
  <c r="BF47" i="18"/>
  <c r="BI49" i="18"/>
  <c r="BL60" i="18"/>
  <c r="BM59" i="18"/>
  <c r="BL53" i="18"/>
  <c r="BL50" i="18" s="1"/>
  <c r="BJ47" i="18"/>
  <c r="BL61" i="18"/>
  <c r="BL63" i="18"/>
  <c r="BI48" i="18"/>
  <c r="U19" i="5"/>
  <c r="AE33" i="5"/>
  <c r="AE93" i="5" s="1"/>
  <c r="AL213" i="14"/>
  <c r="AE85" i="4"/>
  <c r="AE80" i="4" s="1"/>
  <c r="AG100" i="2"/>
  <c r="AG24" i="2" s="1"/>
  <c r="AD21" i="4"/>
  <c r="AD22" i="4" s="1"/>
  <c r="V223" i="4"/>
  <c r="BE206" i="4"/>
  <c r="U126" i="4"/>
  <c r="U152" i="4"/>
  <c r="S34" i="5"/>
  <c r="AG21" i="4"/>
  <c r="AG22" i="4" s="1"/>
  <c r="S223" i="4"/>
  <c r="AD78" i="4"/>
  <c r="AD79" i="4" s="1"/>
  <c r="AD81" i="4" s="1"/>
  <c r="S85" i="4"/>
  <c r="S80" i="4" s="1"/>
  <c r="S87" i="4" s="1"/>
  <c r="V21" i="4"/>
  <c r="AK223" i="4"/>
  <c r="AJ114" i="2"/>
  <c r="AJ112" i="2" s="1"/>
  <c r="AG109" i="2"/>
  <c r="AG31" i="2" s="1"/>
  <c r="AH126" i="4"/>
  <c r="S78" i="4"/>
  <c r="R58" i="4"/>
  <c r="R60" i="4" s="1"/>
  <c r="R84" i="5" s="1"/>
  <c r="U118" i="2"/>
  <c r="U36" i="2"/>
  <c r="U158" i="2" s="1"/>
  <c r="Y24" i="5"/>
  <c r="Y89" i="5"/>
  <c r="V34" i="5"/>
  <c r="S71" i="5"/>
  <c r="S89" i="5"/>
  <c r="X91" i="5"/>
  <c r="Y71" i="5"/>
  <c r="V24" i="5"/>
  <c r="V93" i="5"/>
  <c r="V89" i="5"/>
  <c r="V65" i="5"/>
  <c r="R31" i="2"/>
  <c r="AB71" i="5"/>
  <c r="U91" i="5"/>
  <c r="V49" i="5"/>
  <c r="U74" i="5"/>
  <c r="S21" i="4"/>
  <c r="V82" i="2"/>
  <c r="V6" i="2" s="1"/>
  <c r="U241" i="4"/>
  <c r="V71" i="5"/>
  <c r="S60" i="5"/>
  <c r="S212" i="4" s="1"/>
  <c r="S120" i="5"/>
  <c r="AD30" i="4"/>
  <c r="AD39" i="4" s="1"/>
  <c r="AJ126" i="4"/>
  <c r="AJ256" i="4"/>
  <c r="AJ257" i="4" s="1"/>
  <c r="AJ259" i="4" s="1"/>
  <c r="AJ260" i="4" s="1"/>
  <c r="AK145" i="4"/>
  <c r="AK149" i="4" s="1"/>
  <c r="AK93" i="5"/>
  <c r="AH120" i="5"/>
  <c r="AE30" i="2"/>
  <c r="Y120" i="5"/>
  <c r="V107" i="2"/>
  <c r="V109" i="2" s="1"/>
  <c r="V134" i="2"/>
  <c r="V138" i="2" s="1"/>
  <c r="V141" i="2" s="1"/>
  <c r="V49" i="4"/>
  <c r="V237" i="4" s="1"/>
  <c r="V85" i="4"/>
  <c r="V80" i="4" s="1"/>
  <c r="V87" i="4" s="1"/>
  <c r="V60" i="5"/>
  <c r="V212" i="4" s="1"/>
  <c r="V120" i="5"/>
  <c r="R79" i="4"/>
  <c r="R81" i="4" s="1"/>
  <c r="S93" i="5"/>
  <c r="R91" i="5"/>
  <c r="BC198" i="4"/>
  <c r="AJ91" i="5"/>
  <c r="R220" i="4"/>
  <c r="AN62" i="2"/>
  <c r="AN56" i="2"/>
  <c r="AN57" i="4"/>
  <c r="AN58" i="4" s="1"/>
  <c r="AN60" i="4" s="1"/>
  <c r="AN256" i="4"/>
  <c r="AJ77" i="4"/>
  <c r="AJ21" i="4"/>
  <c r="AJ22" i="4" s="1"/>
  <c r="V51" i="4"/>
  <c r="U220" i="4"/>
  <c r="AD126" i="4"/>
  <c r="S219" i="4"/>
  <c r="S220" i="4" s="1"/>
  <c r="AB62" i="2"/>
  <c r="AB56" i="2"/>
  <c r="V13" i="4"/>
  <c r="V38" i="4"/>
  <c r="V220" i="4"/>
  <c r="V241" i="4"/>
  <c r="V56" i="5"/>
  <c r="R118" i="2"/>
  <c r="S13" i="4"/>
  <c r="S38" i="4"/>
  <c r="S120" i="4"/>
  <c r="S124" i="4"/>
  <c r="S126" i="4" s="1"/>
  <c r="R152" i="4"/>
  <c r="R241" i="4"/>
  <c r="R54" i="5"/>
  <c r="BK206" i="4"/>
  <c r="AE71" i="5"/>
  <c r="AB30" i="2"/>
  <c r="AA134" i="2"/>
  <c r="AA138" i="2" s="1"/>
  <c r="AA141" i="2" s="1"/>
  <c r="AA148" i="2" s="1"/>
  <c r="Y56" i="5"/>
  <c r="V30" i="2"/>
  <c r="V92" i="2"/>
  <c r="U58" i="4"/>
  <c r="U60" i="4" s="1"/>
  <c r="U79" i="4"/>
  <c r="V124" i="4"/>
  <c r="V126" i="4" s="1"/>
  <c r="V145" i="4"/>
  <c r="V149" i="4" s="1"/>
  <c r="V152" i="4" s="1"/>
  <c r="U166" i="4"/>
  <c r="U237" i="4"/>
  <c r="V41" i="5"/>
  <c r="S82" i="2"/>
  <c r="S6" i="2" s="1"/>
  <c r="S49" i="4"/>
  <c r="S41" i="5"/>
  <c r="S56" i="5"/>
  <c r="AK85" i="4"/>
  <c r="AK80" i="4" s="1"/>
  <c r="AH219" i="4"/>
  <c r="AH220" i="4" s="1"/>
  <c r="AE89" i="5"/>
  <c r="AD19" i="5"/>
  <c r="Y82" i="2"/>
  <c r="Y6" i="2" s="1"/>
  <c r="Y93" i="5"/>
  <c r="V76" i="4"/>
  <c r="V78" i="4"/>
  <c r="V120" i="4"/>
  <c r="S30" i="4"/>
  <c r="S76" i="4"/>
  <c r="R237" i="4"/>
  <c r="S19" i="5"/>
  <c r="BH206" i="4"/>
  <c r="BF197" i="4"/>
  <c r="BC197" i="4"/>
  <c r="V35" i="2"/>
  <c r="V154" i="2" s="1"/>
  <c r="S65" i="5"/>
  <c r="R74" i="5"/>
  <c r="S49" i="5"/>
  <c r="S37" i="5"/>
  <c r="S24" i="5"/>
  <c r="S12" i="5"/>
  <c r="S113" i="2"/>
  <c r="S112" i="2" s="1"/>
  <c r="R210" i="4"/>
  <c r="R211" i="4"/>
  <c r="S187" i="4"/>
  <c r="S203" i="4"/>
  <c r="S158" i="4"/>
  <c r="R166" i="4"/>
  <c r="S145" i="4"/>
  <c r="S149" i="4" s="1"/>
  <c r="S152" i="4" s="1"/>
  <c r="S132" i="4"/>
  <c r="S136" i="4" s="1"/>
  <c r="R126" i="4"/>
  <c r="R39" i="4"/>
  <c r="R22" i="4"/>
  <c r="S134" i="2"/>
  <c r="S138" i="2" s="1"/>
  <c r="S141" i="2" s="1"/>
  <c r="S30" i="2"/>
  <c r="S118" i="2"/>
  <c r="R36" i="2"/>
  <c r="S107" i="2"/>
  <c r="S109" i="2" s="1"/>
  <c r="R112" i="2"/>
  <c r="R154" i="2"/>
  <c r="R156" i="2" s="1"/>
  <c r="U54" i="5"/>
  <c r="V37" i="5"/>
  <c r="V19" i="5"/>
  <c r="U112" i="2"/>
  <c r="V12" i="5"/>
  <c r="V112" i="2"/>
  <c r="U208" i="4"/>
  <c r="U211" i="4" s="1"/>
  <c r="U210" i="4"/>
  <c r="V187" i="4"/>
  <c r="V203" i="4"/>
  <c r="V158" i="4"/>
  <c r="V132" i="4"/>
  <c r="V136" i="4" s="1"/>
  <c r="U39" i="4"/>
  <c r="U22" i="4"/>
  <c r="U31" i="2"/>
  <c r="V118" i="2"/>
  <c r="U156" i="2"/>
  <c r="Y12" i="5"/>
  <c r="Y113" i="2"/>
  <c r="Y112" i="2" s="1"/>
  <c r="AE256" i="4"/>
  <c r="AD91" i="5"/>
  <c r="AA36" i="2"/>
  <c r="AA158" i="2" s="1"/>
  <c r="AG78" i="4"/>
  <c r="AG79" i="4" s="1"/>
  <c r="AG81" i="4" s="1"/>
  <c r="AG12" i="5"/>
  <c r="AG114" i="2"/>
  <c r="AG112" i="2" s="1"/>
  <c r="AH15" i="5"/>
  <c r="AH114" i="2" s="1"/>
  <c r="X31" i="2"/>
  <c r="X100" i="2"/>
  <c r="X24" i="2" s="1"/>
  <c r="Y92" i="2"/>
  <c r="Y100" i="2" s="1"/>
  <c r="Y24" i="2" s="1"/>
  <c r="AA102" i="5"/>
  <c r="AB145" i="4"/>
  <c r="AB149" i="4" s="1"/>
  <c r="AD58" i="4"/>
  <c r="AD60" i="4" s="1"/>
  <c r="AD239" i="4" s="1"/>
  <c r="AE60" i="5"/>
  <c r="AE212" i="4" s="1"/>
  <c r="AA58" i="4"/>
  <c r="AA60" i="4" s="1"/>
  <c r="AA84" i="5" s="1"/>
  <c r="AA152" i="4"/>
  <c r="AB256" i="4"/>
  <c r="AA54" i="5"/>
  <c r="AB89" i="5"/>
  <c r="Y49" i="5"/>
  <c r="AJ192" i="4"/>
  <c r="AH85" i="4"/>
  <c r="AH80" i="4" s="1"/>
  <c r="AG210" i="4"/>
  <c r="AH71" i="5"/>
  <c r="AE62" i="2"/>
  <c r="AB132" i="4"/>
  <c r="AB136" i="4" s="1"/>
  <c r="AB187" i="4"/>
  <c r="AB34" i="5"/>
  <c r="X36" i="2"/>
  <c r="Y34" i="5"/>
  <c r="X210" i="4"/>
  <c r="X208" i="4"/>
  <c r="X211" i="4" s="1"/>
  <c r="Y187" i="4"/>
  <c r="Y203" i="4"/>
  <c r="Y107" i="5"/>
  <c r="Y65" i="5"/>
  <c r="Y60" i="5"/>
  <c r="Y212" i="4" s="1"/>
  <c r="X74" i="5"/>
  <c r="Y41" i="5"/>
  <c r="X54" i="5"/>
  <c r="Y37" i="5"/>
  <c r="Y134" i="2"/>
  <c r="Y138" i="2" s="1"/>
  <c r="Y141" i="2" s="1"/>
  <c r="Y30" i="2"/>
  <c r="Y109" i="2"/>
  <c r="X118" i="2"/>
  <c r="Y154" i="2"/>
  <c r="Y118" i="2"/>
  <c r="X134" i="2"/>
  <c r="X138" i="2" s="1"/>
  <c r="X141" i="2" s="1"/>
  <c r="X112" i="2"/>
  <c r="X154" i="2"/>
  <c r="X156" i="2" s="1"/>
  <c r="AN85" i="4"/>
  <c r="AN80" i="4" s="1"/>
  <c r="AN132" i="4"/>
  <c r="AN136" i="4" s="1"/>
  <c r="AN145" i="4"/>
  <c r="AN149" i="4" s="1"/>
  <c r="AN152" i="4" s="1"/>
  <c r="AN93" i="5"/>
  <c r="AJ219" i="4"/>
  <c r="AJ220" i="4" s="1"/>
  <c r="AK30" i="2"/>
  <c r="AK120" i="4"/>
  <c r="AG126" i="4"/>
  <c r="AG152" i="4"/>
  <c r="AH173" i="4"/>
  <c r="AG219" i="4"/>
  <c r="AH256" i="4"/>
  <c r="AD154" i="2"/>
  <c r="AD156" i="2" s="1"/>
  <c r="AD36" i="2"/>
  <c r="AE35" i="2"/>
  <c r="AE154" i="2" s="1"/>
  <c r="AB120" i="5"/>
  <c r="AN120" i="4"/>
  <c r="AN56" i="5"/>
  <c r="AH120" i="4"/>
  <c r="AG37" i="5"/>
  <c r="AG91" i="5" s="1"/>
  <c r="AH40" i="5"/>
  <c r="AH37" i="5" s="1"/>
  <c r="AD51" i="4"/>
  <c r="AD237" i="4"/>
  <c r="AB150" i="4"/>
  <c r="AA241" i="4"/>
  <c r="AN71" i="5"/>
  <c r="AJ78" i="4"/>
  <c r="AK24" i="5"/>
  <c r="AH13" i="4"/>
  <c r="AG208" i="4"/>
  <c r="AG211" i="4" s="1"/>
  <c r="AG237" i="4"/>
  <c r="AD150" i="4"/>
  <c r="AD152" i="4" s="1"/>
  <c r="AB13" i="4"/>
  <c r="AB124" i="4"/>
  <c r="AB126" i="4" s="1"/>
  <c r="AB220" i="4"/>
  <c r="AB76" i="4"/>
  <c r="AA220" i="4"/>
  <c r="AH19" i="5"/>
  <c r="AH34" i="5"/>
  <c r="AE13" i="4"/>
  <c r="AD219" i="4"/>
  <c r="AB85" i="4"/>
  <c r="AB80" i="4" s="1"/>
  <c r="AB241" i="4"/>
  <c r="AA257" i="4"/>
  <c r="AA259" i="4" s="1"/>
  <c r="AA260" i="4" s="1"/>
  <c r="AB41" i="5"/>
  <c r="AH24" i="5"/>
  <c r="AE120" i="4"/>
  <c r="AE124" i="4"/>
  <c r="AE126" i="4" s="1"/>
  <c r="AE219" i="4"/>
  <c r="AD257" i="4"/>
  <c r="AD259" i="4" s="1"/>
  <c r="AD260" i="4" s="1"/>
  <c r="AE65" i="5"/>
  <c r="AE120" i="5"/>
  <c r="AA79" i="4"/>
  <c r="AA224" i="4" s="1"/>
  <c r="AA211" i="4"/>
  <c r="AA263" i="4" s="1"/>
  <c r="AA237" i="4"/>
  <c r="AB249" i="4"/>
  <c r="AB251" i="4" s="1"/>
  <c r="AA91" i="5"/>
  <c r="AD100" i="2"/>
  <c r="AD24" i="2" s="1"/>
  <c r="AE249" i="4"/>
  <c r="AE251" i="4" s="1"/>
  <c r="AB35" i="2"/>
  <c r="AB154" i="2" s="1"/>
  <c r="AB120" i="4"/>
  <c r="AB125" i="2"/>
  <c r="AA74" i="5"/>
  <c r="AB65" i="5"/>
  <c r="AB60" i="5"/>
  <c r="AB212" i="4" s="1"/>
  <c r="AB56" i="5"/>
  <c r="AB49" i="5"/>
  <c r="AB24" i="5"/>
  <c r="AB112" i="2"/>
  <c r="AB12" i="5"/>
  <c r="AA112" i="2"/>
  <c r="AB33" i="5"/>
  <c r="AA19" i="5"/>
  <c r="AB203" i="4"/>
  <c r="AB158" i="4"/>
  <c r="AA166" i="4"/>
  <c r="AA126" i="4"/>
  <c r="AA39" i="4"/>
  <c r="AA22" i="4"/>
  <c r="AB134" i="2"/>
  <c r="AB138" i="2" s="1"/>
  <c r="AB141" i="2" s="1"/>
  <c r="AA31" i="2"/>
  <c r="AA118" i="2"/>
  <c r="AB82" i="2"/>
  <c r="AB6" i="2" s="1"/>
  <c r="AA156" i="2"/>
  <c r="AB118" i="2"/>
  <c r="AD119" i="5"/>
  <c r="AD102" i="5"/>
  <c r="AE56" i="5"/>
  <c r="AE49" i="5"/>
  <c r="AE41" i="5"/>
  <c r="AD54" i="5"/>
  <c r="AE37" i="5"/>
  <c r="AE34" i="5"/>
  <c r="AE24" i="5"/>
  <c r="AE12" i="5"/>
  <c r="AD166" i="4"/>
  <c r="AD112" i="2"/>
  <c r="AE112" i="2"/>
  <c r="AD60" i="5"/>
  <c r="AD212" i="4" s="1"/>
  <c r="AD208" i="4"/>
  <c r="AD211" i="4" s="1"/>
  <c r="AE203" i="4"/>
  <c r="AD210" i="4"/>
  <c r="AE187" i="4"/>
  <c r="AE145" i="4"/>
  <c r="AE149" i="4" s="1"/>
  <c r="AE152" i="4" s="1"/>
  <c r="AE132" i="4"/>
  <c r="AE136" i="4" s="1"/>
  <c r="AE82" i="2"/>
  <c r="AE6" i="2" s="1"/>
  <c r="AE118" i="2"/>
  <c r="AD148" i="2"/>
  <c r="AD118" i="2"/>
  <c r="AD109" i="2"/>
  <c r="AD31" i="2" s="1"/>
  <c r="AG102" i="5"/>
  <c r="AH65" i="5"/>
  <c r="AH64" i="4" s="1"/>
  <c r="AH56" i="5"/>
  <c r="AH49" i="5"/>
  <c r="AH41" i="5"/>
  <c r="AH115" i="2"/>
  <c r="AG60" i="5"/>
  <c r="AG212" i="4" s="1"/>
  <c r="AG257" i="4"/>
  <c r="AG259" i="4" s="1"/>
  <c r="AG260" i="4" s="1"/>
  <c r="AH206" i="4"/>
  <c r="AH158" i="4"/>
  <c r="AG166" i="4"/>
  <c r="AH145" i="4"/>
  <c r="AH149" i="4" s="1"/>
  <c r="AH152" i="4" s="1"/>
  <c r="AH132" i="4"/>
  <c r="AH136" i="4" s="1"/>
  <c r="AG58" i="4"/>
  <c r="AG60" i="4" s="1"/>
  <c r="AG39" i="4"/>
  <c r="AH134" i="2"/>
  <c r="AH138" i="2" s="1"/>
  <c r="AH17" i="2" s="1"/>
  <c r="AH62" i="2"/>
  <c r="AH30" i="2"/>
  <c r="AH82" i="2"/>
  <c r="AH6" i="2" s="1"/>
  <c r="AG148" i="2"/>
  <c r="AG156" i="2"/>
  <c r="AH35" i="2"/>
  <c r="AG118" i="2"/>
  <c r="AG36" i="2"/>
  <c r="AJ51" i="4"/>
  <c r="AJ237" i="4"/>
  <c r="AN49" i="4"/>
  <c r="AN51" i="4" s="1"/>
  <c r="AJ89" i="5"/>
  <c r="AJ60" i="5"/>
  <c r="AJ212" i="4" s="1"/>
  <c r="AK35" i="2"/>
  <c r="AK154" i="2" s="1"/>
  <c r="AN34" i="5"/>
  <c r="AJ152" i="4"/>
  <c r="AK126" i="4"/>
  <c r="AK241" i="4"/>
  <c r="AK219" i="4"/>
  <c r="AK220" i="4" s="1"/>
  <c r="AN249" i="4"/>
  <c r="AN251" i="4" s="1"/>
  <c r="AK150" i="4"/>
  <c r="AK134" i="2"/>
  <c r="AK138" i="2" s="1"/>
  <c r="AK141" i="2" s="1"/>
  <c r="AK13" i="4"/>
  <c r="AK187" i="4"/>
  <c r="AK65" i="5"/>
  <c r="AK64" i="4" s="1"/>
  <c r="AK120" i="5"/>
  <c r="AJ58" i="4"/>
  <c r="AJ60" i="4" s="1"/>
  <c r="AK34" i="5"/>
  <c r="AK49" i="5"/>
  <c r="AK71" i="5"/>
  <c r="AN24" i="5"/>
  <c r="AN82" i="2"/>
  <c r="AN6" i="2" s="1"/>
  <c r="AN134" i="2"/>
  <c r="AN138" i="2" s="1"/>
  <c r="AN17" i="2" s="1"/>
  <c r="AN223" i="4"/>
  <c r="AJ208" i="4"/>
  <c r="AK82" i="2"/>
  <c r="AK6" i="2" s="1"/>
  <c r="AK76" i="4"/>
  <c r="AK132" i="4"/>
  <c r="AK136" i="4" s="1"/>
  <c r="AK19" i="5"/>
  <c r="AK41" i="5"/>
  <c r="AK56" i="5"/>
  <c r="AK118" i="2"/>
  <c r="AJ102" i="5"/>
  <c r="AJ54" i="5"/>
  <c r="AJ166" i="4"/>
  <c r="AJ210" i="4"/>
  <c r="AN219" i="4"/>
  <c r="AN220" i="4" s="1"/>
  <c r="AN241" i="4"/>
  <c r="AN13" i="4"/>
  <c r="AN30" i="2"/>
  <c r="AN76" i="4"/>
  <c r="AN187" i="4"/>
  <c r="AN19" i="5"/>
  <c r="AN49" i="5"/>
  <c r="AN65" i="5"/>
  <c r="AN64" i="4" s="1"/>
  <c r="AJ156" i="2"/>
  <c r="AN124" i="4"/>
  <c r="AN126" i="4" s="1"/>
  <c r="AN41" i="5"/>
  <c r="AN120" i="5"/>
  <c r="AJ39" i="4"/>
  <c r="AJ148" i="2"/>
  <c r="AJ118" i="2"/>
  <c r="AJ31" i="2"/>
  <c r="AJ36" i="2"/>
  <c r="AJ158" i="2" s="1"/>
  <c r="AM120" i="5"/>
  <c r="AM118" i="5"/>
  <c r="AM107" i="5"/>
  <c r="AM105" i="5"/>
  <c r="AN105" i="5" s="1"/>
  <c r="AM104" i="5"/>
  <c r="AM119" i="5" s="1"/>
  <c r="AM93" i="5"/>
  <c r="AM92" i="5"/>
  <c r="AM90" i="5"/>
  <c r="AM62" i="5"/>
  <c r="AM89" i="5" s="1"/>
  <c r="AM15" i="5"/>
  <c r="AM12" i="5" s="1"/>
  <c r="AM71" i="5"/>
  <c r="AM65" i="5"/>
  <c r="AM56" i="5"/>
  <c r="AM49" i="5"/>
  <c r="AM41" i="5"/>
  <c r="AM37" i="5"/>
  <c r="AM34" i="5"/>
  <c r="AM24" i="5"/>
  <c r="AM19" i="5"/>
  <c r="AM10" i="5"/>
  <c r="AM9" i="5" s="1"/>
  <c r="AM255" i="4"/>
  <c r="AM254" i="4"/>
  <c r="AM246" i="4"/>
  <c r="AM249" i="4" s="1"/>
  <c r="AM251" i="4" s="1"/>
  <c r="AM238" i="4"/>
  <c r="AM223" i="4"/>
  <c r="AM222" i="4"/>
  <c r="AM221" i="4"/>
  <c r="AM207" i="4"/>
  <c r="AM202" i="4"/>
  <c r="AM203" i="4" s="1"/>
  <c r="AM206" i="4"/>
  <c r="AM189" i="4"/>
  <c r="AM192" i="4" s="1"/>
  <c r="AM187" i="4"/>
  <c r="AM176" i="4"/>
  <c r="AN170" i="4" s="1"/>
  <c r="AM164" i="4"/>
  <c r="AN158" i="4" s="1"/>
  <c r="AM161" i="4"/>
  <c r="AM159" i="4"/>
  <c r="AM145" i="4"/>
  <c r="AM149" i="4" s="1"/>
  <c r="AM132" i="4"/>
  <c r="AM136" i="4" s="1"/>
  <c r="AM138" i="4" s="1"/>
  <c r="AM125" i="4"/>
  <c r="AM124" i="4"/>
  <c r="AM120" i="4"/>
  <c r="AM89" i="4"/>
  <c r="AM85" i="4"/>
  <c r="AM80" i="4" s="1"/>
  <c r="AM76" i="4"/>
  <c r="AM90" i="4"/>
  <c r="AM65" i="4"/>
  <c r="AM57" i="4"/>
  <c r="AM55" i="4"/>
  <c r="AN214" i="4" s="1"/>
  <c r="AM56" i="4"/>
  <c r="AM47" i="4"/>
  <c r="AM49" i="4" s="1"/>
  <c r="AM51" i="4" s="1"/>
  <c r="AM33" i="4"/>
  <c r="AM38" i="4" s="1"/>
  <c r="AM26" i="4"/>
  <c r="AM30" i="4" s="1"/>
  <c r="AM15" i="4"/>
  <c r="AM77" i="4" s="1"/>
  <c r="AM13" i="4"/>
  <c r="AM155" i="2"/>
  <c r="AM153" i="2"/>
  <c r="AM145" i="2"/>
  <c r="AM144" i="2"/>
  <c r="AM143" i="2"/>
  <c r="AM134" i="2"/>
  <c r="AM138" i="2" s="1"/>
  <c r="AM141" i="2" s="1"/>
  <c r="AM125" i="2"/>
  <c r="AM119" i="2"/>
  <c r="AM117" i="2"/>
  <c r="AM116" i="2"/>
  <c r="AM150" i="4" s="1"/>
  <c r="AM115" i="2"/>
  <c r="AM113" i="2"/>
  <c r="AM62" i="2"/>
  <c r="AM39" i="2"/>
  <c r="AN39" i="2" s="1"/>
  <c r="AN35" i="2"/>
  <c r="AM30" i="2"/>
  <c r="AM107" i="2"/>
  <c r="AN107" i="2" s="1"/>
  <c r="AM103" i="2"/>
  <c r="AM97" i="2"/>
  <c r="AN97" i="2" s="1"/>
  <c r="AM92" i="2"/>
  <c r="AM82" i="2"/>
  <c r="AM6" i="2" s="1"/>
  <c r="AR213" i="14" l="1"/>
  <c r="AR211" i="14" s="1"/>
  <c r="BM47" i="18"/>
  <c r="BL59" i="18"/>
  <c r="BL40" i="18"/>
  <c r="BL48" i="18"/>
  <c r="BL51" i="18"/>
  <c r="BL49" i="18"/>
  <c r="BI47" i="18"/>
  <c r="X158" i="2"/>
  <c r="AO213" i="14"/>
  <c r="AM21" i="4"/>
  <c r="AM22" i="4" s="1"/>
  <c r="S79" i="4"/>
  <c r="S93" i="4" s="1"/>
  <c r="S91" i="5"/>
  <c r="AN215" i="4"/>
  <c r="S22" i="4"/>
  <c r="V91" i="5"/>
  <c r="AD84" i="5"/>
  <c r="AD240" i="4"/>
  <c r="AD242" i="4" s="1"/>
  <c r="AA239" i="4"/>
  <c r="AA240" i="4" s="1"/>
  <c r="AA242" i="4" s="1"/>
  <c r="AG263" i="4"/>
  <c r="AB210" i="4"/>
  <c r="R224" i="4"/>
  <c r="R225" i="4" s="1"/>
  <c r="R226" i="4" s="1"/>
  <c r="R239" i="4"/>
  <c r="R240" i="4" s="1"/>
  <c r="R242" i="4" s="1"/>
  <c r="V22" i="4"/>
  <c r="AM256" i="4"/>
  <c r="AM257" i="4" s="1"/>
  <c r="AM259" i="4" s="1"/>
  <c r="AM260" i="4" s="1"/>
  <c r="AG54" i="5"/>
  <c r="AE74" i="5"/>
  <c r="Y74" i="5"/>
  <c r="Y54" i="5"/>
  <c r="S54" i="5"/>
  <c r="Y210" i="4"/>
  <c r="V74" i="5"/>
  <c r="S74" i="5"/>
  <c r="S39" i="4"/>
  <c r="AJ79" i="4"/>
  <c r="AJ224" i="4" s="1"/>
  <c r="AJ225" i="4" s="1"/>
  <c r="AJ226" i="4" s="1"/>
  <c r="U41" i="4"/>
  <c r="U3" i="4" s="1"/>
  <c r="V54" i="5"/>
  <c r="R263" i="4"/>
  <c r="V210" i="4"/>
  <c r="U239" i="4"/>
  <c r="U240" i="4" s="1"/>
  <c r="U242" i="4" s="1"/>
  <c r="U84" i="5"/>
  <c r="Y91" i="5"/>
  <c r="U263" i="4"/>
  <c r="V79" i="4"/>
  <c r="S51" i="4"/>
  <c r="S237" i="4"/>
  <c r="U224" i="4"/>
  <c r="U225" i="4" s="1"/>
  <c r="U226" i="4" s="1"/>
  <c r="AJ211" i="4"/>
  <c r="AJ263" i="4" s="1"/>
  <c r="U81" i="4"/>
  <c r="S210" i="4"/>
  <c r="R41" i="4"/>
  <c r="R158" i="2"/>
  <c r="AK17" i="2"/>
  <c r="AE91" i="5"/>
  <c r="AN141" i="2"/>
  <c r="AH141" i="2"/>
  <c r="AA225" i="4"/>
  <c r="AA226" i="4" s="1"/>
  <c r="AG84" i="5"/>
  <c r="AG239" i="4"/>
  <c r="AG240" i="4" s="1"/>
  <c r="AG242" i="4" s="1"/>
  <c r="AM60" i="5"/>
  <c r="AM212" i="4" s="1"/>
  <c r="AA41" i="4"/>
  <c r="AA3" i="4" s="1"/>
  <c r="AA3" i="5" s="1"/>
  <c r="AB152" i="4"/>
  <c r="AB93" i="5"/>
  <c r="AD220" i="4"/>
  <c r="AA81" i="4"/>
  <c r="AE220" i="4"/>
  <c r="AH91" i="5"/>
  <c r="AD224" i="4"/>
  <c r="AM109" i="2"/>
  <c r="AM31" i="2" s="1"/>
  <c r="AM78" i="4"/>
  <c r="AM79" i="4" s="1"/>
  <c r="AH54" i="5"/>
  <c r="AD263" i="4"/>
  <c r="AE54" i="5"/>
  <c r="AG220" i="4"/>
  <c r="AG224" i="4"/>
  <c r="AB74" i="5"/>
  <c r="AA52" i="4"/>
  <c r="AD74" i="5"/>
  <c r="AE210" i="4"/>
  <c r="AD41" i="4"/>
  <c r="AD52" i="4" s="1"/>
  <c r="AD158" i="2"/>
  <c r="AG74" i="5"/>
  <c r="AG41" i="4"/>
  <c r="AG3" i="4" s="1"/>
  <c r="AH154" i="2"/>
  <c r="AG158" i="2"/>
  <c r="AM237" i="4"/>
  <c r="AK152" i="4"/>
  <c r="AJ239" i="4"/>
  <c r="AJ240" i="4" s="1"/>
  <c r="AJ242" i="4" s="1"/>
  <c r="AJ84" i="5"/>
  <c r="AN237" i="4"/>
  <c r="AM126" i="4"/>
  <c r="AM58" i="4"/>
  <c r="AM60" i="4" s="1"/>
  <c r="AM208" i="4"/>
  <c r="AM211" i="4" s="1"/>
  <c r="AM91" i="5"/>
  <c r="AJ74" i="5"/>
  <c r="AN154" i="2"/>
  <c r="AM219" i="4"/>
  <c r="AN84" i="5"/>
  <c r="AN239" i="4"/>
  <c r="AM100" i="2"/>
  <c r="AM24" i="2" s="1"/>
  <c r="AM87" i="4"/>
  <c r="AN89" i="4"/>
  <c r="AM154" i="2"/>
  <c r="AM156" i="2" s="1"/>
  <c r="AM152" i="4"/>
  <c r="AM241" i="4"/>
  <c r="AJ41" i="4"/>
  <c r="AJ52" i="4" s="1"/>
  <c r="AM102" i="5"/>
  <c r="AM54" i="5"/>
  <c r="AM166" i="4"/>
  <c r="AM118" i="2"/>
  <c r="AM114" i="2"/>
  <c r="AM112" i="2" s="1"/>
  <c r="AM210" i="4"/>
  <c r="AM39" i="4"/>
  <c r="AM148" i="2"/>
  <c r="AM36" i="2"/>
  <c r="BL71" i="2"/>
  <c r="BL70" i="2"/>
  <c r="BL67" i="2"/>
  <c r="BL66" i="2"/>
  <c r="BI71" i="2"/>
  <c r="BI70" i="2"/>
  <c r="BI67" i="2"/>
  <c r="BI66" i="2"/>
  <c r="BF71" i="2"/>
  <c r="BF70" i="2"/>
  <c r="BF67" i="2"/>
  <c r="BF66" i="2"/>
  <c r="BC71" i="2"/>
  <c r="BC70" i="2"/>
  <c r="BC67" i="2"/>
  <c r="BC66" i="2"/>
  <c r="AZ71" i="2"/>
  <c r="AZ70" i="2"/>
  <c r="AZ67" i="2"/>
  <c r="AZ66" i="2"/>
  <c r="BK81" i="5"/>
  <c r="BL81" i="5" s="1"/>
  <c r="BK80" i="5"/>
  <c r="BL80" i="5" s="1"/>
  <c r="BK79" i="5"/>
  <c r="BL79" i="5" s="1"/>
  <c r="BK73" i="5"/>
  <c r="BL73" i="5" s="1"/>
  <c r="BK69" i="5"/>
  <c r="BL69" i="5" s="1"/>
  <c r="BK68" i="5"/>
  <c r="BL68" i="5" s="1"/>
  <c r="BK66" i="5"/>
  <c r="BK64" i="5"/>
  <c r="BK58" i="5"/>
  <c r="BL58" i="5" s="1"/>
  <c r="BK57" i="5"/>
  <c r="BL57" i="5" s="1"/>
  <c r="BK53" i="5"/>
  <c r="BL53" i="5" s="1"/>
  <c r="BK52" i="5"/>
  <c r="BL52" i="5" s="1"/>
  <c r="BK50" i="5"/>
  <c r="BK48" i="5"/>
  <c r="BL48" i="5" s="1"/>
  <c r="BK47" i="5"/>
  <c r="BL47" i="5" s="1"/>
  <c r="BK46" i="5"/>
  <c r="BL46" i="5" s="1"/>
  <c r="BK45" i="5"/>
  <c r="BL45" i="5" s="1"/>
  <c r="BK44" i="5"/>
  <c r="BL44" i="5" s="1"/>
  <c r="BK43" i="5"/>
  <c r="BL43" i="5" s="1"/>
  <c r="BK42" i="5"/>
  <c r="BK40" i="5"/>
  <c r="BL40" i="5" s="1"/>
  <c r="BK36" i="5"/>
  <c r="BL36" i="5" s="1"/>
  <c r="BK33" i="5"/>
  <c r="BK28" i="5"/>
  <c r="BL28" i="5" s="1"/>
  <c r="BK18" i="5"/>
  <c r="BK68" i="4" s="1"/>
  <c r="BK17" i="5"/>
  <c r="BK8" i="5"/>
  <c r="BL8" i="5" s="1"/>
  <c r="BH81" i="5"/>
  <c r="BI81" i="5" s="1"/>
  <c r="BH80" i="5"/>
  <c r="BI80" i="5" s="1"/>
  <c r="BH79" i="5"/>
  <c r="BI79" i="5" s="1"/>
  <c r="BH73" i="5"/>
  <c r="BI73" i="5" s="1"/>
  <c r="BH69" i="5"/>
  <c r="BI69" i="5" s="1"/>
  <c r="BH68" i="5"/>
  <c r="BI68" i="5" s="1"/>
  <c r="BH66" i="5"/>
  <c r="BH64" i="5"/>
  <c r="BH58" i="5"/>
  <c r="BH57" i="5"/>
  <c r="BI57" i="5" s="1"/>
  <c r="BH53" i="5"/>
  <c r="BI53" i="5" s="1"/>
  <c r="BH52" i="5"/>
  <c r="BI52" i="5" s="1"/>
  <c r="BH50" i="5"/>
  <c r="BI50" i="5" s="1"/>
  <c r="BH48" i="5"/>
  <c r="BI48" i="5" s="1"/>
  <c r="BH47" i="5"/>
  <c r="BI47" i="5" s="1"/>
  <c r="BH46" i="5"/>
  <c r="BI46" i="5" s="1"/>
  <c r="BH45" i="5"/>
  <c r="BI45" i="5" s="1"/>
  <c r="BH44" i="5"/>
  <c r="BI44" i="5" s="1"/>
  <c r="BH43" i="5"/>
  <c r="BH42" i="5"/>
  <c r="BI42" i="5" s="1"/>
  <c r="BH40" i="5"/>
  <c r="BI40" i="5" s="1"/>
  <c r="BH36" i="5"/>
  <c r="BI36" i="5" s="1"/>
  <c r="BH33" i="5"/>
  <c r="BH28" i="5"/>
  <c r="BI28" i="5" s="1"/>
  <c r="BH18" i="5"/>
  <c r="BH68" i="4" s="1"/>
  <c r="BH17" i="5"/>
  <c r="BI17" i="5" s="1"/>
  <c r="BH8" i="5"/>
  <c r="BI8" i="5" s="1"/>
  <c r="BE81" i="5"/>
  <c r="BF81" i="5" s="1"/>
  <c r="BE80" i="5"/>
  <c r="BF80" i="5" s="1"/>
  <c r="BE79" i="5"/>
  <c r="BF79" i="5" s="1"/>
  <c r="BE73" i="5"/>
  <c r="BF73" i="5" s="1"/>
  <c r="BE69" i="5"/>
  <c r="BF69" i="5" s="1"/>
  <c r="BE68" i="5"/>
  <c r="BE66" i="5"/>
  <c r="BE64" i="5"/>
  <c r="BF64" i="5" s="1"/>
  <c r="BE58" i="5"/>
  <c r="BF58" i="5" s="1"/>
  <c r="BE57" i="5"/>
  <c r="BF57" i="5" s="1"/>
  <c r="BE53" i="5"/>
  <c r="BF53" i="5" s="1"/>
  <c r="BE52" i="5"/>
  <c r="BF52" i="5" s="1"/>
  <c r="BE50" i="5"/>
  <c r="BE48" i="5"/>
  <c r="BF48" i="5" s="1"/>
  <c r="BE47" i="5"/>
  <c r="BF47" i="5" s="1"/>
  <c r="BE46" i="5"/>
  <c r="BF46" i="5" s="1"/>
  <c r="BE45" i="5"/>
  <c r="BF45" i="5" s="1"/>
  <c r="BE44" i="5"/>
  <c r="BF44" i="5" s="1"/>
  <c r="BE43" i="5"/>
  <c r="BF43" i="5" s="1"/>
  <c r="BE42" i="5"/>
  <c r="BE40" i="5"/>
  <c r="BF40" i="5" s="1"/>
  <c r="BE36" i="5"/>
  <c r="BF36" i="5" s="1"/>
  <c r="BE33" i="5"/>
  <c r="BE28" i="5"/>
  <c r="BF28" i="5" s="1"/>
  <c r="BE18" i="5"/>
  <c r="BE68" i="4" s="1"/>
  <c r="BE17" i="5"/>
  <c r="BF17" i="5" s="1"/>
  <c r="BE8" i="5"/>
  <c r="BF8" i="5" s="1"/>
  <c r="BB81" i="5"/>
  <c r="BC81" i="5" s="1"/>
  <c r="BB80" i="5"/>
  <c r="BC80" i="5" s="1"/>
  <c r="BB79" i="5"/>
  <c r="BC79" i="5" s="1"/>
  <c r="BB73" i="5"/>
  <c r="BC73" i="5" s="1"/>
  <c r="BB69" i="5"/>
  <c r="BC69" i="5" s="1"/>
  <c r="BB68" i="5"/>
  <c r="BB66" i="5"/>
  <c r="BB64" i="5"/>
  <c r="BB58" i="5"/>
  <c r="BC58" i="5" s="1"/>
  <c r="BB57" i="5"/>
  <c r="BC57" i="5" s="1"/>
  <c r="BB53" i="5"/>
  <c r="BC53" i="5" s="1"/>
  <c r="BB52" i="5"/>
  <c r="BC52" i="5" s="1"/>
  <c r="BB50" i="5"/>
  <c r="BC50" i="5" s="1"/>
  <c r="BB48" i="5"/>
  <c r="BC48" i="5" s="1"/>
  <c r="BB47" i="5"/>
  <c r="BC47" i="5" s="1"/>
  <c r="BB46" i="5"/>
  <c r="BC46" i="5" s="1"/>
  <c r="BB45" i="5"/>
  <c r="BC45" i="5" s="1"/>
  <c r="BB44" i="5"/>
  <c r="BB43" i="5"/>
  <c r="BC43" i="5" s="1"/>
  <c r="BB42" i="5"/>
  <c r="BC42" i="5" s="1"/>
  <c r="BB40" i="5"/>
  <c r="BC40" i="5" s="1"/>
  <c r="BB36" i="5"/>
  <c r="BC36" i="5" s="1"/>
  <c r="BB33" i="5"/>
  <c r="BB28" i="5"/>
  <c r="BC28" i="5" s="1"/>
  <c r="BB18" i="5"/>
  <c r="BB68" i="4" s="1"/>
  <c r="BB17" i="5"/>
  <c r="BC17" i="5" s="1"/>
  <c r="BB8" i="5"/>
  <c r="BC8" i="5" s="1"/>
  <c r="AZ81" i="5"/>
  <c r="AZ80" i="5"/>
  <c r="AZ79" i="5"/>
  <c r="AZ73" i="5"/>
  <c r="AZ69" i="5"/>
  <c r="AZ68" i="5"/>
  <c r="AZ58" i="5"/>
  <c r="AZ57" i="5"/>
  <c r="AZ53" i="5"/>
  <c r="AZ52" i="5"/>
  <c r="AZ50" i="5"/>
  <c r="AZ48" i="5"/>
  <c r="AZ47" i="5"/>
  <c r="AZ46" i="5"/>
  <c r="AZ45" i="5"/>
  <c r="AZ44" i="5"/>
  <c r="AZ42" i="5"/>
  <c r="AZ40" i="5"/>
  <c r="AZ36" i="5"/>
  <c r="AZ28" i="5"/>
  <c r="AZ17" i="5"/>
  <c r="AZ8" i="5"/>
  <c r="BK175" i="4"/>
  <c r="BK47" i="4" s="1"/>
  <c r="BK154" i="4"/>
  <c r="BL154" i="4" s="1"/>
  <c r="BK102" i="4"/>
  <c r="BK91" i="4"/>
  <c r="BK89" i="4"/>
  <c r="BL89" i="4" s="1"/>
  <c r="BH87" i="20"/>
  <c r="BH95" i="20" s="1"/>
  <c r="BH175" i="4"/>
  <c r="BH47" i="4" s="1"/>
  <c r="BH154" i="4"/>
  <c r="BI154" i="4" s="1"/>
  <c r="BH102" i="4"/>
  <c r="BH91" i="4"/>
  <c r="BH89" i="4"/>
  <c r="BI89" i="4" s="1"/>
  <c r="BE87" i="20"/>
  <c r="BE95" i="20" s="1"/>
  <c r="BE175" i="4"/>
  <c r="BE47" i="4" s="1"/>
  <c r="BE154" i="4"/>
  <c r="BF154" i="4" s="1"/>
  <c r="BE102" i="4"/>
  <c r="BE91" i="4"/>
  <c r="BE89" i="4"/>
  <c r="BF89" i="4" s="1"/>
  <c r="BB87" i="20"/>
  <c r="BB95" i="20" s="1"/>
  <c r="BB175" i="4"/>
  <c r="BB47" i="4" s="1"/>
  <c r="BB154" i="4"/>
  <c r="BC154" i="4" s="1"/>
  <c r="BB102" i="4"/>
  <c r="BB91" i="4"/>
  <c r="BB89" i="4"/>
  <c r="BC89" i="4" s="1"/>
  <c r="AY87" i="20"/>
  <c r="AY95" i="20" s="1"/>
  <c r="AZ154" i="4"/>
  <c r="AZ89" i="4"/>
  <c r="AV87" i="20"/>
  <c r="AV95" i="20" s="1"/>
  <c r="BK133" i="2"/>
  <c r="BL133" i="2" s="1"/>
  <c r="BK119" i="2"/>
  <c r="BL119" i="2" s="1"/>
  <c r="BL16" i="5" s="1"/>
  <c r="BK117" i="2"/>
  <c r="BK108" i="2"/>
  <c r="BL108" i="2" s="1"/>
  <c r="BK107" i="2"/>
  <c r="BL107" i="2" s="1"/>
  <c r="BK105" i="2"/>
  <c r="BL105" i="2" s="1"/>
  <c r="BK104" i="2"/>
  <c r="BL104" i="2" s="1"/>
  <c r="BK103" i="2"/>
  <c r="BL103" i="2" s="1"/>
  <c r="BK102" i="2"/>
  <c r="BL102" i="2" s="1"/>
  <c r="BK99" i="2"/>
  <c r="BL99" i="2" s="1"/>
  <c r="BK98" i="2"/>
  <c r="BL98" i="2" s="1"/>
  <c r="BK97" i="2"/>
  <c r="BL97" i="2" s="1"/>
  <c r="BK95" i="2"/>
  <c r="BL95" i="2" s="1"/>
  <c r="BK94" i="2"/>
  <c r="BL94" i="2" s="1"/>
  <c r="BK93" i="2"/>
  <c r="BL93" i="2" s="1"/>
  <c r="BK91" i="2"/>
  <c r="BK88" i="2"/>
  <c r="BL88" i="2" s="1"/>
  <c r="BK87" i="2"/>
  <c r="BL87" i="2" s="1"/>
  <c r="BK86" i="2"/>
  <c r="BL86" i="2" s="1"/>
  <c r="BK85" i="2"/>
  <c r="BK84" i="2"/>
  <c r="BL84" i="2" s="1"/>
  <c r="BK81" i="2"/>
  <c r="BL81" i="2" s="1"/>
  <c r="BK80" i="2"/>
  <c r="BL80" i="2" s="1"/>
  <c r="BK79" i="2"/>
  <c r="BL79" i="2" s="1"/>
  <c r="BK78" i="2"/>
  <c r="BK29" i="2"/>
  <c r="BL29" i="2" s="1"/>
  <c r="BK14" i="2"/>
  <c r="BL14" i="2" s="1"/>
  <c r="BH133" i="2"/>
  <c r="BI133" i="2" s="1"/>
  <c r="BH119" i="2"/>
  <c r="BH117" i="2"/>
  <c r="BH108" i="2"/>
  <c r="BI108" i="2" s="1"/>
  <c r="BH107" i="2"/>
  <c r="BI107" i="2" s="1"/>
  <c r="BH105" i="2"/>
  <c r="BH104" i="2"/>
  <c r="BI104" i="2" s="1"/>
  <c r="BH103" i="2"/>
  <c r="BI103" i="2" s="1"/>
  <c r="BH102" i="2"/>
  <c r="BI102" i="2" s="1"/>
  <c r="BH99" i="2"/>
  <c r="BI99" i="2" s="1"/>
  <c r="BH98" i="2"/>
  <c r="BI98" i="2" s="1"/>
  <c r="BH97" i="2"/>
  <c r="BI97" i="2" s="1"/>
  <c r="BH95" i="2"/>
  <c r="BI95" i="2" s="1"/>
  <c r="BH94" i="2"/>
  <c r="BI94" i="2" s="1"/>
  <c r="BH93" i="2"/>
  <c r="BI93" i="2" s="1"/>
  <c r="BH91" i="2"/>
  <c r="BH88" i="2"/>
  <c r="BI88" i="2" s="1"/>
  <c r="BH87" i="2"/>
  <c r="BI87" i="2" s="1"/>
  <c r="BH86" i="2"/>
  <c r="BI86" i="2" s="1"/>
  <c r="BH85" i="2"/>
  <c r="BH84" i="2"/>
  <c r="BI84" i="2" s="1"/>
  <c r="BH81" i="2"/>
  <c r="BI81" i="2" s="1"/>
  <c r="BH80" i="2"/>
  <c r="BI80" i="2" s="1"/>
  <c r="BH79" i="2"/>
  <c r="BI79" i="2" s="1"/>
  <c r="BH78" i="2"/>
  <c r="BH29" i="2"/>
  <c r="BI29" i="2" s="1"/>
  <c r="BH14" i="2"/>
  <c r="BI14" i="2" s="1"/>
  <c r="BE133" i="2"/>
  <c r="BF133" i="2" s="1"/>
  <c r="BE119" i="2"/>
  <c r="BE117" i="2"/>
  <c r="BF117" i="2" s="1"/>
  <c r="BE108" i="2"/>
  <c r="BF108" i="2" s="1"/>
  <c r="BE107" i="2"/>
  <c r="BF107" i="2" s="1"/>
  <c r="BE105" i="2"/>
  <c r="BE104" i="2"/>
  <c r="BF104" i="2" s="1"/>
  <c r="BE103" i="2"/>
  <c r="BF103" i="2" s="1"/>
  <c r="BE102" i="2"/>
  <c r="BF102" i="2" s="1"/>
  <c r="BE99" i="2"/>
  <c r="BF99" i="2" s="1"/>
  <c r="BE98" i="2"/>
  <c r="BF98" i="2" s="1"/>
  <c r="BE97" i="2"/>
  <c r="BF97" i="2" s="1"/>
  <c r="BE95" i="2"/>
  <c r="BF95" i="2" s="1"/>
  <c r="BE94" i="2"/>
  <c r="BF94" i="2" s="1"/>
  <c r="BE93" i="2"/>
  <c r="BF93" i="2" s="1"/>
  <c r="BE91" i="2"/>
  <c r="BE88" i="2"/>
  <c r="BE87" i="2"/>
  <c r="BF87" i="2" s="1"/>
  <c r="BE86" i="2"/>
  <c r="BF86" i="2" s="1"/>
  <c r="BE85" i="2"/>
  <c r="BE84" i="2"/>
  <c r="BF84" i="2" s="1"/>
  <c r="BE81" i="2"/>
  <c r="BF81" i="2" s="1"/>
  <c r="BE80" i="2"/>
  <c r="BF80" i="2" s="1"/>
  <c r="BE79" i="2"/>
  <c r="BF79" i="2" s="1"/>
  <c r="BE78" i="2"/>
  <c r="BE29" i="2"/>
  <c r="BF29" i="2" s="1"/>
  <c r="BE14" i="2"/>
  <c r="BF14" i="2" s="1"/>
  <c r="BB133" i="2"/>
  <c r="BC133" i="2" s="1"/>
  <c r="BB119" i="2"/>
  <c r="BC119" i="2" s="1"/>
  <c r="BC16" i="5" s="1"/>
  <c r="BB117" i="2"/>
  <c r="BC117" i="2" s="1"/>
  <c r="BB108" i="2"/>
  <c r="BC108" i="2" s="1"/>
  <c r="BB107" i="2"/>
  <c r="BC107" i="2" s="1"/>
  <c r="BB105" i="2"/>
  <c r="BC105" i="2" s="1"/>
  <c r="BB104" i="2"/>
  <c r="BC104" i="2" s="1"/>
  <c r="BB103" i="2"/>
  <c r="BC103" i="2" s="1"/>
  <c r="BB102" i="2"/>
  <c r="BC102" i="2" s="1"/>
  <c r="BB99" i="2"/>
  <c r="BC99" i="2" s="1"/>
  <c r="BB98" i="2"/>
  <c r="BC98" i="2" s="1"/>
  <c r="BB97" i="2"/>
  <c r="BC97" i="2" s="1"/>
  <c r="BB95" i="2"/>
  <c r="BC95" i="2" s="1"/>
  <c r="BB94" i="2"/>
  <c r="BC94" i="2" s="1"/>
  <c r="BB93" i="2"/>
  <c r="BC93" i="2" s="1"/>
  <c r="BB91" i="2"/>
  <c r="BB88" i="2"/>
  <c r="BB87" i="2"/>
  <c r="BC87" i="2" s="1"/>
  <c r="BB86" i="2"/>
  <c r="BC86" i="2" s="1"/>
  <c r="BB85" i="2"/>
  <c r="BB84" i="2"/>
  <c r="BC84" i="2" s="1"/>
  <c r="BB81" i="2"/>
  <c r="BC81" i="2" s="1"/>
  <c r="BB80" i="2"/>
  <c r="BC80" i="2" s="1"/>
  <c r="BB79" i="2"/>
  <c r="BC79" i="2" s="1"/>
  <c r="BB78" i="2"/>
  <c r="BB29" i="2"/>
  <c r="BC29" i="2" s="1"/>
  <c r="BB14" i="2"/>
  <c r="BC14" i="2" s="1"/>
  <c r="AZ133" i="2"/>
  <c r="AZ117" i="2"/>
  <c r="AZ108" i="2"/>
  <c r="AZ107" i="2"/>
  <c r="AZ104" i="2"/>
  <c r="AZ103" i="2"/>
  <c r="AZ102" i="2"/>
  <c r="AZ99" i="2"/>
  <c r="AZ98" i="2"/>
  <c r="AZ97" i="2"/>
  <c r="AZ95" i="2"/>
  <c r="AZ94" i="2"/>
  <c r="AZ93" i="2"/>
  <c r="AZ88" i="2"/>
  <c r="AZ87" i="2"/>
  <c r="AZ86" i="2"/>
  <c r="AZ84" i="2"/>
  <c r="AZ81" i="2"/>
  <c r="AZ80" i="2"/>
  <c r="AZ79" i="2"/>
  <c r="AZ29" i="2"/>
  <c r="AZ14" i="2"/>
  <c r="AP120" i="5"/>
  <c r="AP118" i="5"/>
  <c r="AP105" i="5"/>
  <c r="AQ105" i="5" s="1"/>
  <c r="AP107" i="5"/>
  <c r="AQ107" i="5" s="1"/>
  <c r="AP104" i="5"/>
  <c r="AP119" i="5" s="1"/>
  <c r="AP93" i="5"/>
  <c r="AP92" i="5"/>
  <c r="AP90" i="5"/>
  <c r="AP62" i="5"/>
  <c r="AP60" i="5" s="1"/>
  <c r="AP212" i="4" s="1"/>
  <c r="AP15" i="5"/>
  <c r="AP71" i="5"/>
  <c r="AP65" i="5"/>
  <c r="AP56" i="5"/>
  <c r="AP49" i="5"/>
  <c r="AP41" i="5"/>
  <c r="AP37" i="5"/>
  <c r="AP34" i="5"/>
  <c r="AP24" i="5"/>
  <c r="AP19" i="5"/>
  <c r="AP10" i="5"/>
  <c r="AP256" i="4"/>
  <c r="AP249" i="4"/>
  <c r="AP251" i="4" s="1"/>
  <c r="AP238" i="4"/>
  <c r="AP223" i="4"/>
  <c r="AP222" i="4"/>
  <c r="AP221" i="4"/>
  <c r="AP207" i="4"/>
  <c r="AQ207" i="4" s="1"/>
  <c r="AP202" i="4"/>
  <c r="AP206" i="4"/>
  <c r="AP189" i="4"/>
  <c r="AP187" i="4"/>
  <c r="AP176" i="4"/>
  <c r="AQ170" i="4" s="1"/>
  <c r="AP164" i="4"/>
  <c r="AQ158" i="4" s="1"/>
  <c r="AP161" i="4"/>
  <c r="AQ161" i="4" s="1"/>
  <c r="AQ162" i="4" s="1"/>
  <c r="AP159" i="4"/>
  <c r="AP145" i="4"/>
  <c r="AP149" i="4" s="1"/>
  <c r="AP132" i="4"/>
  <c r="AP136" i="4" s="1"/>
  <c r="AP138" i="4" s="1"/>
  <c r="AQ138" i="4" s="1"/>
  <c r="AQ139" i="4" s="1"/>
  <c r="AP125" i="4"/>
  <c r="AP124" i="4"/>
  <c r="AP120" i="4"/>
  <c r="AP85" i="4"/>
  <c r="AP80" i="4" s="1"/>
  <c r="AP76" i="4"/>
  <c r="AP65" i="4"/>
  <c r="AQ65" i="4" s="1"/>
  <c r="AP57" i="4"/>
  <c r="AQ215" i="4" s="1"/>
  <c r="AP56" i="4"/>
  <c r="AP55" i="4"/>
  <c r="AQ214" i="4" s="1"/>
  <c r="AP33" i="4"/>
  <c r="AP38" i="4" s="1"/>
  <c r="AP26" i="4"/>
  <c r="AP30" i="4" s="1"/>
  <c r="AP15" i="4"/>
  <c r="AP77" i="4" s="1"/>
  <c r="AP49" i="4"/>
  <c r="AP51" i="4" s="1"/>
  <c r="AP13" i="4"/>
  <c r="AP145" i="2"/>
  <c r="AP144" i="2"/>
  <c r="AP143" i="2"/>
  <c r="AP134" i="2"/>
  <c r="AP138" i="2" s="1"/>
  <c r="AP141" i="2" s="1"/>
  <c r="AP125" i="2"/>
  <c r="AP119" i="2"/>
  <c r="AP117" i="2"/>
  <c r="AP116" i="2"/>
  <c r="AP115" i="2"/>
  <c r="AP113" i="2"/>
  <c r="AP62" i="2"/>
  <c r="AQ62" i="2" s="1"/>
  <c r="AQ61" i="2" s="1"/>
  <c r="AP155" i="2"/>
  <c r="AP153" i="2"/>
  <c r="AP103" i="2"/>
  <c r="AP97" i="2"/>
  <c r="AQ97" i="2" s="1"/>
  <c r="AP92" i="2"/>
  <c r="AQ92" i="2" s="1"/>
  <c r="AP36" i="2"/>
  <c r="AQ36" i="2" s="1"/>
  <c r="AP30" i="2"/>
  <c r="AP82" i="2"/>
  <c r="AP6" i="2" s="1"/>
  <c r="BK69" i="3"/>
  <c r="BL69" i="3" s="1"/>
  <c r="BH69" i="3"/>
  <c r="BI69" i="3" s="1"/>
  <c r="BE69" i="3"/>
  <c r="BF69" i="3" s="1"/>
  <c r="BB69" i="3"/>
  <c r="BC69" i="3" s="1"/>
  <c r="AZ69" i="3"/>
  <c r="BK47" i="3"/>
  <c r="BL47" i="3" s="1"/>
  <c r="BK45" i="3"/>
  <c r="BL45" i="3" s="1"/>
  <c r="BH47" i="3"/>
  <c r="BI47" i="3" s="1"/>
  <c r="BH45" i="3"/>
  <c r="BI45" i="3" s="1"/>
  <c r="BE47" i="3"/>
  <c r="BF47" i="3" s="1"/>
  <c r="BE45" i="3"/>
  <c r="BF45" i="3" s="1"/>
  <c r="BB47" i="3"/>
  <c r="BC47" i="3" s="1"/>
  <c r="BB45" i="3"/>
  <c r="BC45" i="3" s="1"/>
  <c r="AZ47" i="3"/>
  <c r="AZ45" i="3"/>
  <c r="BK22" i="3"/>
  <c r="BL22" i="3" s="1"/>
  <c r="BH22" i="3"/>
  <c r="BI22" i="3" s="1"/>
  <c r="BE22" i="3"/>
  <c r="BF22" i="3" s="1"/>
  <c r="BB22" i="3"/>
  <c r="BC22" i="3" s="1"/>
  <c r="AZ22" i="3"/>
  <c r="AJ26" i="3"/>
  <c r="AJ25" i="3"/>
  <c r="AM26" i="3"/>
  <c r="AM25" i="3"/>
  <c r="BL51" i="3"/>
  <c r="BK51" i="3"/>
  <c r="BI51" i="3"/>
  <c r="BH51" i="3"/>
  <c r="BF51" i="3"/>
  <c r="BE51" i="3"/>
  <c r="BC51" i="3"/>
  <c r="BB51" i="3"/>
  <c r="AZ51" i="3"/>
  <c r="AQ51" i="3"/>
  <c r="AP51" i="3"/>
  <c r="AN51" i="3"/>
  <c r="AM51" i="3"/>
  <c r="AK51" i="3"/>
  <c r="AJ51" i="3"/>
  <c r="AH51" i="3"/>
  <c r="AG51" i="3"/>
  <c r="AE51" i="3"/>
  <c r="AD51" i="3"/>
  <c r="AB51" i="3"/>
  <c r="AA51" i="3"/>
  <c r="Y51" i="3"/>
  <c r="X51" i="3"/>
  <c r="V51" i="3"/>
  <c r="U51" i="3"/>
  <c r="S51" i="3"/>
  <c r="R51" i="3"/>
  <c r="S29" i="3"/>
  <c r="R29" i="3"/>
  <c r="V29" i="3"/>
  <c r="U29" i="3"/>
  <c r="Y29" i="3"/>
  <c r="X29" i="3"/>
  <c r="AB29" i="3"/>
  <c r="AA29" i="3"/>
  <c r="AE29" i="3"/>
  <c r="AD29" i="3"/>
  <c r="AH29" i="3"/>
  <c r="AG29" i="3"/>
  <c r="AK29" i="3"/>
  <c r="AJ29" i="3"/>
  <c r="AN29" i="3"/>
  <c r="AM29" i="3"/>
  <c r="BL29" i="3"/>
  <c r="BK29" i="3"/>
  <c r="BI29" i="3"/>
  <c r="BH29" i="3"/>
  <c r="BF29" i="3"/>
  <c r="BE29" i="3"/>
  <c r="BC29" i="3"/>
  <c r="BB29" i="3"/>
  <c r="AZ29" i="3"/>
  <c r="AT29" i="3"/>
  <c r="AQ29" i="3"/>
  <c r="AP29" i="3"/>
  <c r="W23" i="3"/>
  <c r="BL94" i="6"/>
  <c r="BK94" i="6"/>
  <c r="BK90" i="6"/>
  <c r="BL90" i="6" s="1"/>
  <c r="BL87" i="6"/>
  <c r="BK87" i="6"/>
  <c r="BL70" i="6"/>
  <c r="BK70" i="6"/>
  <c r="BL25" i="6"/>
  <c r="BK25" i="6"/>
  <c r="BI94" i="6"/>
  <c r="BH94" i="6"/>
  <c r="BH90" i="6"/>
  <c r="BI90" i="6" s="1"/>
  <c r="BI87" i="6"/>
  <c r="BH87" i="6"/>
  <c r="BI70" i="6"/>
  <c r="BH70" i="6"/>
  <c r="BI25" i="6"/>
  <c r="BH25" i="6"/>
  <c r="BF94" i="6"/>
  <c r="BE94" i="6"/>
  <c r="BE90" i="6"/>
  <c r="BF90" i="6" s="1"/>
  <c r="BF87" i="6"/>
  <c r="BE87" i="6"/>
  <c r="BF70" i="6"/>
  <c r="BE70" i="6"/>
  <c r="BF25" i="6"/>
  <c r="BE25" i="6"/>
  <c r="BC94" i="6"/>
  <c r="BB94" i="6"/>
  <c r="BB90" i="6"/>
  <c r="BC90" i="6" s="1"/>
  <c r="BC87" i="6"/>
  <c r="BB87" i="6"/>
  <c r="BC70" i="6"/>
  <c r="BB70" i="6"/>
  <c r="BC25" i="6"/>
  <c r="BB25" i="6"/>
  <c r="AZ94" i="6"/>
  <c r="AZ87" i="6"/>
  <c r="AZ70" i="6"/>
  <c r="AZ25" i="6"/>
  <c r="AV123" i="6"/>
  <c r="AW123" i="6" s="1"/>
  <c r="AV87" i="6"/>
  <c r="AV25" i="6"/>
  <c r="AT94" i="6"/>
  <c r="AT70" i="6"/>
  <c r="AT25" i="6"/>
  <c r="AJ125" i="6"/>
  <c r="AJ123" i="6"/>
  <c r="AK123" i="6" s="1"/>
  <c r="AJ122" i="6"/>
  <c r="AJ121" i="6"/>
  <c r="AM125" i="6"/>
  <c r="AM123" i="6"/>
  <c r="AN123" i="6" s="1"/>
  <c r="AM122" i="6"/>
  <c r="AM121" i="6"/>
  <c r="AQ123" i="6"/>
  <c r="AP125" i="6"/>
  <c r="AP122" i="6"/>
  <c r="AP121" i="6"/>
  <c r="AK141" i="6"/>
  <c r="AK125" i="6" s="1"/>
  <c r="AJ119" i="6"/>
  <c r="AJ118" i="6"/>
  <c r="AM119" i="6"/>
  <c r="AM118" i="6"/>
  <c r="AQ89" i="6"/>
  <c r="AQ119" i="6" s="1"/>
  <c r="AP118" i="6"/>
  <c r="AD87" i="6"/>
  <c r="AG87" i="6"/>
  <c r="AJ87" i="6"/>
  <c r="AM87" i="6"/>
  <c r="AP87" i="6"/>
  <c r="S13" i="6"/>
  <c r="S11" i="6"/>
  <c r="S10" i="6"/>
  <c r="S8" i="6"/>
  <c r="V13" i="6"/>
  <c r="V11" i="6"/>
  <c r="V10" i="6"/>
  <c r="V8" i="6"/>
  <c r="Y13" i="6"/>
  <c r="Y11" i="6"/>
  <c r="Y10" i="6"/>
  <c r="Y8" i="6"/>
  <c r="AB13" i="6"/>
  <c r="AB11" i="6"/>
  <c r="AB143" i="2" s="1"/>
  <c r="AB10" i="6"/>
  <c r="AB8" i="6"/>
  <c r="AE13" i="6"/>
  <c r="AE11" i="6"/>
  <c r="AE143" i="2" s="1"/>
  <c r="AE10" i="6"/>
  <c r="AE8" i="6"/>
  <c r="AH13" i="6"/>
  <c r="AH11" i="6"/>
  <c r="AH143" i="2" s="1"/>
  <c r="AH10" i="6"/>
  <c r="AH8" i="6"/>
  <c r="AK13" i="6"/>
  <c r="AK11" i="6"/>
  <c r="AK143" i="2" s="1"/>
  <c r="AK10" i="6"/>
  <c r="AK8" i="6"/>
  <c r="AK121" i="6" s="1"/>
  <c r="BI401" i="20"/>
  <c r="BI280" i="20"/>
  <c r="BF401" i="20"/>
  <c r="BF280" i="20"/>
  <c r="BC401" i="20"/>
  <c r="BC280" i="20"/>
  <c r="AZ401" i="20"/>
  <c r="AZ280" i="20"/>
  <c r="AW401" i="20"/>
  <c r="AW280" i="20"/>
  <c r="AT401" i="20"/>
  <c r="AT280" i="20"/>
  <c r="AQ401" i="20"/>
  <c r="AN401" i="20"/>
  <c r="BH532" i="20"/>
  <c r="BI532" i="20" s="1"/>
  <c r="BH401" i="20"/>
  <c r="BH280" i="20"/>
  <c r="BH222" i="20"/>
  <c r="BH112" i="20" s="1"/>
  <c r="BE532" i="20"/>
  <c r="BF532" i="20" s="1"/>
  <c r="BE401" i="20"/>
  <c r="BE280" i="20"/>
  <c r="BE222" i="20"/>
  <c r="BE112" i="20" s="1"/>
  <c r="BB532" i="20"/>
  <c r="BC532" i="20" s="1"/>
  <c r="BB508" i="20"/>
  <c r="BC508" i="20" s="1"/>
  <c r="BB401" i="20"/>
  <c r="BB361" i="20"/>
  <c r="BB280" i="20"/>
  <c r="BB222" i="20"/>
  <c r="BB112" i="20" s="1"/>
  <c r="AY565" i="20"/>
  <c r="AZ565" i="20" s="1"/>
  <c r="AY538" i="20"/>
  <c r="AZ538" i="20" s="1"/>
  <c r="AY532" i="20"/>
  <c r="AZ532" i="20" s="1"/>
  <c r="AY508" i="20"/>
  <c r="AZ508" i="20" s="1"/>
  <c r="AY401" i="20"/>
  <c r="AY361" i="20"/>
  <c r="AY280" i="20"/>
  <c r="AY222" i="20"/>
  <c r="AY112" i="20" s="1"/>
  <c r="AV280" i="20"/>
  <c r="AV112" i="20"/>
  <c r="AT361" i="20"/>
  <c r="AP519" i="20"/>
  <c r="AA227" i="20"/>
  <c r="AA94" i="20"/>
  <c r="AD87" i="20"/>
  <c r="AD95" i="20" s="1"/>
  <c r="AE88" i="4"/>
  <c r="AE103" i="5"/>
  <c r="AD90" i="4"/>
  <c r="AA86" i="20" s="1"/>
  <c r="AA72" i="20"/>
  <c r="AB72" i="20" s="1"/>
  <c r="AH103" i="5"/>
  <c r="AH88" i="4"/>
  <c r="AE87" i="20" s="1"/>
  <c r="AE95" i="20" s="1"/>
  <c r="AD94" i="20"/>
  <c r="AG90" i="4"/>
  <c r="AG87" i="4" s="1"/>
  <c r="AD72" i="20"/>
  <c r="AA576" i="20"/>
  <c r="AA570" i="20"/>
  <c r="AA564" i="20"/>
  <c r="AA558" i="20"/>
  <c r="AA519" i="20"/>
  <c r="AA507" i="20"/>
  <c r="AB426" i="20"/>
  <c r="AA425" i="20"/>
  <c r="AB424" i="20"/>
  <c r="AB423" i="20"/>
  <c r="AB422" i="20"/>
  <c r="AB421" i="20"/>
  <c r="AB420" i="20"/>
  <c r="AA418" i="20"/>
  <c r="AB417" i="20"/>
  <c r="AB416" i="20"/>
  <c r="AB415" i="20"/>
  <c r="AB414" i="20"/>
  <c r="AB413" i="20"/>
  <c r="AB412" i="20"/>
  <c r="AB411" i="20"/>
  <c r="AB410" i="20"/>
  <c r="AA409" i="20"/>
  <c r="AB408" i="20"/>
  <c r="AB407" i="20"/>
  <c r="AB406" i="20"/>
  <c r="AB401" i="20"/>
  <c r="AA401" i="20"/>
  <c r="AB398" i="20"/>
  <c r="AA398" i="20"/>
  <c r="AB395" i="20"/>
  <c r="AA395" i="20"/>
  <c r="AB392" i="20"/>
  <c r="AA392" i="20"/>
  <c r="AA467" i="20" s="1"/>
  <c r="AB389" i="20"/>
  <c r="AA389" i="20"/>
  <c r="AB381" i="20"/>
  <c r="AA381" i="20"/>
  <c r="AA364" i="20"/>
  <c r="AA361" i="20"/>
  <c r="AA269" i="20"/>
  <c r="AB254" i="20"/>
  <c r="AA254" i="20"/>
  <c r="AB251" i="20"/>
  <c r="AA251" i="20"/>
  <c r="AA248" i="20"/>
  <c r="AA234" i="20"/>
  <c r="AA52" i="20"/>
  <c r="AA87" i="20"/>
  <c r="AA95" i="20" s="1"/>
  <c r="AD576" i="20"/>
  <c r="AD570" i="20"/>
  <c r="AD564" i="20"/>
  <c r="AD558" i="20"/>
  <c r="AD519" i="20"/>
  <c r="AD507" i="20"/>
  <c r="AE426" i="20"/>
  <c r="AD425" i="20"/>
  <c r="AE424" i="20"/>
  <c r="AE423" i="20"/>
  <c r="AE422" i="20"/>
  <c r="AE421" i="20"/>
  <c r="AE420" i="20"/>
  <c r="AD418" i="20"/>
  <c r="AD430" i="20" s="1"/>
  <c r="AD431" i="20" s="1"/>
  <c r="AE417" i="20"/>
  <c r="AE416" i="20"/>
  <c r="AE415" i="20"/>
  <c r="AE414" i="20"/>
  <c r="AE413" i="20"/>
  <c r="AE412" i="20"/>
  <c r="AE411" i="20"/>
  <c r="AE410" i="20"/>
  <c r="AD409" i="20"/>
  <c r="AE408" i="20"/>
  <c r="AE407" i="20"/>
  <c r="AE406" i="20"/>
  <c r="AE401" i="20"/>
  <c r="AD401" i="20"/>
  <c r="AE398" i="20"/>
  <c r="AE578" i="20" s="1"/>
  <c r="AD398" i="20"/>
  <c r="AE397" i="20"/>
  <c r="AD397" i="20"/>
  <c r="AE396" i="20"/>
  <c r="AE566" i="20" s="1"/>
  <c r="AD396" i="20"/>
  <c r="AE395" i="20"/>
  <c r="AD395" i="20"/>
  <c r="AE392" i="20"/>
  <c r="AE551" i="20" s="1"/>
  <c r="AD392" i="20"/>
  <c r="AE389" i="20"/>
  <c r="AD389" i="20"/>
  <c r="AE388" i="20"/>
  <c r="AE527" i="20" s="1"/>
  <c r="AD388" i="20"/>
  <c r="AE387" i="20"/>
  <c r="AD387" i="20"/>
  <c r="AE386" i="20"/>
  <c r="AE515" i="20" s="1"/>
  <c r="AD386" i="20"/>
  <c r="AE385" i="20"/>
  <c r="AD385" i="20"/>
  <c r="AE383" i="20"/>
  <c r="AD383" i="20"/>
  <c r="AE382" i="20"/>
  <c r="AD382" i="20"/>
  <c r="AE381" i="20"/>
  <c r="AD381" i="20"/>
  <c r="AD364" i="20"/>
  <c r="AD361" i="20"/>
  <c r="AE361" i="20" s="1"/>
  <c r="AD349" i="20"/>
  <c r="AD290" i="20"/>
  <c r="AD269" i="20"/>
  <c r="AE254" i="20"/>
  <c r="AD254" i="20"/>
  <c r="AE251" i="20"/>
  <c r="AD251" i="20"/>
  <c r="AD248" i="20"/>
  <c r="AD234" i="20"/>
  <c r="AE227" i="20"/>
  <c r="AD223" i="20"/>
  <c r="AD52" i="20"/>
  <c r="AD60" i="20"/>
  <c r="AK103" i="5"/>
  <c r="AH87" i="20"/>
  <c r="AH95" i="20" s="1"/>
  <c r="AJ90" i="4"/>
  <c r="AG94" i="20"/>
  <c r="AG576" i="20"/>
  <c r="AG570" i="20"/>
  <c r="AG564" i="20"/>
  <c r="AG558" i="20"/>
  <c r="AG519" i="20"/>
  <c r="AG507" i="20"/>
  <c r="AH426" i="20"/>
  <c r="AG425" i="20"/>
  <c r="AH424" i="20"/>
  <c r="AH423" i="20"/>
  <c r="AH422" i="20"/>
  <c r="AH421" i="20"/>
  <c r="AH420" i="20"/>
  <c r="AG418" i="20"/>
  <c r="AG430" i="20" s="1"/>
  <c r="AG431" i="20" s="1"/>
  <c r="AH417" i="20"/>
  <c r="AH416" i="20"/>
  <c r="AH415" i="20"/>
  <c r="AH414" i="20"/>
  <c r="AH413" i="20"/>
  <c r="AH412" i="20"/>
  <c r="AH411" i="20"/>
  <c r="AH410" i="20"/>
  <c r="AG409" i="20"/>
  <c r="AH408" i="20"/>
  <c r="AH407" i="20"/>
  <c r="AH406" i="20"/>
  <c r="AH401" i="20"/>
  <c r="AG401" i="20"/>
  <c r="AH381" i="20"/>
  <c r="AG381" i="20"/>
  <c r="AG364" i="20"/>
  <c r="AG361" i="20"/>
  <c r="AH361" i="20" s="1"/>
  <c r="AG349" i="20"/>
  <c r="AG269" i="20"/>
  <c r="AH254" i="20"/>
  <c r="AG254" i="20"/>
  <c r="AH251" i="20"/>
  <c r="AG251" i="20"/>
  <c r="AG248" i="20"/>
  <c r="AG234" i="20"/>
  <c r="AH227" i="20"/>
  <c r="AG60" i="20"/>
  <c r="AG87" i="20"/>
  <c r="AG95" i="20" s="1"/>
  <c r="AH72" i="20"/>
  <c r="AK426" i="20"/>
  <c r="AK424" i="20"/>
  <c r="AK423" i="20"/>
  <c r="AK422" i="20"/>
  <c r="AK421" i="20"/>
  <c r="AK420" i="20"/>
  <c r="AK417" i="20"/>
  <c r="AK416" i="20"/>
  <c r="AK415" i="20"/>
  <c r="AK414" i="20"/>
  <c r="AK413" i="20"/>
  <c r="AK412" i="20"/>
  <c r="AK411" i="20"/>
  <c r="AK410" i="20"/>
  <c r="AK408" i="20"/>
  <c r="AK407" i="20"/>
  <c r="AK406" i="20"/>
  <c r="AK401" i="20"/>
  <c r="AK381" i="20"/>
  <c r="AK322" i="20"/>
  <c r="AK254" i="20"/>
  <c r="AK251" i="20"/>
  <c r="AK227" i="20"/>
  <c r="AN88" i="4"/>
  <c r="AN103" i="5"/>
  <c r="AK72" i="20"/>
  <c r="AJ576" i="20"/>
  <c r="AJ570" i="20"/>
  <c r="AJ564" i="20"/>
  <c r="AJ558" i="20"/>
  <c r="AJ519" i="20"/>
  <c r="AJ507" i="20"/>
  <c r="AJ425" i="20"/>
  <c r="AJ418" i="20"/>
  <c r="AJ430" i="20" s="1"/>
  <c r="AJ431" i="20" s="1"/>
  <c r="AJ409" i="20"/>
  <c r="AJ381" i="20"/>
  <c r="AJ401" i="20"/>
  <c r="AJ364" i="20"/>
  <c r="AJ361" i="20"/>
  <c r="AK361" i="20" s="1"/>
  <c r="AJ349" i="20"/>
  <c r="AJ290" i="20"/>
  <c r="AJ269" i="20"/>
  <c r="AJ254" i="20"/>
  <c r="AJ251" i="20"/>
  <c r="AJ248" i="20"/>
  <c r="AJ234" i="20"/>
  <c r="AJ223" i="20"/>
  <c r="AJ52" i="20"/>
  <c r="AJ94" i="20"/>
  <c r="AJ86" i="20"/>
  <c r="AP90" i="4"/>
  <c r="AP87" i="4" s="1"/>
  <c r="AJ87" i="20"/>
  <c r="AJ95" i="20" s="1"/>
  <c r="AJ63" i="20"/>
  <c r="AM576" i="20"/>
  <c r="AM570" i="20"/>
  <c r="AM564" i="20"/>
  <c r="AM558" i="20"/>
  <c r="AM519" i="20"/>
  <c r="AM507" i="20"/>
  <c r="AM425" i="20"/>
  <c r="AM418" i="20"/>
  <c r="AM430" i="20" s="1"/>
  <c r="AM431" i="20" s="1"/>
  <c r="AM409" i="20"/>
  <c r="AM364" i="20"/>
  <c r="AM361" i="20"/>
  <c r="AN361" i="20" s="1"/>
  <c r="AM323" i="20"/>
  <c r="AM280" i="20"/>
  <c r="AM269" i="20"/>
  <c r="AM254" i="20"/>
  <c r="AM251" i="20"/>
  <c r="BI250" i="14"/>
  <c r="BH250" i="14"/>
  <c r="BH248" i="14"/>
  <c r="BI248" i="14" s="1"/>
  <c r="BH219" i="14"/>
  <c r="BH209" i="14"/>
  <c r="BH199" i="14"/>
  <c r="BH177" i="14"/>
  <c r="BI157" i="14"/>
  <c r="BH157" i="14"/>
  <c r="BH94" i="14"/>
  <c r="BH91" i="14"/>
  <c r="BH88" i="14"/>
  <c r="BH80" i="14"/>
  <c r="BH78" i="14"/>
  <c r="BH76" i="14"/>
  <c r="BH75" i="14"/>
  <c r="BH74" i="14"/>
  <c r="BF250" i="14"/>
  <c r="BE250" i="14"/>
  <c r="BE248" i="14"/>
  <c r="BF248" i="14" s="1"/>
  <c r="BE219" i="14"/>
  <c r="BE209" i="14"/>
  <c r="BE199" i="14"/>
  <c r="BE177" i="14"/>
  <c r="BF177" i="14" s="1"/>
  <c r="BF157" i="14"/>
  <c r="BE157" i="14"/>
  <c r="BE94" i="14"/>
  <c r="BE91" i="14"/>
  <c r="BE88" i="14"/>
  <c r="BE80" i="14"/>
  <c r="BE78" i="14"/>
  <c r="BE76" i="14"/>
  <c r="BE75" i="14"/>
  <c r="BE74" i="14"/>
  <c r="BE68" i="14"/>
  <c r="BC250" i="14"/>
  <c r="BB250" i="14"/>
  <c r="BB248" i="14"/>
  <c r="BB219" i="14"/>
  <c r="BB209" i="14"/>
  <c r="BB199" i="14"/>
  <c r="BB177" i="14"/>
  <c r="BC157" i="14"/>
  <c r="BB157" i="14"/>
  <c r="BB94" i="14"/>
  <c r="BB91" i="14"/>
  <c r="BB88" i="14"/>
  <c r="BB80" i="14"/>
  <c r="BB78" i="14"/>
  <c r="BB76" i="14"/>
  <c r="BB75" i="14"/>
  <c r="BC75" i="14" s="1"/>
  <c r="BB74" i="14"/>
  <c r="BB68" i="14"/>
  <c r="AZ250" i="14"/>
  <c r="AY250" i="14"/>
  <c r="AY248" i="14"/>
  <c r="AY219" i="14"/>
  <c r="AY209" i="14"/>
  <c r="AY207" i="14"/>
  <c r="AY199" i="14"/>
  <c r="AY177" i="14"/>
  <c r="AZ157" i="14"/>
  <c r="AY157" i="14"/>
  <c r="AY94" i="14"/>
  <c r="AY91" i="14"/>
  <c r="AY88" i="14"/>
  <c r="AY80" i="14"/>
  <c r="AY78" i="14"/>
  <c r="AY76" i="14"/>
  <c r="AY75" i="14"/>
  <c r="AY74" i="14"/>
  <c r="AY68" i="14"/>
  <c r="AW250" i="14"/>
  <c r="AV250" i="14"/>
  <c r="AV248" i="14"/>
  <c r="AW248" i="14" s="1"/>
  <c r="AV219" i="14"/>
  <c r="AV209" i="14"/>
  <c r="AW207" i="14"/>
  <c r="AV199" i="14"/>
  <c r="AW187" i="14"/>
  <c r="AV177" i="14"/>
  <c r="AW157" i="14"/>
  <c r="AV157" i="14"/>
  <c r="AV94" i="14"/>
  <c r="AW94" i="14" s="1"/>
  <c r="AV576" i="20"/>
  <c r="AV577" i="20" s="1"/>
  <c r="AW577" i="20" s="1"/>
  <c r="AV507" i="20"/>
  <c r="AW75" i="14"/>
  <c r="AT250" i="14"/>
  <c r="AS250" i="14"/>
  <c r="AS248" i="14"/>
  <c r="AT248" i="14" s="1"/>
  <c r="AT177" i="14"/>
  <c r="AT157" i="14"/>
  <c r="AS157" i="14"/>
  <c r="AT75" i="14"/>
  <c r="AS64" i="14"/>
  <c r="AQ157" i="14"/>
  <c r="AN250" i="14"/>
  <c r="AQ250" i="14"/>
  <c r="AQ248" i="14"/>
  <c r="AP576" i="20"/>
  <c r="AN248" i="14"/>
  <c r="AN167" i="14"/>
  <c r="U249" i="14"/>
  <c r="V249" i="14" s="1"/>
  <c r="U244" i="14"/>
  <c r="U231" i="14"/>
  <c r="U230" i="14"/>
  <c r="U229" i="14"/>
  <c r="U228" i="14"/>
  <c r="V219" i="14"/>
  <c r="U219" i="14"/>
  <c r="U218" i="14" s="1"/>
  <c r="U188" i="14"/>
  <c r="V188" i="14" s="1"/>
  <c r="U168" i="14"/>
  <c r="V168" i="14" s="1"/>
  <c r="V94" i="14"/>
  <c r="V91" i="14"/>
  <c r="V90" i="14"/>
  <c r="V230" i="14" s="1"/>
  <c r="V92" i="14"/>
  <c r="V229" i="14" s="1"/>
  <c r="V89" i="14"/>
  <c r="V88" i="14"/>
  <c r="V84" i="14"/>
  <c r="V85" i="14"/>
  <c r="V212" i="14" s="1"/>
  <c r="V82" i="14"/>
  <c r="V182" i="14" s="1"/>
  <c r="U172" i="14"/>
  <c r="V80" i="14"/>
  <c r="V78" i="14"/>
  <c r="U77" i="14"/>
  <c r="V76" i="14"/>
  <c r="V75" i="14"/>
  <c r="V74" i="14"/>
  <c r="U53" i="14"/>
  <c r="X249" i="14"/>
  <c r="Y249" i="14" s="1"/>
  <c r="X244" i="14"/>
  <c r="X231" i="14"/>
  <c r="X230" i="14"/>
  <c r="X229" i="14"/>
  <c r="X228" i="14"/>
  <c r="Y219" i="14"/>
  <c r="X219" i="14"/>
  <c r="X218" i="14" s="1"/>
  <c r="Y189" i="14"/>
  <c r="X189" i="14"/>
  <c r="X188" i="14"/>
  <c r="Y188" i="14" s="1"/>
  <c r="X168" i="14"/>
  <c r="Y168" i="14" s="1"/>
  <c r="Y94" i="14"/>
  <c r="Y91" i="14"/>
  <c r="Y90" i="14"/>
  <c r="Y230" i="14" s="1"/>
  <c r="Y92" i="14"/>
  <c r="Y229" i="14" s="1"/>
  <c r="Y89" i="14"/>
  <c r="Y88" i="14"/>
  <c r="Y84" i="14"/>
  <c r="Y85" i="14"/>
  <c r="Y212" i="14" s="1"/>
  <c r="Y80" i="14"/>
  <c r="AB519" i="20" s="1"/>
  <c r="Y79" i="14"/>
  <c r="Y162" i="14" s="1"/>
  <c r="Y78" i="14"/>
  <c r="X77" i="14"/>
  <c r="Y76" i="14"/>
  <c r="Y75" i="14"/>
  <c r="Y74" i="14"/>
  <c r="X53" i="14"/>
  <c r="AA249" i="14"/>
  <c r="AB249" i="14" s="1"/>
  <c r="AA244" i="14"/>
  <c r="AA231" i="14"/>
  <c r="AA230" i="14"/>
  <c r="AA229" i="14"/>
  <c r="AA228" i="14"/>
  <c r="AA188" i="14"/>
  <c r="AB188" i="14" s="1"/>
  <c r="AA168" i="14"/>
  <c r="AB168" i="14" s="1"/>
  <c r="AB94" i="14"/>
  <c r="AB91" i="14"/>
  <c r="AB90" i="14"/>
  <c r="AB92" i="14"/>
  <c r="AB229" i="14" s="1"/>
  <c r="AB89" i="14"/>
  <c r="AB88" i="14"/>
  <c r="AB80" i="14"/>
  <c r="AB78" i="14"/>
  <c r="AA77" i="14"/>
  <c r="AA500" i="20" s="1"/>
  <c r="AB76" i="14"/>
  <c r="AB75" i="14"/>
  <c r="AB74" i="14"/>
  <c r="AA53" i="14"/>
  <c r="AD249" i="14"/>
  <c r="AE249" i="14" s="1"/>
  <c r="AD244" i="14"/>
  <c r="AD231" i="14"/>
  <c r="AD230" i="14"/>
  <c r="AD228" i="14"/>
  <c r="AE219" i="14"/>
  <c r="AD219" i="14"/>
  <c r="AD218" i="14" s="1"/>
  <c r="AD188" i="14"/>
  <c r="AE188" i="14" s="1"/>
  <c r="AE189" i="14"/>
  <c r="AD189" i="14"/>
  <c r="AD168" i="14"/>
  <c r="AD169" i="14" s="1"/>
  <c r="AD92" i="14"/>
  <c r="AE94" i="14"/>
  <c r="AE91" i="14"/>
  <c r="AE90" i="14"/>
  <c r="AE570" i="20" s="1"/>
  <c r="AE88" i="14"/>
  <c r="AE84" i="14"/>
  <c r="AE543" i="20" s="1"/>
  <c r="AD172" i="14"/>
  <c r="AE80" i="14"/>
  <c r="AE79" i="14"/>
  <c r="AE513" i="20" s="1"/>
  <c r="AE78" i="14"/>
  <c r="AE507" i="20" s="1"/>
  <c r="AD77" i="14"/>
  <c r="AE76" i="14"/>
  <c r="AE75" i="14"/>
  <c r="AE74" i="14"/>
  <c r="AD53" i="14"/>
  <c r="AG249" i="14"/>
  <c r="AH249" i="14" s="1"/>
  <c r="AG244" i="14"/>
  <c r="AG231" i="14"/>
  <c r="AG230" i="14"/>
  <c r="AG229" i="14"/>
  <c r="AG228" i="14"/>
  <c r="AH219" i="14"/>
  <c r="AG219" i="14"/>
  <c r="AG218" i="14" s="1"/>
  <c r="AH188" i="14"/>
  <c r="AG168" i="14"/>
  <c r="AG169" i="14" s="1"/>
  <c r="AH94" i="14"/>
  <c r="AH91" i="14"/>
  <c r="AH90" i="14"/>
  <c r="AH570" i="20" s="1"/>
  <c r="AH92" i="14"/>
  <c r="AH582" i="20" s="1"/>
  <c r="AH583" i="20" s="1"/>
  <c r="AH89" i="14"/>
  <c r="AH564" i="20" s="1"/>
  <c r="AH88" i="14"/>
  <c r="AG192" i="14"/>
  <c r="AH80" i="14"/>
  <c r="AK519" i="20" s="1"/>
  <c r="AG162" i="14"/>
  <c r="AH78" i="14"/>
  <c r="AG77" i="14"/>
  <c r="AG500" i="20" s="1"/>
  <c r="AH76" i="14"/>
  <c r="AH75" i="14"/>
  <c r="AH74" i="14"/>
  <c r="AG53" i="14"/>
  <c r="AK250" i="14"/>
  <c r="AK219" i="14"/>
  <c r="AK209" i="14"/>
  <c r="AK199" i="14"/>
  <c r="AK94" i="14"/>
  <c r="AK91" i="14"/>
  <c r="AK576" i="20" s="1"/>
  <c r="AK90" i="14"/>
  <c r="AK570" i="20" s="1"/>
  <c r="AK92" i="14"/>
  <c r="AK582" i="20" s="1"/>
  <c r="AK583" i="20" s="1"/>
  <c r="AK88" i="14"/>
  <c r="AK80" i="14"/>
  <c r="AN519" i="20" s="1"/>
  <c r="AK78" i="14"/>
  <c r="AK507" i="20" s="1"/>
  <c r="AK76" i="14"/>
  <c r="AK75" i="14"/>
  <c r="AK74" i="14"/>
  <c r="AJ249" i="14"/>
  <c r="AK249" i="14" s="1"/>
  <c r="AJ250" i="14"/>
  <c r="AJ244" i="14"/>
  <c r="AJ231" i="14"/>
  <c r="AJ230" i="14"/>
  <c r="AJ229" i="14"/>
  <c r="AJ228" i="14"/>
  <c r="AJ219" i="14"/>
  <c r="AJ218" i="14" s="1"/>
  <c r="AJ209" i="14"/>
  <c r="AJ208" i="14" s="1"/>
  <c r="AJ199" i="14"/>
  <c r="AJ198" i="14" s="1"/>
  <c r="AJ168" i="14"/>
  <c r="AK168" i="14" s="1"/>
  <c r="AJ543" i="20"/>
  <c r="AJ537" i="20"/>
  <c r="AJ182" i="14"/>
  <c r="AJ525" i="20"/>
  <c r="AJ77" i="14"/>
  <c r="AJ53" i="14"/>
  <c r="BK75" i="18"/>
  <c r="BL75" i="18" s="1"/>
  <c r="BK32" i="18"/>
  <c r="BL32" i="18" s="1"/>
  <c r="BH75" i="18"/>
  <c r="BI75" i="18" s="1"/>
  <c r="BH32" i="18"/>
  <c r="BI32" i="18" s="1"/>
  <c r="BE75" i="18"/>
  <c r="BF75" i="18" s="1"/>
  <c r="BE32" i="18"/>
  <c r="BF32" i="18" s="1"/>
  <c r="BB75" i="18"/>
  <c r="BC75" i="18" s="1"/>
  <c r="BB32" i="18"/>
  <c r="BC32" i="18" s="1"/>
  <c r="BB7" i="18"/>
  <c r="AZ75" i="18"/>
  <c r="AZ32" i="18"/>
  <c r="R76" i="18"/>
  <c r="S76" i="18" s="1"/>
  <c r="S75" i="18"/>
  <c r="S74" i="18"/>
  <c r="S73" i="18"/>
  <c r="S72" i="18"/>
  <c r="S39" i="18"/>
  <c r="R36" i="18"/>
  <c r="S31" i="18"/>
  <c r="S30" i="18"/>
  <c r="S29" i="18"/>
  <c r="S21" i="18"/>
  <c r="S13" i="18"/>
  <c r="S11" i="18"/>
  <c r="S10" i="18"/>
  <c r="S8" i="18"/>
  <c r="U76" i="18"/>
  <c r="V76" i="18" s="1"/>
  <c r="V75" i="18"/>
  <c r="U74" i="18"/>
  <c r="V74" i="18" s="1"/>
  <c r="V73" i="18"/>
  <c r="V72" i="18"/>
  <c r="V39" i="18"/>
  <c r="U31" i="18"/>
  <c r="U22" i="18"/>
  <c r="V30" i="18"/>
  <c r="V29" i="18"/>
  <c r="V13" i="18"/>
  <c r="V11" i="18"/>
  <c r="V10" i="18"/>
  <c r="V8" i="18"/>
  <c r="Y39" i="18"/>
  <c r="Y13" i="18"/>
  <c r="Y11" i="18"/>
  <c r="Y10" i="18"/>
  <c r="Y8" i="18"/>
  <c r="AB81" i="18"/>
  <c r="AA81" i="18"/>
  <c r="AA73" i="18"/>
  <c r="AA72" i="18"/>
  <c r="AA76" i="18"/>
  <c r="AB76" i="18" s="1"/>
  <c r="AB75" i="18"/>
  <c r="AA74" i="18"/>
  <c r="AA51" i="18"/>
  <c r="AA47" i="18" s="1"/>
  <c r="AB39" i="18"/>
  <c r="AA30" i="18"/>
  <c r="AA29" i="18"/>
  <c r="AA31" i="18"/>
  <c r="AB31" i="18" s="1"/>
  <c r="AB22" i="18"/>
  <c r="AB22" i="7"/>
  <c r="AB13" i="18"/>
  <c r="AB11" i="18"/>
  <c r="AB145" i="2" s="1"/>
  <c r="AB10" i="18"/>
  <c r="AB8" i="18"/>
  <c r="AE22" i="18"/>
  <c r="AE21" i="18"/>
  <c r="AD76" i="18"/>
  <c r="AE76" i="18" s="1"/>
  <c r="AD73" i="18"/>
  <c r="AD72" i="18"/>
  <c r="AE75" i="18"/>
  <c r="AD74" i="18"/>
  <c r="AD51" i="18"/>
  <c r="AD47" i="18" s="1"/>
  <c r="AE39" i="18"/>
  <c r="AD31" i="18"/>
  <c r="AD30" i="18"/>
  <c r="AD29" i="18"/>
  <c r="AA30" i="7"/>
  <c r="AA29" i="7"/>
  <c r="AD30" i="7"/>
  <c r="AD29" i="7"/>
  <c r="AG30" i="7"/>
  <c r="AG29" i="7"/>
  <c r="AE13" i="18"/>
  <c r="AE11" i="18"/>
  <c r="AE145" i="2" s="1"/>
  <c r="AE10" i="18"/>
  <c r="AE8" i="18"/>
  <c r="AH22" i="18"/>
  <c r="AG51" i="18"/>
  <c r="AG21" i="18"/>
  <c r="AH21" i="18" s="1"/>
  <c r="AH39" i="18"/>
  <c r="AH13" i="18"/>
  <c r="AH11" i="18"/>
  <c r="AH145" i="2" s="1"/>
  <c r="AH10" i="18"/>
  <c r="AH8" i="18"/>
  <c r="AK75" i="18"/>
  <c r="AK73" i="18"/>
  <c r="AK72" i="18"/>
  <c r="AP76" i="18"/>
  <c r="AQ76" i="18" s="1"/>
  <c r="AM76" i="18"/>
  <c r="AN76" i="18" s="1"/>
  <c r="AJ76" i="18"/>
  <c r="AK76" i="18" s="1"/>
  <c r="AJ74" i="18"/>
  <c r="AK74" i="18" s="1"/>
  <c r="AJ47" i="18"/>
  <c r="AK39" i="18"/>
  <c r="AK31" i="18"/>
  <c r="AK30" i="18"/>
  <c r="AK29" i="18"/>
  <c r="AK22" i="18"/>
  <c r="AK21" i="18"/>
  <c r="AK13" i="18"/>
  <c r="AK11" i="18"/>
  <c r="AK145" i="2" s="1"/>
  <c r="AK10" i="18"/>
  <c r="AK8" i="18"/>
  <c r="AN75" i="18"/>
  <c r="AN73" i="18"/>
  <c r="AN72" i="18"/>
  <c r="AN39" i="18"/>
  <c r="AQ45" i="18" s="1"/>
  <c r="AN31" i="18"/>
  <c r="AN30" i="18"/>
  <c r="AN29" i="18"/>
  <c r="AN22" i="18"/>
  <c r="AN21" i="18"/>
  <c r="AM74" i="18"/>
  <c r="AM47" i="18"/>
  <c r="AK17" i="18"/>
  <c r="BK32" i="7"/>
  <c r="BL32" i="7" s="1"/>
  <c r="BH32" i="7"/>
  <c r="BI32" i="7" s="1"/>
  <c r="BE32" i="7"/>
  <c r="BF32" i="7" s="1"/>
  <c r="BB32" i="7"/>
  <c r="BC32" i="7" s="1"/>
  <c r="BB7" i="7"/>
  <c r="AZ32" i="7"/>
  <c r="AW32" i="7"/>
  <c r="R87" i="7"/>
  <c r="S87" i="7" s="1"/>
  <c r="R85" i="7"/>
  <c r="S85" i="7" s="1"/>
  <c r="R84" i="7"/>
  <c r="S84" i="7" s="1"/>
  <c r="R83" i="7"/>
  <c r="S83" i="7" s="1"/>
  <c r="R40" i="7"/>
  <c r="R42" i="7" s="1"/>
  <c r="S39" i="7"/>
  <c r="R36" i="7"/>
  <c r="S32" i="7"/>
  <c r="S31" i="7"/>
  <c r="S30" i="7"/>
  <c r="S29" i="7"/>
  <c r="R33" i="7"/>
  <c r="U28" i="7" s="1"/>
  <c r="R21" i="7"/>
  <c r="S21" i="7" s="1"/>
  <c r="S13" i="7"/>
  <c r="S11" i="7"/>
  <c r="S10" i="7"/>
  <c r="S8" i="7"/>
  <c r="U87" i="7"/>
  <c r="V87" i="7" s="1"/>
  <c r="U85" i="7"/>
  <c r="V85" i="7" s="1"/>
  <c r="U84" i="7"/>
  <c r="V84" i="7" s="1"/>
  <c r="U83" i="7"/>
  <c r="V83" i="7" s="1"/>
  <c r="U40" i="7"/>
  <c r="U42" i="7" s="1"/>
  <c r="V39" i="7"/>
  <c r="V32" i="7"/>
  <c r="V31" i="7"/>
  <c r="V30" i="7"/>
  <c r="V29" i="7"/>
  <c r="U21" i="7"/>
  <c r="V21" i="7" s="1"/>
  <c r="AE94" i="20" l="1"/>
  <c r="AB94" i="20"/>
  <c r="AH94" i="20"/>
  <c r="S41" i="4"/>
  <c r="S3" i="4" s="1"/>
  <c r="S3" i="2" s="1"/>
  <c r="AP54" i="20"/>
  <c r="AS54" i="20"/>
  <c r="BK32" i="4"/>
  <c r="BH32" i="4"/>
  <c r="BI91" i="2"/>
  <c r="BH23" i="5"/>
  <c r="BE32" i="4"/>
  <c r="BF91" i="2"/>
  <c r="BE23" i="5"/>
  <c r="AZ91" i="2"/>
  <c r="BB32" i="4"/>
  <c r="BC91" i="2"/>
  <c r="BB23" i="5"/>
  <c r="BL91" i="2"/>
  <c r="BK23" i="5"/>
  <c r="BL47" i="18"/>
  <c r="AJ54" i="20"/>
  <c r="BC175" i="4"/>
  <c r="BI175" i="4"/>
  <c r="AZ175" i="4"/>
  <c r="BF175" i="4"/>
  <c r="BL175" i="4"/>
  <c r="BI85" i="2"/>
  <c r="AZ85" i="2"/>
  <c r="AV213" i="14"/>
  <c r="AD54" i="20"/>
  <c r="Y93" i="14"/>
  <c r="AH93" i="14"/>
  <c r="AD149" i="14"/>
  <c r="AD582" i="20"/>
  <c r="AD583" i="20" s="1"/>
  <c r="AD93" i="14"/>
  <c r="V93" i="14"/>
  <c r="AB558" i="20"/>
  <c r="AB93" i="14"/>
  <c r="AP558" i="20"/>
  <c r="AK318" i="20"/>
  <c r="AK321" i="20"/>
  <c r="AH228" i="20"/>
  <c r="AD400" i="20"/>
  <c r="AE400" i="20"/>
  <c r="AB227" i="20"/>
  <c r="AE228" i="20" s="1"/>
  <c r="AD228" i="20"/>
  <c r="AK228" i="20"/>
  <c r="AN228" i="20"/>
  <c r="BE70" i="14"/>
  <c r="BB70" i="14"/>
  <c r="AY70" i="14"/>
  <c r="AO211" i="14"/>
  <c r="AM213" i="14"/>
  <c r="AK229" i="14"/>
  <c r="AH229" i="14"/>
  <c r="AP109" i="2"/>
  <c r="AP31" i="2" s="1"/>
  <c r="AQ31" i="2" s="1"/>
  <c r="AQ33" i="2" s="1"/>
  <c r="AQ103" i="2"/>
  <c r="AQ109" i="2" s="1"/>
  <c r="AP12" i="5"/>
  <c r="AQ15" i="5"/>
  <c r="AP192" i="4"/>
  <c r="AQ189" i="4"/>
  <c r="AQ192" i="4" s="1"/>
  <c r="AQ34" i="2"/>
  <c r="AQ153" i="2" s="1"/>
  <c r="AP203" i="4"/>
  <c r="AP210" i="4" s="1"/>
  <c r="AQ202" i="4"/>
  <c r="AP9" i="5"/>
  <c r="AQ10" i="5"/>
  <c r="AQ9" i="5" s="1"/>
  <c r="AP89" i="5"/>
  <c r="AQ62" i="5"/>
  <c r="AK63" i="20"/>
  <c r="AN323" i="20"/>
  <c r="AQ100" i="2"/>
  <c r="AQ24" i="2" s="1"/>
  <c r="AJ81" i="4"/>
  <c r="S224" i="4"/>
  <c r="S225" i="4" s="1"/>
  <c r="S226" i="4" s="1"/>
  <c r="S81" i="4"/>
  <c r="S92" i="4" s="1"/>
  <c r="AP21" i="4"/>
  <c r="AP22" i="4" s="1"/>
  <c r="AP100" i="2"/>
  <c r="AG235" i="20"/>
  <c r="AM239" i="4"/>
  <c r="AM240" i="4" s="1"/>
  <c r="AM242" i="4" s="1"/>
  <c r="S52" i="4"/>
  <c r="AM74" i="5"/>
  <c r="U52" i="4"/>
  <c r="AG225" i="4"/>
  <c r="AG226" i="4" s="1"/>
  <c r="R3" i="4"/>
  <c r="R52" i="4"/>
  <c r="V224" i="4"/>
  <c r="V225" i="4" s="1"/>
  <c r="V226" i="4" s="1"/>
  <c r="V93" i="4"/>
  <c r="V81" i="4"/>
  <c r="V92" i="4" s="1"/>
  <c r="U3" i="2"/>
  <c r="U3" i="5"/>
  <c r="AG280" i="20"/>
  <c r="AK175" i="6"/>
  <c r="AH280" i="20" s="1"/>
  <c r="AD86" i="20"/>
  <c r="AD91" i="20" s="1"/>
  <c r="AN45" i="18"/>
  <c r="AK409" i="20"/>
  <c r="AE463" i="20"/>
  <c r="AE474" i="20" s="1"/>
  <c r="AE467" i="20"/>
  <c r="AE478" i="20" s="1"/>
  <c r="AA280" i="20"/>
  <c r="AQ6" i="2"/>
  <c r="AQ7" i="2" s="1"/>
  <c r="V228" i="14"/>
  <c r="V231" i="14"/>
  <c r="AE175" i="6"/>
  <c r="AE87" i="6" s="1"/>
  <c r="AN240" i="4"/>
  <c r="AN242" i="4" s="1"/>
  <c r="AD225" i="4"/>
  <c r="AD226" i="4" s="1"/>
  <c r="AG54" i="14"/>
  <c r="BH249" i="14"/>
  <c r="AG3" i="2"/>
  <c r="AG3" i="5"/>
  <c r="AH90" i="4"/>
  <c r="AE86" i="20" s="1"/>
  <c r="AH118" i="5"/>
  <c r="AE90" i="4"/>
  <c r="AB86" i="20" s="1"/>
  <c r="AB91" i="20" s="1"/>
  <c r="AE118" i="5"/>
  <c r="BE90" i="2"/>
  <c r="AM84" i="5"/>
  <c r="AJ169" i="14"/>
  <c r="AD280" i="20"/>
  <c r="AH175" i="6"/>
  <c r="AE280" i="20" s="1"/>
  <c r="AB87" i="20"/>
  <c r="AB95" i="20" s="1"/>
  <c r="AP78" i="4"/>
  <c r="AP79" i="4" s="1"/>
  <c r="AP91" i="5"/>
  <c r="AM158" i="2"/>
  <c r="AD3" i="4"/>
  <c r="AG52" i="4"/>
  <c r="AG62" i="14"/>
  <c r="AJ113" i="6" s="1"/>
  <c r="AP154" i="2"/>
  <c r="AP156" i="2" s="1"/>
  <c r="AP118" i="2"/>
  <c r="AP208" i="4"/>
  <c r="AP102" i="5"/>
  <c r="BB16" i="5"/>
  <c r="AH77" i="14"/>
  <c r="AH500" i="20" s="1"/>
  <c r="AH228" i="14"/>
  <c r="AA54" i="14"/>
  <c r="AA232" i="20"/>
  <c r="AB467" i="20"/>
  <c r="AB478" i="20" s="1"/>
  <c r="AP166" i="4"/>
  <c r="AK90" i="4"/>
  <c r="AK87" i="4" s="1"/>
  <c r="AK118" i="5"/>
  <c r="AH409" i="20"/>
  <c r="AD235" i="20"/>
  <c r="AE464" i="20"/>
  <c r="AE475" i="20" s="1"/>
  <c r="BI75" i="14"/>
  <c r="BH133" i="14"/>
  <c r="AZ207" i="14"/>
  <c r="AY208" i="14"/>
  <c r="AE572" i="20"/>
  <c r="AE558" i="20"/>
  <c r="AE519" i="20"/>
  <c r="Y82" i="14"/>
  <c r="Y182" i="14" s="1"/>
  <c r="X182" i="14"/>
  <c r="AE230" i="14"/>
  <c r="V79" i="14"/>
  <c r="V162" i="14" s="1"/>
  <c r="U162" i="14"/>
  <c r="V83" i="14"/>
  <c r="V192" i="14" s="1"/>
  <c r="U192" i="14"/>
  <c r="AP219" i="4"/>
  <c r="AP220" i="4" s="1"/>
  <c r="AP241" i="4"/>
  <c r="AZ105" i="2"/>
  <c r="BI105" i="2"/>
  <c r="AV208" i="14"/>
  <c r="AV249" i="14"/>
  <c r="AG86" i="20"/>
  <c r="AG91" i="20" s="1"/>
  <c r="AJ87" i="4"/>
  <c r="AA578" i="20"/>
  <c r="AB575" i="20" s="1"/>
  <c r="AZ78" i="2"/>
  <c r="AZ82" i="2" s="1"/>
  <c r="AZ6" i="2" s="1"/>
  <c r="BF119" i="2"/>
  <c r="BF16" i="5" s="1"/>
  <c r="BE16" i="5"/>
  <c r="BL85" i="2"/>
  <c r="BL117" i="2"/>
  <c r="BK90" i="2"/>
  <c r="BL50" i="5"/>
  <c r="Y228" i="14"/>
  <c r="U133" i="14"/>
  <c r="AN90" i="4"/>
  <c r="AK86" i="20" s="1"/>
  <c r="AK91" i="20" s="1"/>
  <c r="AN118" i="5"/>
  <c r="AD224" i="20"/>
  <c r="AD226" i="20" s="1"/>
  <c r="AQ88" i="6"/>
  <c r="AQ118" i="6" s="1"/>
  <c r="AP237" i="4"/>
  <c r="BC85" i="2"/>
  <c r="BI117" i="2"/>
  <c r="BH90" i="2"/>
  <c r="X86" i="14"/>
  <c r="X87" i="14" s="1"/>
  <c r="X133" i="14"/>
  <c r="U182" i="14"/>
  <c r="AS249" i="14"/>
  <c r="AJ224" i="20"/>
  <c r="AJ226" i="20" s="1"/>
  <c r="AK87" i="20"/>
  <c r="AK95" i="20" s="1"/>
  <c r="AP114" i="2"/>
  <c r="AP112" i="2" s="1"/>
  <c r="AP58" i="4"/>
  <c r="AP60" i="4" s="1"/>
  <c r="AP150" i="4"/>
  <c r="AP152" i="4" s="1"/>
  <c r="AT6" i="2"/>
  <c r="AT7" i="2" s="1"/>
  <c r="BB90" i="2"/>
  <c r="BF85" i="2"/>
  <c r="BF105" i="2"/>
  <c r="BH82" i="2"/>
  <c r="BH6" i="2" s="1"/>
  <c r="BI78" i="2"/>
  <c r="BI82" i="2" s="1"/>
  <c r="BI6" i="2" s="1"/>
  <c r="AZ43" i="5"/>
  <c r="AZ41" i="5" s="1"/>
  <c r="BB65" i="5"/>
  <c r="BC68" i="5"/>
  <c r="BB82" i="2"/>
  <c r="BB6" i="2" s="1"/>
  <c r="BC78" i="2"/>
  <c r="BC82" i="2" s="1"/>
  <c r="BC6" i="2" s="1"/>
  <c r="BC88" i="2"/>
  <c r="BE82" i="2"/>
  <c r="BE6" i="2" s="1"/>
  <c r="BF78" i="2"/>
  <c r="BF82" i="2" s="1"/>
  <c r="BF6" i="2" s="1"/>
  <c r="BF88" i="2"/>
  <c r="BH16" i="5"/>
  <c r="BI119" i="2"/>
  <c r="BI16" i="5" s="1"/>
  <c r="BK82" i="2"/>
  <c r="BK6" i="2" s="1"/>
  <c r="BL78" i="2"/>
  <c r="BL82" i="2" s="1"/>
  <c r="BL6" i="2" s="1"/>
  <c r="AZ33" i="5"/>
  <c r="BC64" i="5"/>
  <c r="BE65" i="5"/>
  <c r="BF68" i="5"/>
  <c r="BI58" i="5"/>
  <c r="AZ18" i="5"/>
  <c r="BC18" i="5"/>
  <c r="BB120" i="5"/>
  <c r="BC66" i="5"/>
  <c r="BF50" i="5"/>
  <c r="AZ66" i="5"/>
  <c r="AZ120" i="5" s="1"/>
  <c r="BE41" i="5"/>
  <c r="BF42" i="5"/>
  <c r="BF41" i="5" s="1"/>
  <c r="BI18" i="5"/>
  <c r="BH41" i="5"/>
  <c r="BI43" i="5"/>
  <c r="BI41" i="5" s="1"/>
  <c r="BH120" i="5"/>
  <c r="BI66" i="5"/>
  <c r="BI120" i="5" s="1"/>
  <c r="BK16" i="5"/>
  <c r="BI33" i="5"/>
  <c r="BL17" i="5"/>
  <c r="BK41" i="5"/>
  <c r="BL42" i="5"/>
  <c r="BL41" i="5" s="1"/>
  <c r="BL64" i="5"/>
  <c r="BF18" i="5"/>
  <c r="BE120" i="5"/>
  <c r="BF66" i="5"/>
  <c r="BL18" i="5"/>
  <c r="BK120" i="5"/>
  <c r="BL66" i="5"/>
  <c r="AZ64" i="5"/>
  <c r="BC33" i="5"/>
  <c r="BB41" i="5"/>
  <c r="BC44" i="5"/>
  <c r="BC41" i="5" s="1"/>
  <c r="BF33" i="5"/>
  <c r="BI64" i="5"/>
  <c r="BL33" i="5"/>
  <c r="BK65" i="5"/>
  <c r="AM81" i="4"/>
  <c r="AM224" i="4"/>
  <c r="AM220" i="4"/>
  <c r="AM263" i="4"/>
  <c r="AJ3" i="4"/>
  <c r="AJ89" i="20"/>
  <c r="AJ90" i="20" s="1"/>
  <c r="AM41" i="4"/>
  <c r="AM52" i="4" s="1"/>
  <c r="BH65" i="5"/>
  <c r="AP74" i="5"/>
  <c r="AP54" i="5"/>
  <c r="AP257" i="4"/>
  <c r="AP259" i="4" s="1"/>
  <c r="AP260" i="4" s="1"/>
  <c r="AP126" i="4"/>
  <c r="AP39" i="4"/>
  <c r="AP148" i="2"/>
  <c r="V45" i="18"/>
  <c r="AJ149" i="14"/>
  <c r="AH230" i="14"/>
  <c r="AD202" i="14"/>
  <c r="AA169" i="14"/>
  <c r="BE249" i="14"/>
  <c r="AM223" i="20"/>
  <c r="AJ64" i="14"/>
  <c r="AK77" i="14"/>
  <c r="AK500" i="20" s="1"/>
  <c r="AD133" i="14"/>
  <c r="AE202" i="14"/>
  <c r="AB77" i="14"/>
  <c r="AB500" i="20" s="1"/>
  <c r="AM224" i="20"/>
  <c r="AM222" i="20"/>
  <c r="AM112" i="20" s="1"/>
  <c r="AJ280" i="20"/>
  <c r="AE409" i="20"/>
  <c r="AA69" i="18"/>
  <c r="AD54" i="14"/>
  <c r="AA233" i="14"/>
  <c r="BB133" i="14"/>
  <c r="AN175" i="6"/>
  <c r="AK280" i="20" s="1"/>
  <c r="V45" i="7"/>
  <c r="AJ500" i="20"/>
  <c r="AK83" i="14"/>
  <c r="AK133" i="14"/>
  <c r="AH85" i="14"/>
  <c r="AG549" i="20"/>
  <c r="AG212" i="14"/>
  <c r="AE92" i="14"/>
  <c r="AD229" i="14"/>
  <c r="AD233" i="14" s="1"/>
  <c r="AB507" i="20"/>
  <c r="X162" i="14"/>
  <c r="X202" i="14"/>
  <c r="AN133" i="14"/>
  <c r="AW177" i="14"/>
  <c r="BH558" i="20"/>
  <c r="AK45" i="18"/>
  <c r="V31" i="18"/>
  <c r="AP13" i="3"/>
  <c r="AP38" i="3"/>
  <c r="AK79" i="14"/>
  <c r="AJ86" i="14"/>
  <c r="AJ87" i="14" s="1"/>
  <c r="AJ513" i="20"/>
  <c r="AJ549" i="20"/>
  <c r="AK85" i="14"/>
  <c r="AJ162" i="14"/>
  <c r="AJ202" i="14"/>
  <c r="AJ233" i="14"/>
  <c r="AK84" i="14"/>
  <c r="AK231" i="14"/>
  <c r="AD500" i="20"/>
  <c r="AH519" i="20"/>
  <c r="AE85" i="14"/>
  <c r="AD549" i="20"/>
  <c r="AD212" i="14"/>
  <c r="AB570" i="20"/>
  <c r="AB133" i="14"/>
  <c r="AB230" i="14"/>
  <c r="Y202" i="14"/>
  <c r="U169" i="14"/>
  <c r="AG150" i="20"/>
  <c r="AM38" i="3"/>
  <c r="AK558" i="20"/>
  <c r="AH507" i="20"/>
  <c r="AH82" i="14"/>
  <c r="AG531" i="20"/>
  <c r="AG182" i="14"/>
  <c r="AH558" i="20"/>
  <c r="AH576" i="20"/>
  <c r="AH231" i="14"/>
  <c r="AH133" i="14"/>
  <c r="AB564" i="20"/>
  <c r="AB228" i="14"/>
  <c r="AB576" i="20"/>
  <c r="AB231" i="14"/>
  <c r="X172" i="14"/>
  <c r="V202" i="14"/>
  <c r="U202" i="14"/>
  <c r="AT68" i="14"/>
  <c r="BB519" i="20"/>
  <c r="AY249" i="14"/>
  <c r="AZ248" i="14"/>
  <c r="BC177" i="14"/>
  <c r="R34" i="7"/>
  <c r="R35" i="7" s="1"/>
  <c r="AG47" i="18"/>
  <c r="AE31" i="18"/>
  <c r="AJ172" i="14"/>
  <c r="AJ192" i="14"/>
  <c r="AJ212" i="14"/>
  <c r="AK81" i="14"/>
  <c r="Y77" i="14"/>
  <c r="Y231" i="14"/>
  <c r="Y133" i="14"/>
  <c r="AZ75" i="14"/>
  <c r="AY133" i="14"/>
  <c r="AE83" i="14"/>
  <c r="AD537" i="20"/>
  <c r="AD192" i="14"/>
  <c r="AE133" i="14"/>
  <c r="AA133" i="14"/>
  <c r="AA149" i="14"/>
  <c r="U233" i="14"/>
  <c r="AT217" i="14"/>
  <c r="AV133" i="14"/>
  <c r="AY507" i="20"/>
  <c r="BH519" i="20"/>
  <c r="BE231" i="14"/>
  <c r="BE576" i="20"/>
  <c r="AJ150" i="20"/>
  <c r="AJ118" i="20"/>
  <c r="AJ55" i="20"/>
  <c r="AE462" i="20"/>
  <c r="AE473" i="20" s="1"/>
  <c r="AB533" i="20"/>
  <c r="AT207" i="14"/>
  <c r="AY519" i="20"/>
  <c r="AZ177" i="14"/>
  <c r="BB558" i="20"/>
  <c r="BF75" i="14"/>
  <c r="BE133" i="14"/>
  <c r="AE509" i="20"/>
  <c r="AE521" i="20"/>
  <c r="AE533" i="20"/>
  <c r="AJ531" i="20"/>
  <c r="AK82" i="14"/>
  <c r="AJ133" i="14"/>
  <c r="AK58" i="14"/>
  <c r="AH81" i="14"/>
  <c r="AG172" i="14"/>
  <c r="AG525" i="20"/>
  <c r="AH84" i="14"/>
  <c r="AG543" i="20"/>
  <c r="AG149" i="14"/>
  <c r="AG202" i="14"/>
  <c r="AD513" i="20"/>
  <c r="AD162" i="14"/>
  <c r="AE82" i="14"/>
  <c r="AD531" i="20"/>
  <c r="AD182" i="14"/>
  <c r="AD86" i="14"/>
  <c r="AD87" i="14" s="1"/>
  <c r="AE576" i="20"/>
  <c r="AE231" i="14"/>
  <c r="AE162" i="14"/>
  <c r="Y83" i="14"/>
  <c r="Y192" i="14" s="1"/>
  <c r="X192" i="14"/>
  <c r="X233" i="14"/>
  <c r="U212" i="14"/>
  <c r="AP570" i="20"/>
  <c r="AT90" i="14"/>
  <c r="AT570" i="20" s="1"/>
  <c r="AT187" i="14"/>
  <c r="AW68" i="14"/>
  <c r="AV374" i="20"/>
  <c r="BE519" i="20"/>
  <c r="BC248" i="14"/>
  <c r="BB249" i="14"/>
  <c r="BE558" i="20"/>
  <c r="AK418" i="20"/>
  <c r="AK430" i="20" s="1"/>
  <c r="AK431" i="20" s="1"/>
  <c r="BB507" i="20"/>
  <c r="BH507" i="20"/>
  <c r="AD543" i="20"/>
  <c r="AK230" i="14"/>
  <c r="AG86" i="14"/>
  <c r="AG87" i="14" s="1"/>
  <c r="AH83" i="14"/>
  <c r="AG537" i="20"/>
  <c r="AG133" i="14"/>
  <c r="AG233" i="14"/>
  <c r="AE77" i="14"/>
  <c r="AE500" i="20" s="1"/>
  <c r="AE81" i="14"/>
  <c r="AD525" i="20"/>
  <c r="X149" i="14"/>
  <c r="X212" i="14"/>
  <c r="X54" i="14"/>
  <c r="V77" i="14"/>
  <c r="V133" i="14"/>
  <c r="U149" i="14"/>
  <c r="AZ68" i="14"/>
  <c r="AY374" i="20"/>
  <c r="AY357" i="20" s="1"/>
  <c r="BB231" i="14"/>
  <c r="BB576" i="20"/>
  <c r="BF68" i="14"/>
  <c r="BE374" i="20"/>
  <c r="BE507" i="20"/>
  <c r="BH231" i="14"/>
  <c r="BH576" i="20"/>
  <c r="BI177" i="14"/>
  <c r="AJ235" i="20"/>
  <c r="AJ232" i="20"/>
  <c r="AE460" i="20"/>
  <c r="AE471" i="20" s="1"/>
  <c r="AK425" i="20"/>
  <c r="AG513" i="20"/>
  <c r="BC361" i="20"/>
  <c r="AD150" i="20"/>
  <c r="AE384" i="20"/>
  <c r="AE502" i="20" s="1"/>
  <c r="AE461" i="20"/>
  <c r="AE472" i="20" s="1"/>
  <c r="AA150" i="20"/>
  <c r="AW361" i="20"/>
  <c r="AY558" i="20"/>
  <c r="AY231" i="14"/>
  <c r="AY576" i="20"/>
  <c r="BC68" i="14"/>
  <c r="BB374" i="20"/>
  <c r="BB357" i="20" s="1"/>
  <c r="AH425" i="20"/>
  <c r="AD53" i="20"/>
  <c r="AD222" i="20"/>
  <c r="AD232" i="20"/>
  <c r="AE425" i="20"/>
  <c r="AA464" i="20"/>
  <c r="AA533" i="20"/>
  <c r="AB530" i="20" s="1"/>
  <c r="AB409" i="20"/>
  <c r="AB464" i="20"/>
  <c r="AB475" i="20" s="1"/>
  <c r="AB425" i="20"/>
  <c r="AA91" i="20"/>
  <c r="AZ361" i="20"/>
  <c r="AK122" i="6"/>
  <c r="AP119" i="6"/>
  <c r="AA419" i="20"/>
  <c r="AA427" i="20" s="1"/>
  <c r="AE72" i="20"/>
  <c r="AA223" i="20"/>
  <c r="AA478" i="20"/>
  <c r="AA551" i="20"/>
  <c r="AA60" i="20"/>
  <c r="AB418" i="20"/>
  <c r="AB551" i="20"/>
  <c r="AB578" i="20"/>
  <c r="AD118" i="20"/>
  <c r="AA89" i="20"/>
  <c r="AA224" i="20"/>
  <c r="AB361" i="20"/>
  <c r="AA491" i="20"/>
  <c r="AD572" i="20"/>
  <c r="AD384" i="20"/>
  <c r="AE418" i="20"/>
  <c r="AE430" i="20" s="1"/>
  <c r="AE431" i="20" s="1"/>
  <c r="AD509" i="20"/>
  <c r="AD460" i="20"/>
  <c r="AD471" i="20" s="1"/>
  <c r="AD521" i="20"/>
  <c r="AD462" i="20"/>
  <c r="AD473" i="20" s="1"/>
  <c r="AD533" i="20"/>
  <c r="AD464" i="20"/>
  <c r="AD475" i="20" s="1"/>
  <c r="AD419" i="20"/>
  <c r="AD427" i="20" s="1"/>
  <c r="AD461" i="20"/>
  <c r="AD472" i="20" s="1"/>
  <c r="AD463" i="20"/>
  <c r="AD474" i="20" s="1"/>
  <c r="AD467" i="20"/>
  <c r="AD478" i="20" s="1"/>
  <c r="AD515" i="20"/>
  <c r="AD527" i="20"/>
  <c r="AD551" i="20"/>
  <c r="AD566" i="20"/>
  <c r="AD578" i="20"/>
  <c r="AG118" i="20"/>
  <c r="AG222" i="20"/>
  <c r="AG112" i="20" s="1"/>
  <c r="AG224" i="20"/>
  <c r="AJ222" i="20"/>
  <c r="AJ112" i="20" s="1"/>
  <c r="AG52" i="20"/>
  <c r="AG232" i="20"/>
  <c r="AG223" i="20"/>
  <c r="AH418" i="20"/>
  <c r="AH430" i="20" s="1"/>
  <c r="AH431" i="20" s="1"/>
  <c r="AG419" i="20"/>
  <c r="AG427" i="20" s="1"/>
  <c r="AJ419" i="20"/>
  <c r="AJ427" i="20" s="1"/>
  <c r="AJ60" i="20"/>
  <c r="AJ91" i="20"/>
  <c r="AM419" i="20"/>
  <c r="AM427" i="20" s="1"/>
  <c r="BI74" i="14"/>
  <c r="BI76" i="14"/>
  <c r="BI78" i="14"/>
  <c r="BI507" i="20" s="1"/>
  <c r="BI80" i="14"/>
  <c r="BI88" i="14"/>
  <c r="BI558" i="20" s="1"/>
  <c r="BI91" i="14"/>
  <c r="BI576" i="20" s="1"/>
  <c r="BI94" i="14"/>
  <c r="BH77" i="14"/>
  <c r="BF74" i="14"/>
  <c r="BF76" i="14"/>
  <c r="BF78" i="14"/>
  <c r="BF507" i="20" s="1"/>
  <c r="BF80" i="14"/>
  <c r="BF88" i="14"/>
  <c r="BF558" i="20" s="1"/>
  <c r="BF91" i="14"/>
  <c r="BF576" i="20" s="1"/>
  <c r="BF94" i="14"/>
  <c r="BE77" i="14"/>
  <c r="BC74" i="14"/>
  <c r="BC76" i="14"/>
  <c r="BC78" i="14"/>
  <c r="BC507" i="20" s="1"/>
  <c r="BC80" i="14"/>
  <c r="BC88" i="14"/>
  <c r="BC91" i="14"/>
  <c r="BC576" i="20" s="1"/>
  <c r="BC94" i="14"/>
  <c r="BB77" i="14"/>
  <c r="AZ74" i="14"/>
  <c r="AZ76" i="14"/>
  <c r="AZ78" i="14"/>
  <c r="AZ507" i="20" s="1"/>
  <c r="AZ80" i="14"/>
  <c r="AZ88" i="14"/>
  <c r="AZ91" i="14"/>
  <c r="AZ576" i="20" s="1"/>
  <c r="AZ94" i="14"/>
  <c r="AY77" i="14"/>
  <c r="AY500" i="20" s="1"/>
  <c r="AW74" i="14"/>
  <c r="AW76" i="14"/>
  <c r="AW78" i="14"/>
  <c r="AW507" i="20" s="1"/>
  <c r="AW80" i="14"/>
  <c r="AW88" i="14"/>
  <c r="AW558" i="20" s="1"/>
  <c r="AW91" i="14"/>
  <c r="AW576" i="20" s="1"/>
  <c r="AW578" i="20" s="1"/>
  <c r="AW579" i="20" s="1"/>
  <c r="AV231" i="14"/>
  <c r="AV500" i="20"/>
  <c r="AV501" i="20" s="1"/>
  <c r="AT74" i="14"/>
  <c r="AT76" i="14"/>
  <c r="AT78" i="14"/>
  <c r="AT507" i="20" s="1"/>
  <c r="AT80" i="14"/>
  <c r="AT88" i="14"/>
  <c r="AT558" i="20" s="1"/>
  <c r="AT91" i="14"/>
  <c r="AT576" i="20" s="1"/>
  <c r="AT94" i="14"/>
  <c r="U227" i="14"/>
  <c r="U86" i="14"/>
  <c r="U87" i="14" s="1"/>
  <c r="V81" i="14"/>
  <c r="V58" i="14"/>
  <c r="X227" i="14"/>
  <c r="X169" i="14"/>
  <c r="Y81" i="14"/>
  <c r="Y58" i="14"/>
  <c r="AA227" i="14"/>
  <c r="AB58" i="14"/>
  <c r="AE168" i="14"/>
  <c r="AG227" i="14"/>
  <c r="AH168" i="14"/>
  <c r="AH79" i="14"/>
  <c r="AH58" i="14"/>
  <c r="AJ54" i="14"/>
  <c r="AJ227" i="14"/>
  <c r="AJ62" i="14"/>
  <c r="AM113" i="6" s="1"/>
  <c r="R41" i="7"/>
  <c r="U33" i="7"/>
  <c r="U36" i="7"/>
  <c r="U41" i="7"/>
  <c r="V13" i="7"/>
  <c r="V11" i="7"/>
  <c r="V10" i="7"/>
  <c r="V8" i="7"/>
  <c r="AA87" i="7"/>
  <c r="AB87" i="7" s="1"/>
  <c r="AA85" i="7"/>
  <c r="AA84" i="7"/>
  <c r="AA83" i="7"/>
  <c r="AA47" i="7"/>
  <c r="X40" i="7"/>
  <c r="X42" i="7" s="1"/>
  <c r="Y39" i="7"/>
  <c r="AA40" i="7"/>
  <c r="AA42" i="7" s="1"/>
  <c r="AB39" i="7"/>
  <c r="Y13" i="7"/>
  <c r="Y11" i="7"/>
  <c r="Y10" i="7"/>
  <c r="Y8" i="7"/>
  <c r="AB13" i="7"/>
  <c r="AB11" i="7"/>
  <c r="AB144" i="2" s="1"/>
  <c r="AB148" i="2" s="1"/>
  <c r="AB10" i="7"/>
  <c r="AB8" i="7"/>
  <c r="AD87" i="7"/>
  <c r="AE87" i="7" s="1"/>
  <c r="AD85" i="7"/>
  <c r="AE85" i="7" s="1"/>
  <c r="AD84" i="7"/>
  <c r="AE84" i="7" s="1"/>
  <c r="AD83" i="7"/>
  <c r="AD47" i="7"/>
  <c r="AD40" i="7"/>
  <c r="AD41" i="7" s="1"/>
  <c r="AE39" i="7"/>
  <c r="AE22" i="7"/>
  <c r="AE21" i="7"/>
  <c r="AE13" i="7"/>
  <c r="AE11" i="7"/>
  <c r="AE144" i="2" s="1"/>
  <c r="AE10" i="7"/>
  <c r="AE8" i="7"/>
  <c r="AG85" i="7"/>
  <c r="AH85" i="7" s="1"/>
  <c r="AG84" i="7"/>
  <c r="AG83" i="7"/>
  <c r="AG47" i="7"/>
  <c r="AG40" i="7"/>
  <c r="AG42" i="7" s="1"/>
  <c r="AH39" i="7"/>
  <c r="AH22" i="7"/>
  <c r="AH21" i="7"/>
  <c r="AH13" i="7"/>
  <c r="AH11" i="7"/>
  <c r="AH144" i="2" s="1"/>
  <c r="AH148" i="2" s="1"/>
  <c r="AH10" i="7"/>
  <c r="AH8" i="7"/>
  <c r="AJ87" i="7"/>
  <c r="AK87" i="7" s="1"/>
  <c r="AJ85" i="7"/>
  <c r="AK85" i="7" s="1"/>
  <c r="AJ84" i="7"/>
  <c r="AK84" i="7" s="1"/>
  <c r="AJ83" i="7"/>
  <c r="AK83" i="7" s="1"/>
  <c r="AJ47" i="7"/>
  <c r="AJ40" i="7"/>
  <c r="AJ42" i="7" s="1"/>
  <c r="AK39" i="7"/>
  <c r="AK38" i="7"/>
  <c r="AK31" i="7"/>
  <c r="AK30" i="7"/>
  <c r="AK29" i="7"/>
  <c r="AM85" i="7"/>
  <c r="AM84" i="7"/>
  <c r="AM83" i="7"/>
  <c r="AN39" i="7"/>
  <c r="AQ45" i="7" s="1"/>
  <c r="AN38" i="7"/>
  <c r="AQ44" i="7" s="1"/>
  <c r="AN32" i="7"/>
  <c r="AN31" i="7"/>
  <c r="AN30" i="7"/>
  <c r="AN29" i="7"/>
  <c r="AM47" i="7"/>
  <c r="AM40" i="7"/>
  <c r="AM58" i="7" s="1"/>
  <c r="AK22" i="7"/>
  <c r="AK21" i="7"/>
  <c r="AN22" i="7"/>
  <c r="AN21" i="7"/>
  <c r="AK17" i="7"/>
  <c r="AK13" i="7"/>
  <c r="AK11" i="7"/>
  <c r="AK144" i="2" s="1"/>
  <c r="AK148" i="2" s="1"/>
  <c r="AK10" i="7"/>
  <c r="AK8" i="7"/>
  <c r="AM94" i="20"/>
  <c r="AM87" i="20"/>
  <c r="AM95" i="20" s="1"/>
  <c r="AM86" i="20"/>
  <c r="AM63" i="20"/>
  <c r="AM60" i="20"/>
  <c r="AM250" i="14"/>
  <c r="AM249" i="14" s="1"/>
  <c r="AM244" i="14"/>
  <c r="AM219" i="14"/>
  <c r="AM218" i="14" s="1"/>
  <c r="AN218" i="14" s="1"/>
  <c r="AM209" i="14"/>
  <c r="AM208" i="14" s="1"/>
  <c r="AN208" i="14" s="1"/>
  <c r="AM199" i="14"/>
  <c r="AM198" i="14" s="1"/>
  <c r="S187" i="14"/>
  <c r="V187" i="14"/>
  <c r="Y187" i="14"/>
  <c r="AB187" i="14"/>
  <c r="AE187" i="14"/>
  <c r="AH187" i="14"/>
  <c r="AK187" i="14"/>
  <c r="AK207" i="14"/>
  <c r="AK197" i="14"/>
  <c r="AN94" i="20" l="1"/>
  <c r="AV357" i="20"/>
  <c r="AV362" i="20"/>
  <c r="AV360" i="20" s="1"/>
  <c r="AV356" i="20" s="1"/>
  <c r="AV328" i="20"/>
  <c r="AV329" i="20" s="1"/>
  <c r="AV326" i="20"/>
  <c r="AS213" i="14"/>
  <c r="AS211" i="14" s="1"/>
  <c r="AK45" i="7"/>
  <c r="AT18" i="2"/>
  <c r="AT12" i="2"/>
  <c r="AT16" i="2"/>
  <c r="BL23" i="5"/>
  <c r="BI23" i="5"/>
  <c r="BC23" i="5"/>
  <c r="AZ23" i="5"/>
  <c r="BF23" i="5"/>
  <c r="AD487" i="20"/>
  <c r="AN44" i="7"/>
  <c r="AD485" i="20"/>
  <c r="AN45" i="7"/>
  <c r="AD491" i="20"/>
  <c r="AM226" i="20"/>
  <c r="AP225" i="20"/>
  <c r="AP233" i="20"/>
  <c r="AP249" i="20" s="1"/>
  <c r="AP76" i="20"/>
  <c r="AP78" i="20" s="1"/>
  <c r="AP82" i="20" s="1"/>
  <c r="AP231" i="20"/>
  <c r="AP250" i="20" s="1"/>
  <c r="AP213" i="14"/>
  <c r="AP211" i="14" s="1"/>
  <c r="AQ211" i="14" s="1"/>
  <c r="AQ213" i="14" s="1"/>
  <c r="AE307" i="20"/>
  <c r="AE55" i="20" s="1"/>
  <c r="AD49" i="20"/>
  <c r="AD51" i="20" s="1"/>
  <c r="AJ53" i="20"/>
  <c r="AG54" i="20"/>
  <c r="AG59" i="14"/>
  <c r="AG126" i="14" s="1"/>
  <c r="X59" i="14"/>
  <c r="U95" i="14"/>
  <c r="U98" i="14" s="1"/>
  <c r="U99" i="14" s="1"/>
  <c r="AE582" i="20"/>
  <c r="AE583" i="20" s="1"/>
  <c r="BC558" i="20"/>
  <c r="AZ558" i="20"/>
  <c r="V149" i="14"/>
  <c r="AD453" i="20"/>
  <c r="AU213" i="14"/>
  <c r="AT70" i="14"/>
  <c r="AJ61" i="20"/>
  <c r="AJ62" i="20" s="1"/>
  <c r="AJ59" i="20" s="1"/>
  <c r="AJ66" i="20" s="1"/>
  <c r="AM61" i="20"/>
  <c r="AM62" i="20" s="1"/>
  <c r="AM59" i="20" s="1"/>
  <c r="AM68" i="20" s="1"/>
  <c r="AW374" i="20"/>
  <c r="AW357" i="20" s="1"/>
  <c r="AW70" i="14"/>
  <c r="BC374" i="20"/>
  <c r="BC357" i="20" s="1"/>
  <c r="BC70" i="14"/>
  <c r="BF374" i="20"/>
  <c r="BF76" i="20" s="1"/>
  <c r="BF70" i="14"/>
  <c r="AZ374" i="20"/>
  <c r="AZ76" i="20" s="1"/>
  <c r="AZ70" i="14"/>
  <c r="AE491" i="20"/>
  <c r="AP211" i="4"/>
  <c r="AP263" i="4" s="1"/>
  <c r="AJ225" i="20"/>
  <c r="AH87" i="6"/>
  <c r="AK87" i="6"/>
  <c r="AP158" i="2"/>
  <c r="AQ158" i="2"/>
  <c r="AQ89" i="5"/>
  <c r="AQ60" i="5"/>
  <c r="AP224" i="4"/>
  <c r="AP225" i="4" s="1"/>
  <c r="AQ93" i="4"/>
  <c r="AQ43" i="2"/>
  <c r="AQ98" i="5"/>
  <c r="AQ99" i="5" s="1"/>
  <c r="AQ37" i="2"/>
  <c r="AQ114" i="2"/>
  <c r="AQ12" i="5"/>
  <c r="AQ16" i="2"/>
  <c r="AQ12" i="2"/>
  <c r="AQ18" i="2"/>
  <c r="AP24" i="2"/>
  <c r="AM225" i="20"/>
  <c r="AD225" i="20"/>
  <c r="AB491" i="20"/>
  <c r="AA55" i="20"/>
  <c r="S3" i="5"/>
  <c r="AE487" i="20"/>
  <c r="AP81" i="4"/>
  <c r="AB419" i="20"/>
  <c r="AB427" i="20" s="1"/>
  <c r="AE488" i="20"/>
  <c r="AB280" i="20"/>
  <c r="AE89" i="20"/>
  <c r="AE96" i="20" s="1"/>
  <c r="AD89" i="20"/>
  <c r="AD96" i="20" s="1"/>
  <c r="AK89" i="20"/>
  <c r="AK90" i="20" s="1"/>
  <c r="AZ65" i="5"/>
  <c r="AG89" i="20"/>
  <c r="AG90" i="20" s="1"/>
  <c r="R3" i="5"/>
  <c r="R3" i="2"/>
  <c r="BC120" i="5"/>
  <c r="X95" i="14"/>
  <c r="X98" i="14" s="1"/>
  <c r="X99" i="14" s="1"/>
  <c r="X49" i="14"/>
  <c r="X52" i="14" s="1"/>
  <c r="AG49" i="14"/>
  <c r="AG52" i="14" s="1"/>
  <c r="AQ133" i="14"/>
  <c r="V233" i="14"/>
  <c r="AN40" i="7"/>
  <c r="AN42" i="7" s="1"/>
  <c r="AK40" i="7"/>
  <c r="AK41" i="7" s="1"/>
  <c r="AD227" i="14"/>
  <c r="V227" i="14"/>
  <c r="AV60" i="20"/>
  <c r="AH233" i="14"/>
  <c r="AE453" i="20"/>
  <c r="AH86" i="14"/>
  <c r="AH87" i="14" s="1"/>
  <c r="AM225" i="4"/>
  <c r="AM226" i="4" s="1"/>
  <c r="AD61" i="20"/>
  <c r="AD62" i="20" s="1"/>
  <c r="AB89" i="20"/>
  <c r="AB96" i="20" s="1"/>
  <c r="AK86" i="14"/>
  <c r="AK87" i="14" s="1"/>
  <c r="AB577" i="20"/>
  <c r="AB227" i="14"/>
  <c r="AT230" i="14"/>
  <c r="AJ96" i="20"/>
  <c r="AH419" i="20"/>
  <c r="AH427" i="20" s="1"/>
  <c r="AN87" i="6"/>
  <c r="Y233" i="14"/>
  <c r="AD3" i="2"/>
  <c r="AD3" i="5"/>
  <c r="AH87" i="4"/>
  <c r="BI65" i="5"/>
  <c r="AJ3" i="2"/>
  <c r="AJ3" i="5"/>
  <c r="BF120" i="5"/>
  <c r="AB149" i="14"/>
  <c r="BL65" i="5"/>
  <c r="AH86" i="20"/>
  <c r="AP84" i="5"/>
  <c r="AP239" i="4"/>
  <c r="AP240" i="4" s="1"/>
  <c r="AP242" i="4" s="1"/>
  <c r="AG59" i="7"/>
  <c r="AD55" i="20"/>
  <c r="AB233" i="14"/>
  <c r="AE457" i="20"/>
  <c r="AE470" i="20" s="1"/>
  <c r="BF65" i="5"/>
  <c r="BC65" i="5"/>
  <c r="BL120" i="5"/>
  <c r="AN87" i="4"/>
  <c r="AM3" i="4"/>
  <c r="AP41" i="4"/>
  <c r="AP52" i="4" s="1"/>
  <c r="AJ49" i="14"/>
  <c r="AJ52" i="14" s="1"/>
  <c r="AJ59" i="14"/>
  <c r="AJ126" i="14" s="1"/>
  <c r="AJ59" i="7"/>
  <c r="AD55" i="7"/>
  <c r="AA57" i="7"/>
  <c r="AE486" i="20"/>
  <c r="AD308" i="20"/>
  <c r="AB488" i="20"/>
  <c r="AJ55" i="7"/>
  <c r="AD56" i="7"/>
  <c r="AH227" i="14"/>
  <c r="Y227" i="14"/>
  <c r="AE86" i="14"/>
  <c r="AE87" i="14" s="1"/>
  <c r="AJ58" i="7"/>
  <c r="AJ56" i="7"/>
  <c r="AG55" i="7"/>
  <c r="AD59" i="7"/>
  <c r="Y149" i="14"/>
  <c r="AG58" i="7"/>
  <c r="AD58" i="7"/>
  <c r="AA56" i="7"/>
  <c r="AH513" i="20"/>
  <c r="AH162" i="14"/>
  <c r="AD142" i="14"/>
  <c r="AD143" i="14" s="1"/>
  <c r="AD41" i="14" s="1"/>
  <c r="BC519" i="20"/>
  <c r="Y86" i="14"/>
  <c r="Y87" i="14" s="1"/>
  <c r="Y172" i="14"/>
  <c r="Y142" i="14" s="1"/>
  <c r="Y143" i="14" s="1"/>
  <c r="Y41" i="14" s="1"/>
  <c r="V86" i="14"/>
  <c r="V87" i="14" s="1"/>
  <c r="V172" i="14"/>
  <c r="BH500" i="20"/>
  <c r="AG56" i="7"/>
  <c r="AA58" i="7"/>
  <c r="AW519" i="20"/>
  <c r="BE500" i="20"/>
  <c r="AM150" i="20"/>
  <c r="AM307" i="20"/>
  <c r="AP308" i="20" s="1"/>
  <c r="AJ57" i="7"/>
  <c r="AG41" i="7"/>
  <c r="AG57" i="7"/>
  <c r="AD57" i="7"/>
  <c r="AA55" i="7"/>
  <c r="AA59" i="7"/>
  <c r="AZ519" i="20"/>
  <c r="BB500" i="20"/>
  <c r="AE91" i="20"/>
  <c r="BF519" i="20"/>
  <c r="BI519" i="20"/>
  <c r="AE485" i="20"/>
  <c r="BE376" i="20"/>
  <c r="BE76" i="20"/>
  <c r="AJ49" i="20"/>
  <c r="AG49" i="20" s="1"/>
  <c r="AG51" i="20" s="1"/>
  <c r="AK525" i="20"/>
  <c r="AK172" i="14"/>
  <c r="AG142" i="14"/>
  <c r="AG143" i="14" s="1"/>
  <c r="AE549" i="20"/>
  <c r="AE212" i="14"/>
  <c r="AK543" i="20"/>
  <c r="AK202" i="14"/>
  <c r="AK212" i="14"/>
  <c r="AK549" i="20"/>
  <c r="AK513" i="20"/>
  <c r="AK162" i="14"/>
  <c r="AE229" i="14"/>
  <c r="AK537" i="20"/>
  <c r="AK192" i="14"/>
  <c r="AB534" i="20"/>
  <c r="BB376" i="20"/>
  <c r="BB76" i="20"/>
  <c r="AY376" i="20"/>
  <c r="AY76" i="20"/>
  <c r="AH537" i="20"/>
  <c r="AH192" i="14"/>
  <c r="AH525" i="20"/>
  <c r="AH172" i="14"/>
  <c r="AK531" i="20"/>
  <c r="AK182" i="14"/>
  <c r="AE537" i="20"/>
  <c r="AE192" i="14"/>
  <c r="AT374" i="20"/>
  <c r="AT362" i="20" s="1"/>
  <c r="AA488" i="20"/>
  <c r="AA475" i="20"/>
  <c r="AG95" i="14"/>
  <c r="AG98" i="14" s="1"/>
  <c r="AG99" i="14" s="1"/>
  <c r="AK419" i="20"/>
  <c r="AK427" i="20" s="1"/>
  <c r="AV376" i="20"/>
  <c r="AV76" i="20"/>
  <c r="AE531" i="20"/>
  <c r="AE182" i="14"/>
  <c r="AH202" i="14"/>
  <c r="AH543" i="20"/>
  <c r="AH149" i="14"/>
  <c r="AH531" i="20"/>
  <c r="AH182" i="14"/>
  <c r="X142" i="14"/>
  <c r="X143" i="14" s="1"/>
  <c r="X154" i="14" s="1"/>
  <c r="AD95" i="14"/>
  <c r="AD98" i="14" s="1"/>
  <c r="AD99" i="14" s="1"/>
  <c r="AJ95" i="14"/>
  <c r="AJ98" i="14" s="1"/>
  <c r="AJ99" i="14" s="1"/>
  <c r="AE525" i="20"/>
  <c r="AE172" i="14"/>
  <c r="AJ142" i="14"/>
  <c r="AJ143" i="14" s="1"/>
  <c r="AH549" i="20"/>
  <c r="AH212" i="14"/>
  <c r="AD488" i="20"/>
  <c r="AD486" i="20"/>
  <c r="AB579" i="20"/>
  <c r="AA96" i="20"/>
  <c r="AA226" i="20"/>
  <c r="AA61" i="20"/>
  <c r="AA62" i="20" s="1"/>
  <c r="AB548" i="20"/>
  <c r="AB552" i="20" s="1"/>
  <c r="AE563" i="20"/>
  <c r="AE524" i="20"/>
  <c r="AE530" i="20"/>
  <c r="AE518" i="20"/>
  <c r="AE506" i="20"/>
  <c r="AE484" i="20"/>
  <c r="AE512" i="20"/>
  <c r="AD484" i="20"/>
  <c r="AE569" i="20"/>
  <c r="AE548" i="20"/>
  <c r="AD502" i="20"/>
  <c r="AE419" i="20"/>
  <c r="AE427" i="20" s="1"/>
  <c r="AE575" i="20"/>
  <c r="AD457" i="20"/>
  <c r="AD470" i="20" s="1"/>
  <c r="AG53" i="20"/>
  <c r="AG225" i="20"/>
  <c r="AG61" i="20"/>
  <c r="AG226" i="20"/>
  <c r="AM89" i="20"/>
  <c r="AM90" i="20" s="1"/>
  <c r="BI231" i="14"/>
  <c r="BI133" i="14"/>
  <c r="BI77" i="14"/>
  <c r="BI500" i="20" s="1"/>
  <c r="BF133" i="14"/>
  <c r="BF77" i="14"/>
  <c r="BF500" i="20" s="1"/>
  <c r="BF231" i="14"/>
  <c r="BC231" i="14"/>
  <c r="BC133" i="14"/>
  <c r="BC77" i="14"/>
  <c r="AZ133" i="14"/>
  <c r="AZ77" i="14"/>
  <c r="AZ500" i="20" s="1"/>
  <c r="AZ231" i="14"/>
  <c r="AW133" i="14"/>
  <c r="AW77" i="14"/>
  <c r="AW231" i="14"/>
  <c r="AT231" i="14"/>
  <c r="AT133" i="14"/>
  <c r="AT77" i="14"/>
  <c r="AT500" i="20" s="1"/>
  <c r="U142" i="14"/>
  <c r="U143" i="14" s="1"/>
  <c r="U154" i="14" s="1"/>
  <c r="U49" i="14"/>
  <c r="U52" i="14" s="1"/>
  <c r="U59" i="14"/>
  <c r="U34" i="7"/>
  <c r="U35" i="7" s="1"/>
  <c r="X41" i="7"/>
  <c r="AA41" i="7"/>
  <c r="AD42" i="7"/>
  <c r="AJ41" i="7"/>
  <c r="AM59" i="7"/>
  <c r="AM55" i="7"/>
  <c r="AM41" i="7"/>
  <c r="AM56" i="7"/>
  <c r="AM42" i="7"/>
  <c r="AM57" i="7"/>
  <c r="AM118" i="20"/>
  <c r="AM52" i="20"/>
  <c r="AM91" i="20"/>
  <c r="AE248" i="14"/>
  <c r="AH248" i="14"/>
  <c r="AK248" i="14"/>
  <c r="AK217" i="14"/>
  <c r="AH217" i="14"/>
  <c r="AE217" i="14"/>
  <c r="AB217" i="14"/>
  <c r="Y217" i="14"/>
  <c r="V217" i="14"/>
  <c r="AK177" i="14"/>
  <c r="AH177" i="14"/>
  <c r="AE177" i="14"/>
  <c r="AB177" i="14"/>
  <c r="Y177" i="14"/>
  <c r="V177" i="14"/>
  <c r="V167" i="14"/>
  <c r="V169" i="14" s="1"/>
  <c r="Y167" i="14"/>
  <c r="Y169" i="14" s="1"/>
  <c r="AB167" i="14"/>
  <c r="AB169" i="14" s="1"/>
  <c r="AE167" i="14"/>
  <c r="AE169" i="14" s="1"/>
  <c r="AH167" i="14"/>
  <c r="AH169" i="14" s="1"/>
  <c r="AK167" i="14"/>
  <c r="AK169" i="14" s="1"/>
  <c r="AG34" i="14" l="1"/>
  <c r="AJ111" i="6" s="1"/>
  <c r="AJ34" i="14"/>
  <c r="AM111" i="6" s="1"/>
  <c r="AT13" i="2"/>
  <c r="AT23" i="2"/>
  <c r="AQ76" i="20"/>
  <c r="AQ78" i="20" s="1"/>
  <c r="AQ233" i="20"/>
  <c r="AD57" i="20"/>
  <c r="AM62" i="7"/>
  <c r="AJ57" i="20"/>
  <c r="AP57" i="20"/>
  <c r="AM54" i="20"/>
  <c r="AP53" i="20"/>
  <c r="AD50" i="20"/>
  <c r="AG55" i="20"/>
  <c r="AG57" i="20" s="1"/>
  <c r="AG308" i="20"/>
  <c r="AJ308" i="20"/>
  <c r="AM66" i="7"/>
  <c r="AJ50" i="20"/>
  <c r="AJ51" i="20"/>
  <c r="AJ96" i="14"/>
  <c r="V49" i="14"/>
  <c r="V96" i="14" s="1"/>
  <c r="AK49" i="14"/>
  <c r="AK96" i="14" s="1"/>
  <c r="AH59" i="14"/>
  <c r="AH126" i="14" s="1"/>
  <c r="U96" i="14"/>
  <c r="AG96" i="14"/>
  <c r="Y95" i="14"/>
  <c r="Y98" i="14" s="1"/>
  <c r="Y99" i="14" s="1"/>
  <c r="X96" i="14"/>
  <c r="AM64" i="7"/>
  <c r="AG63" i="7"/>
  <c r="AW76" i="20"/>
  <c r="AG65" i="7"/>
  <c r="AG64" i="7"/>
  <c r="AG62" i="7"/>
  <c r="AJ63" i="7"/>
  <c r="AG66" i="7"/>
  <c r="AJ62" i="7"/>
  <c r="AM63" i="7"/>
  <c r="AJ64" i="7"/>
  <c r="AJ65" i="7"/>
  <c r="AJ66" i="7"/>
  <c r="AM65" i="7"/>
  <c r="AZ376" i="20"/>
  <c r="BC76" i="20"/>
  <c r="BF376" i="20"/>
  <c r="AZ357" i="20"/>
  <c r="BC376" i="20"/>
  <c r="AX213" i="14"/>
  <c r="AM49" i="20"/>
  <c r="AP50" i="20" s="1"/>
  <c r="AN307" i="20"/>
  <c r="AQ308" i="20" s="1"/>
  <c r="AQ46" i="2"/>
  <c r="AQ47" i="2"/>
  <c r="AQ212" i="4"/>
  <c r="AQ74" i="5"/>
  <c r="AP226" i="4"/>
  <c r="AQ234" i="4"/>
  <c r="AK42" i="7"/>
  <c r="AQ157" i="2"/>
  <c r="AQ229" i="4"/>
  <c r="AQ23" i="2"/>
  <c r="AQ13" i="2"/>
  <c r="AD56" i="20"/>
  <c r="AN41" i="7"/>
  <c r="AJ68" i="20"/>
  <c r="AD54" i="7"/>
  <c r="AJ67" i="20"/>
  <c r="AG96" i="20"/>
  <c r="Y151" i="14"/>
  <c r="AK59" i="14"/>
  <c r="AK126" i="14" s="1"/>
  <c r="AD151" i="14"/>
  <c r="Y49" i="14"/>
  <c r="Y96" i="14" s="1"/>
  <c r="AH95" i="14"/>
  <c r="AH98" i="14" s="1"/>
  <c r="AH99" i="14" s="1"/>
  <c r="AH49" i="14"/>
  <c r="AH96" i="14" s="1"/>
  <c r="AD154" i="14"/>
  <c r="Y59" i="14"/>
  <c r="Y154" i="14"/>
  <c r="AY221" i="20"/>
  <c r="BB221" i="20" s="1"/>
  <c r="AM96" i="20"/>
  <c r="V59" i="14"/>
  <c r="AG50" i="20"/>
  <c r="V95" i="14"/>
  <c r="V98" i="14" s="1"/>
  <c r="V99" i="14" s="1"/>
  <c r="X155" i="14"/>
  <c r="AH91" i="20"/>
  <c r="AH89" i="20"/>
  <c r="AJ54" i="7"/>
  <c r="AG54" i="7"/>
  <c r="AM3" i="5"/>
  <c r="AM3" i="2"/>
  <c r="AP3" i="4"/>
  <c r="U151" i="14"/>
  <c r="U41" i="14"/>
  <c r="X151" i="14"/>
  <c r="X41" i="14"/>
  <c r="V142" i="14"/>
  <c r="V143" i="14" s="1"/>
  <c r="V151" i="14" s="1"/>
  <c r="AK142" i="14"/>
  <c r="AK143" i="14" s="1"/>
  <c r="AG41" i="14"/>
  <c r="AG154" i="14"/>
  <c r="AG151" i="14"/>
  <c r="AJ41" i="14"/>
  <c r="AJ154" i="14"/>
  <c r="AJ151" i="14"/>
  <c r="AE142" i="14"/>
  <c r="AE143" i="14" s="1"/>
  <c r="AW500" i="20"/>
  <c r="AM66" i="20"/>
  <c r="AT376" i="20"/>
  <c r="AT76" i="20"/>
  <c r="AT78" i="20" s="1"/>
  <c r="AT357" i="20"/>
  <c r="AM308" i="20"/>
  <c r="AM55" i="20"/>
  <c r="AH142" i="14"/>
  <c r="AH143" i="14" s="1"/>
  <c r="AA54" i="7"/>
  <c r="AM53" i="20"/>
  <c r="AM67" i="20"/>
  <c r="BC500" i="20"/>
  <c r="AW376" i="20"/>
  <c r="AE516" i="20"/>
  <c r="AE514" i="20"/>
  <c r="AE510" i="20"/>
  <c r="AE508" i="20"/>
  <c r="AE534" i="20"/>
  <c r="AE532" i="20"/>
  <c r="AE499" i="20"/>
  <c r="AE552" i="20"/>
  <c r="AE550" i="20"/>
  <c r="AE567" i="20"/>
  <c r="AE573" i="20"/>
  <c r="AE571" i="20"/>
  <c r="AE522" i="20"/>
  <c r="AE520" i="20"/>
  <c r="AE579" i="20"/>
  <c r="AE577" i="20"/>
  <c r="AE528" i="20"/>
  <c r="AE526" i="20"/>
  <c r="AG62" i="20"/>
  <c r="AM54" i="7"/>
  <c r="AT32" i="2" l="1"/>
  <c r="AT38" i="2" s="1"/>
  <c r="AT42" i="2" s="1"/>
  <c r="AT45" i="2" s="1"/>
  <c r="AT5" i="5"/>
  <c r="AT29" i="5" s="1"/>
  <c r="AG56" i="20"/>
  <c r="AM61" i="7"/>
  <c r="AM57" i="20"/>
  <c r="AP56" i="20"/>
  <c r="AJ56" i="20"/>
  <c r="AM50" i="20"/>
  <c r="AM51" i="20"/>
  <c r="AJ61" i="7"/>
  <c r="AG61" i="7"/>
  <c r="BA213" i="14"/>
  <c r="AQ54" i="2"/>
  <c r="AQ50" i="2"/>
  <c r="AQ233" i="4"/>
  <c r="AQ235" i="4" s="1"/>
  <c r="AQ231" i="4"/>
  <c r="AQ230" i="4"/>
  <c r="AN55" i="20"/>
  <c r="AN49" i="20"/>
  <c r="AQ5" i="5"/>
  <c r="AQ29" i="5" s="1"/>
  <c r="AQ32" i="2"/>
  <c r="AQ38" i="2" s="1"/>
  <c r="AQ42" i="2" s="1"/>
  <c r="AG152" i="14"/>
  <c r="AG155" i="14"/>
  <c r="AY60" i="20"/>
  <c r="AJ155" i="14"/>
  <c r="AH90" i="20"/>
  <c r="AH96" i="20"/>
  <c r="X152" i="14"/>
  <c r="AP3" i="2"/>
  <c r="AP3" i="5"/>
  <c r="AK41" i="14"/>
  <c r="AK154" i="14"/>
  <c r="V154" i="14"/>
  <c r="Y155" i="14" s="1"/>
  <c r="V41" i="14"/>
  <c r="AM64" i="14"/>
  <c r="BE221" i="20"/>
  <c r="BB60" i="20"/>
  <c r="AM56" i="20"/>
  <c r="AJ152" i="14"/>
  <c r="AH154" i="14"/>
  <c r="AH41" i="14"/>
  <c r="AH151" i="14"/>
  <c r="AE154" i="14"/>
  <c r="AE41" i="14"/>
  <c r="AE503" i="20"/>
  <c r="AE501" i="20"/>
  <c r="Y152" i="14"/>
  <c r="AM169" i="14"/>
  <c r="AA373" i="20"/>
  <c r="AD374" i="20"/>
  <c r="AG374" i="20"/>
  <c r="AG373" i="20"/>
  <c r="AJ374" i="20"/>
  <c r="AJ373" i="20"/>
  <c r="AM373" i="20"/>
  <c r="AM62" i="14"/>
  <c r="AM231" i="14"/>
  <c r="AM230" i="14"/>
  <c r="AM229" i="14"/>
  <c r="AM228" i="14"/>
  <c r="AM537" i="20"/>
  <c r="AM531" i="20"/>
  <c r="AM525" i="20"/>
  <c r="AM513" i="20"/>
  <c r="AM77" i="14"/>
  <c r="AM500" i="20" s="1"/>
  <c r="AS55" i="20" l="1"/>
  <c r="AS49" i="20"/>
  <c r="AT44" i="2"/>
  <c r="AT31" i="5"/>
  <c r="AT88" i="5"/>
  <c r="BD213" i="14"/>
  <c r="AP113" i="6"/>
  <c r="AN62" i="14"/>
  <c r="AQ88" i="5"/>
  <c r="AQ31" i="5"/>
  <c r="AQ44" i="2"/>
  <c r="AQ45" i="2"/>
  <c r="AG107" i="20"/>
  <c r="AG231" i="20"/>
  <c r="AD107" i="20"/>
  <c r="AD231" i="20"/>
  <c r="AJ107" i="20"/>
  <c r="AJ231" i="20"/>
  <c r="X69" i="14"/>
  <c r="U69" i="14"/>
  <c r="U375" i="20" s="1"/>
  <c r="AM149" i="14"/>
  <c r="AM162" i="14"/>
  <c r="V69" i="14"/>
  <c r="V375" i="20" s="1"/>
  <c r="S69" i="14"/>
  <c r="S375" i="20" s="1"/>
  <c r="AM172" i="14"/>
  <c r="AM69" i="14"/>
  <c r="AM375" i="20" s="1"/>
  <c r="AM86" i="14"/>
  <c r="AM87" i="14" s="1"/>
  <c r="AD69" i="14"/>
  <c r="AD375" i="20" s="1"/>
  <c r="AD373" i="20"/>
  <c r="AM227" i="14"/>
  <c r="AM233" i="14"/>
  <c r="AJ69" i="14"/>
  <c r="AJ375" i="20" s="1"/>
  <c r="AE373" i="20"/>
  <c r="BH221" i="20"/>
  <c r="BE60" i="20"/>
  <c r="AG376" i="20"/>
  <c r="AG76" i="20"/>
  <c r="AG78" i="20" s="1"/>
  <c r="AG82" i="20" s="1"/>
  <c r="AG357" i="20"/>
  <c r="AB373" i="20"/>
  <c r="AM549" i="20"/>
  <c r="AM212" i="14"/>
  <c r="AM133" i="14"/>
  <c r="AM192" i="14"/>
  <c r="AD357" i="20"/>
  <c r="AD76" i="20"/>
  <c r="AD78" i="20" s="1"/>
  <c r="AD82" i="20" s="1"/>
  <c r="Y69" i="14"/>
  <c r="Y375" i="20" s="1"/>
  <c r="AS63" i="14"/>
  <c r="AM543" i="20"/>
  <c r="AM202" i="14"/>
  <c r="AN68" i="14"/>
  <c r="AQ70" i="14" s="1"/>
  <c r="AM374" i="20"/>
  <c r="AP376" i="20" s="1"/>
  <c r="AJ376" i="20"/>
  <c r="AJ357" i="20"/>
  <c r="AJ76" i="20"/>
  <c r="AJ78" i="20" s="1"/>
  <c r="AJ82" i="20" s="1"/>
  <c r="AG69" i="14"/>
  <c r="R69" i="14"/>
  <c r="AK155" i="14"/>
  <c r="AH155" i="14"/>
  <c r="AP74" i="18"/>
  <c r="AP47" i="18"/>
  <c r="AN17" i="18"/>
  <c r="AQ18" i="18" s="1"/>
  <c r="AN13" i="18"/>
  <c r="AN11" i="18"/>
  <c r="AN145" i="2" s="1"/>
  <c r="AN8" i="18"/>
  <c r="AM18" i="18"/>
  <c r="AP18" i="18"/>
  <c r="AN17" i="7"/>
  <c r="AQ18" i="7" s="1"/>
  <c r="AM9" i="18"/>
  <c r="AM18" i="7"/>
  <c r="AP18" i="7"/>
  <c r="AN13" i="7"/>
  <c r="AN11" i="7"/>
  <c r="AN144" i="2" s="1"/>
  <c r="AN10" i="7"/>
  <c r="AN8" i="7"/>
  <c r="AN141" i="6"/>
  <c r="AN125" i="6" s="1"/>
  <c r="AN13" i="6"/>
  <c r="AN11" i="6"/>
  <c r="AN143" i="2" s="1"/>
  <c r="AN10" i="6"/>
  <c r="AN8" i="6"/>
  <c r="AN121" i="6" s="1"/>
  <c r="AP85" i="7"/>
  <c r="AQ85" i="7" s="1"/>
  <c r="AP84" i="7"/>
  <c r="AQ84" i="7" s="1"/>
  <c r="AP83" i="7"/>
  <c r="AQ83" i="7" s="1"/>
  <c r="AP47" i="7"/>
  <c r="AP40" i="7"/>
  <c r="AP42" i="7" s="1"/>
  <c r="AM9" i="7"/>
  <c r="AP14" i="7"/>
  <c r="AP88" i="7" s="1"/>
  <c r="AS79" i="7" s="1"/>
  <c r="R23" i="14"/>
  <c r="R23" i="20"/>
  <c r="U22" i="20"/>
  <c r="U21" i="20"/>
  <c r="U20" i="20"/>
  <c r="U19" i="20"/>
  <c r="U103" i="20" s="1"/>
  <c r="U105" i="20" s="1"/>
  <c r="U107" i="20" s="1"/>
  <c r="U22" i="14"/>
  <c r="U256" i="14" s="1"/>
  <c r="U21" i="14"/>
  <c r="U20" i="14"/>
  <c r="U40" i="14" s="1"/>
  <c r="X22" i="20"/>
  <c r="X20" i="20"/>
  <c r="X19" i="20"/>
  <c r="X103" i="20" s="1"/>
  <c r="X105" i="20" s="1"/>
  <c r="X21" i="14"/>
  <c r="X20" i="14"/>
  <c r="X40" i="14" s="1"/>
  <c r="AA22" i="20"/>
  <c r="AA20" i="20"/>
  <c r="AA19" i="20"/>
  <c r="AA22" i="14"/>
  <c r="AA256" i="14" s="1"/>
  <c r="AD98" i="6"/>
  <c r="AD97" i="6"/>
  <c r="AD22" i="20"/>
  <c r="AD358" i="20" s="1"/>
  <c r="AD362" i="20" s="1"/>
  <c r="AD21" i="20"/>
  <c r="AD20" i="20"/>
  <c r="AD19" i="20"/>
  <c r="AG98" i="6"/>
  <c r="AG97" i="6"/>
  <c r="AG22" i="20"/>
  <c r="AG358" i="20" s="1"/>
  <c r="AG362" i="20" s="1"/>
  <c r="AG21" i="20"/>
  <c r="AG20" i="20"/>
  <c r="AG19" i="20"/>
  <c r="AJ99" i="6"/>
  <c r="AJ98" i="6"/>
  <c r="AG20" i="14"/>
  <c r="AJ22" i="20"/>
  <c r="AJ358" i="20" s="1"/>
  <c r="AJ362" i="20" s="1"/>
  <c r="AJ20" i="20"/>
  <c r="AJ19" i="20"/>
  <c r="AM98" i="6"/>
  <c r="AM97" i="6"/>
  <c r="AM19" i="20"/>
  <c r="AM21" i="20"/>
  <c r="AM22" i="20"/>
  <c r="AM358" i="20" s="1"/>
  <c r="AP99" i="6"/>
  <c r="AM21" i="14"/>
  <c r="AP97" i="6"/>
  <c r="W91" i="6"/>
  <c r="U91" i="6"/>
  <c r="S94" i="6"/>
  <c r="R94" i="6"/>
  <c r="V94" i="6"/>
  <c r="U94" i="6"/>
  <c r="Y94" i="6"/>
  <c r="X94" i="6"/>
  <c r="AB94" i="6"/>
  <c r="AA94" i="6"/>
  <c r="AE94" i="6"/>
  <c r="AD94" i="6"/>
  <c r="AH94" i="6"/>
  <c r="AG94" i="6"/>
  <c r="AK94" i="6"/>
  <c r="AJ94" i="6"/>
  <c r="AN94" i="6"/>
  <c r="AM94" i="6"/>
  <c r="S70" i="6"/>
  <c r="R70" i="6"/>
  <c r="V70" i="6"/>
  <c r="U70" i="6"/>
  <c r="Y70" i="6"/>
  <c r="X70" i="6"/>
  <c r="AB70" i="6"/>
  <c r="AA70" i="6"/>
  <c r="AE70" i="6"/>
  <c r="AD70" i="6"/>
  <c r="AH70" i="6"/>
  <c r="AG70" i="6"/>
  <c r="AK70" i="6"/>
  <c r="AJ70" i="6"/>
  <c r="AN70" i="6"/>
  <c r="AM70" i="6"/>
  <c r="AQ94" i="6"/>
  <c r="AP94" i="6"/>
  <c r="AO71" i="6"/>
  <c r="AQ70" i="6"/>
  <c r="AP70" i="6"/>
  <c r="AN25" i="6"/>
  <c r="AM25" i="6"/>
  <c r="AK25" i="6"/>
  <c r="AJ25" i="6"/>
  <c r="AH25" i="6"/>
  <c r="AG25" i="6"/>
  <c r="AE25" i="6"/>
  <c r="AD25" i="6"/>
  <c r="AB25" i="6"/>
  <c r="AA25" i="6"/>
  <c r="Z25" i="6"/>
  <c r="Y25" i="6"/>
  <c r="X25" i="6"/>
  <c r="V25" i="6"/>
  <c r="U25" i="6"/>
  <c r="S25" i="6"/>
  <c r="R25" i="6"/>
  <c r="AS25" i="6"/>
  <c r="AQ25" i="6"/>
  <c r="AP25" i="6"/>
  <c r="AC1" i="18"/>
  <c r="AF1" i="18" s="1"/>
  <c r="AI1" i="18" s="1"/>
  <c r="AL1" i="18" s="1"/>
  <c r="AC1" i="7"/>
  <c r="AF1" i="7" s="1"/>
  <c r="AI1" i="7" s="1"/>
  <c r="AL1" i="7" s="1"/>
  <c r="AA358" i="20" l="1"/>
  <c r="AA110" i="20"/>
  <c r="AS62" i="14"/>
  <c r="AV63" i="14"/>
  <c r="AS82" i="20"/>
  <c r="AS50" i="20"/>
  <c r="AS51" i="20"/>
  <c r="AS57" i="20"/>
  <c r="AS56" i="20"/>
  <c r="AS90" i="7"/>
  <c r="AM49" i="14"/>
  <c r="AM96" i="14" s="1"/>
  <c r="BG213" i="14"/>
  <c r="AN70" i="14"/>
  <c r="AN374" i="20"/>
  <c r="R375" i="20"/>
  <c r="X375" i="20"/>
  <c r="AM362" i="20"/>
  <c r="AM360" i="20" s="1"/>
  <c r="AM95" i="14"/>
  <c r="AM98" i="14" s="1"/>
  <c r="AM99" i="14" s="1"/>
  <c r="AM59" i="14"/>
  <c r="AM126" i="14" s="1"/>
  <c r="AP56" i="7"/>
  <c r="AS63" i="7" s="1"/>
  <c r="AM12" i="18"/>
  <c r="AP36" i="3"/>
  <c r="AP75" i="6"/>
  <c r="AN148" i="2"/>
  <c r="U80" i="6"/>
  <c r="U92" i="6" s="1"/>
  <c r="AM22" i="14"/>
  <c r="AM256" i="14" s="1"/>
  <c r="AP12" i="7"/>
  <c r="AP33" i="18"/>
  <c r="AP91" i="6"/>
  <c r="R80" i="6"/>
  <c r="AP9" i="18"/>
  <c r="AD21" i="14"/>
  <c r="AD239" i="14" s="1"/>
  <c r="AD241" i="14" s="1"/>
  <c r="AA14" i="6"/>
  <c r="AM91" i="6"/>
  <c r="AA91" i="6"/>
  <c r="AG71" i="6"/>
  <c r="AG99" i="6"/>
  <c r="AG96" i="6" s="1"/>
  <c r="AP98" i="6"/>
  <c r="AP96" i="6" s="1"/>
  <c r="AP9" i="6"/>
  <c r="AJ9" i="7"/>
  <c r="AJ12" i="7"/>
  <c r="AG5" i="7"/>
  <c r="AG12" i="7"/>
  <c r="AG33" i="7"/>
  <c r="AG9" i="7"/>
  <c r="AD5" i="7"/>
  <c r="AD33" i="7"/>
  <c r="AD12" i="7"/>
  <c r="AD9" i="7"/>
  <c r="AA33" i="7"/>
  <c r="AA12" i="7"/>
  <c r="AA9" i="7"/>
  <c r="X5" i="7"/>
  <c r="X9" i="7"/>
  <c r="X33" i="7"/>
  <c r="AA28" i="7" s="1"/>
  <c r="X12" i="7"/>
  <c r="U23" i="7"/>
  <c r="U9" i="7"/>
  <c r="U12" i="7"/>
  <c r="R12" i="7"/>
  <c r="R23" i="7"/>
  <c r="R9" i="7"/>
  <c r="AM14" i="7"/>
  <c r="AM14" i="6"/>
  <c r="AN122" i="6"/>
  <c r="AM7" i="18"/>
  <c r="AJ7" i="18"/>
  <c r="AJ14" i="18"/>
  <c r="AG7" i="18"/>
  <c r="AG14" i="18"/>
  <c r="AD14" i="18"/>
  <c r="AA7" i="18"/>
  <c r="AA14" i="18"/>
  <c r="X14" i="18"/>
  <c r="U7" i="18"/>
  <c r="U14" i="18"/>
  <c r="R7" i="18"/>
  <c r="R14" i="18"/>
  <c r="AP7" i="3"/>
  <c r="AJ14" i="6"/>
  <c r="AJ91" i="6"/>
  <c r="AM75" i="6"/>
  <c r="AG75" i="6"/>
  <c r="AA75" i="6"/>
  <c r="AJ20" i="14"/>
  <c r="AJ40" i="14" s="1"/>
  <c r="AJ42" i="14" s="1"/>
  <c r="AG21" i="14"/>
  <c r="AG239" i="14" s="1"/>
  <c r="AG240" i="14" s="1"/>
  <c r="AD22" i="14"/>
  <c r="AD256" i="14" s="1"/>
  <c r="AM20" i="20"/>
  <c r="AM286" i="20" s="1"/>
  <c r="AP12" i="6"/>
  <c r="AP15" i="7"/>
  <c r="AP56" i="3"/>
  <c r="AM7" i="7"/>
  <c r="AJ7" i="7"/>
  <c r="AJ14" i="7"/>
  <c r="AG7" i="7"/>
  <c r="AG34" i="3"/>
  <c r="AG14" i="7"/>
  <c r="AD7" i="7"/>
  <c r="AD14" i="7"/>
  <c r="AA7" i="7"/>
  <c r="AA14" i="7"/>
  <c r="X7" i="7"/>
  <c r="X34" i="3"/>
  <c r="X14" i="7"/>
  <c r="AP57" i="7"/>
  <c r="AS64" i="7" s="1"/>
  <c r="AP5" i="18"/>
  <c r="AN18" i="7"/>
  <c r="AN18" i="18"/>
  <c r="AP32" i="3"/>
  <c r="AG14" i="6"/>
  <c r="X14" i="6"/>
  <c r="U12" i="6"/>
  <c r="U9" i="6"/>
  <c r="R14" i="6"/>
  <c r="AG91" i="6"/>
  <c r="X91" i="6"/>
  <c r="R91" i="6"/>
  <c r="AP71" i="6"/>
  <c r="AM71" i="6"/>
  <c r="AM99" i="6"/>
  <c r="AM96" i="6" s="1"/>
  <c r="AJ75" i="6"/>
  <c r="AD75" i="6"/>
  <c r="AA71" i="6"/>
  <c r="X75" i="6"/>
  <c r="AM20" i="14"/>
  <c r="AM40" i="14" s="1"/>
  <c r="AJ21" i="14"/>
  <c r="AJ239" i="14" s="1"/>
  <c r="AG22" i="14"/>
  <c r="AG256" i="14" s="1"/>
  <c r="AA20" i="14"/>
  <c r="AA40" i="14" s="1"/>
  <c r="AJ21" i="20"/>
  <c r="AJ295" i="20" s="1"/>
  <c r="AJ342" i="20" s="1"/>
  <c r="AA21" i="20"/>
  <c r="AA295" i="20" s="1"/>
  <c r="X21" i="20"/>
  <c r="X23" i="20" s="1"/>
  <c r="AP5" i="7"/>
  <c r="AP34" i="3"/>
  <c r="AP14" i="6"/>
  <c r="AP19" i="7"/>
  <c r="U7" i="7"/>
  <c r="U34" i="3"/>
  <c r="U14" i="7"/>
  <c r="R7" i="7"/>
  <c r="R34" i="3"/>
  <c r="R14" i="7"/>
  <c r="AP58" i="7"/>
  <c r="AS65" i="7" s="1"/>
  <c r="AM9" i="6"/>
  <c r="AP7" i="18"/>
  <c r="AP14" i="18"/>
  <c r="BH60" i="20"/>
  <c r="AM142" i="14"/>
  <c r="AM143" i="14" s="1"/>
  <c r="AM41" i="14" s="1"/>
  <c r="AJ12" i="6"/>
  <c r="AJ9" i="6"/>
  <c r="AD14" i="6"/>
  <c r="U14" i="6"/>
  <c r="AD91" i="6"/>
  <c r="AJ71" i="6"/>
  <c r="AJ97" i="6"/>
  <c r="AJ96" i="6" s="1"/>
  <c r="AD71" i="6"/>
  <c r="AD99" i="6"/>
  <c r="AD96" i="6" s="1"/>
  <c r="X71" i="6"/>
  <c r="AJ22" i="14"/>
  <c r="AJ256" i="14" s="1"/>
  <c r="AD20" i="14"/>
  <c r="AD40" i="14" s="1"/>
  <c r="AA21" i="14"/>
  <c r="AA239" i="14" s="1"/>
  <c r="AA243" i="14" s="1"/>
  <c r="X22" i="14"/>
  <c r="X256" i="14" s="1"/>
  <c r="AP7" i="7"/>
  <c r="AP9" i="7"/>
  <c r="AM5" i="7"/>
  <c r="AM34" i="3"/>
  <c r="AP55" i="7"/>
  <c r="AS62" i="7" s="1"/>
  <c r="AP59" i="7"/>
  <c r="AS66" i="7" s="1"/>
  <c r="AM12" i="7"/>
  <c r="AM12" i="6"/>
  <c r="AP11" i="3"/>
  <c r="AM23" i="18"/>
  <c r="AM33" i="18"/>
  <c r="AJ5" i="18"/>
  <c r="AJ23" i="18"/>
  <c r="AJ12" i="18"/>
  <c r="AJ9" i="18"/>
  <c r="AJ33" i="18"/>
  <c r="AG33" i="18"/>
  <c r="AG23" i="18"/>
  <c r="AG9" i="18"/>
  <c r="AG12" i="18"/>
  <c r="AD7" i="18"/>
  <c r="AD9" i="18"/>
  <c r="AD12" i="18"/>
  <c r="AD33" i="18"/>
  <c r="AD23" i="18"/>
  <c r="AA33" i="18"/>
  <c r="AA9" i="18"/>
  <c r="AA12" i="18"/>
  <c r="X7" i="18"/>
  <c r="X12" i="18"/>
  <c r="X9" i="18"/>
  <c r="X33" i="18"/>
  <c r="U5" i="18"/>
  <c r="U33" i="18"/>
  <c r="U23" i="18"/>
  <c r="U9" i="18"/>
  <c r="U12" i="18"/>
  <c r="R33" i="18"/>
  <c r="R9" i="18"/>
  <c r="R23" i="18"/>
  <c r="R12" i="18"/>
  <c r="AP23" i="18"/>
  <c r="AP12" i="18"/>
  <c r="AM14" i="18"/>
  <c r="AM19" i="18" s="1"/>
  <c r="AG375" i="20"/>
  <c r="AM376" i="20"/>
  <c r="AM357" i="20"/>
  <c r="AM76" i="20"/>
  <c r="AM78" i="20" s="1"/>
  <c r="AM82" i="20" s="1"/>
  <c r="X43" i="14"/>
  <c r="X42" i="14"/>
  <c r="X44" i="14"/>
  <c r="AM295" i="20"/>
  <c r="AM342" i="20" s="1"/>
  <c r="AM287" i="20"/>
  <c r="AM330" i="20" s="1"/>
  <c r="AG295" i="20"/>
  <c r="AG342" i="20" s="1"/>
  <c r="AG287" i="20"/>
  <c r="AG330" i="20" s="1"/>
  <c r="AD287" i="20"/>
  <c r="AD330" i="20" s="1"/>
  <c r="AD295" i="20"/>
  <c r="AD342" i="20" s="1"/>
  <c r="X239" i="14"/>
  <c r="AJ360" i="20"/>
  <c r="AJ356" i="20" s="1"/>
  <c r="AJ367" i="20" s="1"/>
  <c r="AJ44" i="20"/>
  <c r="AJ38" i="20" s="1"/>
  <c r="AM103" i="6" s="1"/>
  <c r="AG44" i="20"/>
  <c r="AG38" i="20" s="1"/>
  <c r="AJ103" i="6" s="1"/>
  <c r="AG360" i="20"/>
  <c r="AG356" i="20" s="1"/>
  <c r="AG367" i="20" s="1"/>
  <c r="AD360" i="20"/>
  <c r="AD356" i="20" s="1"/>
  <c r="AD367" i="20" s="1"/>
  <c r="AD44" i="20"/>
  <c r="AD38" i="20" s="1"/>
  <c r="AG103" i="6" s="1"/>
  <c r="AM239" i="14"/>
  <c r="AG40" i="14"/>
  <c r="U43" i="14"/>
  <c r="U42" i="14"/>
  <c r="U44" i="14"/>
  <c r="AM258" i="20"/>
  <c r="AM97" i="20"/>
  <c r="AM103" i="20"/>
  <c r="AJ258" i="20"/>
  <c r="AJ103" i="20"/>
  <c r="AJ97" i="20"/>
  <c r="AG23" i="20"/>
  <c r="AG258" i="20"/>
  <c r="AG103" i="20"/>
  <c r="AG97" i="20"/>
  <c r="AD23" i="20"/>
  <c r="AD99" i="20" s="1"/>
  <c r="AD258" i="20"/>
  <c r="AD103" i="20"/>
  <c r="AD97" i="20"/>
  <c r="AA258" i="20"/>
  <c r="AA97" i="20"/>
  <c r="AA103" i="20"/>
  <c r="U23" i="20"/>
  <c r="U24" i="20" s="1"/>
  <c r="U23" i="14"/>
  <c r="U24" i="14" s="1"/>
  <c r="U239" i="14"/>
  <c r="AJ294" i="20"/>
  <c r="AJ286" i="20"/>
  <c r="AG98" i="20"/>
  <c r="AG293" i="20"/>
  <c r="AG326" i="20" s="1"/>
  <c r="AG286" i="20"/>
  <c r="AG294" i="20"/>
  <c r="AD294" i="20"/>
  <c r="AD98" i="20"/>
  <c r="AD293" i="20"/>
  <c r="AD326" i="20" s="1"/>
  <c r="AD286" i="20"/>
  <c r="AA286" i="20"/>
  <c r="AA294" i="20"/>
  <c r="R5" i="18"/>
  <c r="X5" i="18"/>
  <c r="AA5" i="18"/>
  <c r="AD5" i="18"/>
  <c r="AG5" i="18"/>
  <c r="AM5" i="18"/>
  <c r="AP41" i="7"/>
  <c r="R5" i="7"/>
  <c r="U5" i="7"/>
  <c r="AA5" i="7"/>
  <c r="AJ5" i="7"/>
  <c r="P34" i="14"/>
  <c r="W112" i="6"/>
  <c r="T112" i="6"/>
  <c r="AG92" i="20" l="1"/>
  <c r="AG99" i="20"/>
  <c r="AM43" i="14"/>
  <c r="AN328" i="20"/>
  <c r="AQ329" i="20" s="1"/>
  <c r="AQ376" i="20"/>
  <c r="AP54" i="18"/>
  <c r="AS28" i="18"/>
  <c r="AP331" i="20"/>
  <c r="AG328" i="20"/>
  <c r="AG339" i="20"/>
  <c r="AN342" i="20"/>
  <c r="AD328" i="20"/>
  <c r="AD339" i="20"/>
  <c r="AD336" i="20" s="1"/>
  <c r="AD110" i="20" s="1"/>
  <c r="AD257" i="20" s="1"/>
  <c r="AD270" i="20" s="1"/>
  <c r="AJ328" i="20"/>
  <c r="AJ339" i="20"/>
  <c r="AJ336" i="20" s="1"/>
  <c r="AJ110" i="20" s="1"/>
  <c r="AN326" i="20"/>
  <c r="AQ327" i="20" s="1"/>
  <c r="AQ55" i="7"/>
  <c r="AP62" i="7"/>
  <c r="AQ58" i="7"/>
  <c r="AT65" i="7" s="1"/>
  <c r="AP65" i="7"/>
  <c r="AQ56" i="7"/>
  <c r="AT63" i="7" s="1"/>
  <c r="AP63" i="7"/>
  <c r="AQ57" i="7"/>
  <c r="AT64" i="7" s="1"/>
  <c r="AP64" i="7"/>
  <c r="AQ59" i="7"/>
  <c r="AT66" i="7" s="1"/>
  <c r="AP66" i="7"/>
  <c r="AJ293" i="20"/>
  <c r="AJ43" i="14"/>
  <c r="AM44" i="20"/>
  <c r="AM38" i="20" s="1"/>
  <c r="AP103" i="6" s="1"/>
  <c r="AN76" i="20"/>
  <c r="AN78" i="20" s="1"/>
  <c r="AN82" i="20" s="1"/>
  <c r="AN362" i="20"/>
  <c r="AN360" i="20" s="1"/>
  <c r="AN356" i="20" s="1"/>
  <c r="AN330" i="20"/>
  <c r="AQ331" i="20" s="1"/>
  <c r="AN357" i="20"/>
  <c r="AM151" i="14"/>
  <c r="AM152" i="14" s="1"/>
  <c r="AA98" i="20"/>
  <c r="AA23" i="20"/>
  <c r="AM80" i="6"/>
  <c r="AM92" i="6" s="1"/>
  <c r="AG80" i="6"/>
  <c r="AG92" i="6" s="1"/>
  <c r="AP23" i="3"/>
  <c r="AM23" i="20"/>
  <c r="AM293" i="20"/>
  <c r="AD92" i="20"/>
  <c r="U81" i="6"/>
  <c r="X24" i="20"/>
  <c r="X23" i="14"/>
  <c r="X24" i="14" s="1"/>
  <c r="AD243" i="14"/>
  <c r="AD35" i="14" s="1"/>
  <c r="AA240" i="14"/>
  <c r="AA80" i="6"/>
  <c r="AA92" i="6" s="1"/>
  <c r="AP80" i="6"/>
  <c r="AA293" i="20"/>
  <c r="AG241" i="14"/>
  <c r="AA287" i="20"/>
  <c r="AA285" i="20" s="1"/>
  <c r="AD80" i="6"/>
  <c r="AD92" i="6" s="1"/>
  <c r="AA241" i="14"/>
  <c r="AG243" i="14"/>
  <c r="AG35" i="14" s="1"/>
  <c r="AD23" i="14"/>
  <c r="AM23" i="14"/>
  <c r="AD240" i="14"/>
  <c r="AM42" i="14"/>
  <c r="AJ287" i="20"/>
  <c r="AJ285" i="20" s="1"/>
  <c r="AP57" i="18"/>
  <c r="AD34" i="3"/>
  <c r="AJ98" i="20"/>
  <c r="AJ23" i="20"/>
  <c r="AJ99" i="20" s="1"/>
  <c r="AA23" i="14"/>
  <c r="AP55" i="18"/>
  <c r="AA34" i="3"/>
  <c r="AG24" i="20"/>
  <c r="AM294" i="20"/>
  <c r="AM98" i="20"/>
  <c r="AG23" i="14"/>
  <c r="R92" i="6"/>
  <c r="AJ23" i="14"/>
  <c r="AP54" i="7"/>
  <c r="AM44" i="14"/>
  <c r="X80" i="6"/>
  <c r="X81" i="6" s="1"/>
  <c r="AJ80" i="6"/>
  <c r="AG9" i="3"/>
  <c r="AA11" i="3"/>
  <c r="AM154" i="14"/>
  <c r="AM155" i="14" s="1"/>
  <c r="AJ44" i="14"/>
  <c r="AG331" i="20"/>
  <c r="U11" i="3"/>
  <c r="AJ34" i="3"/>
  <c r="AP40" i="18"/>
  <c r="AP56" i="18"/>
  <c r="X11" i="3"/>
  <c r="AD28" i="18"/>
  <c r="AA56" i="18"/>
  <c r="AA55" i="18"/>
  <c r="AA40" i="18"/>
  <c r="AA54" i="18"/>
  <c r="AA57" i="18"/>
  <c r="AG11" i="3"/>
  <c r="AG46" i="3"/>
  <c r="AA56" i="3"/>
  <c r="AA88" i="7"/>
  <c r="AA15" i="7"/>
  <c r="AP9" i="3"/>
  <c r="X58" i="3"/>
  <c r="X15" i="18"/>
  <c r="X77" i="18"/>
  <c r="AG36" i="3"/>
  <c r="AD9" i="3"/>
  <c r="AA9" i="3"/>
  <c r="R34" i="18"/>
  <c r="R35" i="18" s="1"/>
  <c r="R40" i="18"/>
  <c r="R32" i="18"/>
  <c r="U28" i="18"/>
  <c r="U36" i="18" s="1"/>
  <c r="X40" i="18"/>
  <c r="AA28" i="18"/>
  <c r="AA34" i="18" s="1"/>
  <c r="AM28" i="18"/>
  <c r="AM36" i="18" s="1"/>
  <c r="AJ56" i="18"/>
  <c r="AJ55" i="18"/>
  <c r="AJ40" i="18"/>
  <c r="AJ54" i="18"/>
  <c r="AJ57" i="18"/>
  <c r="AM11" i="3"/>
  <c r="AJ11" i="3"/>
  <c r="U15" i="6"/>
  <c r="AD46" i="3"/>
  <c r="AD48" i="3" s="1"/>
  <c r="AD9" i="2" s="1"/>
  <c r="AM7" i="3"/>
  <c r="U15" i="7"/>
  <c r="U56" i="3"/>
  <c r="U88" i="7"/>
  <c r="AP128" i="6"/>
  <c r="AP127" i="6"/>
  <c r="AP15" i="6"/>
  <c r="X46" i="3"/>
  <c r="X48" i="3" s="1"/>
  <c r="X9" i="2" s="1"/>
  <c r="X56" i="3"/>
  <c r="X15" i="7"/>
  <c r="X88" i="7"/>
  <c r="AJ15" i="7"/>
  <c r="AJ56" i="3"/>
  <c r="AJ19" i="7"/>
  <c r="AJ88" i="7"/>
  <c r="U58" i="3"/>
  <c r="U77" i="18"/>
  <c r="U15" i="18"/>
  <c r="X36" i="3"/>
  <c r="AD15" i="18"/>
  <c r="AD58" i="3"/>
  <c r="AD77" i="18"/>
  <c r="AM36" i="3"/>
  <c r="AM127" i="6"/>
  <c r="AM128" i="6"/>
  <c r="AM15" i="6"/>
  <c r="AM9" i="3"/>
  <c r="AJ9" i="3"/>
  <c r="AM32" i="3"/>
  <c r="AM48" i="3"/>
  <c r="AM9" i="2" s="1"/>
  <c r="U40" i="18"/>
  <c r="AD11" i="3"/>
  <c r="U32" i="3"/>
  <c r="AP19" i="18"/>
  <c r="AP58" i="3"/>
  <c r="AP77" i="18"/>
  <c r="AS68" i="18" s="1"/>
  <c r="AP15" i="18"/>
  <c r="R56" i="3"/>
  <c r="R15" i="7"/>
  <c r="R88" i="7"/>
  <c r="AG56" i="3"/>
  <c r="AG15" i="7"/>
  <c r="AG88" i="7"/>
  <c r="AJ128" i="6"/>
  <c r="AJ127" i="6"/>
  <c r="AJ15" i="6"/>
  <c r="R15" i="18"/>
  <c r="R58" i="3"/>
  <c r="R77" i="18"/>
  <c r="U36" i="3"/>
  <c r="AA58" i="3"/>
  <c r="AA77" i="18"/>
  <c r="AA15" i="18"/>
  <c r="AD36" i="3"/>
  <c r="AJ58" i="3"/>
  <c r="AJ19" i="18"/>
  <c r="AJ77" i="18"/>
  <c r="AJ15" i="18"/>
  <c r="AM15" i="18"/>
  <c r="AM58" i="3"/>
  <c r="AM77" i="18"/>
  <c r="AD56" i="18"/>
  <c r="AD55" i="18"/>
  <c r="AD40" i="18"/>
  <c r="AD54" i="18"/>
  <c r="AD57" i="18"/>
  <c r="AG56" i="18"/>
  <c r="AG55" i="18"/>
  <c r="AG40" i="18"/>
  <c r="AJ28" i="18"/>
  <c r="AG54" i="18"/>
  <c r="AG57" i="18"/>
  <c r="AM54" i="18"/>
  <c r="AM56" i="18"/>
  <c r="AM40" i="18"/>
  <c r="AM55" i="18"/>
  <c r="AM57" i="18"/>
  <c r="AP28" i="18"/>
  <c r="AD15" i="7"/>
  <c r="AD56" i="3"/>
  <c r="AD88" i="7"/>
  <c r="AJ32" i="3"/>
  <c r="R36" i="3"/>
  <c r="AA36" i="3"/>
  <c r="AG77" i="18"/>
  <c r="AG58" i="3"/>
  <c r="AG15" i="18"/>
  <c r="AJ36" i="3"/>
  <c r="AM56" i="3"/>
  <c r="AM19" i="7"/>
  <c r="AM15" i="7"/>
  <c r="AM88" i="7"/>
  <c r="U9" i="3"/>
  <c r="X9" i="3"/>
  <c r="AA34" i="7"/>
  <c r="AD28" i="7"/>
  <c r="AD34" i="7" s="1"/>
  <c r="AA31" i="7"/>
  <c r="AG28" i="7"/>
  <c r="AJ28" i="7" s="1"/>
  <c r="AA46" i="3"/>
  <c r="AA48" i="3" s="1"/>
  <c r="AA9" i="2" s="1"/>
  <c r="AJ243" i="14"/>
  <c r="AJ35" i="14" s="1"/>
  <c r="AJ241" i="14"/>
  <c r="AJ240" i="14"/>
  <c r="AD285" i="20"/>
  <c r="AD292" i="20" s="1"/>
  <c r="U243" i="14"/>
  <c r="U35" i="14" s="1"/>
  <c r="U241" i="14"/>
  <c r="U240" i="14"/>
  <c r="AA35" i="14"/>
  <c r="AG42" i="14"/>
  <c r="AG43" i="14"/>
  <c r="AG44" i="14"/>
  <c r="AM241" i="14"/>
  <c r="AM240" i="14"/>
  <c r="AM243" i="14"/>
  <c r="AM356" i="20"/>
  <c r="AM367" i="20" s="1"/>
  <c r="AD348" i="20"/>
  <c r="AG285" i="20"/>
  <c r="AG292" i="20" s="1"/>
  <c r="AM285" i="20"/>
  <c r="AG348" i="20"/>
  <c r="X243" i="14"/>
  <c r="X35" i="14" s="1"/>
  <c r="X241" i="14"/>
  <c r="X240" i="14"/>
  <c r="AD44" i="14"/>
  <c r="Z27" i="20"/>
  <c r="W27" i="20"/>
  <c r="T27" i="20"/>
  <c r="AJ257" i="20" l="1"/>
  <c r="AJ270" i="20" s="1"/>
  <c r="AA92" i="20"/>
  <c r="AA99" i="20"/>
  <c r="AQ25" i="20"/>
  <c r="AM99" i="20"/>
  <c r="AQ48" i="7"/>
  <c r="AT62" i="7"/>
  <c r="AM63" i="18"/>
  <c r="AM61" i="18"/>
  <c r="AP24" i="14"/>
  <c r="AQ25" i="14"/>
  <c r="AD61" i="18"/>
  <c r="AG60" i="18"/>
  <c r="AD63" i="18"/>
  <c r="AD62" i="18"/>
  <c r="AJ63" i="18"/>
  <c r="AM62" i="18"/>
  <c r="AD60" i="18"/>
  <c r="AQ57" i="18"/>
  <c r="AT63" i="18" s="1"/>
  <c r="AP63" i="18"/>
  <c r="AS63" i="18"/>
  <c r="AQ56" i="18"/>
  <c r="AT62" i="18" s="1"/>
  <c r="AP62" i="18"/>
  <c r="AS62" i="18"/>
  <c r="AM60" i="18"/>
  <c r="AJ61" i="18"/>
  <c r="AQ55" i="18"/>
  <c r="AT61" i="18" s="1"/>
  <c r="AP61" i="18"/>
  <c r="AS61" i="18"/>
  <c r="AG61" i="18"/>
  <c r="AG62" i="18"/>
  <c r="AJ60" i="18"/>
  <c r="AG63" i="18"/>
  <c r="AJ62" i="18"/>
  <c r="AQ54" i="18"/>
  <c r="AT60" i="18" s="1"/>
  <c r="AP60" i="18"/>
  <c r="AS60" i="18"/>
  <c r="AS79" i="18"/>
  <c r="AP61" i="7"/>
  <c r="AS61" i="7"/>
  <c r="AS36" i="18"/>
  <c r="AS32" i="18"/>
  <c r="AS34" i="18"/>
  <c r="AS24" i="3"/>
  <c r="AS26" i="3"/>
  <c r="AT26" i="3" s="1"/>
  <c r="AT27" i="3" s="1"/>
  <c r="AP92" i="6"/>
  <c r="AS81" i="6"/>
  <c r="AM92" i="20"/>
  <c r="AP24" i="20"/>
  <c r="AG336" i="20"/>
  <c r="AM328" i="20"/>
  <c r="AM339" i="20"/>
  <c r="AN333" i="20"/>
  <c r="AQ334" i="20" s="1"/>
  <c r="AJ348" i="20"/>
  <c r="AJ28" i="20" s="1"/>
  <c r="AJ326" i="20"/>
  <c r="AM348" i="20"/>
  <c r="AN348" i="20" s="1"/>
  <c r="AM326" i="20"/>
  <c r="AP327" i="20" s="1"/>
  <c r="AJ292" i="20"/>
  <c r="AQ51" i="7"/>
  <c r="AQ49" i="7"/>
  <c r="AQ54" i="7"/>
  <c r="AT61" i="7" s="1"/>
  <c r="AQ50" i="7"/>
  <c r="AQ52" i="7"/>
  <c r="X92" i="6"/>
  <c r="AD24" i="20"/>
  <c r="AD25" i="20"/>
  <c r="AA81" i="6"/>
  <c r="AM81" i="6"/>
  <c r="AP81" i="6"/>
  <c r="AM35" i="14"/>
  <c r="AN243" i="14"/>
  <c r="AA24" i="20"/>
  <c r="AM34" i="18"/>
  <c r="AM35" i="18" s="1"/>
  <c r="AG81" i="6"/>
  <c r="AM292" i="20"/>
  <c r="AJ81" i="6"/>
  <c r="AJ92" i="6"/>
  <c r="AP5" i="2"/>
  <c r="AD25" i="14"/>
  <c r="AJ330" i="20"/>
  <c r="AJ331" i="20" s="1"/>
  <c r="AD81" i="6"/>
  <c r="AA24" i="14"/>
  <c r="AD24" i="14"/>
  <c r="AG24" i="14"/>
  <c r="AM32" i="18"/>
  <c r="U32" i="18"/>
  <c r="AP53" i="18"/>
  <c r="AJ92" i="20"/>
  <c r="AJ24" i="20"/>
  <c r="AJ24" i="14"/>
  <c r="AM24" i="20"/>
  <c r="U34" i="18"/>
  <c r="U35" i="18" s="1"/>
  <c r="AG34" i="7"/>
  <c r="AM24" i="14"/>
  <c r="AG31" i="7"/>
  <c r="AG36" i="7" s="1"/>
  <c r="AG329" i="20"/>
  <c r="AG53" i="18"/>
  <c r="AP42" i="18"/>
  <c r="AP38" i="18"/>
  <c r="AP41" i="18" s="1"/>
  <c r="AJ68" i="18"/>
  <c r="AJ79" i="18" s="1"/>
  <c r="AG78" i="18"/>
  <c r="AD38" i="18"/>
  <c r="AD41" i="18" s="1"/>
  <c r="AD42" i="18"/>
  <c r="AA68" i="3"/>
  <c r="U38" i="18"/>
  <c r="U41" i="18" s="1"/>
  <c r="U42" i="18"/>
  <c r="AD78" i="18"/>
  <c r="AM79" i="7"/>
  <c r="AM90" i="7" s="1"/>
  <c r="AA68" i="18"/>
  <c r="AA79" i="18" s="1"/>
  <c r="X78" i="18"/>
  <c r="AA38" i="18"/>
  <c r="AA41" i="18" s="1"/>
  <c r="AA42" i="18"/>
  <c r="AP79" i="7"/>
  <c r="AG79" i="7"/>
  <c r="AG90" i="7" s="1"/>
  <c r="AD89" i="7"/>
  <c r="AG68" i="3"/>
  <c r="AJ32" i="18"/>
  <c r="AJ36" i="18"/>
  <c r="AJ54" i="3"/>
  <c r="R90" i="7"/>
  <c r="R89" i="7"/>
  <c r="U79" i="7"/>
  <c r="U90" i="7" s="1"/>
  <c r="AP78" i="18"/>
  <c r="U78" i="18"/>
  <c r="AP54" i="3"/>
  <c r="U54" i="3"/>
  <c r="AJ53" i="18"/>
  <c r="AD79" i="7"/>
  <c r="AD90" i="7" s="1"/>
  <c r="AA89" i="7"/>
  <c r="AB31" i="7"/>
  <c r="AA36" i="7"/>
  <c r="AA35" i="7" s="1"/>
  <c r="AM42" i="18"/>
  <c r="AM38" i="18"/>
  <c r="AM41" i="18" s="1"/>
  <c r="AA79" i="7"/>
  <c r="AA90" i="7" s="1"/>
  <c r="X89" i="7"/>
  <c r="AD68" i="3"/>
  <c r="AD70" i="3" s="1"/>
  <c r="AD25" i="2" s="1"/>
  <c r="AD32" i="18"/>
  <c r="AD36" i="18"/>
  <c r="AJ36" i="7"/>
  <c r="AJ33" i="7"/>
  <c r="AM53" i="18"/>
  <c r="AG42" i="18"/>
  <c r="AG38" i="18"/>
  <c r="AG41" i="18" s="1"/>
  <c r="AD34" i="18"/>
  <c r="AJ78" i="18"/>
  <c r="AM68" i="18"/>
  <c r="AM79" i="18" s="1"/>
  <c r="R79" i="18"/>
  <c r="U68" i="18"/>
  <c r="U79" i="18" s="1"/>
  <c r="R78" i="18"/>
  <c r="AJ79" i="7"/>
  <c r="AJ90" i="7" s="1"/>
  <c r="AG89" i="7"/>
  <c r="AM54" i="3"/>
  <c r="U89" i="7"/>
  <c r="AJ34" i="18"/>
  <c r="X68" i="3"/>
  <c r="X38" i="18"/>
  <c r="X41" i="18" s="1"/>
  <c r="X42" i="18"/>
  <c r="AD31" i="7"/>
  <c r="AP36" i="18"/>
  <c r="AP34" i="18"/>
  <c r="AP32" i="18"/>
  <c r="AD53" i="18"/>
  <c r="AM78" i="18"/>
  <c r="AP68" i="18"/>
  <c r="AP79" i="18" s="1"/>
  <c r="AA78" i="18"/>
  <c r="AD68" i="18"/>
  <c r="AD79" i="18" s="1"/>
  <c r="AJ38" i="18"/>
  <c r="AJ41" i="18" s="1"/>
  <c r="AJ42" i="18"/>
  <c r="AA32" i="18"/>
  <c r="AA36" i="18"/>
  <c r="AA35" i="18" s="1"/>
  <c r="R42" i="18"/>
  <c r="R38" i="18"/>
  <c r="R41" i="18" s="1"/>
  <c r="AA53" i="18"/>
  <c r="AG28" i="20"/>
  <c r="AM289" i="20"/>
  <c r="AD28" i="20"/>
  <c r="AJ329" i="20"/>
  <c r="AJ289" i="20"/>
  <c r="AD289" i="20"/>
  <c r="AD347" i="20" s="1"/>
  <c r="AG115" i="6" s="1"/>
  <c r="AA292" i="20"/>
  <c r="AJ337" i="20" l="1"/>
  <c r="AG110" i="20"/>
  <c r="AD59" i="18"/>
  <c r="AJ59" i="18"/>
  <c r="AM59" i="18"/>
  <c r="AQ50" i="18"/>
  <c r="AG59" i="18"/>
  <c r="AP59" i="18"/>
  <c r="AS59" i="18"/>
  <c r="AQ53" i="18"/>
  <c r="AT59" i="18" s="1"/>
  <c r="AQ48" i="18"/>
  <c r="AQ49" i="18"/>
  <c r="AQ51" i="18"/>
  <c r="AS35" i="18"/>
  <c r="AM329" i="20"/>
  <c r="AP329" i="20"/>
  <c r="AS27" i="3"/>
  <c r="AJ347" i="20"/>
  <c r="AM115" i="6" s="1"/>
  <c r="AG337" i="20"/>
  <c r="AN339" i="20"/>
  <c r="AP339" i="20"/>
  <c r="AS339" i="20" s="1"/>
  <c r="AM336" i="20"/>
  <c r="AM110" i="20" s="1"/>
  <c r="AM333" i="20"/>
  <c r="AP334" i="20" s="1"/>
  <c r="AJ333" i="20"/>
  <c r="AM28" i="20"/>
  <c r="AQ47" i="7"/>
  <c r="AM347" i="20"/>
  <c r="AP115" i="6" s="1"/>
  <c r="AN289" i="20"/>
  <c r="AN347" i="20" s="1"/>
  <c r="AM331" i="20"/>
  <c r="AP172" i="4"/>
  <c r="AP142" i="2"/>
  <c r="AP139" i="4"/>
  <c r="AP98" i="4"/>
  <c r="AP130" i="2"/>
  <c r="AP123" i="2"/>
  <c r="AP153" i="4"/>
  <c r="AP174" i="4"/>
  <c r="AP121" i="2"/>
  <c r="AP122" i="2"/>
  <c r="AP151" i="4"/>
  <c r="AP7" i="2"/>
  <c r="AP160" i="4"/>
  <c r="AP162" i="4"/>
  <c r="AG35" i="7"/>
  <c r="AD100" i="5"/>
  <c r="AD108" i="5" s="1"/>
  <c r="AD111" i="5" s="1"/>
  <c r="AD228" i="4"/>
  <c r="AD33" i="2"/>
  <c r="AJ35" i="18"/>
  <c r="AA70" i="18"/>
  <c r="AG327" i="20"/>
  <c r="AP35" i="18"/>
  <c r="AD35" i="18"/>
  <c r="AJ34" i="7"/>
  <c r="AJ35" i="7" s="1"/>
  <c r="AM28" i="7"/>
  <c r="AJ89" i="7"/>
  <c r="AE31" i="7"/>
  <c r="AD36" i="7"/>
  <c r="AD35" i="7" s="1"/>
  <c r="AP90" i="7"/>
  <c r="AM327" i="20"/>
  <c r="AJ327" i="20"/>
  <c r="AM111" i="20" l="1"/>
  <c r="AM114" i="20" s="1"/>
  <c r="AN110" i="20"/>
  <c r="AM257" i="20"/>
  <c r="AM270" i="20" s="1"/>
  <c r="AN270" i="20" s="1"/>
  <c r="AG111" i="20"/>
  <c r="AG114" i="20" s="1"/>
  <c r="AG257" i="20"/>
  <c r="AG270" i="20" s="1"/>
  <c r="AJ111" i="20"/>
  <c r="AJ114" i="20" s="1"/>
  <c r="AQ47" i="18"/>
  <c r="AN336" i="20"/>
  <c r="AM337" i="20"/>
  <c r="AQ339" i="20"/>
  <c r="AM334" i="20"/>
  <c r="BB56" i="7"/>
  <c r="BB55" i="7"/>
  <c r="AP18" i="2"/>
  <c r="AP16" i="2"/>
  <c r="AP12" i="2"/>
  <c r="AD112" i="5"/>
  <c r="AD105" i="4"/>
  <c r="AD62" i="4"/>
  <c r="AD43" i="2"/>
  <c r="AD98" i="5"/>
  <c r="AD99" i="5" s="1"/>
  <c r="AD37" i="2"/>
  <c r="AD157" i="2" s="1"/>
  <c r="AM33" i="7"/>
  <c r="AM36" i="7"/>
  <c r="AN257" i="20" l="1"/>
  <c r="AN269" i="20" s="1"/>
  <c r="AT339" i="20"/>
  <c r="AV339" i="20"/>
  <c r="BE55" i="7"/>
  <c r="BE56" i="7"/>
  <c r="AP23" i="2"/>
  <c r="AP13" i="2"/>
  <c r="AD46" i="2"/>
  <c r="AD47" i="2"/>
  <c r="AD229" i="4"/>
  <c r="AM34" i="7"/>
  <c r="AM35" i="7" s="1"/>
  <c r="AP28" i="7"/>
  <c r="AM89" i="7"/>
  <c r="AW339" i="20" l="1"/>
  <c r="AY339" i="20"/>
  <c r="BH56" i="7"/>
  <c r="BH55" i="7"/>
  <c r="AP5" i="5"/>
  <c r="AP29" i="5" s="1"/>
  <c r="AP32" i="2"/>
  <c r="AP38" i="2" s="1"/>
  <c r="AP42" i="2" s="1"/>
  <c r="AD54" i="2"/>
  <c r="AD50" i="2"/>
  <c r="AP36" i="7"/>
  <c r="AP33" i="7"/>
  <c r="AS28" i="7" s="1"/>
  <c r="AS36" i="7" l="1"/>
  <c r="AS33" i="7"/>
  <c r="AV28" i="7" s="1"/>
  <c r="AZ339" i="20"/>
  <c r="BB339" i="20"/>
  <c r="BK55" i="7"/>
  <c r="BK56" i="7"/>
  <c r="AP31" i="5"/>
  <c r="AP76" i="5" s="1"/>
  <c r="AP88" i="5"/>
  <c r="AP94" i="5" s="1"/>
  <c r="AP45" i="2"/>
  <c r="AP44" i="2"/>
  <c r="AP89" i="7"/>
  <c r="AP34" i="7"/>
  <c r="AP35" i="7" s="1"/>
  <c r="A141" i="20"/>
  <c r="A153" i="20" s="1"/>
  <c r="A165" i="20" s="1"/>
  <c r="A142" i="20"/>
  <c r="A154" i="20" s="1"/>
  <c r="A166" i="20" s="1"/>
  <c r="A143" i="20"/>
  <c r="A155" i="20" s="1"/>
  <c r="A167" i="20" s="1"/>
  <c r="A144" i="20"/>
  <c r="A156" i="20" s="1"/>
  <c r="A168" i="20" s="1"/>
  <c r="A145" i="20"/>
  <c r="A157" i="20" s="1"/>
  <c r="A169" i="20" s="1"/>
  <c r="A146" i="20"/>
  <c r="A158" i="20" s="1"/>
  <c r="A170" i="20" s="1"/>
  <c r="A147" i="20"/>
  <c r="A159" i="20" s="1"/>
  <c r="A171" i="20" s="1"/>
  <c r="A140" i="20"/>
  <c r="A152" i="20" s="1"/>
  <c r="AV36" i="7" l="1"/>
  <c r="AV33" i="7"/>
  <c r="AY28" i="7" s="1"/>
  <c r="AS34" i="7"/>
  <c r="AS35" i="7" s="1"/>
  <c r="AS89" i="7"/>
  <c r="BE339" i="20"/>
  <c r="BC339" i="20"/>
  <c r="A178" i="20"/>
  <c r="A189" i="20" s="1"/>
  <c r="A200" i="20" s="1"/>
  <c r="A211" i="20" s="1"/>
  <c r="A181" i="20"/>
  <c r="A192" i="20" s="1"/>
  <c r="A203" i="20" s="1"/>
  <c r="A214" i="20" s="1"/>
  <c r="A182" i="20"/>
  <c r="A193" i="20" s="1"/>
  <c r="A204" i="20" s="1"/>
  <c r="A215" i="20" s="1"/>
  <c r="A176" i="20"/>
  <c r="A187" i="20" s="1"/>
  <c r="A198" i="20" s="1"/>
  <c r="A209" i="20" s="1"/>
  <c r="A177" i="20"/>
  <c r="A188" i="20" s="1"/>
  <c r="A199" i="20" s="1"/>
  <c r="A210" i="20" s="1"/>
  <c r="A180" i="20"/>
  <c r="A191" i="20" s="1"/>
  <c r="A202" i="20" s="1"/>
  <c r="A213" i="20" s="1"/>
  <c r="A179" i="20"/>
  <c r="A190" i="20" s="1"/>
  <c r="A201" i="20" s="1"/>
  <c r="A212" i="20" s="1"/>
  <c r="A164" i="20"/>
  <c r="BE101" i="4"/>
  <c r="BB101" i="4"/>
  <c r="W120" i="5"/>
  <c r="T120" i="5"/>
  <c r="Q120" i="5"/>
  <c r="P120" i="5"/>
  <c r="O120" i="5"/>
  <c r="N120" i="5"/>
  <c r="M120" i="5"/>
  <c r="L120" i="5"/>
  <c r="H120" i="5"/>
  <c r="G120" i="5"/>
  <c r="F120" i="5"/>
  <c r="E120" i="5"/>
  <c r="D120" i="5"/>
  <c r="C120" i="5"/>
  <c r="B120" i="5"/>
  <c r="BJ120" i="5"/>
  <c r="BG120" i="5"/>
  <c r="BD120" i="5"/>
  <c r="BA120" i="5"/>
  <c r="AO120" i="5"/>
  <c r="AL120" i="5"/>
  <c r="AI120" i="5"/>
  <c r="AF120" i="5"/>
  <c r="AC120" i="5"/>
  <c r="Z120" i="5"/>
  <c r="BM120" i="5"/>
  <c r="AY33" i="7" l="1"/>
  <c r="AY36" i="7"/>
  <c r="AV34" i="7"/>
  <c r="AV35" i="7" s="1"/>
  <c r="AV89" i="7"/>
  <c r="BH339" i="20"/>
  <c r="BF339" i="20"/>
  <c r="A175" i="20"/>
  <c r="A186" i="20" s="1"/>
  <c r="A197" i="20" s="1"/>
  <c r="A208" i="20" s="1"/>
  <c r="AY267" i="20"/>
  <c r="AY245" i="20"/>
  <c r="AO90" i="4"/>
  <c r="AC90" i="4"/>
  <c r="AF90" i="4"/>
  <c r="AI90" i="4"/>
  <c r="AL90" i="4"/>
  <c r="AC112" i="6"/>
  <c r="AY34" i="7" l="1"/>
  <c r="AY35" i="7" s="1"/>
  <c r="AY89" i="7"/>
  <c r="BI339" i="20"/>
  <c r="BB267" i="20"/>
  <c r="BB269" i="20"/>
  <c r="AY269" i="20"/>
  <c r="BB245" i="20"/>
  <c r="AC232" i="20"/>
  <c r="AB232" i="20" s="1"/>
  <c r="AF267" i="20"/>
  <c r="AD267" i="20" s="1"/>
  <c r="AI267" i="20"/>
  <c r="AG267" i="20" s="1"/>
  <c r="AL267" i="20"/>
  <c r="AJ267" i="20" s="1"/>
  <c r="AC267" i="20"/>
  <c r="AA267" i="20" s="1"/>
  <c r="AC240" i="20"/>
  <c r="AA240" i="20" s="1"/>
  <c r="AF240" i="20"/>
  <c r="AD240" i="20" s="1"/>
  <c r="AI240" i="20"/>
  <c r="AG240" i="20" s="1"/>
  <c r="AL240" i="20"/>
  <c r="AC224" i="20"/>
  <c r="AC223" i="20"/>
  <c r="AF223" i="20"/>
  <c r="AI223" i="20"/>
  <c r="AF224" i="20"/>
  <c r="AI224" i="20"/>
  <c r="AI322" i="20" s="1"/>
  <c r="AL223" i="20"/>
  <c r="AL224" i="20"/>
  <c r="AI222" i="20"/>
  <c r="AI112" i="20" s="1"/>
  <c r="AL222" i="20"/>
  <c r="AL112" i="20" s="1"/>
  <c r="AF222" i="20"/>
  <c r="AF112" i="20" s="1"/>
  <c r="Z54" i="14"/>
  <c r="AC54" i="14"/>
  <c r="AF54" i="14"/>
  <c r="AI54" i="14"/>
  <c r="AL54" i="14"/>
  <c r="AI318" i="20" l="1"/>
  <c r="AV321" i="20"/>
  <c r="AV318" i="20"/>
  <c r="AO57" i="14"/>
  <c r="AO48" i="14" s="1"/>
  <c r="AO225" i="20"/>
  <c r="AJ240" i="20"/>
  <c r="AJ241" i="20" s="1"/>
  <c r="AO241" i="20"/>
  <c r="BA11" i="5"/>
  <c r="BJ269" i="20"/>
  <c r="BH269" i="20" s="1"/>
  <c r="AD241" i="20"/>
  <c r="AD238" i="20"/>
  <c r="AD237" i="20" s="1"/>
  <c r="AD253" i="20" s="1"/>
  <c r="AD239" i="20"/>
  <c r="AD252" i="20" s="1"/>
  <c r="AA238" i="20"/>
  <c r="AY224" i="20"/>
  <c r="AV63" i="20"/>
  <c r="BE267" i="20"/>
  <c r="BH267" i="20"/>
  <c r="AG239" i="20"/>
  <c r="AG252" i="20" s="1"/>
  <c r="AG241" i="20"/>
  <c r="AG238" i="20"/>
  <c r="AG237" i="20" s="1"/>
  <c r="AG253" i="20" s="1"/>
  <c r="AV61" i="20"/>
  <c r="AC226" i="20"/>
  <c r="AL61" i="20"/>
  <c r="BE245" i="20"/>
  <c r="AF238" i="20"/>
  <c r="AF61" i="20"/>
  <c r="AF322" i="20"/>
  <c r="AC61" i="20"/>
  <c r="AC322" i="20"/>
  <c r="AI226" i="20"/>
  <c r="AI61" i="20"/>
  <c r="AL241" i="20"/>
  <c r="AF241" i="20"/>
  <c r="AC238" i="20"/>
  <c r="AL238" i="20"/>
  <c r="AI238" i="20"/>
  <c r="AI241" i="20"/>
  <c r="AF225" i="20"/>
  <c r="AL225" i="20"/>
  <c r="AL226" i="20"/>
  <c r="AF226" i="20"/>
  <c r="AI225" i="20"/>
  <c r="AV65" i="14" l="1"/>
  <c r="AS57" i="14"/>
  <c r="AJ238" i="20"/>
  <c r="AJ237" i="20" s="1"/>
  <c r="AJ253" i="20" s="1"/>
  <c r="AF318" i="20"/>
  <c r="AF319" i="20"/>
  <c r="AI320" i="20" s="1"/>
  <c r="AC318" i="20"/>
  <c r="AC319" i="20"/>
  <c r="AI321" i="20"/>
  <c r="AL320" i="20"/>
  <c r="AG333" i="20"/>
  <c r="AG318" i="20"/>
  <c r="AY318" i="20"/>
  <c r="AY321" i="20"/>
  <c r="AV223" i="20"/>
  <c r="AV228" i="20"/>
  <c r="AJ239" i="20"/>
  <c r="AJ252" i="20" s="1"/>
  <c r="AH238" i="20"/>
  <c r="AB238" i="20"/>
  <c r="BE269" i="20"/>
  <c r="BD214" i="4"/>
  <c r="BD11" i="5"/>
  <c r="AZ11" i="5"/>
  <c r="AE238" i="20"/>
  <c r="AY63" i="20"/>
  <c r="AY61" i="20"/>
  <c r="AY227" i="20"/>
  <c r="AV62" i="20"/>
  <c r="AV59" i="20" s="1"/>
  <c r="AV66" i="20" s="1"/>
  <c r="AY514" i="20"/>
  <c r="AZ514" i="20" s="1"/>
  <c r="BB225" i="20"/>
  <c r="BB224" i="20" s="1"/>
  <c r="AJ323" i="20"/>
  <c r="AG63" i="20"/>
  <c r="AA63" i="20"/>
  <c r="AF63" i="20"/>
  <c r="AH322" i="20"/>
  <c r="AH318" i="20" s="1"/>
  <c r="BH245" i="20"/>
  <c r="AR61" i="20"/>
  <c r="AK238" i="20" l="1"/>
  <c r="BA60" i="14"/>
  <c r="BA112" i="14" s="1"/>
  <c r="AC321" i="20"/>
  <c r="AG321" i="20"/>
  <c r="AJ320" i="20"/>
  <c r="AH319" i="20"/>
  <c r="AD319" i="20"/>
  <c r="AE319" i="20" s="1"/>
  <c r="AD318" i="20"/>
  <c r="AF321" i="20"/>
  <c r="AF320" i="20"/>
  <c r="BB321" i="20"/>
  <c r="BB318" i="20"/>
  <c r="AG323" i="20"/>
  <c r="AD333" i="20"/>
  <c r="AG334" i="20" s="1"/>
  <c r="AY223" i="20"/>
  <c r="AY228" i="20"/>
  <c r="AV68" i="20"/>
  <c r="BG11" i="5"/>
  <c r="BB11" i="5"/>
  <c r="BC11" i="5" s="1"/>
  <c r="BG214" i="4"/>
  <c r="BB214" i="4"/>
  <c r="BB61" i="20"/>
  <c r="BB62" i="20" s="1"/>
  <c r="BB227" i="20"/>
  <c r="AH63" i="20"/>
  <c r="AK323" i="20"/>
  <c r="AD63" i="20"/>
  <c r="AD323" i="20"/>
  <c r="AG59" i="20"/>
  <c r="BH225" i="20"/>
  <c r="BE225" i="20"/>
  <c r="BE224" i="20" s="1"/>
  <c r="AY62" i="20"/>
  <c r="AY59" i="20" s="1"/>
  <c r="AY66" i="20" s="1"/>
  <c r="AA59" i="20"/>
  <c r="AA68" i="20" s="1"/>
  <c r="AY226" i="20"/>
  <c r="AB322" i="20"/>
  <c r="AB63" i="20" s="1"/>
  <c r="BH254" i="20"/>
  <c r="AQ61" i="20"/>
  <c r="AE322" i="20"/>
  <c r="AE318" i="20" s="1"/>
  <c r="AJ334" i="20"/>
  <c r="AV67" i="20"/>
  <c r="BB63" i="20"/>
  <c r="BD60" i="14" l="1"/>
  <c r="BD112" i="14" s="1"/>
  <c r="AY60" i="14"/>
  <c r="AG320" i="20"/>
  <c r="AE321" i="20"/>
  <c r="AH321" i="20"/>
  <c r="AH320" i="20"/>
  <c r="AK320" i="20"/>
  <c r="AD321" i="20"/>
  <c r="BE318" i="20"/>
  <c r="BE321" i="20"/>
  <c r="BB223" i="20"/>
  <c r="BB228" i="20"/>
  <c r="BJ214" i="4"/>
  <c r="BE214" i="4"/>
  <c r="BJ11" i="5"/>
  <c r="BE11" i="5"/>
  <c r="BF11" i="5" s="1"/>
  <c r="AY68" i="20"/>
  <c r="AY67" i="20"/>
  <c r="BB226" i="20"/>
  <c r="BE61" i="20"/>
  <c r="BE62" i="20" s="1"/>
  <c r="BH224" i="20"/>
  <c r="BE227" i="20"/>
  <c r="AH323" i="20"/>
  <c r="AE63" i="20"/>
  <c r="AE323" i="20"/>
  <c r="AA67" i="20"/>
  <c r="AA66" i="20"/>
  <c r="BE63" i="20"/>
  <c r="AG67" i="20"/>
  <c r="AG66" i="20"/>
  <c r="AD59" i="20"/>
  <c r="AD68" i="20" s="1"/>
  <c r="AY248" i="20"/>
  <c r="AG68" i="20"/>
  <c r="BB59" i="20"/>
  <c r="BG60" i="14" l="1"/>
  <c r="BG112" i="14" s="1"/>
  <c r="BB60" i="14"/>
  <c r="BH321" i="20"/>
  <c r="BH318" i="20"/>
  <c r="BE223" i="20"/>
  <c r="BE228" i="20"/>
  <c r="BM11" i="5"/>
  <c r="BH11" i="5"/>
  <c r="BI11" i="5" s="1"/>
  <c r="BA70" i="5"/>
  <c r="BM214" i="4"/>
  <c r="BK214" i="4" s="1"/>
  <c r="BH214" i="4"/>
  <c r="BE226" i="20"/>
  <c r="BB248" i="20"/>
  <c r="BH61" i="20"/>
  <c r="BH62" i="20" s="1"/>
  <c r="BH227" i="20"/>
  <c r="BH228" i="20" s="1"/>
  <c r="BB67" i="20"/>
  <c r="BB66" i="20"/>
  <c r="AD66" i="20"/>
  <c r="AD67" i="20"/>
  <c r="BH63" i="20"/>
  <c r="BB68" i="20"/>
  <c r="BE59" i="20"/>
  <c r="BJ60" i="14" l="1"/>
  <c r="BE60" i="14"/>
  <c r="BD70" i="5"/>
  <c r="BK11" i="5"/>
  <c r="BL11" i="5" s="1"/>
  <c r="BE67" i="20"/>
  <c r="BE66" i="20"/>
  <c r="BH251" i="20"/>
  <c r="BE248" i="20"/>
  <c r="BH248" i="20"/>
  <c r="BH226" i="20"/>
  <c r="BH223" i="20"/>
  <c r="BE68" i="20"/>
  <c r="BH59" i="20"/>
  <c r="AO125" i="2"/>
  <c r="BH60" i="14" l="1"/>
  <c r="BJ112" i="14"/>
  <c r="AZ70" i="5"/>
  <c r="BG70" i="5"/>
  <c r="BB70" i="5"/>
  <c r="BH67" i="20"/>
  <c r="BH66" i="20"/>
  <c r="BH68" i="20"/>
  <c r="AU123" i="6"/>
  <c r="BC70" i="5" l="1"/>
  <c r="BB64" i="4"/>
  <c r="BJ70" i="5"/>
  <c r="BE70" i="5"/>
  <c r="AT123" i="6"/>
  <c r="AI107" i="20"/>
  <c r="AL107" i="20"/>
  <c r="BD538" i="20"/>
  <c r="BG508" i="20"/>
  <c r="AY244" i="14"/>
  <c r="Z64" i="14"/>
  <c r="AC64" i="14"/>
  <c r="AF64" i="14"/>
  <c r="AI64" i="14"/>
  <c r="AL64" i="14"/>
  <c r="AR63" i="14"/>
  <c r="BE7" i="18"/>
  <c r="AU63" i="14" l="1"/>
  <c r="AX63" i="14" s="1"/>
  <c r="BA63" i="14" s="1"/>
  <c r="AR62" i="14"/>
  <c r="AQ62" i="14" s="1"/>
  <c r="AR65" i="14"/>
  <c r="BF70" i="5"/>
  <c r="BE64" i="4"/>
  <c r="BD329" i="20"/>
  <c r="BG329" i="20" s="1"/>
  <c r="BJ329" i="20" s="1"/>
  <c r="AK107" i="20"/>
  <c r="AH107" i="20"/>
  <c r="AZ202" i="4"/>
  <c r="BM70" i="5"/>
  <c r="BH70" i="5"/>
  <c r="BD202" i="4"/>
  <c r="AW462" i="20"/>
  <c r="BJ508" i="20"/>
  <c r="BE508" i="20"/>
  <c r="BF508" i="20" s="1"/>
  <c r="AW463" i="20"/>
  <c r="AY64" i="14"/>
  <c r="AY63" i="14" s="1"/>
  <c r="BB538" i="20"/>
  <c r="BC538" i="20" s="1"/>
  <c r="BA461" i="20"/>
  <c r="AW461" i="20"/>
  <c r="AY235" i="20"/>
  <c r="BD514" i="20"/>
  <c r="Q3" i="10"/>
  <c r="R3" i="10" s="1"/>
  <c r="S3" i="10" s="1"/>
  <c r="U3" i="10" s="1"/>
  <c r="V3" i="10" s="1"/>
  <c r="W3" i="10" s="1"/>
  <c r="X3" i="10" s="1"/>
  <c r="Y3" i="10" s="1"/>
  <c r="Z3" i="10" s="1"/>
  <c r="AA3" i="10" s="1"/>
  <c r="AB3" i="10" s="1"/>
  <c r="AC3" i="10" s="1"/>
  <c r="AD3" i="10" s="1"/>
  <c r="AE3" i="10" s="1"/>
  <c r="AF3" i="10" s="1"/>
  <c r="AG3" i="10" s="1"/>
  <c r="L3" i="10"/>
  <c r="M3" i="10" s="1"/>
  <c r="N3" i="10" s="1"/>
  <c r="O3" i="10" s="1"/>
  <c r="C3" i="10"/>
  <c r="D3" i="10" s="1"/>
  <c r="E3" i="10" s="1"/>
  <c r="F3" i="10" s="1"/>
  <c r="G3" i="10" s="1"/>
  <c r="H3" i="10" s="1"/>
  <c r="I3" i="10" s="1"/>
  <c r="J3" i="10" s="1"/>
  <c r="AO122" i="6"/>
  <c r="AL122" i="6"/>
  <c r="AI122" i="6"/>
  <c r="AF122" i="6"/>
  <c r="AC122" i="6"/>
  <c r="AO121" i="6"/>
  <c r="AL121" i="6"/>
  <c r="AI121" i="6"/>
  <c r="AF121" i="6"/>
  <c r="AC121" i="6"/>
  <c r="AO119" i="6"/>
  <c r="AL119" i="6"/>
  <c r="AI119" i="6"/>
  <c r="AC119" i="6"/>
  <c r="AO118" i="6"/>
  <c r="AL118" i="6"/>
  <c r="AI118" i="6"/>
  <c r="AC118" i="6"/>
  <c r="BI70" i="5" l="1"/>
  <c r="BH64" i="4"/>
  <c r="BB202" i="4"/>
  <c r="BB207" i="4" s="1"/>
  <c r="BG202" i="4"/>
  <c r="BE202" i="4" s="1"/>
  <c r="BK70" i="5"/>
  <c r="AZ461" i="20"/>
  <c r="AY461" i="20"/>
  <c r="BH508" i="20"/>
  <c r="BI508" i="20" s="1"/>
  <c r="BG514" i="20"/>
  <c r="BB514" i="20"/>
  <c r="BC514" i="20" s="1"/>
  <c r="AW467" i="20"/>
  <c r="BB64" i="14"/>
  <c r="BB63" i="14" s="1"/>
  <c r="BD63" i="14"/>
  <c r="BB235" i="20"/>
  <c r="AI73" i="20"/>
  <c r="E21" i="53" s="1"/>
  <c r="E13" i="53" s="1"/>
  <c r="E17" i="53" s="1"/>
  <c r="AF107" i="20"/>
  <c r="AL73" i="20"/>
  <c r="F21" i="53" s="1"/>
  <c r="F13" i="53" s="1"/>
  <c r="F17" i="53" s="1"/>
  <c r="AU280" i="20"/>
  <c r="AX280" i="20"/>
  <c r="BD158" i="20"/>
  <c r="BG158" i="20" s="1"/>
  <c r="BJ158" i="20" s="1"/>
  <c r="AZ88" i="4"/>
  <c r="BL70" i="5" l="1"/>
  <c r="BK64" i="4"/>
  <c r="AE107" i="20"/>
  <c r="BC202" i="4"/>
  <c r="BF202" i="4"/>
  <c r="BE207" i="4"/>
  <c r="AW87" i="20"/>
  <c r="AW95" i="20" s="1"/>
  <c r="AT87" i="20"/>
  <c r="AT95" i="20" s="1"/>
  <c r="BA191" i="4"/>
  <c r="BG63" i="14"/>
  <c r="BH64" i="14"/>
  <c r="BE64" i="14"/>
  <c r="BE63" i="14" s="1"/>
  <c r="BJ514" i="20"/>
  <c r="BE514" i="20"/>
  <c r="BF514" i="20" s="1"/>
  <c r="BH235" i="20"/>
  <c r="BE235" i="20"/>
  <c r="AF73" i="20"/>
  <c r="D21" i="53" s="1"/>
  <c r="D13" i="53" s="1"/>
  <c r="D17" i="53" s="1"/>
  <c r="AI323" i="20"/>
  <c r="AI38" i="3"/>
  <c r="AL38" i="3"/>
  <c r="AO38" i="3"/>
  <c r="AO13" i="3"/>
  <c r="AL13" i="3"/>
  <c r="AZ191" i="4" l="1"/>
  <c r="BD191" i="4"/>
  <c r="BH63" i="14"/>
  <c r="BH514" i="20"/>
  <c r="BI514" i="20" s="1"/>
  <c r="BJ63" i="14"/>
  <c r="AY329" i="20"/>
  <c r="AY328" i="20" s="1"/>
  <c r="AY294" i="20" l="1"/>
  <c r="BB191" i="4"/>
  <c r="BC191" i="4" s="1"/>
  <c r="BG191" i="4"/>
  <c r="AY286" i="20"/>
  <c r="BB329" i="20"/>
  <c r="BB328" i="20" s="1"/>
  <c r="AP48" i="3"/>
  <c r="BG361" i="20"/>
  <c r="AG81" i="10"/>
  <c r="AF81" i="10"/>
  <c r="AE81" i="10"/>
  <c r="AD81" i="10"/>
  <c r="AC81" i="10"/>
  <c r="AB81" i="10"/>
  <c r="AA81" i="10"/>
  <c r="Z81" i="10"/>
  <c r="Y81" i="10"/>
  <c r="X81" i="10"/>
  <c r="W81" i="10"/>
  <c r="V81" i="10"/>
  <c r="T81" i="10"/>
  <c r="S81" i="10"/>
  <c r="R81" i="10"/>
  <c r="Q81" i="10"/>
  <c r="P81" i="10"/>
  <c r="O81" i="10"/>
  <c r="N81" i="10"/>
  <c r="M81" i="10"/>
  <c r="L81" i="10"/>
  <c r="K81" i="10"/>
  <c r="J81" i="10"/>
  <c r="I81" i="10"/>
  <c r="H81" i="10"/>
  <c r="G81" i="10"/>
  <c r="F81" i="10"/>
  <c r="E81" i="10"/>
  <c r="D81" i="10"/>
  <c r="C81" i="10"/>
  <c r="B81" i="10"/>
  <c r="V80" i="10"/>
  <c r="U80" i="10"/>
  <c r="T80" i="10"/>
  <c r="S80" i="10"/>
  <c r="M80" i="10"/>
  <c r="L80" i="10"/>
  <c r="K80" i="10"/>
  <c r="J80" i="10"/>
  <c r="I80" i="10"/>
  <c r="H80" i="10"/>
  <c r="G80" i="10"/>
  <c r="E80" i="10"/>
  <c r="D80" i="10"/>
  <c r="C80" i="10"/>
  <c r="Y79" i="10"/>
  <c r="X79" i="10"/>
  <c r="W79" i="10"/>
  <c r="V79" i="10"/>
  <c r="U79" i="10"/>
  <c r="T79" i="10"/>
  <c r="S79" i="10"/>
  <c r="R79" i="10"/>
  <c r="Q79" i="10"/>
  <c r="P79" i="10"/>
  <c r="O79" i="10"/>
  <c r="N79" i="10"/>
  <c r="M79" i="10"/>
  <c r="L79" i="10"/>
  <c r="K79" i="10"/>
  <c r="J79" i="10"/>
  <c r="I79" i="10"/>
  <c r="H79" i="10"/>
  <c r="G79" i="10"/>
  <c r="F79" i="10"/>
  <c r="E79" i="10"/>
  <c r="D79" i="10"/>
  <c r="C79" i="10"/>
  <c r="B79" i="10"/>
  <c r="Y78" i="10"/>
  <c r="X78" i="10"/>
  <c r="W78" i="10"/>
  <c r="V78" i="10"/>
  <c r="U78" i="10"/>
  <c r="T78" i="10"/>
  <c r="S78" i="10"/>
  <c r="R78" i="10"/>
  <c r="Q78" i="10"/>
  <c r="P78" i="10"/>
  <c r="O78" i="10"/>
  <c r="N78" i="10"/>
  <c r="M78" i="10"/>
  <c r="L78" i="10"/>
  <c r="K78" i="10"/>
  <c r="J78" i="10"/>
  <c r="I78" i="10"/>
  <c r="H78" i="10"/>
  <c r="G78" i="10"/>
  <c r="F78" i="10"/>
  <c r="E78" i="10"/>
  <c r="D78" i="10"/>
  <c r="C78" i="10"/>
  <c r="B78" i="10"/>
  <c r="Y77" i="10"/>
  <c r="X77" i="10"/>
  <c r="W77" i="10"/>
  <c r="V77" i="10"/>
  <c r="U77" i="10"/>
  <c r="T77" i="10"/>
  <c r="S77" i="10"/>
  <c r="R77" i="10"/>
  <c r="Q77" i="10"/>
  <c r="P77" i="10"/>
  <c r="O77" i="10"/>
  <c r="N77" i="10"/>
  <c r="M77" i="10"/>
  <c r="L77" i="10"/>
  <c r="K77" i="10"/>
  <c r="J77" i="10"/>
  <c r="I77" i="10"/>
  <c r="H77" i="10"/>
  <c r="G77" i="10"/>
  <c r="F77" i="10"/>
  <c r="E77" i="10"/>
  <c r="D77" i="10"/>
  <c r="C77" i="10"/>
  <c r="B77" i="10"/>
  <c r="Y76" i="10"/>
  <c r="X76" i="10"/>
  <c r="W76" i="10"/>
  <c r="V76" i="10"/>
  <c r="U76" i="10"/>
  <c r="T76" i="10"/>
  <c r="S76" i="10"/>
  <c r="R76" i="10"/>
  <c r="Q76" i="10"/>
  <c r="P76" i="10"/>
  <c r="O76" i="10"/>
  <c r="N76" i="10"/>
  <c r="M76" i="10"/>
  <c r="L76" i="10"/>
  <c r="K76" i="10"/>
  <c r="J76" i="10"/>
  <c r="I76" i="10"/>
  <c r="H76" i="10"/>
  <c r="G76" i="10"/>
  <c r="F76" i="10"/>
  <c r="E76" i="10"/>
  <c r="D76" i="10"/>
  <c r="C76" i="10"/>
  <c r="B76" i="10"/>
  <c r="AG73" i="10"/>
  <c r="AF73" i="10"/>
  <c r="AE73" i="10"/>
  <c r="AD73" i="10"/>
  <c r="AC73" i="10"/>
  <c r="AB73" i="10"/>
  <c r="AA73" i="10"/>
  <c r="Z73" i="10"/>
  <c r="Y73" i="10"/>
  <c r="X73" i="10"/>
  <c r="W73" i="10"/>
  <c r="V73" i="10"/>
  <c r="T73" i="10"/>
  <c r="S73" i="10"/>
  <c r="R73" i="10"/>
  <c r="Q73" i="10"/>
  <c r="P73" i="10"/>
  <c r="O73" i="10"/>
  <c r="N73" i="10"/>
  <c r="M73" i="10"/>
  <c r="L73" i="10"/>
  <c r="K73" i="10"/>
  <c r="J73" i="10"/>
  <c r="I73" i="10"/>
  <c r="H73" i="10"/>
  <c r="G73" i="10"/>
  <c r="F73" i="10"/>
  <c r="E73" i="10"/>
  <c r="D73" i="10"/>
  <c r="C73" i="10"/>
  <c r="B73" i="10"/>
  <c r="Y72" i="10"/>
  <c r="V72" i="10"/>
  <c r="U72" i="10"/>
  <c r="T72" i="10"/>
  <c r="S72" i="10"/>
  <c r="O72" i="10"/>
  <c r="N72" i="10"/>
  <c r="M72" i="10"/>
  <c r="L72" i="10"/>
  <c r="K72" i="10"/>
  <c r="J72" i="10"/>
  <c r="I72" i="10"/>
  <c r="H72" i="10"/>
  <c r="G72" i="10"/>
  <c r="F72" i="10"/>
  <c r="E72" i="10"/>
  <c r="D72" i="10"/>
  <c r="C72" i="10"/>
  <c r="Y71" i="10"/>
  <c r="X71" i="10"/>
  <c r="W71" i="10"/>
  <c r="V71" i="10"/>
  <c r="U71" i="10"/>
  <c r="T71" i="10"/>
  <c r="S71" i="10"/>
  <c r="R71" i="10"/>
  <c r="Q71" i="10"/>
  <c r="P71" i="10"/>
  <c r="O71" i="10"/>
  <c r="N71" i="10"/>
  <c r="M71" i="10"/>
  <c r="L71" i="10"/>
  <c r="K71" i="10"/>
  <c r="J71" i="10"/>
  <c r="I71" i="10"/>
  <c r="H71" i="10"/>
  <c r="G71" i="10"/>
  <c r="F71" i="10"/>
  <c r="E71" i="10"/>
  <c r="D71" i="10"/>
  <c r="C71" i="10"/>
  <c r="B71" i="10"/>
  <c r="Y70" i="10"/>
  <c r="X70" i="10"/>
  <c r="W70" i="10"/>
  <c r="V70" i="10"/>
  <c r="U70" i="10"/>
  <c r="T70" i="10"/>
  <c r="S70" i="10"/>
  <c r="R70" i="10"/>
  <c r="Q70" i="10"/>
  <c r="P70" i="10"/>
  <c r="O70" i="10"/>
  <c r="N70" i="10"/>
  <c r="M70" i="10"/>
  <c r="L70" i="10"/>
  <c r="K70" i="10"/>
  <c r="J70" i="10"/>
  <c r="I70" i="10"/>
  <c r="H70" i="10"/>
  <c r="G70" i="10"/>
  <c r="F70" i="10"/>
  <c r="E70" i="10"/>
  <c r="D70" i="10"/>
  <c r="C70" i="10"/>
  <c r="B70" i="10"/>
  <c r="Y69" i="10"/>
  <c r="X69" i="10"/>
  <c r="W69" i="10"/>
  <c r="V69" i="10"/>
  <c r="U69" i="10"/>
  <c r="T69" i="10"/>
  <c r="S69" i="10"/>
  <c r="R69" i="10"/>
  <c r="Q69" i="10"/>
  <c r="P69" i="10"/>
  <c r="O69" i="10"/>
  <c r="N69" i="10"/>
  <c r="M69" i="10"/>
  <c r="L69" i="10"/>
  <c r="K69" i="10"/>
  <c r="J69" i="10"/>
  <c r="I69" i="10"/>
  <c r="H69" i="10"/>
  <c r="G69" i="10"/>
  <c r="F69" i="10"/>
  <c r="E69" i="10"/>
  <c r="D69" i="10"/>
  <c r="C69" i="10"/>
  <c r="B69" i="10"/>
  <c r="B68" i="10"/>
  <c r="C68" i="10"/>
  <c r="D68" i="10"/>
  <c r="E68" i="10"/>
  <c r="F68" i="10"/>
  <c r="G68" i="10"/>
  <c r="H68" i="10"/>
  <c r="I68" i="10"/>
  <c r="J68" i="10"/>
  <c r="K68" i="10"/>
  <c r="L68" i="10"/>
  <c r="M68" i="10"/>
  <c r="N68" i="10"/>
  <c r="O68" i="10"/>
  <c r="P68" i="10"/>
  <c r="Q68" i="10"/>
  <c r="R68" i="10"/>
  <c r="S68" i="10"/>
  <c r="T68" i="10"/>
  <c r="U68" i="10"/>
  <c r="V68" i="10"/>
  <c r="W68" i="10"/>
  <c r="X68" i="10"/>
  <c r="Y68" i="10"/>
  <c r="BB294" i="20" l="1"/>
  <c r="BE191" i="4"/>
  <c r="BF191" i="4" s="1"/>
  <c r="AP49" i="3"/>
  <c r="AP9" i="2"/>
  <c r="AP70" i="3"/>
  <c r="BJ191" i="4"/>
  <c r="BB286" i="20"/>
  <c r="BE361" i="20"/>
  <c r="BH329" i="20"/>
  <c r="BE329" i="20"/>
  <c r="BE328" i="20" s="1"/>
  <c r="AY20" i="20"/>
  <c r="BB77" i="6"/>
  <c r="BJ361" i="20"/>
  <c r="C85" i="10"/>
  <c r="G85" i="10"/>
  <c r="K85" i="10"/>
  <c r="O85" i="10"/>
  <c r="S85" i="10"/>
  <c r="W85" i="10"/>
  <c r="O86" i="10"/>
  <c r="S86" i="10"/>
  <c r="W86" i="10"/>
  <c r="D84" i="10"/>
  <c r="H84" i="10"/>
  <c r="L84" i="10"/>
  <c r="P84" i="10"/>
  <c r="T84" i="10"/>
  <c r="X84" i="10"/>
  <c r="B85" i="10"/>
  <c r="F85" i="10"/>
  <c r="J85" i="10"/>
  <c r="N85" i="10"/>
  <c r="R85" i="10"/>
  <c r="V85" i="10"/>
  <c r="N86" i="10"/>
  <c r="R86" i="10"/>
  <c r="V86" i="10"/>
  <c r="C84" i="10"/>
  <c r="G84" i="10"/>
  <c r="O84" i="10"/>
  <c r="S84" i="10"/>
  <c r="W84" i="10"/>
  <c r="D85" i="10"/>
  <c r="H85" i="10"/>
  <c r="L85" i="10"/>
  <c r="P85" i="10"/>
  <c r="T85" i="10"/>
  <c r="X85" i="10"/>
  <c r="P86" i="10"/>
  <c r="T86" i="10"/>
  <c r="X86" i="10"/>
  <c r="E84" i="10"/>
  <c r="I84" i="10"/>
  <c r="M84" i="10"/>
  <c r="Q84" i="10"/>
  <c r="U84" i="10"/>
  <c r="Y84" i="10"/>
  <c r="E85" i="10"/>
  <c r="I85" i="10"/>
  <c r="M85" i="10"/>
  <c r="Q85" i="10"/>
  <c r="U85" i="10"/>
  <c r="Y85" i="10"/>
  <c r="M86" i="10"/>
  <c r="Q86" i="10"/>
  <c r="U86" i="10"/>
  <c r="Y86" i="10"/>
  <c r="K84" i="10"/>
  <c r="B84" i="10"/>
  <c r="F84" i="10"/>
  <c r="J84" i="10"/>
  <c r="N84" i="10"/>
  <c r="R84" i="10"/>
  <c r="V84" i="10"/>
  <c r="BE294" i="20" l="1"/>
  <c r="BH191" i="4"/>
  <c r="BI191" i="4" s="1"/>
  <c r="AP8" i="2"/>
  <c r="AP99" i="4" s="1"/>
  <c r="AP10" i="2"/>
  <c r="AP71" i="3"/>
  <c r="AP25" i="2"/>
  <c r="BM191" i="4"/>
  <c r="BH328" i="20"/>
  <c r="BE286" i="20"/>
  <c r="BE357" i="20"/>
  <c r="BF361" i="20"/>
  <c r="BH361" i="20"/>
  <c r="BI361" i="20" s="1"/>
  <c r="BB20" i="20"/>
  <c r="BE77" i="6"/>
  <c r="BK191" i="4" l="1"/>
  <c r="BL191" i="4" s="1"/>
  <c r="AP100" i="5"/>
  <c r="AP108" i="5" s="1"/>
  <c r="AP111" i="5" s="1"/>
  <c r="AP228" i="4"/>
  <c r="AP26" i="2"/>
  <c r="AP33" i="2"/>
  <c r="BE20" i="20"/>
  <c r="BH77" i="6"/>
  <c r="BF357" i="20"/>
  <c r="AP37" i="2" l="1"/>
  <c r="AP157" i="2" s="1"/>
  <c r="AP98" i="5"/>
  <c r="AP99" i="5" s="1"/>
  <c r="AP43" i="2"/>
  <c r="AP116" i="5"/>
  <c r="AP115" i="5"/>
  <c r="AP105" i="4"/>
  <c r="AP62" i="4"/>
  <c r="AP112" i="5"/>
  <c r="AQ112" i="5" s="1"/>
  <c r="AP95" i="5"/>
  <c r="AP229" i="4" l="1"/>
  <c r="AP233" i="4" s="1"/>
  <c r="AP107" i="4"/>
  <c r="AP47" i="2"/>
  <c r="AP46" i="2"/>
  <c r="AI207" i="4"/>
  <c r="AH207" i="4" s="1"/>
  <c r="AH208" i="4" s="1"/>
  <c r="AI202" i="4"/>
  <c r="AH202" i="4" s="1"/>
  <c r="AH203" i="4" s="1"/>
  <c r="AI57" i="4"/>
  <c r="AI107" i="5"/>
  <c r="AH107" i="5" s="1"/>
  <c r="AI104" i="5"/>
  <c r="AI27" i="5"/>
  <c r="AH27" i="5" s="1"/>
  <c r="AI107" i="2"/>
  <c r="AH107" i="2" s="1"/>
  <c r="AI90" i="2"/>
  <c r="AH90" i="2" s="1"/>
  <c r="AP50" i="2" l="1"/>
  <c r="AP54" i="2"/>
  <c r="AH117" i="2"/>
  <c r="AH118" i="2" s="1"/>
  <c r="AJ215" i="4"/>
  <c r="AH57" i="4"/>
  <c r="AH215" i="4" s="1"/>
  <c r="AF60" i="20"/>
  <c r="AI67" i="3"/>
  <c r="AI45" i="3"/>
  <c r="AI46" i="3" s="1"/>
  <c r="AI20" i="3"/>
  <c r="AJ70" i="3"/>
  <c r="AJ25" i="2" s="1"/>
  <c r="AH20" i="3" l="1"/>
  <c r="AH21" i="3" s="1"/>
  <c r="AI21" i="3"/>
  <c r="AH67" i="3"/>
  <c r="AH68" i="3" s="1"/>
  <c r="AI68" i="3"/>
  <c r="AH45" i="3"/>
  <c r="AH46" i="3" s="1"/>
  <c r="AJ33" i="2"/>
  <c r="AJ98" i="5" s="1"/>
  <c r="AJ228" i="4"/>
  <c r="AJ100" i="5"/>
  <c r="AJ108" i="5" s="1"/>
  <c r="AJ111" i="5" s="1"/>
  <c r="W72" i="10"/>
  <c r="W80" i="10"/>
  <c r="AF62" i="20"/>
  <c r="AF59" i="20" s="1"/>
  <c r="AG70" i="3"/>
  <c r="AG25" i="2" s="1"/>
  <c r="AG48" i="3"/>
  <c r="AG9" i="2" s="1"/>
  <c r="AJ37" i="2" l="1"/>
  <c r="AJ157" i="2" s="1"/>
  <c r="AJ43" i="2"/>
  <c r="AJ47" i="2" s="1"/>
  <c r="AG100" i="5"/>
  <c r="AG108" i="5" s="1"/>
  <c r="AG111" i="5" s="1"/>
  <c r="AG228" i="4"/>
  <c r="AG33" i="2"/>
  <c r="AJ99" i="5"/>
  <c r="AJ112" i="5"/>
  <c r="AJ105" i="4"/>
  <c r="AJ62" i="4"/>
  <c r="AF68" i="20"/>
  <c r="AF67" i="20"/>
  <c r="AF66" i="20"/>
  <c r="AJ46" i="2" l="1"/>
  <c r="AJ50" i="2" s="1"/>
  <c r="AJ229" i="4"/>
  <c r="AG105" i="4"/>
  <c r="AG62" i="4"/>
  <c r="AG112" i="5"/>
  <c r="AG43" i="2"/>
  <c r="AG98" i="5"/>
  <c r="AG99" i="5" s="1"/>
  <c r="AG37" i="2"/>
  <c r="AG157" i="2" s="1"/>
  <c r="AJ107" i="4"/>
  <c r="AJ54" i="2" l="1"/>
  <c r="AG106" i="4"/>
  <c r="AG107" i="4"/>
  <c r="AJ106" i="4"/>
  <c r="AG47" i="2"/>
  <c r="AG46" i="2"/>
  <c r="AG229" i="4"/>
  <c r="AG54" i="2" l="1"/>
  <c r="AG50" i="2"/>
  <c r="AJ108" i="4"/>
  <c r="BA96" i="2" l="1"/>
  <c r="BD96" i="2" l="1"/>
  <c r="AZ96" i="2"/>
  <c r="BG96" i="2" l="1"/>
  <c r="BB96" i="2"/>
  <c r="BC96" i="2" s="1"/>
  <c r="AC86" i="20"/>
  <c r="AC91" i="20" s="1"/>
  <c r="AF86" i="20"/>
  <c r="AF91" i="20" s="1"/>
  <c r="AI86" i="20"/>
  <c r="AI91" i="20" s="1"/>
  <c r="AL86" i="20"/>
  <c r="AL91" i="20" s="1"/>
  <c r="AC107" i="20"/>
  <c r="Z110" i="20"/>
  <c r="AL94" i="20"/>
  <c r="A95" i="20"/>
  <c r="AF87" i="20"/>
  <c r="AF95" i="20" s="1"/>
  <c r="AI87" i="20"/>
  <c r="AI95" i="20" s="1"/>
  <c r="AL87" i="20"/>
  <c r="AL95" i="20" s="1"/>
  <c r="AU87" i="20"/>
  <c r="I26" i="53" s="1"/>
  <c r="AC87" i="20"/>
  <c r="AC95" i="20" s="1"/>
  <c r="AF49" i="20"/>
  <c r="AF55" i="20"/>
  <c r="AL74" i="20"/>
  <c r="AI74" i="20"/>
  <c r="AF74" i="20"/>
  <c r="AF52" i="20"/>
  <c r="AI175" i="2" s="1"/>
  <c r="AI52" i="20"/>
  <c r="AL175" i="2" s="1"/>
  <c r="AL52" i="20"/>
  <c r="AC52" i="20"/>
  <c r="AC54" i="20" s="1"/>
  <c r="H26" i="53" l="1"/>
  <c r="H33" i="53" s="1"/>
  <c r="AC108" i="20"/>
  <c r="E22" i="53"/>
  <c r="E14" i="53" s="1"/>
  <c r="F22" i="53"/>
  <c r="F14" i="53" s="1"/>
  <c r="F18" i="53" s="1"/>
  <c r="D22" i="53"/>
  <c r="D14" i="53" s="1"/>
  <c r="AK94" i="20"/>
  <c r="AK96" i="20" s="1"/>
  <c r="AO54" i="20"/>
  <c r="AO108" i="20" s="1"/>
  <c r="AO175" i="2"/>
  <c r="AO53" i="20"/>
  <c r="X110" i="20"/>
  <c r="Y110" i="20" s="1"/>
  <c r="BG130" i="2"/>
  <c r="BB130" i="2"/>
  <c r="BK101" i="4"/>
  <c r="BH101" i="4"/>
  <c r="BJ96" i="2"/>
  <c r="BE96" i="2"/>
  <c r="BF96" i="2" s="1"/>
  <c r="AF175" i="2"/>
  <c r="AD108" i="20"/>
  <c r="AJ108" i="20"/>
  <c r="AG108" i="20"/>
  <c r="AV119" i="6"/>
  <c r="AC73" i="20"/>
  <c r="AC74" i="20" s="1"/>
  <c r="BA280" i="20"/>
  <c r="BC88" i="4"/>
  <c r="AU95" i="20"/>
  <c r="AC89" i="20"/>
  <c r="AL89" i="20"/>
  <c r="AI89" i="20"/>
  <c r="AF89" i="20"/>
  <c r="AF53" i="20"/>
  <c r="AI53" i="20"/>
  <c r="AF54" i="20"/>
  <c r="AF108" i="20" s="1"/>
  <c r="AI54" i="20"/>
  <c r="AI108" i="20" s="1"/>
  <c r="AL54" i="20"/>
  <c r="AL108" i="20" s="1"/>
  <c r="AL53" i="20"/>
  <c r="X107" i="20" l="1"/>
  <c r="AZ87" i="20"/>
  <c r="AZ95" i="20" s="1"/>
  <c r="BM96" i="2"/>
  <c r="BH96" i="2"/>
  <c r="BI96" i="2" s="1"/>
  <c r="BJ130" i="2"/>
  <c r="BE130" i="2"/>
  <c r="AT88" i="6"/>
  <c r="AT118" i="6" s="1"/>
  <c r="AV118" i="6"/>
  <c r="AT89" i="6"/>
  <c r="AT119" i="6" s="1"/>
  <c r="BF88" i="4"/>
  <c r="BD280" i="20"/>
  <c r="AL90" i="20"/>
  <c r="AL96" i="20"/>
  <c r="AC90" i="20"/>
  <c r="AC96" i="20"/>
  <c r="AF90" i="20"/>
  <c r="AF96" i="20"/>
  <c r="AI90" i="20"/>
  <c r="AI96" i="20"/>
  <c r="BC87" i="20" l="1"/>
  <c r="BC95" i="20" s="1"/>
  <c r="BK96" i="2"/>
  <c r="BL96" i="2" s="1"/>
  <c r="BM130" i="2"/>
  <c r="BK130" i="2" s="1"/>
  <c r="BH130" i="2"/>
  <c r="BA118" i="6"/>
  <c r="BB89" i="6"/>
  <c r="BA119" i="6"/>
  <c r="BI88" i="4"/>
  <c r="BG280" i="20"/>
  <c r="I33" i="53"/>
  <c r="I10" i="53"/>
  <c r="J10" i="53"/>
  <c r="K10" i="53"/>
  <c r="L10" i="53"/>
  <c r="M10" i="53"/>
  <c r="BF87" i="20" l="1"/>
  <c r="BF95" i="20" s="1"/>
  <c r="AZ89" i="6"/>
  <c r="AZ119" i="6" s="1"/>
  <c r="BC89" i="6"/>
  <c r="BC119" i="6" s="1"/>
  <c r="BB119" i="6"/>
  <c r="BB88" i="6"/>
  <c r="BB118" i="6" s="1"/>
  <c r="AZ88" i="6"/>
  <c r="AZ118" i="6" s="1"/>
  <c r="BE89" i="6"/>
  <c r="BD119" i="6"/>
  <c r="BD118" i="6"/>
  <c r="BJ280" i="20"/>
  <c r="BL88" i="4" l="1"/>
  <c r="BI87" i="20" s="1"/>
  <c r="BI95" i="20" s="1"/>
  <c r="BJ87" i="20"/>
  <c r="BC88" i="6"/>
  <c r="BC118" i="6" s="1"/>
  <c r="BF89" i="6"/>
  <c r="BF119" i="6" s="1"/>
  <c r="BE119" i="6"/>
  <c r="BK7" i="18"/>
  <c r="BH7" i="18"/>
  <c r="BE88" i="6"/>
  <c r="BE118" i="6" s="1"/>
  <c r="BG118" i="6"/>
  <c r="BH89" i="6"/>
  <c r="BG119" i="6"/>
  <c r="BF88" i="6" l="1"/>
  <c r="BF118" i="6" s="1"/>
  <c r="BH88" i="6"/>
  <c r="BH118" i="6" s="1"/>
  <c r="AS364" i="20"/>
  <c r="AP364" i="20"/>
  <c r="AP367" i="20" s="1"/>
  <c r="BD462" i="20"/>
  <c r="AZ462" i="20"/>
  <c r="AY462" i="20"/>
  <c r="BI89" i="6"/>
  <c r="BI119" i="6" s="1"/>
  <c r="BH119" i="6"/>
  <c r="BA349" i="20"/>
  <c r="BJ119" i="6"/>
  <c r="BJ118" i="6"/>
  <c r="AX87" i="20"/>
  <c r="BA87" i="20"/>
  <c r="BD87" i="20"/>
  <c r="BG87" i="20"/>
  <c r="BI88" i="6" l="1"/>
  <c r="BI118" i="6" s="1"/>
  <c r="BG462" i="20"/>
  <c r="BC462" i="20"/>
  <c r="BB462" i="20"/>
  <c r="BD308" i="20"/>
  <c r="AY308" i="20"/>
  <c r="AY307" i="20" s="1"/>
  <c r="AY55" i="20" s="1"/>
  <c r="AY57" i="20" s="1"/>
  <c r="BM118" i="6"/>
  <c r="BK88" i="6"/>
  <c r="BK118" i="6" s="1"/>
  <c r="BM119" i="6"/>
  <c r="BK89" i="6"/>
  <c r="BD349" i="20"/>
  <c r="AY349" i="20"/>
  <c r="AV55" i="20"/>
  <c r="AV57" i="20" s="1"/>
  <c r="BD95" i="20"/>
  <c r="L26" i="53"/>
  <c r="L33" i="53" s="1"/>
  <c r="BJ95" i="20"/>
  <c r="N26" i="53"/>
  <c r="N33" i="53" s="1"/>
  <c r="AX95" i="20"/>
  <c r="J26" i="53"/>
  <c r="J33" i="53" s="1"/>
  <c r="BG95" i="20"/>
  <c r="M26" i="53"/>
  <c r="M33" i="53" s="1"/>
  <c r="BA95" i="20"/>
  <c r="K26" i="53"/>
  <c r="K33" i="53" s="1"/>
  <c r="BL88" i="6" l="1"/>
  <c r="BL118" i="6" s="1"/>
  <c r="BL89" i="6"/>
  <c r="BL119" i="6" s="1"/>
  <c r="BK119" i="6"/>
  <c r="BG308" i="20"/>
  <c r="BB308" i="20"/>
  <c r="BB307" i="20" s="1"/>
  <c r="BB55" i="20" s="1"/>
  <c r="BB57" i="20" s="1"/>
  <c r="G26" i="53"/>
  <c r="G33" i="53" s="1"/>
  <c r="AV56" i="20"/>
  <c r="AY56" i="20"/>
  <c r="BG349" i="20"/>
  <c r="BB349" i="20"/>
  <c r="BJ462" i="20"/>
  <c r="BF462" i="20"/>
  <c r="BE462" i="20"/>
  <c r="BB92" i="14" l="1"/>
  <c r="BC92" i="14" s="1"/>
  <c r="BC582" i="20" s="1"/>
  <c r="BH92" i="14"/>
  <c r="BI462" i="20"/>
  <c r="BH462" i="20"/>
  <c r="BE92" i="14"/>
  <c r="AV582" i="20"/>
  <c r="AV583" i="20" s="1"/>
  <c r="AW583" i="20" s="1"/>
  <c r="AY92" i="14"/>
  <c r="AY582" i="20" s="1"/>
  <c r="BB56" i="20"/>
  <c r="AP582" i="20"/>
  <c r="AP583" i="20" s="1"/>
  <c r="BJ349" i="20"/>
  <c r="BH349" i="20" s="1"/>
  <c r="BE349" i="20"/>
  <c r="BJ308" i="20"/>
  <c r="BH308" i="20" s="1"/>
  <c r="BE308" i="20"/>
  <c r="BE307" i="20" s="1"/>
  <c r="BE55" i="20" s="1"/>
  <c r="BE57" i="20" s="1"/>
  <c r="AI250" i="14"/>
  <c r="AF250" i="14"/>
  <c r="Z250" i="14"/>
  <c r="W250" i="14"/>
  <c r="A35" i="14"/>
  <c r="A36" i="14"/>
  <c r="A34" i="14"/>
  <c r="AP585" i="20" l="1"/>
  <c r="BB582" i="20"/>
  <c r="BH582" i="20"/>
  <c r="BE582" i="20"/>
  <c r="BB229" i="14"/>
  <c r="AV229" i="14"/>
  <c r="BI92" i="14"/>
  <c r="BC229" i="14"/>
  <c r="AY229" i="14"/>
  <c r="BE229" i="14"/>
  <c r="BH229" i="14"/>
  <c r="AZ92" i="14"/>
  <c r="AZ582" i="20" s="1"/>
  <c r="BF92" i="14"/>
  <c r="AE250" i="14"/>
  <c r="AD250" i="14"/>
  <c r="AW92" i="14"/>
  <c r="AW582" i="20" s="1"/>
  <c r="AW584" i="20" s="1"/>
  <c r="AW585" i="20" s="1"/>
  <c r="AT92" i="14"/>
  <c r="AT582" i="20" s="1"/>
  <c r="AG250" i="14"/>
  <c r="AH250" i="14"/>
  <c r="U250" i="14"/>
  <c r="V250" i="14"/>
  <c r="BE56" i="20"/>
  <c r="Y250" i="14"/>
  <c r="X250" i="14"/>
  <c r="BH307" i="20"/>
  <c r="BH55" i="20" s="1"/>
  <c r="BH57" i="20" s="1"/>
  <c r="AY197" i="14"/>
  <c r="AN197" i="14"/>
  <c r="AI179" i="14"/>
  <c r="AF179" i="14"/>
  <c r="AC179" i="14"/>
  <c r="Z179" i="14"/>
  <c r="AL169" i="14"/>
  <c r="AI169" i="14"/>
  <c r="AF169" i="14"/>
  <c r="BI582" i="20" l="1"/>
  <c r="BF582" i="20"/>
  <c r="BF229" i="14"/>
  <c r="AZ229" i="14"/>
  <c r="AW229" i="14"/>
  <c r="BI229" i="14"/>
  <c r="AT229" i="14"/>
  <c r="Y179" i="14"/>
  <c r="X179" i="14"/>
  <c r="X178" i="14" s="1"/>
  <c r="Y178" i="14" s="1"/>
  <c r="AW197" i="14"/>
  <c r="AV198" i="14"/>
  <c r="AT197" i="14"/>
  <c r="AB179" i="14"/>
  <c r="AA179" i="14"/>
  <c r="AA178" i="14" s="1"/>
  <c r="AB178" i="14" s="1"/>
  <c r="AW217" i="14"/>
  <c r="AV218" i="14"/>
  <c r="AD179" i="14"/>
  <c r="AD178" i="14" s="1"/>
  <c r="AE178" i="14" s="1"/>
  <c r="AE179" i="14"/>
  <c r="AZ197" i="14"/>
  <c r="AY198" i="14"/>
  <c r="BH56" i="20"/>
  <c r="AL179" i="14"/>
  <c r="AO179" i="14" s="1"/>
  <c r="AR179" i="14" s="1"/>
  <c r="AH179" i="14"/>
  <c r="AG179" i="14"/>
  <c r="AG178" i="14" s="1"/>
  <c r="AH178" i="14" s="1"/>
  <c r="AQ179" i="14" l="1"/>
  <c r="AR178" i="14"/>
  <c r="AN179" i="14"/>
  <c r="AO178" i="14"/>
  <c r="AQ168" i="14"/>
  <c r="AQ169" i="14" s="1"/>
  <c r="AJ179" i="14"/>
  <c r="AJ178" i="14" s="1"/>
  <c r="AK179" i="14"/>
  <c r="BB9" i="6"/>
  <c r="AT167" i="14"/>
  <c r="BB12" i="6" l="1"/>
  <c r="BA169" i="14"/>
  <c r="BE9" i="6"/>
  <c r="BK9" i="6" l="1"/>
  <c r="BH9" i="6"/>
  <c r="BE12" i="6"/>
  <c r="BD169" i="14"/>
  <c r="AY169" i="14"/>
  <c r="BG169" i="14" l="1"/>
  <c r="BB169" i="14"/>
  <c r="BK12" i="6"/>
  <c r="BH12" i="6"/>
  <c r="BJ169" i="14" l="1"/>
  <c r="BH169" i="14" s="1"/>
  <c r="BE169" i="14"/>
  <c r="F38" i="53" l="1"/>
  <c r="E38" i="53"/>
  <c r="D38" i="53"/>
  <c r="C38" i="53"/>
  <c r="F33" i="53"/>
  <c r="F31" i="53" s="1"/>
  <c r="E33" i="53"/>
  <c r="D33" i="53"/>
  <c r="D31" i="53" s="1"/>
  <c r="C33" i="53"/>
  <c r="C31" i="53" s="1"/>
  <c r="F29" i="53"/>
  <c r="D24" i="53"/>
  <c r="D29" i="53" s="1"/>
  <c r="C24" i="53"/>
  <c r="C29" i="53" s="1"/>
  <c r="C22" i="53"/>
  <c r="C14" i="53" s="1"/>
  <c r="C13" i="53"/>
  <c r="C17" i="53" s="1"/>
  <c r="F12" i="53"/>
  <c r="E12" i="53"/>
  <c r="E16" i="53" s="1"/>
  <c r="D12" i="53"/>
  <c r="D16" i="53" s="1"/>
  <c r="C12" i="53"/>
  <c r="C16" i="53" s="1"/>
  <c r="F8" i="53"/>
  <c r="E8" i="53"/>
  <c r="D8" i="53"/>
  <c r="C8" i="53"/>
  <c r="E6" i="53"/>
  <c r="E18" i="53" s="1"/>
  <c r="D6" i="53"/>
  <c r="D18" i="53" s="1"/>
  <c r="C6" i="53"/>
  <c r="F4" i="53"/>
  <c r="O22" i="18"/>
  <c r="P22" i="18"/>
  <c r="Q22" i="18"/>
  <c r="T22" i="18"/>
  <c r="S22" i="18" s="1"/>
  <c r="W22" i="18"/>
  <c r="V22" i="18" s="1"/>
  <c r="L22" i="7"/>
  <c r="M22" i="7"/>
  <c r="N22" i="7"/>
  <c r="O22" i="7"/>
  <c r="P22" i="7"/>
  <c r="Q22" i="7"/>
  <c r="T22" i="7"/>
  <c r="S22" i="7" s="1"/>
  <c r="W22" i="7"/>
  <c r="V22" i="7" s="1"/>
  <c r="C36" i="53" l="1"/>
  <c r="C39" i="53"/>
  <c r="D36" i="53"/>
  <c r="D39" i="53"/>
  <c r="F36" i="53"/>
  <c r="F39" i="53"/>
  <c r="F16" i="53"/>
  <c r="C18" i="53"/>
  <c r="AO97" i="3"/>
  <c r="AO83" i="3"/>
  <c r="AR84" i="3" s="1"/>
  <c r="AL97" i="3"/>
  <c r="AL82" i="3"/>
  <c r="AL83" i="3" s="1"/>
  <c r="Z97" i="3"/>
  <c r="AC97" i="3"/>
  <c r="AF97" i="3"/>
  <c r="AI97" i="3"/>
  <c r="AI82" i="3"/>
  <c r="AI83" i="3" s="1"/>
  <c r="AO99" i="3" l="1"/>
  <c r="AL99" i="3"/>
  <c r="AO84" i="3"/>
  <c r="AI99" i="3"/>
  <c r="AL84" i="3"/>
  <c r="AF162" i="14"/>
  <c r="AC169" i="14"/>
  <c r="Z169" i="14"/>
  <c r="AF65" i="14"/>
  <c r="AC65" i="14"/>
  <c r="AM232" i="20" l="1"/>
  <c r="AM235" i="20"/>
  <c r="BA189" i="14"/>
  <c r="AY189" i="14" s="1"/>
  <c r="AL19" i="20"/>
  <c r="BA577" i="20"/>
  <c r="BD565" i="20"/>
  <c r="BG538" i="20"/>
  <c r="AL382" i="20"/>
  <c r="AL383" i="20"/>
  <c r="AL385" i="20"/>
  <c r="AL386" i="20"/>
  <c r="AI382" i="20"/>
  <c r="AI383" i="20"/>
  <c r="AI385" i="20"/>
  <c r="AI386" i="20"/>
  <c r="AI387" i="20"/>
  <c r="AI388" i="20"/>
  <c r="AI389" i="20"/>
  <c r="AI392" i="20"/>
  <c r="AI390" i="20"/>
  <c r="AI391" i="20"/>
  <c r="AI395" i="20"/>
  <c r="AI396" i="20"/>
  <c r="AL396" i="20"/>
  <c r="AL397" i="20"/>
  <c r="AI397" i="20"/>
  <c r="AI398" i="20"/>
  <c r="AL398" i="20"/>
  <c r="AL395" i="20"/>
  <c r="AL391" i="20"/>
  <c r="AL392" i="20"/>
  <c r="AL390" i="20"/>
  <c r="AL465" i="20" s="1"/>
  <c r="AL389" i="20"/>
  <c r="AL388" i="20"/>
  <c r="AL387" i="20"/>
  <c r="AL400" i="20" l="1"/>
  <c r="AI400" i="20"/>
  <c r="AI312" i="20" s="1"/>
  <c r="AL258" i="20"/>
  <c r="AL103" i="20"/>
  <c r="AM231" i="20"/>
  <c r="AN232" i="20"/>
  <c r="AN234" i="20" s="1"/>
  <c r="AQ235" i="20" s="1"/>
  <c r="AJ390" i="20"/>
  <c r="AK390" i="20"/>
  <c r="AL578" i="20"/>
  <c r="AK398" i="20"/>
  <c r="AJ398" i="20"/>
  <c r="AL566" i="20"/>
  <c r="AJ396" i="20"/>
  <c r="AK396" i="20"/>
  <c r="AG390" i="20"/>
  <c r="AH390" i="20"/>
  <c r="AH387" i="20"/>
  <c r="AG387" i="20"/>
  <c r="AH382" i="20"/>
  <c r="AG382" i="20"/>
  <c r="AK382" i="20"/>
  <c r="AJ382" i="20"/>
  <c r="BA559" i="20"/>
  <c r="AL521" i="20"/>
  <c r="AK387" i="20"/>
  <c r="AJ387" i="20"/>
  <c r="AL551" i="20"/>
  <c r="AK392" i="20"/>
  <c r="AJ392" i="20"/>
  <c r="AG398" i="20"/>
  <c r="AH398" i="20"/>
  <c r="AG396" i="20"/>
  <c r="AH396" i="20"/>
  <c r="AG392" i="20"/>
  <c r="AH392" i="20"/>
  <c r="AG386" i="20"/>
  <c r="AH386" i="20"/>
  <c r="AL515" i="20"/>
  <c r="AJ386" i="20"/>
  <c r="AK386" i="20"/>
  <c r="BG565" i="20"/>
  <c r="BB565" i="20"/>
  <c r="BC565" i="20" s="1"/>
  <c r="AP240" i="20"/>
  <c r="AS241" i="20" s="1"/>
  <c r="AL527" i="20"/>
  <c r="AK388" i="20"/>
  <c r="AJ388" i="20"/>
  <c r="AL466" i="20"/>
  <c r="AK391" i="20"/>
  <c r="AJ391" i="20"/>
  <c r="AH397" i="20"/>
  <c r="AG397" i="20"/>
  <c r="AH395" i="20"/>
  <c r="AG395" i="20"/>
  <c r="AH389" i="20"/>
  <c r="AG389" i="20"/>
  <c r="AH385" i="20"/>
  <c r="AG385" i="20"/>
  <c r="AJ385" i="20"/>
  <c r="AK385" i="20"/>
  <c r="BD577" i="20"/>
  <c r="AY577" i="20"/>
  <c r="AZ577" i="20" s="1"/>
  <c r="AM238" i="20"/>
  <c r="AM239" i="20"/>
  <c r="AM252" i="20" s="1"/>
  <c r="AM241" i="20"/>
  <c r="AL464" i="20"/>
  <c r="AJ389" i="20"/>
  <c r="AK389" i="20"/>
  <c r="AJ395" i="20"/>
  <c r="AK395" i="20"/>
  <c r="AL572" i="20"/>
  <c r="AK397" i="20"/>
  <c r="AJ397" i="20"/>
  <c r="AH391" i="20"/>
  <c r="AG391" i="20"/>
  <c r="AG388" i="20"/>
  <c r="AH388" i="20"/>
  <c r="AG383" i="20"/>
  <c r="AH383" i="20"/>
  <c r="AK383" i="20"/>
  <c r="AJ383" i="20"/>
  <c r="BE538" i="20"/>
  <c r="BF538" i="20" s="1"/>
  <c r="AL509" i="20"/>
  <c r="AL460" i="20"/>
  <c r="AL471" i="20" s="1"/>
  <c r="Z71" i="10"/>
  <c r="AL97" i="20"/>
  <c r="AL461" i="20"/>
  <c r="AL545" i="20"/>
  <c r="AL533" i="20"/>
  <c r="AL539" i="20"/>
  <c r="AL462" i="20"/>
  <c r="AL467" i="20"/>
  <c r="AU240" i="20"/>
  <c r="AL463" i="20"/>
  <c r="AL384" i="20"/>
  <c r="AL502" i="20" s="1"/>
  <c r="AL280" i="20"/>
  <c r="AP238" i="20" l="1"/>
  <c r="AP239" i="20"/>
  <c r="AP252" i="20" s="1"/>
  <c r="AL312" i="20"/>
  <c r="AO312" i="20"/>
  <c r="AK400" i="20"/>
  <c r="AH400" i="20"/>
  <c r="AH312" i="20" s="1"/>
  <c r="AG400" i="20"/>
  <c r="AG312" i="20" s="1"/>
  <c r="AJ400" i="20"/>
  <c r="AM536" i="20"/>
  <c r="AO536" i="20"/>
  <c r="AM506" i="20"/>
  <c r="AO506" i="20"/>
  <c r="AM569" i="20"/>
  <c r="AO569" i="20"/>
  <c r="AM563" i="20"/>
  <c r="AO563" i="20"/>
  <c r="AO567" i="20" s="1"/>
  <c r="AM237" i="20"/>
  <c r="AM253" i="20" s="1"/>
  <c r="AN238" i="20"/>
  <c r="AN240" i="20" s="1"/>
  <c r="AM518" i="20"/>
  <c r="AO518" i="20"/>
  <c r="AM530" i="20"/>
  <c r="AO530" i="20"/>
  <c r="AM524" i="20"/>
  <c r="AO524" i="20"/>
  <c r="AM548" i="20"/>
  <c r="AO548" i="20"/>
  <c r="AM499" i="20"/>
  <c r="AO499" i="20"/>
  <c r="AM542" i="20"/>
  <c r="AO542" i="20"/>
  <c r="AM512" i="20"/>
  <c r="AO512" i="20"/>
  <c r="AM575" i="20"/>
  <c r="AO575" i="20"/>
  <c r="AN233" i="20"/>
  <c r="BH68" i="14"/>
  <c r="BJ213" i="14"/>
  <c r="AH463" i="20"/>
  <c r="AH474" i="20" s="1"/>
  <c r="AH527" i="20"/>
  <c r="AJ572" i="20"/>
  <c r="AH393" i="20"/>
  <c r="AH459" i="20" s="1"/>
  <c r="AH460" i="20"/>
  <c r="AH471" i="20" s="1"/>
  <c r="AH509" i="20"/>
  <c r="AK545" i="20"/>
  <c r="AK466" i="20"/>
  <c r="AK477" i="20" s="1"/>
  <c r="AH461" i="20"/>
  <c r="AH472" i="20" s="1"/>
  <c r="AH515" i="20"/>
  <c r="AH566" i="20"/>
  <c r="AJ551" i="20"/>
  <c r="AJ467" i="20"/>
  <c r="AJ478" i="20" s="1"/>
  <c r="AK521" i="20"/>
  <c r="AK462" i="20"/>
  <c r="AK473" i="20" s="1"/>
  <c r="AK384" i="20"/>
  <c r="AG539" i="20"/>
  <c r="AG465" i="20"/>
  <c r="AG476" i="20" s="1"/>
  <c r="AJ578" i="20"/>
  <c r="AJ539" i="20"/>
  <c r="AJ465" i="20"/>
  <c r="AJ476" i="20" s="1"/>
  <c r="AG463" i="20"/>
  <c r="AG474" i="20" s="1"/>
  <c r="AG527" i="20"/>
  <c r="AK572" i="20"/>
  <c r="AK533" i="20"/>
  <c r="AK464" i="20"/>
  <c r="AK475" i="20" s="1"/>
  <c r="AK509" i="20"/>
  <c r="AK460" i="20"/>
  <c r="AK471" i="20" s="1"/>
  <c r="AK393" i="20"/>
  <c r="AG533" i="20"/>
  <c r="AG464" i="20"/>
  <c r="AG475" i="20" s="1"/>
  <c r="AG572" i="20"/>
  <c r="BJ565" i="20"/>
  <c r="BE565" i="20"/>
  <c r="BF565" i="20" s="1"/>
  <c r="AK515" i="20"/>
  <c r="AK461" i="20"/>
  <c r="AK472" i="20" s="1"/>
  <c r="AG515" i="20"/>
  <c r="AG461" i="20"/>
  <c r="AG472" i="20" s="1"/>
  <c r="AG566" i="20"/>
  <c r="AK551" i="20"/>
  <c r="AK467" i="20"/>
  <c r="AK478" i="20" s="1"/>
  <c r="AG521" i="20"/>
  <c r="AG462" i="20"/>
  <c r="AG473" i="20" s="1"/>
  <c r="AK566" i="20"/>
  <c r="AK578" i="20"/>
  <c r="AG545" i="20"/>
  <c r="AG466" i="20"/>
  <c r="AG477" i="20" s="1"/>
  <c r="AJ533" i="20"/>
  <c r="AJ464" i="20"/>
  <c r="AJ475" i="20" s="1"/>
  <c r="BG577" i="20"/>
  <c r="BB577" i="20"/>
  <c r="BC577" i="20" s="1"/>
  <c r="AJ393" i="20"/>
  <c r="AJ509" i="20"/>
  <c r="AJ460" i="20"/>
  <c r="AJ471" i="20" s="1"/>
  <c r="AH464" i="20"/>
  <c r="AH475" i="20" s="1"/>
  <c r="AH533" i="20"/>
  <c r="AH572" i="20"/>
  <c r="AJ527" i="20"/>
  <c r="AJ463" i="20"/>
  <c r="AJ474" i="20" s="1"/>
  <c r="AJ461" i="20"/>
  <c r="AJ472" i="20" s="1"/>
  <c r="AJ515" i="20"/>
  <c r="AH467" i="20"/>
  <c r="AH478" i="20" s="1"/>
  <c r="AH551" i="20"/>
  <c r="AH578" i="20"/>
  <c r="BD559" i="20"/>
  <c r="AY559" i="20"/>
  <c r="AZ559" i="20" s="1"/>
  <c r="AG384" i="20"/>
  <c r="AH521" i="20"/>
  <c r="AH462" i="20"/>
  <c r="AH473" i="20" s="1"/>
  <c r="AJ566" i="20"/>
  <c r="AH466" i="20"/>
  <c r="AH477" i="20" s="1"/>
  <c r="AH545" i="20"/>
  <c r="AG393" i="20"/>
  <c r="AG459" i="20" s="1"/>
  <c r="AG460" i="20"/>
  <c r="AG471" i="20" s="1"/>
  <c r="AG509" i="20"/>
  <c r="AJ466" i="20"/>
  <c r="AJ477" i="20" s="1"/>
  <c r="AJ545" i="20"/>
  <c r="AK527" i="20"/>
  <c r="AK463" i="20"/>
  <c r="AK474" i="20" s="1"/>
  <c r="AP241" i="20"/>
  <c r="AG467" i="20"/>
  <c r="AG478" i="20" s="1"/>
  <c r="AG551" i="20"/>
  <c r="AG578" i="20"/>
  <c r="AJ462" i="20"/>
  <c r="AJ473" i="20" s="1"/>
  <c r="AJ521" i="20"/>
  <c r="AJ384" i="20"/>
  <c r="AH384" i="20"/>
  <c r="AH539" i="20"/>
  <c r="AH465" i="20"/>
  <c r="AH476" i="20" s="1"/>
  <c r="AK539" i="20"/>
  <c r="AK465" i="20"/>
  <c r="AK476" i="20" s="1"/>
  <c r="AU241" i="20"/>
  <c r="AL554" i="20"/>
  <c r="N10" i="53"/>
  <c r="AX234" i="20"/>
  <c r="AX240" i="20" s="1"/>
  <c r="AP237" i="20" l="1"/>
  <c r="AP253" i="20" s="1"/>
  <c r="AQ238" i="20"/>
  <c r="AQ240" i="20" s="1"/>
  <c r="BG44" i="7"/>
  <c r="BB44" i="7"/>
  <c r="AA71" i="10"/>
  <c r="AK312" i="20"/>
  <c r="AJ312" i="20"/>
  <c r="AM312" i="20"/>
  <c r="BH374" i="20"/>
  <c r="BH70" i="14"/>
  <c r="AO516" i="20"/>
  <c r="AO514" i="20"/>
  <c r="AO503" i="20"/>
  <c r="AO501" i="20"/>
  <c r="AO528" i="20"/>
  <c r="AO526" i="20"/>
  <c r="AO522" i="20"/>
  <c r="AO520" i="20"/>
  <c r="AO510" i="20"/>
  <c r="AO508" i="20"/>
  <c r="AO579" i="20"/>
  <c r="AO577" i="20"/>
  <c r="AO546" i="20"/>
  <c r="AO544" i="20"/>
  <c r="AO552" i="20"/>
  <c r="AO550" i="20"/>
  <c r="AO534" i="20"/>
  <c r="AO532" i="20"/>
  <c r="AN239" i="20"/>
  <c r="AN252" i="20" s="1"/>
  <c r="AO573" i="20"/>
  <c r="AO571" i="20"/>
  <c r="AO540" i="20"/>
  <c r="AO538" i="20"/>
  <c r="BI68" i="14"/>
  <c r="AH485" i="20"/>
  <c r="AJ490" i="20"/>
  <c r="AJ485" i="20"/>
  <c r="AG486" i="20"/>
  <c r="AG491" i="20"/>
  <c r="AK479" i="20"/>
  <c r="AJ479" i="20"/>
  <c r="AK487" i="20"/>
  <c r="AH488" i="20"/>
  <c r="AY217" i="14"/>
  <c r="AH489" i="20"/>
  <c r="AK518" i="20"/>
  <c r="AK522" i="20" s="1"/>
  <c r="AH548" i="20"/>
  <c r="AH552" i="20" s="1"/>
  <c r="AG453" i="20"/>
  <c r="AG484" i="20"/>
  <c r="AG447" i="20"/>
  <c r="AH490" i="20"/>
  <c r="AK506" i="20"/>
  <c r="BJ577" i="20"/>
  <c r="BE577" i="20"/>
  <c r="BF577" i="20" s="1"/>
  <c r="AG490" i="20"/>
  <c r="AK485" i="20"/>
  <c r="BH565" i="20"/>
  <c r="BI565" i="20" s="1"/>
  <c r="AH569" i="20"/>
  <c r="AH573" i="20" s="1"/>
  <c r="AK394" i="20"/>
  <c r="AK402" i="20" s="1"/>
  <c r="AK459" i="20"/>
  <c r="AH524" i="20"/>
  <c r="AH528" i="20" s="1"/>
  <c r="AJ489" i="20"/>
  <c r="AG489" i="20"/>
  <c r="AK548" i="20"/>
  <c r="AK552" i="20" s="1"/>
  <c r="AW465" i="20"/>
  <c r="AH479" i="20"/>
  <c r="AH502" i="20"/>
  <c r="AH457" i="20"/>
  <c r="AH470" i="20" s="1"/>
  <c r="AH394" i="20"/>
  <c r="AH402" i="20" s="1"/>
  <c r="AK524" i="20"/>
  <c r="AK528" i="20" s="1"/>
  <c r="AJ394" i="20"/>
  <c r="AJ402" i="20" s="1"/>
  <c r="AJ459" i="20"/>
  <c r="AK530" i="20"/>
  <c r="AH512" i="20"/>
  <c r="AH516" i="20" s="1"/>
  <c r="AK569" i="20"/>
  <c r="AK573" i="20" s="1"/>
  <c r="AK489" i="20"/>
  <c r="AK542" i="20"/>
  <c r="AK546" i="20" s="1"/>
  <c r="AH506" i="20"/>
  <c r="AH510" i="20" s="1"/>
  <c r="AK563" i="20"/>
  <c r="AK567" i="20" s="1"/>
  <c r="AH491" i="20"/>
  <c r="AV232" i="20"/>
  <c r="AV240" i="20"/>
  <c r="AV233" i="20"/>
  <c r="AV249" i="20" s="1"/>
  <c r="AY234" i="20"/>
  <c r="AJ447" i="20"/>
  <c r="AJ484" i="20"/>
  <c r="AH542" i="20"/>
  <c r="AH546" i="20" s="1"/>
  <c r="AK491" i="20"/>
  <c r="AH563" i="20"/>
  <c r="AH567" i="20" s="1"/>
  <c r="AG488" i="20"/>
  <c r="AK488" i="20"/>
  <c r="AH536" i="20"/>
  <c r="AH540" i="20" s="1"/>
  <c r="AJ491" i="20"/>
  <c r="AK490" i="20"/>
  <c r="AH484" i="20"/>
  <c r="AH447" i="20"/>
  <c r="AJ453" i="20"/>
  <c r="AH487" i="20"/>
  <c r="AY187" i="14"/>
  <c r="AJ502" i="20"/>
  <c r="AJ457" i="20"/>
  <c r="AJ470" i="20" s="1"/>
  <c r="AJ486" i="20"/>
  <c r="AH575" i="20"/>
  <c r="AH579" i="20" s="1"/>
  <c r="AG479" i="20"/>
  <c r="AK453" i="20"/>
  <c r="AH486" i="20"/>
  <c r="AG457" i="20"/>
  <c r="AG470" i="20" s="1"/>
  <c r="AG394" i="20"/>
  <c r="AG402" i="20" s="1"/>
  <c r="AG502" i="20"/>
  <c r="BG559" i="20"/>
  <c r="BB559" i="20"/>
  <c r="BC559" i="20" s="1"/>
  <c r="AK512" i="20"/>
  <c r="AK516" i="20" s="1"/>
  <c r="AJ487" i="20"/>
  <c r="AH453" i="20"/>
  <c r="AJ488" i="20"/>
  <c r="AH518" i="20"/>
  <c r="AH522" i="20" s="1"/>
  <c r="AG485" i="20"/>
  <c r="AH530" i="20"/>
  <c r="AH534" i="20" s="1"/>
  <c r="AK447" i="20"/>
  <c r="AK484" i="20"/>
  <c r="AG487" i="20"/>
  <c r="AK536" i="20"/>
  <c r="AK540" i="20" s="1"/>
  <c r="AK575" i="20"/>
  <c r="AK579" i="20" s="1"/>
  <c r="AK502" i="20"/>
  <c r="AK457" i="20"/>
  <c r="AK470" i="20" s="1"/>
  <c r="AK486" i="20"/>
  <c r="Z79" i="10"/>
  <c r="AX241" i="20"/>
  <c r="A56" i="7"/>
  <c r="A63" i="7" s="1"/>
  <c r="A57" i="7"/>
  <c r="A64" i="7" s="1"/>
  <c r="A58" i="7"/>
  <c r="A65" i="7" s="1"/>
  <c r="A59" i="7"/>
  <c r="A66" i="7" s="1"/>
  <c r="A55" i="7"/>
  <c r="A62" i="7" s="1"/>
  <c r="AO18" i="7"/>
  <c r="AO18" i="18"/>
  <c r="AO55" i="18"/>
  <c r="AO56" i="18"/>
  <c r="AO57" i="18"/>
  <c r="AO54" i="18"/>
  <c r="A55" i="18"/>
  <c r="A61" i="18" s="1"/>
  <c r="A56" i="18"/>
  <c r="A62" i="18" s="1"/>
  <c r="A57" i="18"/>
  <c r="A63" i="18" s="1"/>
  <c r="A54" i="18"/>
  <c r="A60" i="18" s="1"/>
  <c r="AL162" i="14"/>
  <c r="BJ87" i="6"/>
  <c r="BM87" i="6"/>
  <c r="AO87" i="6"/>
  <c r="AL87" i="6"/>
  <c r="AQ241" i="20" l="1"/>
  <c r="AQ239" i="20"/>
  <c r="AQ252" i="20" s="1"/>
  <c r="BJ44" i="7"/>
  <c r="BE44" i="7"/>
  <c r="AN57" i="18"/>
  <c r="AR63" i="18"/>
  <c r="AN54" i="18"/>
  <c r="AR60" i="18"/>
  <c r="AN56" i="18"/>
  <c r="AR62" i="18"/>
  <c r="AN55" i="18"/>
  <c r="AR61" i="18"/>
  <c r="BH357" i="20"/>
  <c r="BH294" i="20"/>
  <c r="BK77" i="6" s="1"/>
  <c r="BH286" i="20"/>
  <c r="BH76" i="20"/>
  <c r="BH376" i="20"/>
  <c r="BI374" i="20"/>
  <c r="BI376" i="20" s="1"/>
  <c r="BI70" i="14"/>
  <c r="AH514" i="20"/>
  <c r="AJ480" i="20"/>
  <c r="AH538" i="20"/>
  <c r="AH508" i="20"/>
  <c r="AK480" i="20"/>
  <c r="AH550" i="20"/>
  <c r="AH526" i="20"/>
  <c r="AK520" i="20"/>
  <c r="AK571" i="20"/>
  <c r="AK526" i="20"/>
  <c r="AK514" i="20"/>
  <c r="AH499" i="20"/>
  <c r="AH503" i="20" s="1"/>
  <c r="AH492" i="20"/>
  <c r="AH520" i="20"/>
  <c r="AH565" i="20"/>
  <c r="AH544" i="20"/>
  <c r="AZ465" i="20"/>
  <c r="AY465" i="20"/>
  <c r="AK508" i="20"/>
  <c r="AK510" i="20"/>
  <c r="AJ351" i="20"/>
  <c r="AJ298" i="20" s="1"/>
  <c r="AG351" i="20"/>
  <c r="AG298" i="20" s="1"/>
  <c r="AZ217" i="14"/>
  <c r="AY218" i="14"/>
  <c r="AK499" i="20"/>
  <c r="AK503" i="20" s="1"/>
  <c r="AZ187" i="14"/>
  <c r="AY188" i="14"/>
  <c r="AJ492" i="20"/>
  <c r="AV241" i="20"/>
  <c r="AV239" i="20"/>
  <c r="AV252" i="20" s="1"/>
  <c r="AV238" i="20"/>
  <c r="AV237" i="20" s="1"/>
  <c r="AV253" i="20" s="1"/>
  <c r="AK544" i="20"/>
  <c r="AH571" i="20"/>
  <c r="BB217" i="14"/>
  <c r="AH351" i="20"/>
  <c r="AK351" i="20"/>
  <c r="AG480" i="20"/>
  <c r="BB187" i="14"/>
  <c r="AK577" i="20"/>
  <c r="AV231" i="20"/>
  <c r="AV250" i="20" s="1"/>
  <c r="AH532" i="20"/>
  <c r="BH577" i="20"/>
  <c r="BI577" i="20" s="1"/>
  <c r="AK538" i="20"/>
  <c r="AK492" i="20"/>
  <c r="BJ559" i="20"/>
  <c r="BE559" i="20"/>
  <c r="BF559" i="20" s="1"/>
  <c r="AY240" i="20"/>
  <c r="AY233" i="20"/>
  <c r="AY249" i="20" s="1"/>
  <c r="AY232" i="20"/>
  <c r="BB234" i="20"/>
  <c r="AK532" i="20"/>
  <c r="AK534" i="20"/>
  <c r="AH577" i="20"/>
  <c r="AH480" i="20"/>
  <c r="AK550" i="20"/>
  <c r="AG492" i="20"/>
  <c r="AO53" i="18"/>
  <c r="AR73" i="2"/>
  <c r="AI66" i="3"/>
  <c r="AF66" i="3"/>
  <c r="Y31" i="10"/>
  <c r="X31" i="10"/>
  <c r="W31" i="10"/>
  <c r="AL307" i="20"/>
  <c r="AL323" i="20"/>
  <c r="AF202" i="14"/>
  <c r="AI202" i="14"/>
  <c r="AL202" i="14"/>
  <c r="AF212" i="14"/>
  <c r="AI212" i="14"/>
  <c r="AL212" i="14"/>
  <c r="AF192" i="14"/>
  <c r="AI192" i="14"/>
  <c r="AL192" i="14"/>
  <c r="AF172" i="14"/>
  <c r="AI172" i="14"/>
  <c r="AL172" i="14"/>
  <c r="AL182" i="14"/>
  <c r="AI182" i="14"/>
  <c r="AF182" i="14"/>
  <c r="AI162" i="14"/>
  <c r="AO65" i="4"/>
  <c r="AN65" i="4" s="1"/>
  <c r="AN63" i="4"/>
  <c r="AO104" i="5"/>
  <c r="AO107" i="5"/>
  <c r="AN107" i="5" s="1"/>
  <c r="BK50" i="2" l="1"/>
  <c r="BH50" i="2"/>
  <c r="AN53" i="18"/>
  <c r="AQ59" i="18" s="1"/>
  <c r="BM44" i="7"/>
  <c r="BK44" i="7" s="1"/>
  <c r="BH44" i="7"/>
  <c r="AR59" i="18"/>
  <c r="AQ61" i="18"/>
  <c r="AQ62" i="18"/>
  <c r="AQ60" i="18"/>
  <c r="AQ63" i="18"/>
  <c r="AO308" i="20"/>
  <c r="AL311" i="20"/>
  <c r="BH20" i="20"/>
  <c r="BI76" i="20"/>
  <c r="BI357" i="20"/>
  <c r="AA79" i="10"/>
  <c r="AH501" i="20"/>
  <c r="AQ73" i="2"/>
  <c r="AP73" i="2"/>
  <c r="AY239" i="20"/>
  <c r="AY252" i="20" s="1"/>
  <c r="AY238" i="20"/>
  <c r="AY237" i="20" s="1"/>
  <c r="AY253" i="20" s="1"/>
  <c r="AY241" i="20"/>
  <c r="BH559" i="20"/>
  <c r="BI559" i="20" s="1"/>
  <c r="AG297" i="20"/>
  <c r="BB240" i="20"/>
  <c r="BB233" i="20"/>
  <c r="BB249" i="20" s="1"/>
  <c r="BB232" i="20"/>
  <c r="BE234" i="20"/>
  <c r="BC187" i="14"/>
  <c r="AK501" i="20"/>
  <c r="AJ297" i="20"/>
  <c r="AK307" i="20"/>
  <c r="AN308" i="20" s="1"/>
  <c r="AL49" i="20"/>
  <c r="AO50" i="20" s="1"/>
  <c r="AY231" i="20"/>
  <c r="AY250" i="20" s="1"/>
  <c r="BH187" i="14"/>
  <c r="BE187" i="14"/>
  <c r="BC217" i="14"/>
  <c r="BB218" i="14"/>
  <c r="BE217" i="14"/>
  <c r="AL55" i="20"/>
  <c r="AO56" i="20" s="1"/>
  <c r="AL425" i="20"/>
  <c r="AL409" i="20"/>
  <c r="AL457" i="20" s="1"/>
  <c r="C10" i="54" l="1"/>
  <c r="AB71" i="10"/>
  <c r="AP74" i="2"/>
  <c r="AP65" i="2" s="1"/>
  <c r="AY244" i="20"/>
  <c r="AY243" i="20" s="1"/>
  <c r="AY255" i="20" s="1"/>
  <c r="AY256" i="20" s="1"/>
  <c r="BE233" i="20"/>
  <c r="BE249" i="20" s="1"/>
  <c r="BE240" i="20"/>
  <c r="BE232" i="20"/>
  <c r="BH234" i="20"/>
  <c r="BH217" i="14"/>
  <c r="BH218" i="14" s="1"/>
  <c r="BF187" i="14"/>
  <c r="BF217" i="14"/>
  <c r="BE218" i="14"/>
  <c r="BB231" i="20"/>
  <c r="BB250" i="20" s="1"/>
  <c r="BI187" i="14"/>
  <c r="AK55" i="20"/>
  <c r="BB239" i="20"/>
  <c r="BB252" i="20" s="1"/>
  <c r="BB238" i="20"/>
  <c r="BB237" i="20" s="1"/>
  <c r="BB253" i="20" s="1"/>
  <c r="BB241" i="20"/>
  <c r="AZ13" i="18"/>
  <c r="BD13" i="18"/>
  <c r="AR55" i="20"/>
  <c r="AL22" i="20"/>
  <c r="AL21" i="20"/>
  <c r="AL287" i="20" s="1"/>
  <c r="AL20" i="20"/>
  <c r="AL286" i="20" s="1"/>
  <c r="AO47" i="18"/>
  <c r="AO40" i="18"/>
  <c r="AO6" i="18"/>
  <c r="AO4" i="18"/>
  <c r="AO47" i="7"/>
  <c r="AO6" i="7"/>
  <c r="AO4" i="7"/>
  <c r="AL22" i="14"/>
  <c r="AL256" i="14" s="1"/>
  <c r="AL20" i="14"/>
  <c r="AL40" i="14" s="1"/>
  <c r="AO125" i="6"/>
  <c r="AO75" i="6"/>
  <c r="AO6" i="6"/>
  <c r="AO91" i="6" s="1"/>
  <c r="AO4" i="6"/>
  <c r="F10" i="54" l="1"/>
  <c r="D10" i="54"/>
  <c r="AR56" i="20"/>
  <c r="BD550" i="20"/>
  <c r="AY550" i="20"/>
  <c r="AZ550" i="20" s="1"/>
  <c r="AN56" i="20"/>
  <c r="BI217" i="14"/>
  <c r="BE239" i="20"/>
  <c r="BE252" i="20" s="1"/>
  <c r="BE238" i="20"/>
  <c r="BE237" i="20" s="1"/>
  <c r="BE253" i="20" s="1"/>
  <c r="BE241" i="20"/>
  <c r="BB13" i="18"/>
  <c r="BC13" i="18" s="1"/>
  <c r="BG13" i="18"/>
  <c r="BB244" i="20"/>
  <c r="BB243" i="20" s="1"/>
  <c r="BB255" i="20" s="1"/>
  <c r="BH233" i="20"/>
  <c r="BH249" i="20" s="1"/>
  <c r="BH232" i="20"/>
  <c r="BH240" i="20"/>
  <c r="BE231" i="20"/>
  <c r="BE250" i="20" s="1"/>
  <c r="AL358" i="20"/>
  <c r="AL98" i="20"/>
  <c r="AL24" i="7"/>
  <c r="AO9" i="7"/>
  <c r="AO12" i="7"/>
  <c r="AO9" i="18"/>
  <c r="AO12" i="18"/>
  <c r="AO23" i="18"/>
  <c r="AL24" i="18"/>
  <c r="AL294" i="20"/>
  <c r="AL339" i="20" s="1"/>
  <c r="AL293" i="20"/>
  <c r="AL295" i="20"/>
  <c r="AO7" i="7"/>
  <c r="AO7" i="18"/>
  <c r="AO5" i="7"/>
  <c r="AO119" i="5"/>
  <c r="AO118" i="5"/>
  <c r="AO70" i="5"/>
  <c r="AN70" i="5" s="1"/>
  <c r="AO62" i="5"/>
  <c r="AN62" i="5" s="1"/>
  <c r="AO23" i="5"/>
  <c r="AN23" i="5" s="1"/>
  <c r="AO24" i="5"/>
  <c r="AO15" i="5"/>
  <c r="AN15" i="5" s="1"/>
  <c r="AN114" i="2" s="1"/>
  <c r="AO10" i="5"/>
  <c r="AN10" i="5" s="1"/>
  <c r="AN9" i="5" s="1"/>
  <c r="AO256" i="4"/>
  <c r="AO249" i="4"/>
  <c r="AO251" i="4" s="1"/>
  <c r="AO207" i="4"/>
  <c r="AN207" i="4" s="1"/>
  <c r="AO202" i="4"/>
  <c r="AN202" i="4" s="1"/>
  <c r="AO176" i="4"/>
  <c r="AO164" i="4"/>
  <c r="AO145" i="4"/>
  <c r="AO149" i="4" s="1"/>
  <c r="AO132" i="4"/>
  <c r="AO136" i="4" s="1"/>
  <c r="AO125" i="4"/>
  <c r="AO120" i="4"/>
  <c r="AO85" i="4"/>
  <c r="AO80" i="4" s="1"/>
  <c r="C23" i="54" l="1"/>
  <c r="AQ55" i="20"/>
  <c r="AL342" i="20"/>
  <c r="AK342" i="20" s="1"/>
  <c r="AT307" i="20"/>
  <c r="AT308" i="20" s="1"/>
  <c r="AK339" i="20"/>
  <c r="AB79" i="10"/>
  <c r="AP158" i="4"/>
  <c r="AP163" i="4" s="1"/>
  <c r="AR158" i="4"/>
  <c r="AP170" i="4"/>
  <c r="AP175" i="4" s="1"/>
  <c r="AR170" i="4"/>
  <c r="AR175" i="4" s="1"/>
  <c r="BB550" i="20"/>
  <c r="BC550" i="20" s="1"/>
  <c r="BG550" i="20"/>
  <c r="AN60" i="5"/>
  <c r="AN89" i="5"/>
  <c r="BE244" i="20"/>
  <c r="BE243" i="20" s="1"/>
  <c r="BE255" i="20" s="1"/>
  <c r="BE256" i="20" s="1"/>
  <c r="BH239" i="20"/>
  <c r="BH252" i="20" s="1"/>
  <c r="BH238" i="20"/>
  <c r="BH237" i="20" s="1"/>
  <c r="BH253" i="20" s="1"/>
  <c r="BH241" i="20"/>
  <c r="BE13" i="18"/>
  <c r="BF13" i="18" s="1"/>
  <c r="BJ13" i="18"/>
  <c r="BH231" i="20"/>
  <c r="BH250" i="20" s="1"/>
  <c r="BB256" i="20"/>
  <c r="AU55" i="20"/>
  <c r="I6" i="53"/>
  <c r="AX307" i="20"/>
  <c r="AL348" i="20"/>
  <c r="AK348" i="20" s="1"/>
  <c r="AO257" i="4"/>
  <c r="AO57" i="4"/>
  <c r="AR215" i="4" s="1"/>
  <c r="AL336" i="20" l="1"/>
  <c r="AL110" i="20" s="1"/>
  <c r="AQ56" i="20"/>
  <c r="AT55" i="20"/>
  <c r="AL338" i="20"/>
  <c r="AW307" i="20"/>
  <c r="AW55" i="20" s="1"/>
  <c r="AX311" i="20"/>
  <c r="AQ175" i="4"/>
  <c r="AQ176" i="4" s="1"/>
  <c r="BE550" i="20"/>
  <c r="BF550" i="20" s="1"/>
  <c r="BJ550" i="20"/>
  <c r="BH550" i="20" s="1"/>
  <c r="BI550" i="20" s="1"/>
  <c r="AP215" i="4"/>
  <c r="AO259" i="4"/>
  <c r="AN257" i="4"/>
  <c r="AN259" i="4" s="1"/>
  <c r="AN260" i="4" s="1"/>
  <c r="AN212" i="4"/>
  <c r="AN74" i="5"/>
  <c r="BH244" i="20"/>
  <c r="BH243" i="20" s="1"/>
  <c r="BH255" i="20" s="1"/>
  <c r="BH13" i="18"/>
  <c r="BI13" i="18" s="1"/>
  <c r="BM13" i="18"/>
  <c r="AK28" i="20"/>
  <c r="AX55" i="20"/>
  <c r="AX56" i="20" s="1"/>
  <c r="J6" i="53"/>
  <c r="BA307" i="20"/>
  <c r="AU56" i="20"/>
  <c r="BK55" i="20"/>
  <c r="AO33" i="4"/>
  <c r="AN33" i="4" s="1"/>
  <c r="AO26" i="4"/>
  <c r="AN26" i="4" s="1"/>
  <c r="AO15" i="4"/>
  <c r="AO117" i="2"/>
  <c r="AO36" i="2"/>
  <c r="AN36" i="2" s="1"/>
  <c r="AO103" i="2"/>
  <c r="AN103" i="2" s="1"/>
  <c r="AN109" i="2" s="1"/>
  <c r="AO67" i="3"/>
  <c r="AO68" i="3" s="1"/>
  <c r="AO45" i="3"/>
  <c r="AK110" i="20" l="1"/>
  <c r="AN111" i="20" s="1"/>
  <c r="AN114" i="20" s="1"/>
  <c r="AO111" i="20"/>
  <c r="AO114" i="20" s="1"/>
  <c r="AL257" i="20"/>
  <c r="AL270" i="20" s="1"/>
  <c r="AK270" i="20" s="1"/>
  <c r="AL105" i="20"/>
  <c r="AN45" i="3"/>
  <c r="AN46" i="3" s="1"/>
  <c r="AO46" i="3"/>
  <c r="AO337" i="20"/>
  <c r="AT56" i="20"/>
  <c r="AK336" i="20"/>
  <c r="AN337" i="20" s="1"/>
  <c r="AW308" i="20"/>
  <c r="AZ307" i="20"/>
  <c r="AZ308" i="20" s="1"/>
  <c r="BA311" i="20"/>
  <c r="AN67" i="3"/>
  <c r="AN68" i="3" s="1"/>
  <c r="AN34" i="2"/>
  <c r="AN153" i="2" s="1"/>
  <c r="AO77" i="4"/>
  <c r="AN15" i="4"/>
  <c r="AN78" i="4"/>
  <c r="AN30" i="4"/>
  <c r="BH256" i="20"/>
  <c r="BK13" i="18"/>
  <c r="BL13" i="18" s="1"/>
  <c r="AW56" i="20"/>
  <c r="AO78" i="4"/>
  <c r="Y80" i="10"/>
  <c r="BA55" i="20"/>
  <c r="BD307" i="20"/>
  <c r="K6" i="53"/>
  <c r="AL35" i="20" l="1"/>
  <c r="AL104" i="20"/>
  <c r="AZ55" i="20"/>
  <c r="AZ56" i="20" s="1"/>
  <c r="BC307" i="20"/>
  <c r="BC55" i="20" s="1"/>
  <c r="BD311" i="20"/>
  <c r="AN77" i="4"/>
  <c r="AN21" i="4"/>
  <c r="AN22" i="4" s="1"/>
  <c r="AJ105" i="20"/>
  <c r="AJ73" i="20"/>
  <c r="AG73" i="20"/>
  <c r="AG105" i="20"/>
  <c r="BD55" i="20"/>
  <c r="BD56" i="20" s="1"/>
  <c r="L6" i="53"/>
  <c r="BG307" i="20"/>
  <c r="BA56" i="20"/>
  <c r="BL55" i="20"/>
  <c r="BC308" i="20" l="1"/>
  <c r="BF307" i="20"/>
  <c r="BF308" i="20" s="1"/>
  <c r="BG311" i="20"/>
  <c r="AN79" i="4"/>
  <c r="AJ35" i="20"/>
  <c r="AJ104" i="20"/>
  <c r="AG35" i="20"/>
  <c r="AG104" i="20"/>
  <c r="BC56" i="20"/>
  <c r="AJ124" i="20"/>
  <c r="AJ41" i="20"/>
  <c r="AG79" i="20"/>
  <c r="AG83" i="20" s="1"/>
  <c r="AG74" i="20"/>
  <c r="AJ74" i="20"/>
  <c r="AJ79" i="20"/>
  <c r="AJ83" i="20" s="1"/>
  <c r="BG55" i="20"/>
  <c r="BG56" i="20" s="1"/>
  <c r="BJ307" i="20"/>
  <c r="BJ311" i="20" s="1"/>
  <c r="M6" i="53"/>
  <c r="AM70" i="3"/>
  <c r="AM23" i="3"/>
  <c r="X70" i="3"/>
  <c r="X25" i="2" s="1"/>
  <c r="BF55" i="20" l="1"/>
  <c r="AJ80" i="20"/>
  <c r="AJ84" i="20" s="1"/>
  <c r="AJ306" i="20"/>
  <c r="AG80" i="20"/>
  <c r="AG84" i="20" s="1"/>
  <c r="AG306" i="20"/>
  <c r="AM25" i="2"/>
  <c r="AM100" i="5" s="1"/>
  <c r="AM108" i="5" s="1"/>
  <c r="AM111" i="5" s="1"/>
  <c r="AM5" i="2"/>
  <c r="AM172" i="4" s="1"/>
  <c r="BI307" i="20"/>
  <c r="BI308" i="20" s="1"/>
  <c r="BK307" i="20"/>
  <c r="X33" i="2"/>
  <c r="BA26" i="4"/>
  <c r="AW26" i="4"/>
  <c r="AN224" i="4"/>
  <c r="AN225" i="4" s="1"/>
  <c r="AN226" i="4" s="1"/>
  <c r="AN93" i="4"/>
  <c r="AN92" i="4" s="1"/>
  <c r="AN81" i="4"/>
  <c r="AM71" i="3"/>
  <c r="AJ137" i="20"/>
  <c r="AJ101" i="6"/>
  <c r="AG37" i="20"/>
  <c r="AG43" i="20" s="1"/>
  <c r="AG36" i="20"/>
  <c r="AP26" i="3"/>
  <c r="AP24" i="3"/>
  <c r="AM49" i="3"/>
  <c r="AM101" i="6"/>
  <c r="AJ36" i="20"/>
  <c r="AJ37" i="20"/>
  <c r="AJ43" i="20" s="1"/>
  <c r="N6" i="53"/>
  <c r="BJ55" i="20"/>
  <c r="BJ56" i="20" s="1"/>
  <c r="BF56" i="20" l="1"/>
  <c r="AM33" i="2"/>
  <c r="AM37" i="2" s="1"/>
  <c r="AM157" i="2" s="1"/>
  <c r="AM160" i="4"/>
  <c r="AM228" i="4"/>
  <c r="BI55" i="20"/>
  <c r="AM123" i="2"/>
  <c r="AM121" i="2"/>
  <c r="AM7" i="2"/>
  <c r="AM16" i="2" s="1"/>
  <c r="AM26" i="2"/>
  <c r="AM8" i="2"/>
  <c r="AM99" i="4" s="1"/>
  <c r="AM142" i="2"/>
  <c r="AM162" i="4"/>
  <c r="AM174" i="4"/>
  <c r="AM153" i="4"/>
  <c r="AM139" i="4"/>
  <c r="AM130" i="2"/>
  <c r="AM98" i="4"/>
  <c r="AM10" i="2"/>
  <c r="AM151" i="4"/>
  <c r="AM122" i="2"/>
  <c r="AJ39" i="20"/>
  <c r="AP27" i="3"/>
  <c r="X43" i="2"/>
  <c r="X98" i="5"/>
  <c r="X108" i="5" s="1"/>
  <c r="X111" i="5" s="1"/>
  <c r="X37" i="2"/>
  <c r="X157" i="2" s="1"/>
  <c r="BD26" i="4"/>
  <c r="AZ26" i="4"/>
  <c r="BB26" i="4"/>
  <c r="AM115" i="5"/>
  <c r="AM62" i="4"/>
  <c r="AM112" i="5"/>
  <c r="AM105" i="4"/>
  <c r="AG39" i="20"/>
  <c r="AM102" i="6"/>
  <c r="AM100" i="6" s="1"/>
  <c r="AM104" i="6" s="1"/>
  <c r="AM126" i="6" s="1"/>
  <c r="AJ42" i="20"/>
  <c r="AJ45" i="20" s="1"/>
  <c r="AJ102" i="6"/>
  <c r="AJ100" i="6" s="1"/>
  <c r="AJ104" i="6" s="1"/>
  <c r="AJ126" i="6" s="1"/>
  <c r="AG42" i="20"/>
  <c r="BI56" i="20" l="1"/>
  <c r="AM43" i="2"/>
  <c r="AM46" i="2" s="1"/>
  <c r="AM98" i="5"/>
  <c r="AM99" i="5" s="1"/>
  <c r="AM12" i="2"/>
  <c r="AM13" i="2" s="1"/>
  <c r="AM18" i="2"/>
  <c r="X112" i="5"/>
  <c r="Y112" i="5" s="1"/>
  <c r="X105" i="4"/>
  <c r="X46" i="2"/>
  <c r="X47" i="2"/>
  <c r="BG26" i="4"/>
  <c r="BC26" i="4"/>
  <c r="BE26" i="4"/>
  <c r="AM229" i="4"/>
  <c r="AM106" i="4"/>
  <c r="AM107" i="4"/>
  <c r="AP106" i="4"/>
  <c r="AN38" i="3"/>
  <c r="AM47" i="2" l="1"/>
  <c r="AM23" i="2"/>
  <c r="AM5" i="5" s="1"/>
  <c r="AM29" i="5" s="1"/>
  <c r="X50" i="2"/>
  <c r="X54" i="2"/>
  <c r="AM54" i="2"/>
  <c r="AM50" i="2"/>
  <c r="BJ26" i="4"/>
  <c r="BF26" i="4"/>
  <c r="BH26" i="4"/>
  <c r="AM108" i="4"/>
  <c r="AP108" i="4"/>
  <c r="AM233" i="4"/>
  <c r="AM32" i="2" l="1"/>
  <c r="AM38" i="2" s="1"/>
  <c r="AM42" i="2" s="1"/>
  <c r="AM44" i="2" s="1"/>
  <c r="AM31" i="5"/>
  <c r="AM76" i="5" s="1"/>
  <c r="AM88" i="5"/>
  <c r="AM94" i="5" s="1"/>
  <c r="AM95" i="5" s="1"/>
  <c r="BM26" i="4"/>
  <c r="BI26" i="4"/>
  <c r="BK26" i="4"/>
  <c r="BL26" i="4" l="1"/>
  <c r="AM45" i="2"/>
  <c r="AM116" i="5"/>
  <c r="AJ57" i="14" l="1"/>
  <c r="AJ48" i="14" s="1"/>
  <c r="AJ65" i="14"/>
  <c r="AJ61" i="14"/>
  <c r="AJ50" i="14" l="1"/>
  <c r="AJ51" i="14" s="1"/>
  <c r="AJ55" i="14"/>
  <c r="AL67" i="3" l="1"/>
  <c r="AL45" i="3"/>
  <c r="AL46" i="3" s="1"/>
  <c r="AL20" i="3"/>
  <c r="AK20" i="3" l="1"/>
  <c r="AK21" i="3" s="1"/>
  <c r="AL21" i="3"/>
  <c r="AK67" i="3"/>
  <c r="AL68" i="3"/>
  <c r="AK45" i="3"/>
  <c r="AK46" i="3" s="1"/>
  <c r="X80" i="10"/>
  <c r="X72" i="10"/>
  <c r="AK68" i="3" l="1"/>
  <c r="AK70" i="3" s="1"/>
  <c r="AF89" i="4" l="1"/>
  <c r="AD89" i="4" s="1"/>
  <c r="AI87" i="4"/>
  <c r="AE89" i="4" l="1"/>
  <c r="BA290" i="20"/>
  <c r="AL91" i="4"/>
  <c r="AL87" i="4" s="1"/>
  <c r="BD290" i="20" l="1"/>
  <c r="AY290" i="20"/>
  <c r="AI62" i="14"/>
  <c r="AH62" i="14" s="1"/>
  <c r="AI235" i="20"/>
  <c r="AF235" i="20"/>
  <c r="AC235" i="20"/>
  <c r="AK113" i="6" l="1"/>
  <c r="AH63" i="14"/>
  <c r="BG290" i="20"/>
  <c r="BB290" i="20"/>
  <c r="AL63" i="20"/>
  <c r="AC60" i="20"/>
  <c r="AI63" i="20"/>
  <c r="AI60" i="20"/>
  <c r="AF391" i="20"/>
  <c r="AC391" i="20"/>
  <c r="Z391" i="20"/>
  <c r="AC542" i="20" s="1"/>
  <c r="AI578" i="20"/>
  <c r="AJ575" i="20" s="1"/>
  <c r="AF578" i="20"/>
  <c r="AG575" i="20" s="1"/>
  <c r="AC578" i="20"/>
  <c r="AD575" i="20" s="1"/>
  <c r="AI576" i="20"/>
  <c r="AF576" i="20"/>
  <c r="AC576" i="20"/>
  <c r="AI575" i="20"/>
  <c r="AF575" i="20"/>
  <c r="AC575" i="20"/>
  <c r="AI570" i="20"/>
  <c r="AF570" i="20"/>
  <c r="AC570" i="20"/>
  <c r="AC569" i="20"/>
  <c r="AI564" i="20"/>
  <c r="AC564" i="20"/>
  <c r="AC563" i="20"/>
  <c r="AI560" i="20"/>
  <c r="AJ557" i="20" s="1"/>
  <c r="AF560" i="20"/>
  <c r="AG557" i="20" s="1"/>
  <c r="AC560" i="20"/>
  <c r="AD557" i="20" s="1"/>
  <c r="AI558" i="20"/>
  <c r="AF558" i="20"/>
  <c r="AC558" i="20"/>
  <c r="AI557" i="20"/>
  <c r="AF557" i="20"/>
  <c r="AC557" i="20"/>
  <c r="AI543" i="20"/>
  <c r="AF543" i="20"/>
  <c r="AC543" i="20"/>
  <c r="AI551" i="20"/>
  <c r="AJ548" i="20" s="1"/>
  <c r="AF551" i="20"/>
  <c r="AG548" i="20" s="1"/>
  <c r="AC551" i="20"/>
  <c r="AD548" i="20" s="1"/>
  <c r="AI549" i="20"/>
  <c r="AF549" i="20"/>
  <c r="AC549" i="20"/>
  <c r="AI548" i="20"/>
  <c r="AF548" i="20"/>
  <c r="AC548" i="20"/>
  <c r="AI537" i="20"/>
  <c r="AF537" i="20"/>
  <c r="AC537" i="20"/>
  <c r="AC536" i="20"/>
  <c r="AI533" i="20"/>
  <c r="AJ530" i="20" s="1"/>
  <c r="AF533" i="20"/>
  <c r="AG530" i="20" s="1"/>
  <c r="AC533" i="20"/>
  <c r="AD530" i="20" s="1"/>
  <c r="AI531" i="20"/>
  <c r="AF531" i="20"/>
  <c r="AC531" i="20"/>
  <c r="AI530" i="20"/>
  <c r="AF530" i="20"/>
  <c r="AC530" i="20"/>
  <c r="AI527" i="20"/>
  <c r="AJ524" i="20" s="1"/>
  <c r="AF527" i="20"/>
  <c r="AG524" i="20" s="1"/>
  <c r="AI525" i="20"/>
  <c r="AF525" i="20"/>
  <c r="AC525" i="20"/>
  <c r="AI524" i="20"/>
  <c r="AC524" i="20"/>
  <c r="AI521" i="20"/>
  <c r="AJ518" i="20" s="1"/>
  <c r="AF521" i="20"/>
  <c r="AG518" i="20" s="1"/>
  <c r="AI519" i="20"/>
  <c r="AF519" i="20"/>
  <c r="AC519" i="20"/>
  <c r="AI518" i="20"/>
  <c r="AC518" i="20"/>
  <c r="AI515" i="20"/>
  <c r="AJ512" i="20" s="1"/>
  <c r="AF515" i="20"/>
  <c r="AG512" i="20" s="1"/>
  <c r="AI513" i="20"/>
  <c r="AF513" i="20"/>
  <c r="AC513" i="20"/>
  <c r="AI512" i="20"/>
  <c r="AC512" i="20"/>
  <c r="AI509" i="20"/>
  <c r="AJ506" i="20" s="1"/>
  <c r="AF509" i="20"/>
  <c r="AG506" i="20" s="1"/>
  <c r="AI507" i="20"/>
  <c r="AF507" i="20"/>
  <c r="AC507" i="20"/>
  <c r="AI506" i="20"/>
  <c r="AC506" i="20"/>
  <c r="AI467" i="20"/>
  <c r="AF467" i="20"/>
  <c r="AC467" i="20"/>
  <c r="AC478" i="20" s="1"/>
  <c r="AI464" i="20"/>
  <c r="AF464" i="20"/>
  <c r="AI463" i="20"/>
  <c r="AF463" i="20"/>
  <c r="AI462" i="20"/>
  <c r="AF462" i="20"/>
  <c r="AI461" i="20"/>
  <c r="AF461" i="20"/>
  <c r="AI460" i="20"/>
  <c r="AF460" i="20"/>
  <c r="AI384" i="20"/>
  <c r="AI502" i="20" s="1"/>
  <c r="AJ499" i="20" s="1"/>
  <c r="AF384" i="20"/>
  <c r="AF502" i="20" s="1"/>
  <c r="AG499" i="20" s="1"/>
  <c r="AI425" i="20"/>
  <c r="AI409" i="20"/>
  <c r="AI307" i="20"/>
  <c r="AH307" i="20" l="1"/>
  <c r="AH308" i="20" s="1"/>
  <c r="AI311" i="20"/>
  <c r="AJ528" i="20"/>
  <c r="AJ526" i="20"/>
  <c r="AD550" i="20"/>
  <c r="AD552" i="20"/>
  <c r="AF308" i="20"/>
  <c r="AB307" i="20"/>
  <c r="AJ503" i="20"/>
  <c r="AJ501" i="20"/>
  <c r="AG510" i="20"/>
  <c r="AG508" i="20"/>
  <c r="AJ516" i="20"/>
  <c r="AJ514" i="20"/>
  <c r="AJ552" i="20"/>
  <c r="AJ550" i="20"/>
  <c r="AJ579" i="20"/>
  <c r="AJ577" i="20"/>
  <c r="AD391" i="20"/>
  <c r="AE391" i="20"/>
  <c r="AG534" i="20"/>
  <c r="AG532" i="20"/>
  <c r="AJ510" i="20"/>
  <c r="AJ508" i="20"/>
  <c r="AG528" i="20"/>
  <c r="AG526" i="20"/>
  <c r="AD534" i="20"/>
  <c r="AD532" i="20"/>
  <c r="BA466" i="20"/>
  <c r="AG522" i="20"/>
  <c r="AG520" i="20"/>
  <c r="AD577" i="20"/>
  <c r="AD579" i="20"/>
  <c r="AK308" i="20"/>
  <c r="AG503" i="20"/>
  <c r="AG501" i="20"/>
  <c r="AG516" i="20"/>
  <c r="AG514" i="20"/>
  <c r="AJ522" i="20"/>
  <c r="AJ520" i="20"/>
  <c r="AJ534" i="20"/>
  <c r="AJ532" i="20"/>
  <c r="AG552" i="20"/>
  <c r="AG550" i="20"/>
  <c r="AG579" i="20"/>
  <c r="AG577" i="20"/>
  <c r="AB391" i="20"/>
  <c r="AA391" i="20"/>
  <c r="BJ290" i="20"/>
  <c r="BH290" i="20" s="1"/>
  <c r="BE290" i="20"/>
  <c r="AC63" i="20"/>
  <c r="AF323" i="20"/>
  <c r="AI55" i="20"/>
  <c r="AI56" i="20" s="1"/>
  <c r="AI308" i="20"/>
  <c r="AC49" i="20"/>
  <c r="AC55" i="20"/>
  <c r="AR57" i="20" s="1"/>
  <c r="AI49" i="20"/>
  <c r="AI50" i="20" s="1"/>
  <c r="AL308" i="20"/>
  <c r="AC534" i="20"/>
  <c r="AI561" i="20"/>
  <c r="AF542" i="20"/>
  <c r="AI457" i="20"/>
  <c r="AI522" i="20"/>
  <c r="AI552" i="20"/>
  <c r="AI579" i="20"/>
  <c r="AF534" i="20"/>
  <c r="AC552" i="20"/>
  <c r="AC561" i="20"/>
  <c r="AC579" i="20"/>
  <c r="AI534" i="20"/>
  <c r="AF561" i="20"/>
  <c r="AF579" i="20"/>
  <c r="AI62" i="20"/>
  <c r="AI59" i="20" s="1"/>
  <c r="Z545" i="20"/>
  <c r="AA542" i="20" s="1"/>
  <c r="AC62" i="20"/>
  <c r="AI510" i="20"/>
  <c r="AI528" i="20"/>
  <c r="AF552" i="20"/>
  <c r="AI516" i="20"/>
  <c r="AI520" i="20"/>
  <c r="AC532" i="20"/>
  <c r="AF532" i="20"/>
  <c r="AC550" i="20"/>
  <c r="AF550" i="20"/>
  <c r="AC466" i="20"/>
  <c r="AC477" i="20" s="1"/>
  <c r="AI550" i="20"/>
  <c r="AC545" i="20"/>
  <c r="AC577" i="20"/>
  <c r="AI532" i="20"/>
  <c r="AC390" i="20"/>
  <c r="AF577" i="20"/>
  <c r="AI514" i="20"/>
  <c r="AI559" i="20"/>
  <c r="AG559" i="20" s="1"/>
  <c r="AH559" i="20" s="1"/>
  <c r="AI577" i="20"/>
  <c r="AC559" i="20"/>
  <c r="AA559" i="20" s="1"/>
  <c r="AB559" i="20" s="1"/>
  <c r="AF559" i="20"/>
  <c r="AD559" i="20" s="1"/>
  <c r="AE559" i="20" s="1"/>
  <c r="AI526" i="20"/>
  <c r="AI508" i="20"/>
  <c r="AH55" i="20" l="1"/>
  <c r="AK56" i="20"/>
  <c r="AO57" i="20"/>
  <c r="AO51" i="20"/>
  <c r="AD560" i="20"/>
  <c r="AE557" i="20" s="1"/>
  <c r="AE560" i="20" s="1"/>
  <c r="AE561" i="20" s="1"/>
  <c r="AD545" i="20"/>
  <c r="AD466" i="20"/>
  <c r="AD477" i="20" s="1"/>
  <c r="AB390" i="20"/>
  <c r="AA390" i="20"/>
  <c r="AA466" i="20"/>
  <c r="AA477" i="20" s="1"/>
  <c r="AA545" i="20"/>
  <c r="AE308" i="20"/>
  <c r="AB55" i="20"/>
  <c r="AQ57" i="20" s="1"/>
  <c r="AZ466" i="20"/>
  <c r="AY466" i="20"/>
  <c r="AB545" i="20"/>
  <c r="AB466" i="20"/>
  <c r="AB477" i="20" s="1"/>
  <c r="AG560" i="20"/>
  <c r="AH56" i="20"/>
  <c r="AW466" i="20"/>
  <c r="AC544" i="20"/>
  <c r="AD542" i="20"/>
  <c r="AE545" i="20"/>
  <c r="AE466" i="20"/>
  <c r="AE477" i="20" s="1"/>
  <c r="AL56" i="20"/>
  <c r="AF51" i="20"/>
  <c r="AF50" i="20"/>
  <c r="AF56" i="20"/>
  <c r="AF57" i="20"/>
  <c r="AC59" i="20"/>
  <c r="AC66" i="20" s="1"/>
  <c r="AU57" i="20"/>
  <c r="AX57" i="20"/>
  <c r="BA57" i="20"/>
  <c r="BD57" i="20"/>
  <c r="BG57" i="20"/>
  <c r="BJ57" i="20"/>
  <c r="AL57" i="20"/>
  <c r="AI57" i="20"/>
  <c r="AI51" i="20"/>
  <c r="BD466" i="20"/>
  <c r="AC539" i="20"/>
  <c r="AC546" i="20"/>
  <c r="AI68" i="20"/>
  <c r="AI67" i="20"/>
  <c r="AI66" i="20"/>
  <c r="AF536" i="20"/>
  <c r="AE56" i="20" l="1"/>
  <c r="AE57" i="20"/>
  <c r="AN57" i="20"/>
  <c r="AK57" i="20"/>
  <c r="AW57" i="20"/>
  <c r="AT57" i="20"/>
  <c r="BC57" i="20"/>
  <c r="AZ57" i="20"/>
  <c r="BF57" i="20"/>
  <c r="BI57" i="20"/>
  <c r="AH57" i="20"/>
  <c r="AD546" i="20"/>
  <c r="AD561" i="20"/>
  <c r="AE490" i="20"/>
  <c r="AB542" i="20"/>
  <c r="AA465" i="20"/>
  <c r="AA476" i="20" s="1"/>
  <c r="AA539" i="20"/>
  <c r="AD490" i="20"/>
  <c r="AB465" i="20"/>
  <c r="AB476" i="20" s="1"/>
  <c r="AB539" i="20"/>
  <c r="AC538" i="20"/>
  <c r="AD536" i="20"/>
  <c r="AH557" i="20"/>
  <c r="AG561" i="20"/>
  <c r="AA490" i="20"/>
  <c r="AE542" i="20"/>
  <c r="AE546" i="20" s="1"/>
  <c r="AD544" i="20"/>
  <c r="BC466" i="20"/>
  <c r="BB466" i="20"/>
  <c r="AB490" i="20"/>
  <c r="AA546" i="20"/>
  <c r="AC68" i="20"/>
  <c r="AC67" i="20"/>
  <c r="AC540" i="20"/>
  <c r="AB489" i="20" l="1"/>
  <c r="AA489" i="20"/>
  <c r="AE544" i="20"/>
  <c r="AH560" i="20"/>
  <c r="AH561" i="20" s="1"/>
  <c r="AB536" i="20"/>
  <c r="AB540" i="20" s="1"/>
  <c r="AB546" i="20"/>
  <c r="AI280" i="20"/>
  <c r="AI19" i="20"/>
  <c r="AI258" i="20" s="1"/>
  <c r="AI20" i="20"/>
  <c r="AI286" i="20" s="1"/>
  <c r="AI21" i="20"/>
  <c r="AI22" i="20"/>
  <c r="AI358" i="20" l="1"/>
  <c r="AI287" i="20"/>
  <c r="AI285" i="20" s="1"/>
  <c r="AI98" i="20"/>
  <c r="AI103" i="20"/>
  <c r="AI97" i="20"/>
  <c r="AI293" i="20"/>
  <c r="AI294" i="20"/>
  <c r="AI339" i="20" s="1"/>
  <c r="AI295" i="20"/>
  <c r="AI23" i="20"/>
  <c r="AI99" i="20" s="1"/>
  <c r="AI342" i="20" l="1"/>
  <c r="AH342" i="20" s="1"/>
  <c r="AH339" i="20"/>
  <c r="AI92" i="20"/>
  <c r="AL125" i="6"/>
  <c r="AI125" i="6"/>
  <c r="AI336" i="20" l="1"/>
  <c r="AI110" i="20" s="1"/>
  <c r="AL111" i="20" s="1"/>
  <c r="AL114" i="20" s="1"/>
  <c r="AI105" i="20"/>
  <c r="AI35" i="20" s="1"/>
  <c r="AH110" i="20"/>
  <c r="AI338" i="20"/>
  <c r="AK111" i="20"/>
  <c r="AI104" i="20"/>
  <c r="AI133" i="14"/>
  <c r="AI149" i="14"/>
  <c r="AI257" i="20" l="1"/>
  <c r="AI270" i="20" s="1"/>
  <c r="AH270" i="20" s="1"/>
  <c r="AL337" i="20"/>
  <c r="AH336" i="20"/>
  <c r="AK337" i="20" s="1"/>
  <c r="AL47" i="7"/>
  <c r="AL47" i="18"/>
  <c r="AL4" i="18"/>
  <c r="AL12" i="18" s="1"/>
  <c r="AL6" i="18"/>
  <c r="AI20" i="14"/>
  <c r="AI21" i="14"/>
  <c r="AI239" i="14" s="1"/>
  <c r="AI22" i="14"/>
  <c r="AI256" i="14" s="1"/>
  <c r="AL97" i="6"/>
  <c r="AL98" i="6"/>
  <c r="AL99" i="6"/>
  <c r="AL33" i="18" l="1"/>
  <c r="AL57" i="18" s="1"/>
  <c r="AI24" i="18"/>
  <c r="AL23" i="18"/>
  <c r="AL5" i="18"/>
  <c r="AL7" i="18"/>
  <c r="AL9" i="18"/>
  <c r="AL96" i="6"/>
  <c r="AI23" i="14"/>
  <c r="AI40" i="14"/>
  <c r="AL4" i="7"/>
  <c r="AL12" i="7" s="1"/>
  <c r="AL6" i="7"/>
  <c r="AL71" i="6"/>
  <c r="AL75" i="6"/>
  <c r="AL4" i="6"/>
  <c r="AL12" i="6" s="1"/>
  <c r="AL6" i="6"/>
  <c r="AI176" i="4"/>
  <c r="AL176" i="4"/>
  <c r="AM170" i="4" s="1"/>
  <c r="AM175" i="4" s="1"/>
  <c r="AL159" i="4"/>
  <c r="AK159" i="4" s="1"/>
  <c r="AL161" i="4"/>
  <c r="AK161" i="4" s="1"/>
  <c r="AL164" i="4"/>
  <c r="AM158" i="4" s="1"/>
  <c r="AM163" i="4" s="1"/>
  <c r="AL76" i="4"/>
  <c r="AL153" i="2"/>
  <c r="AL154" i="2"/>
  <c r="AL155" i="2"/>
  <c r="AK155" i="2" s="1"/>
  <c r="AK156" i="2" s="1"/>
  <c r="AL113" i="2"/>
  <c r="AL115" i="2"/>
  <c r="AL116" i="2"/>
  <c r="AL117" i="2"/>
  <c r="AL119" i="2"/>
  <c r="AL125" i="2"/>
  <c r="AL118" i="5"/>
  <c r="AL107" i="5"/>
  <c r="AK107" i="5" s="1"/>
  <c r="AL105" i="5"/>
  <c r="AL104" i="5"/>
  <c r="AL119" i="5" s="1"/>
  <c r="AL90" i="5"/>
  <c r="AL92" i="5"/>
  <c r="AL93" i="5"/>
  <c r="AL62" i="5"/>
  <c r="AL70" i="5"/>
  <c r="AK70" i="5" s="1"/>
  <c r="AL15" i="5"/>
  <c r="AL10" i="5"/>
  <c r="AL61" i="2"/>
  <c r="AK61" i="2" s="1"/>
  <c r="AK62" i="2" s="1"/>
  <c r="AL30" i="2"/>
  <c r="AL51" i="2"/>
  <c r="AL36" i="2"/>
  <c r="AK36" i="2" s="1"/>
  <c r="AL103" i="2"/>
  <c r="AK103" i="2" s="1"/>
  <c r="AK109" i="2" s="1"/>
  <c r="AL97" i="2"/>
  <c r="AK97" i="2" s="1"/>
  <c r="AK57" i="18" l="1"/>
  <c r="AO63" i="18"/>
  <c r="AK105" i="5"/>
  <c r="AL114" i="2"/>
  <c r="AL112" i="2" s="1"/>
  <c r="AL150" i="2" s="1"/>
  <c r="AK15" i="5"/>
  <c r="AL170" i="4"/>
  <c r="AL175" i="4" s="1"/>
  <c r="AJ170" i="4"/>
  <c r="AJ175" i="4" s="1"/>
  <c r="AL89" i="5"/>
  <c r="AK62" i="5"/>
  <c r="AK166" i="4"/>
  <c r="AK34" i="2"/>
  <c r="AK153" i="2" s="1"/>
  <c r="AL9" i="5"/>
  <c r="AK10" i="5"/>
  <c r="AK9" i="5" s="1"/>
  <c r="AL56" i="18"/>
  <c r="AL54" i="18"/>
  <c r="AL33" i="7"/>
  <c r="AO28" i="7" s="1"/>
  <c r="AI24" i="7"/>
  <c r="AL32" i="18"/>
  <c r="AL55" i="18"/>
  <c r="AL40" i="18"/>
  <c r="AL42" i="18" s="1"/>
  <c r="AL5" i="7"/>
  <c r="AL156" i="2"/>
  <c r="AL118" i="2"/>
  <c r="AL166" i="4"/>
  <c r="AL5" i="6"/>
  <c r="AL7" i="7"/>
  <c r="AL9" i="7"/>
  <c r="AL91" i="6"/>
  <c r="AL14" i="6"/>
  <c r="AL128" i="6" s="1"/>
  <c r="AL7" i="6"/>
  <c r="AL255" i="4"/>
  <c r="AK255" i="4" s="1"/>
  <c r="AL254" i="4"/>
  <c r="AK254" i="4" s="1"/>
  <c r="AI246" i="4"/>
  <c r="AH246" i="4" s="1"/>
  <c r="AH249" i="4" s="1"/>
  <c r="AI250" i="4"/>
  <c r="AH250" i="4" s="1"/>
  <c r="AL246" i="4"/>
  <c r="AL221" i="4"/>
  <c r="AL222" i="4"/>
  <c r="AL223" i="4"/>
  <c r="AL238" i="4"/>
  <c r="AL207" i="4"/>
  <c r="AK207" i="4" s="1"/>
  <c r="AL206" i="4"/>
  <c r="AK206" i="4" s="1"/>
  <c r="AL202" i="4"/>
  <c r="AK202" i="4" s="1"/>
  <c r="AK203" i="4" s="1"/>
  <c r="AK210" i="4" s="1"/>
  <c r="AL190" i="4"/>
  <c r="AK190" i="4" s="1"/>
  <c r="AL145" i="4"/>
  <c r="AL149" i="4" s="1"/>
  <c r="AL132" i="4"/>
  <c r="AL136" i="4" s="1"/>
  <c r="AL138" i="4" s="1"/>
  <c r="AK138" i="4" s="1"/>
  <c r="AL125" i="4"/>
  <c r="AL241" i="4" s="1"/>
  <c r="AL124" i="4"/>
  <c r="AI120" i="4"/>
  <c r="AL120" i="4"/>
  <c r="AL85" i="4"/>
  <c r="AL80" i="4" s="1"/>
  <c r="AL55" i="4"/>
  <c r="AK55" i="4" s="1"/>
  <c r="AL57" i="4"/>
  <c r="AK57" i="4" s="1"/>
  <c r="AK215" i="4" s="1"/>
  <c r="AI55" i="4"/>
  <c r="AI56" i="4"/>
  <c r="AL56" i="4"/>
  <c r="AL47" i="4"/>
  <c r="AL33" i="4"/>
  <c r="AK33" i="4" s="1"/>
  <c r="AK38" i="4" s="1"/>
  <c r="AL26" i="4"/>
  <c r="AK26" i="4" s="1"/>
  <c r="AL15" i="4"/>
  <c r="AN63" i="18" l="1"/>
  <c r="AK56" i="18"/>
  <c r="AO62" i="18"/>
  <c r="AK54" i="18"/>
  <c r="AO60" i="18"/>
  <c r="AK55" i="18"/>
  <c r="AO61" i="18"/>
  <c r="AH251" i="4"/>
  <c r="AK175" i="4"/>
  <c r="AK176" i="4" s="1"/>
  <c r="AK256" i="4"/>
  <c r="AJ214" i="4"/>
  <c r="AH55" i="4"/>
  <c r="AK208" i="4"/>
  <c r="AL49" i="4"/>
  <c r="AL237" i="4" s="1"/>
  <c r="AK47" i="4"/>
  <c r="AK49" i="4" s="1"/>
  <c r="AL77" i="4"/>
  <c r="AK15" i="4"/>
  <c r="AK58" i="4"/>
  <c r="AK60" i="4" s="1"/>
  <c r="AK214" i="4"/>
  <c r="AL249" i="4"/>
  <c r="AL251" i="4" s="1"/>
  <c r="AK246" i="4"/>
  <c r="AK249" i="4" s="1"/>
  <c r="AK251" i="4" s="1"/>
  <c r="AK60" i="5"/>
  <c r="AK89" i="5"/>
  <c r="AK114" i="2"/>
  <c r="AK112" i="2" s="1"/>
  <c r="AK12" i="5"/>
  <c r="AK78" i="4"/>
  <c r="AK30" i="4"/>
  <c r="AK39" i="4" s="1"/>
  <c r="AM214" i="4"/>
  <c r="AL214" i="4"/>
  <c r="AM215" i="4"/>
  <c r="AO215" i="4"/>
  <c r="AL215" i="4"/>
  <c r="AL53" i="18"/>
  <c r="AL15" i="6"/>
  <c r="AL127" i="6"/>
  <c r="AL32" i="7"/>
  <c r="AK32" i="7" s="1"/>
  <c r="AL256" i="4"/>
  <c r="AL126" i="4"/>
  <c r="AL78" i="4"/>
  <c r="AL219" i="4"/>
  <c r="AL220" i="4" s="1"/>
  <c r="AL58" i="4"/>
  <c r="AL79" i="4" l="1"/>
  <c r="AM93" i="4" s="1"/>
  <c r="AM92" i="4" s="1"/>
  <c r="AM111" i="4" s="1"/>
  <c r="AK53" i="18"/>
  <c r="AN59" i="18" s="1"/>
  <c r="AO59" i="18"/>
  <c r="AN60" i="18"/>
  <c r="AN62" i="18"/>
  <c r="AN61" i="18"/>
  <c r="AL257" i="4"/>
  <c r="AL259" i="4" s="1"/>
  <c r="AL260" i="4" s="1"/>
  <c r="AH214" i="4"/>
  <c r="AH58" i="4"/>
  <c r="AH60" i="4" s="1"/>
  <c r="AK51" i="4"/>
  <c r="AK237" i="4"/>
  <c r="AK212" i="4"/>
  <c r="AK74" i="5"/>
  <c r="AK77" i="4"/>
  <c r="AK79" i="4" s="1"/>
  <c r="AK21" i="4"/>
  <c r="AK22" i="4" s="1"/>
  <c r="AK84" i="5"/>
  <c r="AK239" i="4"/>
  <c r="AL224" i="4"/>
  <c r="AL225" i="4" s="1"/>
  <c r="AM230" i="4" s="1"/>
  <c r="AL81" i="4" l="1"/>
  <c r="AM109" i="4"/>
  <c r="AK257" i="4"/>
  <c r="AK259" i="4" s="1"/>
  <c r="AK260" i="4" s="1"/>
  <c r="AH84" i="5"/>
  <c r="AH239" i="4"/>
  <c r="AK52" i="4"/>
  <c r="AK41" i="4"/>
  <c r="AK3" i="4" s="1"/>
  <c r="AK240" i="4"/>
  <c r="AK242" i="4" s="1"/>
  <c r="AK224" i="4"/>
  <c r="AK225" i="4" s="1"/>
  <c r="AK226" i="4" s="1"/>
  <c r="AK93" i="4"/>
  <c r="AK92" i="4" s="1"/>
  <c r="AK81" i="4"/>
  <c r="AL226" i="4"/>
  <c r="AM231" i="4" s="1"/>
  <c r="AM234" i="4"/>
  <c r="AM235" i="4" s="1"/>
  <c r="AF104" i="5"/>
  <c r="AC104" i="5"/>
  <c r="AK3" i="5" l="1"/>
  <c r="AK3" i="2"/>
  <c r="AJ48" i="3" l="1"/>
  <c r="AJ9" i="2" s="1"/>
  <c r="AJ23" i="3" l="1"/>
  <c r="AJ5" i="2" l="1"/>
  <c r="AJ160" i="4" s="1"/>
  <c r="AM24" i="3"/>
  <c r="AJ49" i="3"/>
  <c r="AJ24" i="3"/>
  <c r="AJ27" i="3" s="1"/>
  <c r="AJ71" i="3"/>
  <c r="P51" i="3"/>
  <c r="K51" i="3"/>
  <c r="B51" i="3"/>
  <c r="P29" i="3"/>
  <c r="K29" i="3"/>
  <c r="B29" i="3"/>
  <c r="AJ121" i="2" l="1"/>
  <c r="AJ7" i="2"/>
  <c r="AJ12" i="2" s="1"/>
  <c r="AJ130" i="2"/>
  <c r="AJ10" i="2"/>
  <c r="AJ115" i="5"/>
  <c r="AJ8" i="2"/>
  <c r="AJ99" i="4" s="1"/>
  <c r="AJ122" i="2"/>
  <c r="AJ151" i="4"/>
  <c r="AJ174" i="4"/>
  <c r="AJ123" i="2"/>
  <c r="AJ233" i="4"/>
  <c r="AJ26" i="2"/>
  <c r="AJ142" i="2"/>
  <c r="AJ153" i="4"/>
  <c r="AJ172" i="4"/>
  <c r="AJ162" i="4"/>
  <c r="AJ98" i="4"/>
  <c r="AJ139" i="4"/>
  <c r="AM27" i="3"/>
  <c r="AJ16" i="2" l="1"/>
  <c r="AJ18" i="2"/>
  <c r="AJ23" i="2"/>
  <c r="AJ13" i="2"/>
  <c r="AJ32" i="2" l="1"/>
  <c r="AJ38" i="2" s="1"/>
  <c r="AJ42" i="2" s="1"/>
  <c r="AJ116" i="5" s="1"/>
  <c r="AJ5" i="5"/>
  <c r="AJ29" i="5" s="1"/>
  <c r="AJ45" i="2" l="1"/>
  <c r="AJ44" i="2"/>
  <c r="AJ31" i="5"/>
  <c r="AJ76" i="5" s="1"/>
  <c r="AJ88" i="5"/>
  <c r="AJ94" i="5" s="1"/>
  <c r="AJ95" i="5" s="1"/>
  <c r="Z54" i="3" l="1"/>
  <c r="AC54" i="3"/>
  <c r="AF54" i="3"/>
  <c r="AI54" i="3"/>
  <c r="W92" i="7" l="1"/>
  <c r="T92" i="7"/>
  <c r="Q92" i="7"/>
  <c r="AC85" i="7"/>
  <c r="AB85" i="7" s="1"/>
  <c r="AI84" i="7"/>
  <c r="AH84" i="7" s="1"/>
  <c r="AI83" i="7"/>
  <c r="AH83" i="7" s="1"/>
  <c r="AF83" i="7"/>
  <c r="AE83" i="7" s="1"/>
  <c r="AC83" i="7"/>
  <c r="AB83" i="7" s="1"/>
  <c r="W82" i="7"/>
  <c r="T82" i="7"/>
  <c r="W47" i="7"/>
  <c r="T47" i="7"/>
  <c r="Q47" i="7"/>
  <c r="P47" i="7"/>
  <c r="O47" i="7"/>
  <c r="AI73" i="7"/>
  <c r="AF73" i="7"/>
  <c r="AC73" i="7"/>
  <c r="Z73" i="7"/>
  <c r="W73" i="7"/>
  <c r="T73" i="7"/>
  <c r="Q73" i="7"/>
  <c r="P73" i="7"/>
  <c r="O73" i="7"/>
  <c r="N73" i="7"/>
  <c r="M73" i="7"/>
  <c r="L73" i="7"/>
  <c r="K73" i="7"/>
  <c r="J73" i="7"/>
  <c r="I73" i="7"/>
  <c r="H73" i="7"/>
  <c r="G73" i="7"/>
  <c r="F73" i="7"/>
  <c r="W45" i="7"/>
  <c r="T45" i="7"/>
  <c r="S45" i="7" s="1"/>
  <c r="Q45" i="7"/>
  <c r="AI30" i="7"/>
  <c r="AH30" i="7" s="1"/>
  <c r="AH45" i="7" s="1"/>
  <c r="AF30" i="7"/>
  <c r="AE30" i="7" s="1"/>
  <c r="AE45" i="7" s="1"/>
  <c r="AC30" i="7"/>
  <c r="AB30" i="7" s="1"/>
  <c r="AB45" i="7" s="1"/>
  <c r="W14" i="7"/>
  <c r="T14" i="7"/>
  <c r="W79" i="7" s="1"/>
  <c r="Q14" i="7"/>
  <c r="P14" i="7"/>
  <c r="P88" i="7" s="1"/>
  <c r="O14" i="7"/>
  <c r="P79" i="7" s="1"/>
  <c r="N14" i="7"/>
  <c r="M14" i="7"/>
  <c r="N79" i="7" s="1"/>
  <c r="L14" i="7"/>
  <c r="M79" i="7" s="1"/>
  <c r="K14" i="7"/>
  <c r="K88" i="7" s="1"/>
  <c r="J14" i="7"/>
  <c r="J88" i="7" s="1"/>
  <c r="I14" i="7"/>
  <c r="J79" i="7" s="1"/>
  <c r="H14" i="7"/>
  <c r="G14" i="7"/>
  <c r="H79" i="7" s="1"/>
  <c r="F14" i="7"/>
  <c r="G79" i="7" s="1"/>
  <c r="E14" i="7"/>
  <c r="E88" i="7" s="1"/>
  <c r="D14" i="7"/>
  <c r="D88" i="7" s="1"/>
  <c r="C14" i="7"/>
  <c r="D79" i="7" s="1"/>
  <c r="B14" i="7"/>
  <c r="AI6" i="7"/>
  <c r="AF6" i="7"/>
  <c r="AC6" i="7"/>
  <c r="Z6" i="7"/>
  <c r="Z14" i="7" s="1"/>
  <c r="AI4" i="7"/>
  <c r="AI12" i="7" s="1"/>
  <c r="AF4" i="7"/>
  <c r="AC4" i="7"/>
  <c r="Z4" i="7"/>
  <c r="W4" i="7"/>
  <c r="T4" i="7"/>
  <c r="Q4" i="7"/>
  <c r="P4" i="7"/>
  <c r="O4" i="7"/>
  <c r="N4" i="7"/>
  <c r="M4" i="7"/>
  <c r="L4" i="7"/>
  <c r="M28" i="7" s="1"/>
  <c r="K4" i="7"/>
  <c r="K38" i="7" s="1"/>
  <c r="J4" i="7"/>
  <c r="J38" i="7" s="1"/>
  <c r="I4" i="7"/>
  <c r="J28" i="7" s="1"/>
  <c r="H4" i="7"/>
  <c r="G4" i="7"/>
  <c r="H28" i="7" s="1"/>
  <c r="F4" i="7"/>
  <c r="G28" i="7" s="1"/>
  <c r="E4" i="7"/>
  <c r="E33" i="7" s="1"/>
  <c r="D4" i="7"/>
  <c r="D33" i="7" s="1"/>
  <c r="C4" i="7"/>
  <c r="D28" i="7" s="1"/>
  <c r="B4" i="7"/>
  <c r="AO1" i="7"/>
  <c r="Q1" i="7"/>
  <c r="T1" i="7" s="1"/>
  <c r="W1" i="7" s="1"/>
  <c r="L1" i="7"/>
  <c r="M1" i="7" s="1"/>
  <c r="N1" i="7" s="1"/>
  <c r="O1" i="7" s="1"/>
  <c r="C1" i="7"/>
  <c r="D1" i="7" s="1"/>
  <c r="E1" i="7" s="1"/>
  <c r="F1" i="7" s="1"/>
  <c r="G1" i="7" s="1"/>
  <c r="H1" i="7" s="1"/>
  <c r="I1" i="7" s="1"/>
  <c r="J1" i="7" s="1"/>
  <c r="AF81" i="18"/>
  <c r="W81" i="18"/>
  <c r="T81" i="18"/>
  <c r="Q81" i="18"/>
  <c r="AI74" i="18"/>
  <c r="AF74" i="18"/>
  <c r="AE74" i="18" s="1"/>
  <c r="AC74" i="18"/>
  <c r="AB74" i="18" s="1"/>
  <c r="AI73" i="18"/>
  <c r="AF73" i="18"/>
  <c r="AE73" i="18" s="1"/>
  <c r="AC73" i="18"/>
  <c r="AB73" i="18" s="1"/>
  <c r="AI72" i="18"/>
  <c r="AF72" i="18"/>
  <c r="AE72" i="18" s="1"/>
  <c r="AC72" i="18"/>
  <c r="AB72" i="18" s="1"/>
  <c r="AI47" i="18"/>
  <c r="AF47" i="18"/>
  <c r="AC47" i="18"/>
  <c r="W47" i="18"/>
  <c r="T47" i="18"/>
  <c r="Q47" i="18"/>
  <c r="P47" i="18"/>
  <c r="O47" i="18"/>
  <c r="W45" i="18"/>
  <c r="T45" i="18"/>
  <c r="S45" i="18" s="1"/>
  <c r="Q45" i="18"/>
  <c r="AI30" i="18"/>
  <c r="AF30" i="18"/>
  <c r="AE30" i="18" s="1"/>
  <c r="AE45" i="18" s="1"/>
  <c r="AC30" i="18"/>
  <c r="AB30" i="18" s="1"/>
  <c r="AB45" i="18" s="1"/>
  <c r="W14" i="18"/>
  <c r="T14" i="18"/>
  <c r="Q14" i="18"/>
  <c r="P14" i="18"/>
  <c r="Q68" i="18" s="1"/>
  <c r="Q77" i="18" s="1"/>
  <c r="O14" i="18"/>
  <c r="N14" i="18"/>
  <c r="M14" i="18"/>
  <c r="L14" i="18"/>
  <c r="K14" i="18"/>
  <c r="J14" i="18"/>
  <c r="I14" i="18"/>
  <c r="H14" i="18"/>
  <c r="G14" i="18"/>
  <c r="F14" i="18"/>
  <c r="E14" i="18"/>
  <c r="D14" i="18"/>
  <c r="C14" i="18"/>
  <c r="B14" i="18"/>
  <c r="AI6" i="18"/>
  <c r="AI14" i="18" s="1"/>
  <c r="AF6" i="18"/>
  <c r="AF14" i="18" s="1"/>
  <c r="AC6" i="18"/>
  <c r="AC14" i="18" s="1"/>
  <c r="Z6" i="18"/>
  <c r="AI4" i="18"/>
  <c r="AI12" i="18" s="1"/>
  <c r="AF4" i="18"/>
  <c r="AC4" i="18"/>
  <c r="Z24" i="18" s="1"/>
  <c r="Z4" i="18"/>
  <c r="W4" i="18"/>
  <c r="T4" i="18"/>
  <c r="Q4" i="18"/>
  <c r="P4" i="18"/>
  <c r="O4" i="18"/>
  <c r="N4" i="18"/>
  <c r="M4" i="18"/>
  <c r="N28" i="18" s="1"/>
  <c r="L4" i="18"/>
  <c r="K4" i="18"/>
  <c r="K33" i="18" s="1"/>
  <c r="J4" i="18"/>
  <c r="J33" i="18" s="1"/>
  <c r="I4" i="18"/>
  <c r="H4" i="18"/>
  <c r="G4" i="18"/>
  <c r="H28" i="18" s="1"/>
  <c r="F4" i="18"/>
  <c r="E4" i="18"/>
  <c r="E33" i="18" s="1"/>
  <c r="D4" i="18"/>
  <c r="D33" i="18" s="1"/>
  <c r="C4" i="18"/>
  <c r="B4" i="18"/>
  <c r="C28" i="18" s="1"/>
  <c r="Q1" i="18"/>
  <c r="T1" i="18" s="1"/>
  <c r="W1" i="18" s="1"/>
  <c r="AO1" i="18" s="1"/>
  <c r="L1" i="18"/>
  <c r="M1" i="18" s="1"/>
  <c r="N1" i="18" s="1"/>
  <c r="O1" i="18" s="1"/>
  <c r="C1" i="18"/>
  <c r="D1" i="18" s="1"/>
  <c r="E1" i="18" s="1"/>
  <c r="F1" i="18" s="1"/>
  <c r="G1" i="18" s="1"/>
  <c r="H1" i="18" s="1"/>
  <c r="I1" i="18" s="1"/>
  <c r="J1" i="18" s="1"/>
  <c r="Z578" i="20"/>
  <c r="AA575" i="20" s="1"/>
  <c r="W578" i="20"/>
  <c r="T578" i="20"/>
  <c r="Q578" i="20"/>
  <c r="P578" i="20"/>
  <c r="O578" i="20"/>
  <c r="N578" i="20"/>
  <c r="M578" i="20"/>
  <c r="L578" i="20"/>
  <c r="K578" i="20"/>
  <c r="J578" i="20"/>
  <c r="I578" i="20"/>
  <c r="H578" i="20"/>
  <c r="G578" i="20"/>
  <c r="F578" i="20"/>
  <c r="E578" i="20"/>
  <c r="D578" i="20"/>
  <c r="C578" i="20"/>
  <c r="B578" i="20"/>
  <c r="BJ576" i="20"/>
  <c r="BG576" i="20"/>
  <c r="BD576" i="20"/>
  <c r="BA576" i="20"/>
  <c r="AX576" i="20"/>
  <c r="AL576" i="20"/>
  <c r="Z576" i="20"/>
  <c r="W576" i="20"/>
  <c r="T576" i="20"/>
  <c r="Q576" i="20"/>
  <c r="P576" i="20"/>
  <c r="O576" i="20"/>
  <c r="N576" i="20"/>
  <c r="M576" i="20"/>
  <c r="L576" i="20"/>
  <c r="K576" i="20"/>
  <c r="J576" i="20"/>
  <c r="I576" i="20"/>
  <c r="H576" i="20"/>
  <c r="G576" i="20"/>
  <c r="F576" i="20"/>
  <c r="E576" i="20"/>
  <c r="D576" i="20"/>
  <c r="C576" i="20"/>
  <c r="Z575" i="20"/>
  <c r="W575" i="20"/>
  <c r="T575" i="20"/>
  <c r="Q575" i="20"/>
  <c r="P575" i="20"/>
  <c r="O575" i="20"/>
  <c r="N575" i="20"/>
  <c r="M575" i="20"/>
  <c r="L575" i="20"/>
  <c r="K575" i="20"/>
  <c r="J575" i="20"/>
  <c r="I575" i="20"/>
  <c r="H575" i="20"/>
  <c r="G575" i="20"/>
  <c r="F575" i="20"/>
  <c r="E575" i="20"/>
  <c r="D575" i="20"/>
  <c r="C575" i="20"/>
  <c r="Z572" i="20"/>
  <c r="AA569" i="20" s="1"/>
  <c r="W572" i="20"/>
  <c r="T572" i="20"/>
  <c r="Q572" i="20"/>
  <c r="P572" i="20"/>
  <c r="O572" i="20"/>
  <c r="N572" i="20"/>
  <c r="M572" i="20"/>
  <c r="L572" i="20"/>
  <c r="K572" i="20"/>
  <c r="J572" i="20"/>
  <c r="I572" i="20"/>
  <c r="H572" i="20"/>
  <c r="G572" i="20"/>
  <c r="F572" i="20"/>
  <c r="E572" i="20"/>
  <c r="D572" i="20"/>
  <c r="C572" i="20"/>
  <c r="B572" i="20"/>
  <c r="BA571" i="20"/>
  <c r="AL570" i="20"/>
  <c r="Z570" i="20"/>
  <c r="W570" i="20"/>
  <c r="T570" i="20"/>
  <c r="Q570" i="20"/>
  <c r="P570" i="20"/>
  <c r="O570" i="20"/>
  <c r="N570" i="20"/>
  <c r="M570" i="20"/>
  <c r="L570" i="20"/>
  <c r="K570" i="20"/>
  <c r="J570" i="20"/>
  <c r="I570" i="20"/>
  <c r="H570" i="20"/>
  <c r="G570" i="20"/>
  <c r="F570" i="20"/>
  <c r="E570" i="20"/>
  <c r="D570" i="20"/>
  <c r="C570" i="20"/>
  <c r="Z569" i="20"/>
  <c r="W569" i="20"/>
  <c r="T569" i="20"/>
  <c r="Q569" i="20"/>
  <c r="P569" i="20"/>
  <c r="O569" i="20"/>
  <c r="N569" i="20"/>
  <c r="M569" i="20"/>
  <c r="L569" i="20"/>
  <c r="K569" i="20"/>
  <c r="J569" i="20"/>
  <c r="I569" i="20"/>
  <c r="H569" i="20"/>
  <c r="G569" i="20"/>
  <c r="F569" i="20"/>
  <c r="E569" i="20"/>
  <c r="D569" i="20"/>
  <c r="C569" i="20"/>
  <c r="Z566" i="20"/>
  <c r="AA563" i="20" s="1"/>
  <c r="W566" i="20"/>
  <c r="T566" i="20"/>
  <c r="Q566" i="20"/>
  <c r="P566" i="20"/>
  <c r="O566" i="20"/>
  <c r="N566" i="20"/>
  <c r="M566" i="20"/>
  <c r="L566" i="20"/>
  <c r="K566" i="20"/>
  <c r="J566" i="20"/>
  <c r="I566" i="20"/>
  <c r="H566" i="20"/>
  <c r="G566" i="20"/>
  <c r="F566" i="20"/>
  <c r="E566" i="20"/>
  <c r="D566" i="20"/>
  <c r="C566" i="20"/>
  <c r="B566" i="20"/>
  <c r="Z564" i="20"/>
  <c r="W564" i="20"/>
  <c r="T564" i="20"/>
  <c r="Q564" i="20"/>
  <c r="P564" i="20"/>
  <c r="O564" i="20"/>
  <c r="N564" i="20"/>
  <c r="M564" i="20"/>
  <c r="L564" i="20"/>
  <c r="K564" i="20"/>
  <c r="J564" i="20"/>
  <c r="I564" i="20"/>
  <c r="H564" i="20"/>
  <c r="G564" i="20"/>
  <c r="F564" i="20"/>
  <c r="E564" i="20"/>
  <c r="D564" i="20"/>
  <c r="C564" i="20"/>
  <c r="Z563" i="20"/>
  <c r="W563" i="20"/>
  <c r="T563" i="20"/>
  <c r="Q563" i="20"/>
  <c r="P563" i="20"/>
  <c r="O563" i="20"/>
  <c r="N563" i="20"/>
  <c r="M563" i="20"/>
  <c r="L563" i="20"/>
  <c r="K563" i="20"/>
  <c r="J563" i="20"/>
  <c r="I563" i="20"/>
  <c r="H563" i="20"/>
  <c r="G563" i="20"/>
  <c r="F563" i="20"/>
  <c r="E563" i="20"/>
  <c r="D563" i="20"/>
  <c r="C563" i="20"/>
  <c r="Z560" i="20"/>
  <c r="AA557" i="20" s="1"/>
  <c r="W560" i="20"/>
  <c r="T560" i="20"/>
  <c r="Q560" i="20"/>
  <c r="P560" i="20"/>
  <c r="O560" i="20"/>
  <c r="N560" i="20"/>
  <c r="M560" i="20"/>
  <c r="L560" i="20"/>
  <c r="K560" i="20"/>
  <c r="J560" i="20"/>
  <c r="I560" i="20"/>
  <c r="H560" i="20"/>
  <c r="G560" i="20"/>
  <c r="F560" i="20"/>
  <c r="E560" i="20"/>
  <c r="D560" i="20"/>
  <c r="C560" i="20"/>
  <c r="B560" i="20"/>
  <c r="BJ558" i="20"/>
  <c r="BG558" i="20"/>
  <c r="BD558" i="20"/>
  <c r="BA558" i="20"/>
  <c r="AX558" i="20"/>
  <c r="AL558" i="20"/>
  <c r="Z558" i="20"/>
  <c r="W558" i="20"/>
  <c r="T558" i="20"/>
  <c r="Q558" i="20"/>
  <c r="P558" i="20"/>
  <c r="O558" i="20"/>
  <c r="N558" i="20"/>
  <c r="M558" i="20"/>
  <c r="L558" i="20"/>
  <c r="K558" i="20"/>
  <c r="J558" i="20"/>
  <c r="I558" i="20"/>
  <c r="H558" i="20"/>
  <c r="G558" i="20"/>
  <c r="F558" i="20"/>
  <c r="E558" i="20"/>
  <c r="D558" i="20"/>
  <c r="C558" i="20"/>
  <c r="Z557" i="20"/>
  <c r="W557" i="20"/>
  <c r="T557" i="20"/>
  <c r="Q557" i="20"/>
  <c r="P557" i="20"/>
  <c r="O557" i="20"/>
  <c r="N557" i="20"/>
  <c r="M557" i="20"/>
  <c r="L557" i="20"/>
  <c r="K557" i="20"/>
  <c r="J557" i="20"/>
  <c r="I557" i="20"/>
  <c r="H557" i="20"/>
  <c r="G557" i="20"/>
  <c r="F557" i="20"/>
  <c r="E557" i="20"/>
  <c r="D557" i="20"/>
  <c r="C557" i="20"/>
  <c r="W545" i="20"/>
  <c r="T545" i="20"/>
  <c r="Q545" i="20"/>
  <c r="P545" i="20"/>
  <c r="O545" i="20"/>
  <c r="N545" i="20"/>
  <c r="M545" i="20"/>
  <c r="L545" i="20"/>
  <c r="K545" i="20"/>
  <c r="J545" i="20"/>
  <c r="I545" i="20"/>
  <c r="H545" i="20"/>
  <c r="G545" i="20"/>
  <c r="F545" i="20"/>
  <c r="E545" i="20"/>
  <c r="D545" i="20"/>
  <c r="C545" i="20"/>
  <c r="B545" i="20"/>
  <c r="Z543" i="20"/>
  <c r="W543" i="20"/>
  <c r="T543" i="20"/>
  <c r="Q543" i="20"/>
  <c r="P543" i="20"/>
  <c r="O543" i="20"/>
  <c r="N543" i="20"/>
  <c r="M543" i="20"/>
  <c r="L543" i="20"/>
  <c r="K543" i="20"/>
  <c r="J543" i="20"/>
  <c r="I543" i="20"/>
  <c r="H543" i="20"/>
  <c r="G543" i="20"/>
  <c r="F543" i="20"/>
  <c r="E543" i="20"/>
  <c r="D543" i="20"/>
  <c r="C543" i="20"/>
  <c r="Z542" i="20"/>
  <c r="W542" i="20"/>
  <c r="T542" i="20"/>
  <c r="Q542" i="20"/>
  <c r="P542" i="20"/>
  <c r="O542" i="20"/>
  <c r="N542" i="20"/>
  <c r="M542" i="20"/>
  <c r="L542" i="20"/>
  <c r="K542" i="20"/>
  <c r="J542" i="20"/>
  <c r="I542" i="20"/>
  <c r="H542" i="20"/>
  <c r="G542" i="20"/>
  <c r="F542" i="20"/>
  <c r="E542" i="20"/>
  <c r="D542" i="20"/>
  <c r="C542" i="20"/>
  <c r="Z551" i="20"/>
  <c r="AA548" i="20" s="1"/>
  <c r="AA552" i="20" s="1"/>
  <c r="W551" i="20"/>
  <c r="T551" i="20"/>
  <c r="Q551" i="20"/>
  <c r="P551" i="20"/>
  <c r="O551" i="20"/>
  <c r="N551" i="20"/>
  <c r="M551" i="20"/>
  <c r="L551" i="20"/>
  <c r="K551" i="20"/>
  <c r="J551" i="20"/>
  <c r="I551" i="20"/>
  <c r="H551" i="20"/>
  <c r="G551" i="20"/>
  <c r="F551" i="20"/>
  <c r="E551" i="20"/>
  <c r="D551" i="20"/>
  <c r="C551" i="20"/>
  <c r="B551" i="20"/>
  <c r="Z549" i="20"/>
  <c r="W549" i="20"/>
  <c r="T549" i="20"/>
  <c r="Q549" i="20"/>
  <c r="P549" i="20"/>
  <c r="O549" i="20"/>
  <c r="N549" i="20"/>
  <c r="M549" i="20"/>
  <c r="L549" i="20"/>
  <c r="K549" i="20"/>
  <c r="J549" i="20"/>
  <c r="I549" i="20"/>
  <c r="H549" i="20"/>
  <c r="G549" i="20"/>
  <c r="F549" i="20"/>
  <c r="E549" i="20"/>
  <c r="D549" i="20"/>
  <c r="C549" i="20"/>
  <c r="Z548" i="20"/>
  <c r="W548" i="20"/>
  <c r="T548" i="20"/>
  <c r="Q548" i="20"/>
  <c r="P548" i="20"/>
  <c r="O548" i="20"/>
  <c r="N548" i="20"/>
  <c r="M548" i="20"/>
  <c r="L548" i="20"/>
  <c r="K548" i="20"/>
  <c r="J548" i="20"/>
  <c r="I548" i="20"/>
  <c r="H548" i="20"/>
  <c r="G548" i="20"/>
  <c r="F548" i="20"/>
  <c r="E548" i="20"/>
  <c r="D548" i="20"/>
  <c r="C548" i="20"/>
  <c r="Z539" i="20"/>
  <c r="AA536" i="20" s="1"/>
  <c r="AA540" i="20" s="1"/>
  <c r="W539" i="20"/>
  <c r="T539" i="20"/>
  <c r="Q539" i="20"/>
  <c r="P539" i="20"/>
  <c r="O539" i="20"/>
  <c r="N539" i="20"/>
  <c r="M539" i="20"/>
  <c r="L539" i="20"/>
  <c r="K539" i="20"/>
  <c r="J539" i="20"/>
  <c r="I539" i="20"/>
  <c r="H539" i="20"/>
  <c r="G539" i="20"/>
  <c r="F539" i="20"/>
  <c r="E539" i="20"/>
  <c r="D539" i="20"/>
  <c r="C539" i="20"/>
  <c r="B539" i="20"/>
  <c r="Z537" i="20"/>
  <c r="W537" i="20"/>
  <c r="T537" i="20"/>
  <c r="Q537" i="20"/>
  <c r="P537" i="20"/>
  <c r="O537" i="20"/>
  <c r="N537" i="20"/>
  <c r="M537" i="20"/>
  <c r="L537" i="20"/>
  <c r="K537" i="20"/>
  <c r="J537" i="20"/>
  <c r="I537" i="20"/>
  <c r="H537" i="20"/>
  <c r="G537" i="20"/>
  <c r="F537" i="20"/>
  <c r="E537" i="20"/>
  <c r="D537" i="20"/>
  <c r="C537" i="20"/>
  <c r="Z536" i="20"/>
  <c r="W536" i="20"/>
  <c r="T536" i="20"/>
  <c r="Q536" i="20"/>
  <c r="P536" i="20"/>
  <c r="O536" i="20"/>
  <c r="N536" i="20"/>
  <c r="M536" i="20"/>
  <c r="L536" i="20"/>
  <c r="K536" i="20"/>
  <c r="J536" i="20"/>
  <c r="I536" i="20"/>
  <c r="H536" i="20"/>
  <c r="G536" i="20"/>
  <c r="F536" i="20"/>
  <c r="E536" i="20"/>
  <c r="D536" i="20"/>
  <c r="C536" i="20"/>
  <c r="Z533" i="20"/>
  <c r="AA530" i="20" s="1"/>
  <c r="AA534" i="20" s="1"/>
  <c r="W533" i="20"/>
  <c r="T533" i="20"/>
  <c r="Q533" i="20"/>
  <c r="P533" i="20"/>
  <c r="O533" i="20"/>
  <c r="N533" i="20"/>
  <c r="M533" i="20"/>
  <c r="L533" i="20"/>
  <c r="K533" i="20"/>
  <c r="J533" i="20"/>
  <c r="I533" i="20"/>
  <c r="H533" i="20"/>
  <c r="G533" i="20"/>
  <c r="F533" i="20"/>
  <c r="E533" i="20"/>
  <c r="D533" i="20"/>
  <c r="C533" i="20"/>
  <c r="B533" i="20"/>
  <c r="Z531" i="20"/>
  <c r="W531" i="20"/>
  <c r="T531" i="20"/>
  <c r="Q531" i="20"/>
  <c r="P531" i="20"/>
  <c r="O531" i="20"/>
  <c r="N531" i="20"/>
  <c r="M531" i="20"/>
  <c r="L531" i="20"/>
  <c r="K531" i="20"/>
  <c r="J531" i="20"/>
  <c r="I531" i="20"/>
  <c r="H531" i="20"/>
  <c r="G531" i="20"/>
  <c r="F531" i="20"/>
  <c r="E531" i="20"/>
  <c r="D531" i="20"/>
  <c r="C531" i="20"/>
  <c r="Z530" i="20"/>
  <c r="W530" i="20"/>
  <c r="T530" i="20"/>
  <c r="Q530" i="20"/>
  <c r="P530" i="20"/>
  <c r="O530" i="20"/>
  <c r="N530" i="20"/>
  <c r="M530" i="20"/>
  <c r="L530" i="20"/>
  <c r="K530" i="20"/>
  <c r="J530" i="20"/>
  <c r="I530" i="20"/>
  <c r="H530" i="20"/>
  <c r="G530" i="20"/>
  <c r="F530" i="20"/>
  <c r="E530" i="20"/>
  <c r="D530" i="20"/>
  <c r="C530" i="20"/>
  <c r="Z527" i="20"/>
  <c r="AA524" i="20" s="1"/>
  <c r="W527" i="20"/>
  <c r="T527" i="20"/>
  <c r="Q527" i="20"/>
  <c r="P527" i="20"/>
  <c r="O527" i="20"/>
  <c r="N527" i="20"/>
  <c r="M527" i="20"/>
  <c r="L527" i="20"/>
  <c r="K527" i="20"/>
  <c r="J527" i="20"/>
  <c r="I527" i="20"/>
  <c r="H527" i="20"/>
  <c r="G527" i="20"/>
  <c r="F527" i="20"/>
  <c r="E527" i="20"/>
  <c r="D527" i="20"/>
  <c r="C527" i="20"/>
  <c r="B527" i="20"/>
  <c r="Z525" i="20"/>
  <c r="W525" i="20"/>
  <c r="T525" i="20"/>
  <c r="Q525" i="20"/>
  <c r="P525" i="20"/>
  <c r="O525" i="20"/>
  <c r="N525" i="20"/>
  <c r="M525" i="20"/>
  <c r="L525" i="20"/>
  <c r="K525" i="20"/>
  <c r="J525" i="20"/>
  <c r="I525" i="20"/>
  <c r="H525" i="20"/>
  <c r="G525" i="20"/>
  <c r="F525" i="20"/>
  <c r="E525" i="20"/>
  <c r="D525" i="20"/>
  <c r="C525" i="20"/>
  <c r="Z524" i="20"/>
  <c r="W524" i="20"/>
  <c r="T524" i="20"/>
  <c r="Q524" i="20"/>
  <c r="P524" i="20"/>
  <c r="O524" i="20"/>
  <c r="N524" i="20"/>
  <c r="M524" i="20"/>
  <c r="L524" i="20"/>
  <c r="K524" i="20"/>
  <c r="J524" i="20"/>
  <c r="I524" i="20"/>
  <c r="H524" i="20"/>
  <c r="G524" i="20"/>
  <c r="F524" i="20"/>
  <c r="E524" i="20"/>
  <c r="D524" i="20"/>
  <c r="C524" i="20"/>
  <c r="Z521" i="20"/>
  <c r="AA518" i="20" s="1"/>
  <c r="W521" i="20"/>
  <c r="T521" i="20"/>
  <c r="Q521" i="20"/>
  <c r="P521" i="20"/>
  <c r="O521" i="20"/>
  <c r="N521" i="20"/>
  <c r="M521" i="20"/>
  <c r="L521" i="20"/>
  <c r="K521" i="20"/>
  <c r="J521" i="20"/>
  <c r="I521" i="20"/>
  <c r="H521" i="20"/>
  <c r="G521" i="20"/>
  <c r="F521" i="20"/>
  <c r="E521" i="20"/>
  <c r="D521" i="20"/>
  <c r="C521" i="20"/>
  <c r="B521" i="20"/>
  <c r="BJ519" i="20"/>
  <c r="BG519" i="20"/>
  <c r="BD519" i="20"/>
  <c r="BA519" i="20"/>
  <c r="AX519" i="20"/>
  <c r="AL519" i="20"/>
  <c r="Z519" i="20"/>
  <c r="W519" i="20"/>
  <c r="T519" i="20"/>
  <c r="Q519" i="20"/>
  <c r="P519" i="20"/>
  <c r="O519" i="20"/>
  <c r="N519" i="20"/>
  <c r="M519" i="20"/>
  <c r="L519" i="20"/>
  <c r="K519" i="20"/>
  <c r="J519" i="20"/>
  <c r="I519" i="20"/>
  <c r="H519" i="20"/>
  <c r="G519" i="20"/>
  <c r="F519" i="20"/>
  <c r="E519" i="20"/>
  <c r="D519" i="20"/>
  <c r="C519" i="20"/>
  <c r="Z518" i="20"/>
  <c r="W518" i="20"/>
  <c r="T518" i="20"/>
  <c r="Q518" i="20"/>
  <c r="P518" i="20"/>
  <c r="O518" i="20"/>
  <c r="N518" i="20"/>
  <c r="M518" i="20"/>
  <c r="L518" i="20"/>
  <c r="K518" i="20"/>
  <c r="J518" i="20"/>
  <c r="I518" i="20"/>
  <c r="H518" i="20"/>
  <c r="G518" i="20"/>
  <c r="F518" i="20"/>
  <c r="E518" i="20"/>
  <c r="D518" i="20"/>
  <c r="C518" i="20"/>
  <c r="Z515" i="20"/>
  <c r="AA512" i="20" s="1"/>
  <c r="W515" i="20"/>
  <c r="T515" i="20"/>
  <c r="Q515" i="20"/>
  <c r="P515" i="20"/>
  <c r="O515" i="20"/>
  <c r="N515" i="20"/>
  <c r="M515" i="20"/>
  <c r="L515" i="20"/>
  <c r="K515" i="20"/>
  <c r="J515" i="20"/>
  <c r="I515" i="20"/>
  <c r="H515" i="20"/>
  <c r="G515" i="20"/>
  <c r="F515" i="20"/>
  <c r="E515" i="20"/>
  <c r="D515" i="20"/>
  <c r="C515" i="20"/>
  <c r="B515" i="20"/>
  <c r="Z513" i="20"/>
  <c r="W513" i="20"/>
  <c r="T513" i="20"/>
  <c r="Q513" i="20"/>
  <c r="P513" i="20"/>
  <c r="O513" i="20"/>
  <c r="N513" i="20"/>
  <c r="M513" i="20"/>
  <c r="L513" i="20"/>
  <c r="K513" i="20"/>
  <c r="J513" i="20"/>
  <c r="I513" i="20"/>
  <c r="H513" i="20"/>
  <c r="G513" i="20"/>
  <c r="F513" i="20"/>
  <c r="E513" i="20"/>
  <c r="D513" i="20"/>
  <c r="C513" i="20"/>
  <c r="Z512" i="20"/>
  <c r="W512" i="20"/>
  <c r="T512" i="20"/>
  <c r="Q512" i="20"/>
  <c r="P512" i="20"/>
  <c r="O512" i="20"/>
  <c r="N512" i="20"/>
  <c r="M512" i="20"/>
  <c r="L512" i="20"/>
  <c r="K512" i="20"/>
  <c r="J512" i="20"/>
  <c r="I512" i="20"/>
  <c r="H512" i="20"/>
  <c r="G512" i="20"/>
  <c r="F512" i="20"/>
  <c r="E512" i="20"/>
  <c r="D512" i="20"/>
  <c r="C512" i="20"/>
  <c r="Z509" i="20"/>
  <c r="AA506" i="20" s="1"/>
  <c r="W509" i="20"/>
  <c r="T509" i="20"/>
  <c r="Q509" i="20"/>
  <c r="P509" i="20"/>
  <c r="O509" i="20"/>
  <c r="N509" i="20"/>
  <c r="M509" i="20"/>
  <c r="L509" i="20"/>
  <c r="K509" i="20"/>
  <c r="J509" i="20"/>
  <c r="I509" i="20"/>
  <c r="H509" i="20"/>
  <c r="G509" i="20"/>
  <c r="F509" i="20"/>
  <c r="E509" i="20"/>
  <c r="D509" i="20"/>
  <c r="C509" i="20"/>
  <c r="B509" i="20"/>
  <c r="BJ507" i="20"/>
  <c r="BG507" i="20"/>
  <c r="BD507" i="20"/>
  <c r="BA507" i="20"/>
  <c r="AX507" i="20"/>
  <c r="AL507" i="20"/>
  <c r="Z507" i="20"/>
  <c r="W507" i="20"/>
  <c r="T507" i="20"/>
  <c r="Q507" i="20"/>
  <c r="P507" i="20"/>
  <c r="O507" i="20"/>
  <c r="N507" i="20"/>
  <c r="M507" i="20"/>
  <c r="L507" i="20"/>
  <c r="K507" i="20"/>
  <c r="J507" i="20"/>
  <c r="I507" i="20"/>
  <c r="H507" i="20"/>
  <c r="G507" i="20"/>
  <c r="F507" i="20"/>
  <c r="E507" i="20"/>
  <c r="D507" i="20"/>
  <c r="C507" i="20"/>
  <c r="Z506" i="20"/>
  <c r="W506" i="20"/>
  <c r="T506" i="20"/>
  <c r="Q506" i="20"/>
  <c r="P506" i="20"/>
  <c r="O506" i="20"/>
  <c r="N506" i="20"/>
  <c r="M506" i="20"/>
  <c r="L506" i="20"/>
  <c r="K506" i="20"/>
  <c r="J506" i="20"/>
  <c r="I506" i="20"/>
  <c r="H506" i="20"/>
  <c r="G506" i="20"/>
  <c r="F506" i="20"/>
  <c r="E506" i="20"/>
  <c r="D506" i="20"/>
  <c r="C506" i="20"/>
  <c r="AC500" i="20"/>
  <c r="Z477" i="20"/>
  <c r="AC170" i="20" s="1"/>
  <c r="W477" i="20"/>
  <c r="T477" i="20"/>
  <c r="Q477" i="20"/>
  <c r="P477" i="20"/>
  <c r="O477" i="20"/>
  <c r="N477" i="20"/>
  <c r="M477" i="20"/>
  <c r="L477" i="20"/>
  <c r="K477" i="20"/>
  <c r="J477" i="20"/>
  <c r="I477" i="20"/>
  <c r="H477" i="20"/>
  <c r="G477" i="20"/>
  <c r="F477" i="20"/>
  <c r="E477" i="20"/>
  <c r="D477" i="20"/>
  <c r="C477" i="20"/>
  <c r="Z478" i="20"/>
  <c r="AC171" i="20" s="1"/>
  <c r="W478" i="20"/>
  <c r="T478" i="20"/>
  <c r="Q478" i="20"/>
  <c r="P478" i="20"/>
  <c r="O478" i="20"/>
  <c r="N478" i="20"/>
  <c r="M478" i="20"/>
  <c r="L478" i="20"/>
  <c r="K478" i="20"/>
  <c r="J478" i="20"/>
  <c r="I478" i="20"/>
  <c r="H478" i="20"/>
  <c r="G478" i="20"/>
  <c r="F478" i="20"/>
  <c r="E478" i="20"/>
  <c r="D478" i="20"/>
  <c r="C478" i="20"/>
  <c r="O476" i="20"/>
  <c r="N476" i="20"/>
  <c r="M476" i="20"/>
  <c r="L476" i="20"/>
  <c r="K476" i="20"/>
  <c r="J476" i="20"/>
  <c r="I476" i="20"/>
  <c r="H476" i="20"/>
  <c r="G476" i="20"/>
  <c r="F476" i="20"/>
  <c r="E476" i="20"/>
  <c r="D476" i="20"/>
  <c r="C476" i="20"/>
  <c r="N475" i="20"/>
  <c r="M475" i="20"/>
  <c r="L475" i="20"/>
  <c r="K475" i="20"/>
  <c r="J475" i="20"/>
  <c r="I475" i="20"/>
  <c r="H475" i="20"/>
  <c r="G475" i="20"/>
  <c r="F475" i="20"/>
  <c r="E475" i="20"/>
  <c r="D475" i="20"/>
  <c r="C475" i="20"/>
  <c r="N474" i="20"/>
  <c r="M474" i="20"/>
  <c r="L474" i="20"/>
  <c r="K474" i="20"/>
  <c r="J474" i="20"/>
  <c r="I474" i="20"/>
  <c r="H474" i="20"/>
  <c r="G474" i="20"/>
  <c r="F474" i="20"/>
  <c r="E474" i="20"/>
  <c r="D474" i="20"/>
  <c r="C474" i="20"/>
  <c r="N473" i="20"/>
  <c r="M473" i="20"/>
  <c r="L473" i="20"/>
  <c r="K473" i="20"/>
  <c r="J473" i="20"/>
  <c r="I473" i="20"/>
  <c r="H473" i="20"/>
  <c r="G473" i="20"/>
  <c r="F473" i="20"/>
  <c r="E473" i="20"/>
  <c r="D473" i="20"/>
  <c r="C473" i="20"/>
  <c r="N472" i="20"/>
  <c r="M472" i="20"/>
  <c r="L472" i="20"/>
  <c r="K472" i="20"/>
  <c r="J472" i="20"/>
  <c r="I472" i="20"/>
  <c r="H472" i="20"/>
  <c r="G472" i="20"/>
  <c r="F472" i="20"/>
  <c r="E472" i="20"/>
  <c r="D472" i="20"/>
  <c r="C472" i="20"/>
  <c r="N471" i="20"/>
  <c r="M471" i="20"/>
  <c r="L471" i="20"/>
  <c r="K471" i="20"/>
  <c r="J471" i="20"/>
  <c r="I471" i="20"/>
  <c r="H471" i="20"/>
  <c r="G471" i="20"/>
  <c r="F471" i="20"/>
  <c r="E471" i="20"/>
  <c r="D471" i="20"/>
  <c r="C471" i="20"/>
  <c r="Z465" i="20"/>
  <c r="Z476" i="20" s="1"/>
  <c r="W465" i="20"/>
  <c r="W476" i="20" s="1"/>
  <c r="T465" i="20"/>
  <c r="T476" i="20" s="1"/>
  <c r="Q465" i="20"/>
  <c r="Q476" i="20" s="1"/>
  <c r="P465" i="20"/>
  <c r="P476" i="20" s="1"/>
  <c r="Z464" i="20"/>
  <c r="W464" i="20"/>
  <c r="T464" i="20"/>
  <c r="T475" i="20" s="1"/>
  <c r="Q464" i="20"/>
  <c r="Q475" i="20" s="1"/>
  <c r="P464" i="20"/>
  <c r="P475" i="20" s="1"/>
  <c r="O464" i="20"/>
  <c r="O475" i="20" s="1"/>
  <c r="Z463" i="20"/>
  <c r="Z474" i="20" s="1"/>
  <c r="W463" i="20"/>
  <c r="T463" i="20"/>
  <c r="T474" i="20" s="1"/>
  <c r="Q463" i="20"/>
  <c r="Q474" i="20" s="1"/>
  <c r="P463" i="20"/>
  <c r="P474" i="20" s="1"/>
  <c r="O463" i="20"/>
  <c r="O474" i="20" s="1"/>
  <c r="Z462" i="20"/>
  <c r="Z473" i="20" s="1"/>
  <c r="W462" i="20"/>
  <c r="W473" i="20" s="1"/>
  <c r="T462" i="20"/>
  <c r="T473" i="20" s="1"/>
  <c r="Q462" i="20"/>
  <c r="Q473" i="20" s="1"/>
  <c r="P462" i="20"/>
  <c r="P473" i="20" s="1"/>
  <c r="O462" i="20"/>
  <c r="O473" i="20" s="1"/>
  <c r="Z461" i="20"/>
  <c r="W461" i="20"/>
  <c r="W472" i="20" s="1"/>
  <c r="T461" i="20"/>
  <c r="T472" i="20" s="1"/>
  <c r="Q461" i="20"/>
  <c r="Q472" i="20" s="1"/>
  <c r="P461" i="20"/>
  <c r="P472" i="20" s="1"/>
  <c r="O461" i="20"/>
  <c r="O472" i="20" s="1"/>
  <c r="Z460" i="20"/>
  <c r="Z471" i="20" s="1"/>
  <c r="W460" i="20"/>
  <c r="W471" i="20" s="1"/>
  <c r="T460" i="20"/>
  <c r="T471" i="20" s="1"/>
  <c r="Q460" i="20"/>
  <c r="P460" i="20"/>
  <c r="P471" i="20" s="1"/>
  <c r="O460" i="20"/>
  <c r="O471" i="20" s="1"/>
  <c r="Z490" i="20"/>
  <c r="W490" i="20"/>
  <c r="T490" i="20"/>
  <c r="Q490" i="20"/>
  <c r="P490" i="20"/>
  <c r="O490" i="20"/>
  <c r="N490" i="20"/>
  <c r="M490" i="20"/>
  <c r="L490" i="20"/>
  <c r="K490" i="20"/>
  <c r="I490" i="20"/>
  <c r="H490" i="20"/>
  <c r="G490" i="20"/>
  <c r="F490" i="20"/>
  <c r="E490" i="20"/>
  <c r="D490" i="20"/>
  <c r="C490" i="20"/>
  <c r="Z491" i="20"/>
  <c r="W491" i="20"/>
  <c r="T491" i="20"/>
  <c r="Q491" i="20"/>
  <c r="P491" i="20"/>
  <c r="O491" i="20"/>
  <c r="N491" i="20"/>
  <c r="M491" i="20"/>
  <c r="L491" i="20"/>
  <c r="K491" i="20"/>
  <c r="J491" i="20"/>
  <c r="I491" i="20"/>
  <c r="H491" i="20"/>
  <c r="G491" i="20"/>
  <c r="F491" i="20"/>
  <c r="E491" i="20"/>
  <c r="D491" i="20"/>
  <c r="C491" i="20"/>
  <c r="O489" i="20"/>
  <c r="N489" i="20"/>
  <c r="M489" i="20"/>
  <c r="L489" i="20"/>
  <c r="K489" i="20"/>
  <c r="J489" i="20"/>
  <c r="I489" i="20"/>
  <c r="H489" i="20"/>
  <c r="G489" i="20"/>
  <c r="F489" i="20"/>
  <c r="E489" i="20"/>
  <c r="D489" i="20"/>
  <c r="C489" i="20"/>
  <c r="N488" i="20"/>
  <c r="M488" i="20"/>
  <c r="L488" i="20"/>
  <c r="K488" i="20"/>
  <c r="J488" i="20"/>
  <c r="I488" i="20"/>
  <c r="H488" i="20"/>
  <c r="G488" i="20"/>
  <c r="F488" i="20"/>
  <c r="E488" i="20"/>
  <c r="D488" i="20"/>
  <c r="C488" i="20"/>
  <c r="N487" i="20"/>
  <c r="M487" i="20"/>
  <c r="L487" i="20"/>
  <c r="K487" i="20"/>
  <c r="J487" i="20"/>
  <c r="I487" i="20"/>
  <c r="H487" i="20"/>
  <c r="G487" i="20"/>
  <c r="F487" i="20"/>
  <c r="E487" i="20"/>
  <c r="D487" i="20"/>
  <c r="C487" i="20"/>
  <c r="N486" i="20"/>
  <c r="M486" i="20"/>
  <c r="L486" i="20"/>
  <c r="K486" i="20"/>
  <c r="J486" i="20"/>
  <c r="H486" i="20"/>
  <c r="G486" i="20"/>
  <c r="F486" i="20"/>
  <c r="E486" i="20"/>
  <c r="D486" i="20"/>
  <c r="C486" i="20"/>
  <c r="N485" i="20"/>
  <c r="M485" i="20"/>
  <c r="L485" i="20"/>
  <c r="K485" i="20"/>
  <c r="J485" i="20"/>
  <c r="I485" i="20"/>
  <c r="H485" i="20"/>
  <c r="G485" i="20"/>
  <c r="F485" i="20"/>
  <c r="E485" i="20"/>
  <c r="C485" i="20"/>
  <c r="M484" i="20"/>
  <c r="J484" i="20"/>
  <c r="I484" i="20"/>
  <c r="G484" i="20"/>
  <c r="D484" i="20"/>
  <c r="C484" i="20"/>
  <c r="AF425" i="20"/>
  <c r="AC425" i="20"/>
  <c r="Z425" i="20"/>
  <c r="W425" i="20"/>
  <c r="T425" i="20"/>
  <c r="Q425" i="20"/>
  <c r="P425" i="20"/>
  <c r="O425" i="20"/>
  <c r="AF418" i="20"/>
  <c r="AF430" i="20" s="1"/>
  <c r="AF431" i="20" s="1"/>
  <c r="AC418" i="20"/>
  <c r="AC430" i="20" s="1"/>
  <c r="AC431" i="20" s="1"/>
  <c r="Z418" i="20"/>
  <c r="W418" i="20"/>
  <c r="T418" i="20"/>
  <c r="Q418" i="20"/>
  <c r="P418" i="20"/>
  <c r="O418" i="20"/>
  <c r="AF409" i="20"/>
  <c r="AC409" i="20"/>
  <c r="Z409" i="20"/>
  <c r="W409" i="20"/>
  <c r="T409" i="20"/>
  <c r="Q409" i="20"/>
  <c r="P409" i="20"/>
  <c r="O409" i="20"/>
  <c r="Z400" i="20"/>
  <c r="W400" i="20"/>
  <c r="T400" i="20"/>
  <c r="Q400" i="20"/>
  <c r="P400" i="20"/>
  <c r="O400" i="20"/>
  <c r="N400" i="20"/>
  <c r="M400" i="20"/>
  <c r="L400" i="20"/>
  <c r="K400" i="20"/>
  <c r="J400" i="20"/>
  <c r="I400" i="20"/>
  <c r="H400" i="20"/>
  <c r="G400" i="20"/>
  <c r="F400" i="20"/>
  <c r="E400" i="20"/>
  <c r="D400" i="20"/>
  <c r="C400" i="20"/>
  <c r="B400" i="20"/>
  <c r="AC397" i="20"/>
  <c r="AC396" i="20"/>
  <c r="Z393" i="20"/>
  <c r="W393" i="20"/>
  <c r="T393" i="20"/>
  <c r="Q393" i="20"/>
  <c r="P393" i="20"/>
  <c r="O393" i="20"/>
  <c r="N393" i="20"/>
  <c r="M393" i="20"/>
  <c r="L393" i="20"/>
  <c r="K393" i="20"/>
  <c r="J393" i="20"/>
  <c r="I393" i="20"/>
  <c r="H393" i="20"/>
  <c r="G393" i="20"/>
  <c r="F393" i="20"/>
  <c r="E393" i="20"/>
  <c r="D393" i="20"/>
  <c r="C393" i="20"/>
  <c r="B393" i="20"/>
  <c r="AC491" i="20"/>
  <c r="AC388" i="20"/>
  <c r="AC387" i="20"/>
  <c r="AC386" i="20"/>
  <c r="AC385" i="20"/>
  <c r="Z384" i="20"/>
  <c r="W384" i="20"/>
  <c r="T384" i="20"/>
  <c r="Q384" i="20"/>
  <c r="Q502" i="20" s="1"/>
  <c r="P384" i="20"/>
  <c r="O384" i="20"/>
  <c r="P499" i="20" s="1"/>
  <c r="N384" i="20"/>
  <c r="M384" i="20"/>
  <c r="M470" i="20" s="1"/>
  <c r="L384" i="20"/>
  <c r="L470" i="20" s="1"/>
  <c r="K384" i="20"/>
  <c r="K502" i="20" s="1"/>
  <c r="J384" i="20"/>
  <c r="J502" i="20" s="1"/>
  <c r="I384" i="20"/>
  <c r="J499" i="20" s="1"/>
  <c r="H384" i="20"/>
  <c r="G384" i="20"/>
  <c r="G470" i="20" s="1"/>
  <c r="F384" i="20"/>
  <c r="F470" i="20" s="1"/>
  <c r="E384" i="20"/>
  <c r="E502" i="20" s="1"/>
  <c r="D384" i="20"/>
  <c r="C384" i="20"/>
  <c r="D499" i="20" s="1"/>
  <c r="B384" i="20"/>
  <c r="AC383" i="20"/>
  <c r="AC382" i="20"/>
  <c r="Q368" i="20"/>
  <c r="T365" i="20"/>
  <c r="T368" i="20" s="1"/>
  <c r="AX364" i="20"/>
  <c r="AC349" i="20"/>
  <c r="AA349" i="20" s="1"/>
  <c r="AA348" i="20" s="1"/>
  <c r="AI290" i="20"/>
  <c r="AG290" i="20" s="1"/>
  <c r="AG289" i="20" s="1"/>
  <c r="AG347" i="20" s="1"/>
  <c r="AJ115" i="6" s="1"/>
  <c r="T290" i="20"/>
  <c r="W290" i="20" s="1"/>
  <c r="Z290" i="20" s="1"/>
  <c r="AC290" i="20" s="1"/>
  <c r="AA290" i="20" s="1"/>
  <c r="AA289" i="20" s="1"/>
  <c r="T375" i="20"/>
  <c r="T361" i="20" s="1"/>
  <c r="W361" i="20" s="1"/>
  <c r="O375" i="20"/>
  <c r="N375" i="20"/>
  <c r="M375" i="20"/>
  <c r="L375" i="20"/>
  <c r="K375" i="20"/>
  <c r="J375" i="20"/>
  <c r="I375" i="20"/>
  <c r="H375" i="20"/>
  <c r="G375" i="20"/>
  <c r="F375" i="20"/>
  <c r="E375" i="20"/>
  <c r="D375" i="20"/>
  <c r="C375" i="20"/>
  <c r="B375" i="20"/>
  <c r="A375" i="20"/>
  <c r="BJ374" i="20"/>
  <c r="BG374" i="20"/>
  <c r="BD374" i="20"/>
  <c r="BA374" i="20"/>
  <c r="AX374" i="20"/>
  <c r="AU374" i="20"/>
  <c r="AU326" i="20" s="1"/>
  <c r="AO374" i="20"/>
  <c r="AR376" i="20" s="1"/>
  <c r="AL374" i="20"/>
  <c r="AL330" i="20" s="1"/>
  <c r="AI374" i="20"/>
  <c r="AI330" i="20" s="1"/>
  <c r="AF374" i="20"/>
  <c r="AF116" i="20" s="1"/>
  <c r="AC374" i="20"/>
  <c r="Z374" i="20"/>
  <c r="T374" i="20"/>
  <c r="Q374" i="20"/>
  <c r="P374" i="20"/>
  <c r="O374" i="20"/>
  <c r="N374" i="20"/>
  <c r="M374" i="20"/>
  <c r="L374" i="20"/>
  <c r="K374" i="20"/>
  <c r="J374" i="20"/>
  <c r="I374" i="20"/>
  <c r="H374" i="20"/>
  <c r="G374" i="20"/>
  <c r="F374" i="20"/>
  <c r="E374" i="20"/>
  <c r="D374" i="20"/>
  <c r="C374" i="20"/>
  <c r="B374" i="20"/>
  <c r="A374" i="20"/>
  <c r="N373" i="20"/>
  <c r="M373" i="20"/>
  <c r="L373" i="20"/>
  <c r="K373" i="20"/>
  <c r="J373" i="20"/>
  <c r="I373" i="20"/>
  <c r="H373" i="20"/>
  <c r="G373" i="20"/>
  <c r="F373" i="20"/>
  <c r="E373" i="20"/>
  <c r="D373" i="20"/>
  <c r="C373" i="20"/>
  <c r="B373" i="20"/>
  <c r="A373" i="20"/>
  <c r="AF280" i="20"/>
  <c r="AC280" i="20"/>
  <c r="W280" i="20"/>
  <c r="T280" i="20"/>
  <c r="Q280" i="20"/>
  <c r="Z279" i="20"/>
  <c r="Z278" i="20"/>
  <c r="Z277" i="20"/>
  <c r="Z276" i="20"/>
  <c r="Z275" i="20"/>
  <c r="T192" i="20"/>
  <c r="T193" i="20"/>
  <c r="W193" i="20" s="1"/>
  <c r="Z193" i="20" s="1"/>
  <c r="T191" i="20"/>
  <c r="T190" i="20"/>
  <c r="T189" i="20"/>
  <c r="T188" i="20"/>
  <c r="W188" i="20" s="1"/>
  <c r="Z188" i="20" s="1"/>
  <c r="Z187" i="20"/>
  <c r="AF187" i="20" s="1"/>
  <c r="T187" i="20"/>
  <c r="Q187" i="20" s="1"/>
  <c r="T186" i="20"/>
  <c r="W186" i="20" s="1"/>
  <c r="T158" i="20"/>
  <c r="BA159" i="20"/>
  <c r="BD159" i="20" s="1"/>
  <c r="BG159" i="20" s="1"/>
  <c r="BJ159" i="20" s="1"/>
  <c r="T159" i="20"/>
  <c r="BG156" i="20"/>
  <c r="BJ156" i="20" s="1"/>
  <c r="T156" i="20"/>
  <c r="T155" i="20"/>
  <c r="T154" i="20"/>
  <c r="T152" i="20"/>
  <c r="T146" i="20"/>
  <c r="T147" i="20"/>
  <c r="T145" i="20"/>
  <c r="Z144" i="20"/>
  <c r="AC144" i="20" s="1"/>
  <c r="T143" i="20"/>
  <c r="T142" i="20"/>
  <c r="Z141" i="20"/>
  <c r="AC141" i="20" s="1"/>
  <c r="T141" i="20"/>
  <c r="Z140" i="20"/>
  <c r="AC140" i="20" s="1"/>
  <c r="AF121" i="20"/>
  <c r="AC118" i="20"/>
  <c r="Z118" i="20"/>
  <c r="W118" i="20"/>
  <c r="W175" i="2" s="1"/>
  <c r="AF118" i="20"/>
  <c r="AF22" i="20"/>
  <c r="AC22" i="20"/>
  <c r="Z22" i="20"/>
  <c r="W22" i="20"/>
  <c r="AF21" i="20"/>
  <c r="AC21" i="20"/>
  <c r="Z21" i="20"/>
  <c r="W21" i="20"/>
  <c r="AF20" i="20"/>
  <c r="AC20" i="20"/>
  <c r="AC286" i="20" s="1"/>
  <c r="Z20" i="20"/>
  <c r="W20" i="20"/>
  <c r="AF19" i="20"/>
  <c r="AF258" i="20" s="1"/>
  <c r="AC19" i="20"/>
  <c r="AC258" i="20" s="1"/>
  <c r="Z19" i="20"/>
  <c r="Z103" i="20" s="1"/>
  <c r="W19" i="20"/>
  <c r="W103" i="20" s="1"/>
  <c r="W105" i="20" s="1"/>
  <c r="W16" i="20"/>
  <c r="T16" i="20"/>
  <c r="Q16" i="20"/>
  <c r="W15" i="20"/>
  <c r="T15" i="20"/>
  <c r="Q15" i="20"/>
  <c r="W14" i="20"/>
  <c r="T14" i="20"/>
  <c r="Q14" i="20"/>
  <c r="W13" i="20"/>
  <c r="T13" i="20"/>
  <c r="Q13" i="20"/>
  <c r="W12" i="20"/>
  <c r="T12" i="20"/>
  <c r="Q12" i="20"/>
  <c r="W7" i="20"/>
  <c r="T7" i="20"/>
  <c r="Q7" i="20"/>
  <c r="Q358" i="20" s="1"/>
  <c r="Q356" i="20" s="1"/>
  <c r="P7" i="20"/>
  <c r="W6" i="20"/>
  <c r="W287" i="20" s="1"/>
  <c r="T6" i="20"/>
  <c r="T287" i="20" s="1"/>
  <c r="Q6" i="20"/>
  <c r="P6" i="20"/>
  <c r="P287" i="20" s="1"/>
  <c r="W5" i="20"/>
  <c r="T5" i="20"/>
  <c r="Q5" i="20"/>
  <c r="P5" i="20"/>
  <c r="P286" i="20" s="1"/>
  <c r="W4" i="20"/>
  <c r="T4" i="20"/>
  <c r="Q4" i="20"/>
  <c r="P4" i="20"/>
  <c r="Q1" i="20"/>
  <c r="T1" i="20" s="1"/>
  <c r="W1" i="20" s="1"/>
  <c r="Z1" i="20" s="1"/>
  <c r="AC1" i="20" s="1"/>
  <c r="L1" i="20"/>
  <c r="M1" i="20" s="1"/>
  <c r="N1" i="20" s="1"/>
  <c r="O1" i="20" s="1"/>
  <c r="C1" i="20"/>
  <c r="D1" i="20" s="1"/>
  <c r="E1" i="20" s="1"/>
  <c r="F1" i="20" s="1"/>
  <c r="G1" i="20" s="1"/>
  <c r="H1" i="20" s="1"/>
  <c r="I1" i="20" s="1"/>
  <c r="J1" i="20" s="1"/>
  <c r="Q260" i="14"/>
  <c r="T260" i="14" s="1"/>
  <c r="W260" i="14" s="1"/>
  <c r="Q252" i="14"/>
  <c r="T250" i="14"/>
  <c r="Q250" i="14"/>
  <c r="P250" i="14"/>
  <c r="O250" i="14"/>
  <c r="N250" i="14"/>
  <c r="M250" i="14"/>
  <c r="L250" i="14"/>
  <c r="K250" i="14"/>
  <c r="J250" i="14"/>
  <c r="I250" i="14"/>
  <c r="H250" i="14"/>
  <c r="G250" i="14"/>
  <c r="F250" i="14"/>
  <c r="E250" i="14"/>
  <c r="BJ249" i="14"/>
  <c r="BJ252" i="14" s="1"/>
  <c r="BG249" i="14"/>
  <c r="BD249" i="14"/>
  <c r="BA249" i="14"/>
  <c r="AX249" i="14"/>
  <c r="AU249" i="14"/>
  <c r="AR249" i="14"/>
  <c r="AO249" i="14"/>
  <c r="AN249" i="14" s="1"/>
  <c r="AC252" i="14"/>
  <c r="AA252" i="14" s="1"/>
  <c r="Z252" i="14"/>
  <c r="AC248" i="14"/>
  <c r="BG244" i="14"/>
  <c r="BJ231" i="14"/>
  <c r="BG231" i="14"/>
  <c r="BD231" i="14"/>
  <c r="BA231" i="14"/>
  <c r="AX231" i="14"/>
  <c r="AU231" i="14"/>
  <c r="AL231" i="14"/>
  <c r="AI231" i="14"/>
  <c r="AF231" i="14"/>
  <c r="AC231" i="14"/>
  <c r="Z231" i="14"/>
  <c r="W231" i="14"/>
  <c r="T231" i="14"/>
  <c r="Q231" i="14"/>
  <c r="P231" i="14"/>
  <c r="AL230" i="14"/>
  <c r="AI230" i="14"/>
  <c r="AF230" i="14"/>
  <c r="AC230" i="14"/>
  <c r="Z230" i="14"/>
  <c r="W230" i="14"/>
  <c r="T230" i="14"/>
  <c r="Q230" i="14"/>
  <c r="P230" i="14"/>
  <c r="AL229" i="14"/>
  <c r="AI229" i="14"/>
  <c r="AF229" i="14"/>
  <c r="AC229" i="14"/>
  <c r="Z229" i="14"/>
  <c r="AC228" i="14"/>
  <c r="Z228" i="14"/>
  <c r="W228" i="14"/>
  <c r="T228" i="14"/>
  <c r="Q228" i="14"/>
  <c r="P228" i="14"/>
  <c r="AC209" i="14"/>
  <c r="AU208" i="14"/>
  <c r="AT208" i="14" s="1"/>
  <c r="AL208" i="14"/>
  <c r="AK208" i="14" s="1"/>
  <c r="AI208" i="14"/>
  <c r="AF208" i="14"/>
  <c r="Z208" i="14"/>
  <c r="W208" i="14"/>
  <c r="T208" i="14"/>
  <c r="Q208" i="14"/>
  <c r="P208" i="14"/>
  <c r="P203" i="14"/>
  <c r="AC202" i="14"/>
  <c r="Z202" i="14"/>
  <c r="W202" i="14"/>
  <c r="T202" i="14"/>
  <c r="Q202" i="14"/>
  <c r="Q201" i="14" s="1"/>
  <c r="P202" i="14"/>
  <c r="O202" i="14"/>
  <c r="N202" i="14"/>
  <c r="M202" i="14"/>
  <c r="L202" i="14"/>
  <c r="K202" i="14"/>
  <c r="J202" i="14"/>
  <c r="I202" i="14"/>
  <c r="H202" i="14"/>
  <c r="G202" i="14"/>
  <c r="F202" i="14"/>
  <c r="E202" i="14"/>
  <c r="D202" i="14"/>
  <c r="C202" i="14"/>
  <c r="B202" i="14"/>
  <c r="AC219" i="14"/>
  <c r="AU218" i="14"/>
  <c r="AT218" i="14" s="1"/>
  <c r="AL218" i="14"/>
  <c r="AK218" i="14" s="1"/>
  <c r="AI218" i="14"/>
  <c r="AH218" i="14" s="1"/>
  <c r="AF218" i="14"/>
  <c r="AE218" i="14" s="1"/>
  <c r="Z218" i="14"/>
  <c r="Y218" i="14" s="1"/>
  <c r="W218" i="14"/>
  <c r="V218" i="14" s="1"/>
  <c r="AX218" i="14"/>
  <c r="AW218" i="14" s="1"/>
  <c r="AC212" i="14"/>
  <c r="Z212" i="14"/>
  <c r="W212" i="14"/>
  <c r="T212" i="14"/>
  <c r="Q212" i="14"/>
  <c r="P212" i="14"/>
  <c r="O212" i="14"/>
  <c r="N212" i="14"/>
  <c r="M212" i="14"/>
  <c r="L212" i="14"/>
  <c r="K212" i="14"/>
  <c r="J212" i="14"/>
  <c r="I212" i="14"/>
  <c r="H212" i="14"/>
  <c r="G212" i="14"/>
  <c r="F212" i="14"/>
  <c r="E212" i="14"/>
  <c r="D212" i="14"/>
  <c r="C212" i="14"/>
  <c r="B212" i="14"/>
  <c r="AC199" i="14"/>
  <c r="AU198" i="14"/>
  <c r="AT198" i="14" s="1"/>
  <c r="AN198" i="14"/>
  <c r="AN199" i="14" s="1"/>
  <c r="AL198" i="14"/>
  <c r="AK198" i="14" s="1"/>
  <c r="AI198" i="14"/>
  <c r="AF198" i="14"/>
  <c r="Z198" i="14"/>
  <c r="W198" i="14"/>
  <c r="T198" i="14"/>
  <c r="T199" i="14" s="1"/>
  <c r="Q198" i="14"/>
  <c r="Q199" i="14" s="1"/>
  <c r="AX198" i="14"/>
  <c r="AW198" i="14" s="1"/>
  <c r="Q194" i="14"/>
  <c r="P193" i="14"/>
  <c r="AC192" i="14"/>
  <c r="Z192" i="14"/>
  <c r="W192" i="14"/>
  <c r="T192" i="14"/>
  <c r="Q192" i="14"/>
  <c r="Q191" i="14" s="1"/>
  <c r="P192" i="14"/>
  <c r="AC189" i="14"/>
  <c r="AC182" i="14"/>
  <c r="Z182" i="14"/>
  <c r="W182" i="14"/>
  <c r="W189" i="14" s="1"/>
  <c r="T182" i="14"/>
  <c r="T189" i="14" s="1"/>
  <c r="Q182" i="14"/>
  <c r="Q188" i="14" s="1"/>
  <c r="Q189" i="14" s="1"/>
  <c r="P182" i="14"/>
  <c r="P188" i="14" s="1"/>
  <c r="P189" i="14" s="1"/>
  <c r="O182" i="14"/>
  <c r="O188" i="14" s="1"/>
  <c r="O189" i="14" s="1"/>
  <c r="N182" i="14"/>
  <c r="N188" i="14" s="1"/>
  <c r="N189" i="14" s="1"/>
  <c r="M182" i="14"/>
  <c r="M188" i="14" s="1"/>
  <c r="L182" i="14"/>
  <c r="K182" i="14"/>
  <c r="J182" i="14"/>
  <c r="I182" i="14"/>
  <c r="H182" i="14"/>
  <c r="G182" i="14"/>
  <c r="F182" i="14"/>
  <c r="E182" i="14"/>
  <c r="D182" i="14"/>
  <c r="C182" i="14"/>
  <c r="B182" i="14"/>
  <c r="AC172" i="14"/>
  <c r="Z172" i="14"/>
  <c r="W172" i="14"/>
  <c r="T172" i="14"/>
  <c r="T179" i="14" s="1"/>
  <c r="Q172" i="14"/>
  <c r="Q178" i="14" s="1"/>
  <c r="Q179" i="14" s="1"/>
  <c r="P172" i="14"/>
  <c r="P178" i="14" s="1"/>
  <c r="P179" i="14" s="1"/>
  <c r="O172" i="14"/>
  <c r="O178" i="14" s="1"/>
  <c r="O179" i="14" s="1"/>
  <c r="N172" i="14"/>
  <c r="N178" i="14" s="1"/>
  <c r="N179" i="14" s="1"/>
  <c r="M172" i="14"/>
  <c r="M178" i="14" s="1"/>
  <c r="M179" i="14" s="1"/>
  <c r="L172" i="14"/>
  <c r="K172" i="14"/>
  <c r="J172" i="14"/>
  <c r="I172" i="14"/>
  <c r="H172" i="14"/>
  <c r="G172" i="14"/>
  <c r="F172" i="14"/>
  <c r="E172" i="14"/>
  <c r="D172" i="14"/>
  <c r="C172" i="14"/>
  <c r="B172" i="14"/>
  <c r="AN168" i="14"/>
  <c r="AN169" i="14" s="1"/>
  <c r="T164" i="14"/>
  <c r="Q163" i="14"/>
  <c r="AC162" i="14"/>
  <c r="Z162" i="14"/>
  <c r="W162" i="14"/>
  <c r="W169" i="14" s="1"/>
  <c r="T162" i="14"/>
  <c r="T169" i="14" s="1"/>
  <c r="Q162" i="14"/>
  <c r="P162" i="14"/>
  <c r="P168" i="14" s="1"/>
  <c r="P169" i="14" s="1"/>
  <c r="O162" i="14"/>
  <c r="O168" i="14" s="1"/>
  <c r="O169" i="14" s="1"/>
  <c r="N162" i="14"/>
  <c r="N168" i="14" s="1"/>
  <c r="N169" i="14" s="1"/>
  <c r="M162" i="14"/>
  <c r="M168" i="14" s="1"/>
  <c r="M169" i="14" s="1"/>
  <c r="L162" i="14"/>
  <c r="L168" i="14" s="1"/>
  <c r="L169" i="14" s="1"/>
  <c r="K162" i="14"/>
  <c r="J162" i="14"/>
  <c r="J168" i="14" s="1"/>
  <c r="J169" i="14" s="1"/>
  <c r="I162" i="14"/>
  <c r="I168" i="14" s="1"/>
  <c r="I169" i="14" s="1"/>
  <c r="H162" i="14"/>
  <c r="H168" i="14" s="1"/>
  <c r="H169" i="14" s="1"/>
  <c r="G162" i="14"/>
  <c r="G168" i="14" s="1"/>
  <c r="G169" i="14" s="1"/>
  <c r="F162" i="14"/>
  <c r="F168" i="14" s="1"/>
  <c r="F169" i="14" s="1"/>
  <c r="E162" i="14"/>
  <c r="D162" i="14"/>
  <c r="C162" i="14"/>
  <c r="B162" i="14"/>
  <c r="AF89" i="14"/>
  <c r="AF93" i="14" s="1"/>
  <c r="AF86" i="14"/>
  <c r="AC86" i="14"/>
  <c r="AC87" i="14" s="1"/>
  <c r="Z86" i="14"/>
  <c r="W86" i="14"/>
  <c r="T86" i="14"/>
  <c r="Q86" i="14"/>
  <c r="P86" i="14"/>
  <c r="O86" i="14"/>
  <c r="N86" i="14"/>
  <c r="M86" i="14"/>
  <c r="L86" i="14"/>
  <c r="K86" i="14"/>
  <c r="J86" i="14"/>
  <c r="I86" i="14"/>
  <c r="H86" i="14"/>
  <c r="G86" i="14"/>
  <c r="F86" i="14"/>
  <c r="E86" i="14"/>
  <c r="D86" i="14"/>
  <c r="C86" i="14"/>
  <c r="B86" i="14"/>
  <c r="BJ77" i="14"/>
  <c r="BG77" i="14"/>
  <c r="BG500" i="20" s="1"/>
  <c r="BD77" i="14"/>
  <c r="BD500" i="20" s="1"/>
  <c r="BA77" i="14"/>
  <c r="AX77" i="14"/>
  <c r="AX500" i="20" s="1"/>
  <c r="AU77" i="14"/>
  <c r="AU500" i="20" s="1"/>
  <c r="AL77" i="14"/>
  <c r="AL500" i="20" s="1"/>
  <c r="AI77" i="14"/>
  <c r="AF77" i="14"/>
  <c r="AF500" i="20" s="1"/>
  <c r="Z77" i="14"/>
  <c r="Z500" i="20" s="1"/>
  <c r="W77" i="14"/>
  <c r="T77" i="14"/>
  <c r="T500" i="20" s="1"/>
  <c r="Q77" i="14"/>
  <c r="P77" i="14"/>
  <c r="O77" i="14"/>
  <c r="O500" i="20" s="1"/>
  <c r="N77" i="14"/>
  <c r="N500" i="20" s="1"/>
  <c r="M77" i="14"/>
  <c r="L77" i="14"/>
  <c r="L500" i="20" s="1"/>
  <c r="K77" i="14"/>
  <c r="J77" i="14"/>
  <c r="I77" i="14"/>
  <c r="I500" i="20" s="1"/>
  <c r="H77" i="14"/>
  <c r="H500" i="20" s="1"/>
  <c r="G77" i="14"/>
  <c r="F77" i="14"/>
  <c r="F500" i="20" s="1"/>
  <c r="E77" i="14"/>
  <c r="D77" i="14"/>
  <c r="C77" i="14"/>
  <c r="C500" i="20" s="1"/>
  <c r="B77" i="14"/>
  <c r="AF373" i="20"/>
  <c r="AC373" i="20"/>
  <c r="W373" i="20"/>
  <c r="T373" i="20"/>
  <c r="Q373" i="20"/>
  <c r="P373" i="20"/>
  <c r="O373" i="20"/>
  <c r="T63" i="14"/>
  <c r="W64" i="14" s="1"/>
  <c r="AF62" i="14"/>
  <c r="Z62" i="14"/>
  <c r="AC113" i="6" s="1"/>
  <c r="W62" i="14"/>
  <c r="AF57" i="14"/>
  <c r="AF22" i="14"/>
  <c r="AF256" i="14" s="1"/>
  <c r="AC22" i="14"/>
  <c r="AC256" i="14" s="1"/>
  <c r="Z22" i="14"/>
  <c r="W22" i="14"/>
  <c r="W256" i="14" s="1"/>
  <c r="AF21" i="14"/>
  <c r="AF239" i="14" s="1"/>
  <c r="AC21" i="14"/>
  <c r="AC239" i="14" s="1"/>
  <c r="Z21" i="14"/>
  <c r="W21" i="14"/>
  <c r="W239" i="14" s="1"/>
  <c r="AF20" i="14"/>
  <c r="AC20" i="14"/>
  <c r="AC40" i="14" s="1"/>
  <c r="Z20" i="14"/>
  <c r="Z40" i="14" s="1"/>
  <c r="W20" i="14"/>
  <c r="BJ17" i="14"/>
  <c r="BG17" i="14"/>
  <c r="BD17" i="14"/>
  <c r="BA17" i="14"/>
  <c r="AX17" i="14"/>
  <c r="AU17" i="14"/>
  <c r="AR17" i="14"/>
  <c r="AO17" i="14"/>
  <c r="AL17" i="14"/>
  <c r="AI17" i="14"/>
  <c r="AF17" i="14"/>
  <c r="AC17" i="14"/>
  <c r="Z17" i="14"/>
  <c r="W17" i="14"/>
  <c r="T17" i="14"/>
  <c r="Q17" i="14"/>
  <c r="BJ16" i="14"/>
  <c r="BG16" i="14"/>
  <c r="BD16" i="14"/>
  <c r="BA16" i="14"/>
  <c r="AX16" i="14"/>
  <c r="AU16" i="14"/>
  <c r="AR16" i="14"/>
  <c r="AO16" i="14"/>
  <c r="AL16" i="14"/>
  <c r="AI16" i="14"/>
  <c r="AF16" i="14"/>
  <c r="AC16" i="14"/>
  <c r="T16" i="14"/>
  <c r="Q16" i="14"/>
  <c r="BJ15" i="14"/>
  <c r="BG15" i="14"/>
  <c r="BD15" i="14"/>
  <c r="BA15" i="14"/>
  <c r="AX15" i="14"/>
  <c r="AU15" i="14"/>
  <c r="AR15" i="14"/>
  <c r="AO15" i="14"/>
  <c r="AL15" i="14"/>
  <c r="AI15" i="14"/>
  <c r="AF15" i="14"/>
  <c r="AC15" i="14"/>
  <c r="Z15" i="14"/>
  <c r="T14" i="14"/>
  <c r="Q14" i="14"/>
  <c r="BJ13" i="14"/>
  <c r="BG13" i="14"/>
  <c r="BD13" i="14"/>
  <c r="BA13" i="14"/>
  <c r="AX13" i="14"/>
  <c r="AU13" i="14"/>
  <c r="AR13" i="14"/>
  <c r="AO13" i="14"/>
  <c r="AL13" i="14"/>
  <c r="AI13" i="14"/>
  <c r="AF13" i="14"/>
  <c r="AC13" i="14"/>
  <c r="Z13" i="14"/>
  <c r="T13" i="14"/>
  <c r="Q13" i="14"/>
  <c r="W8" i="14"/>
  <c r="T8" i="14"/>
  <c r="Q8" i="14"/>
  <c r="Q256" i="14" s="1"/>
  <c r="P8" i="14"/>
  <c r="P256" i="14" s="1"/>
  <c r="P259" i="14" s="1"/>
  <c r="W7" i="14"/>
  <c r="T7" i="14"/>
  <c r="T239" i="14" s="1"/>
  <c r="Q7" i="14"/>
  <c r="Q21" i="14" s="1"/>
  <c r="Q73" i="6" s="1"/>
  <c r="Q98" i="6" s="1"/>
  <c r="P7" i="14"/>
  <c r="P239" i="14" s="1"/>
  <c r="W6" i="14"/>
  <c r="T6" i="14"/>
  <c r="Q6" i="14"/>
  <c r="P6" i="14"/>
  <c r="W5" i="14"/>
  <c r="T5" i="14"/>
  <c r="Q5" i="14"/>
  <c r="P5" i="14"/>
  <c r="Q1" i="14"/>
  <c r="T1" i="14" s="1"/>
  <c r="W1" i="14" s="1"/>
  <c r="Z1" i="14" s="1"/>
  <c r="AC1" i="14" s="1"/>
  <c r="AF1" i="14" s="1"/>
  <c r="AI1" i="14" s="1"/>
  <c r="AL1" i="14" s="1"/>
  <c r="L1" i="14"/>
  <c r="M1" i="14" s="1"/>
  <c r="N1" i="14" s="1"/>
  <c r="O1" i="14" s="1"/>
  <c r="C1" i="14"/>
  <c r="D1" i="14" s="1"/>
  <c r="E1" i="14" s="1"/>
  <c r="F1" i="14" s="1"/>
  <c r="G1" i="14" s="1"/>
  <c r="H1" i="14" s="1"/>
  <c r="I1" i="14" s="1"/>
  <c r="J1" i="14" s="1"/>
  <c r="W225" i="6"/>
  <c r="T225" i="6"/>
  <c r="Q225" i="6"/>
  <c r="W213" i="6"/>
  <c r="T213" i="6"/>
  <c r="T84" i="6" s="1"/>
  <c r="Q213" i="6"/>
  <c r="W206" i="6"/>
  <c r="T206" i="6"/>
  <c r="Q206" i="6"/>
  <c r="W193" i="6"/>
  <c r="T193" i="6"/>
  <c r="Q193" i="6"/>
  <c r="W186" i="6"/>
  <c r="T186" i="6"/>
  <c r="Q186" i="6"/>
  <c r="AC175" i="6"/>
  <c r="Z175" i="6"/>
  <c r="T175" i="6"/>
  <c r="T159" i="6" s="1"/>
  <c r="Q175" i="6"/>
  <c r="Q159" i="6" s="1"/>
  <c r="W174" i="6"/>
  <c r="W172" i="6"/>
  <c r="M167" i="6"/>
  <c r="L167" i="6"/>
  <c r="K167" i="6"/>
  <c r="J167" i="6"/>
  <c r="I167" i="6"/>
  <c r="H167" i="6"/>
  <c r="G167" i="6"/>
  <c r="F167" i="6"/>
  <c r="E167" i="6"/>
  <c r="D167" i="6"/>
  <c r="C167" i="6"/>
  <c r="AC165" i="6"/>
  <c r="W165" i="6"/>
  <c r="T165" i="6"/>
  <c r="Q165" i="6"/>
  <c r="P165" i="6"/>
  <c r="O165" i="6"/>
  <c r="N165" i="6"/>
  <c r="W163" i="6"/>
  <c r="T163" i="6"/>
  <c r="Q163" i="6"/>
  <c r="P163" i="6"/>
  <c r="O163" i="6"/>
  <c r="AC161" i="6"/>
  <c r="W161" i="6"/>
  <c r="T161" i="6"/>
  <c r="W154" i="6" s="1"/>
  <c r="Q161" i="6"/>
  <c r="P161" i="6"/>
  <c r="O161" i="6"/>
  <c r="N161" i="6"/>
  <c r="P159" i="6"/>
  <c r="O159" i="6"/>
  <c r="W155" i="6"/>
  <c r="T155" i="6"/>
  <c r="Q155" i="6"/>
  <c r="T154" i="6"/>
  <c r="Q154" i="6"/>
  <c r="P154" i="6"/>
  <c r="O154" i="6"/>
  <c r="W150" i="6"/>
  <c r="T150" i="6"/>
  <c r="Q150" i="6"/>
  <c r="P150" i="6"/>
  <c r="O150" i="6"/>
  <c r="N150" i="6"/>
  <c r="M150" i="6"/>
  <c r="L150" i="6"/>
  <c r="K150" i="6"/>
  <c r="J150" i="6"/>
  <c r="I150" i="6"/>
  <c r="H150" i="6"/>
  <c r="G150" i="6"/>
  <c r="F150" i="6"/>
  <c r="W148" i="6"/>
  <c r="W30" i="14" s="1"/>
  <c r="T148" i="6"/>
  <c r="T30" i="14" s="1"/>
  <c r="Q148" i="6"/>
  <c r="P148" i="6"/>
  <c r="P30" i="14" s="1"/>
  <c r="O148" i="6"/>
  <c r="N148" i="6"/>
  <c r="M148" i="6"/>
  <c r="L148" i="6"/>
  <c r="K148" i="6"/>
  <c r="J148" i="6"/>
  <c r="I148" i="6"/>
  <c r="H148" i="6"/>
  <c r="G148" i="6"/>
  <c r="F148" i="6"/>
  <c r="W147" i="6"/>
  <c r="T147" i="6"/>
  <c r="Q147" i="6"/>
  <c r="Q15" i="14" s="1"/>
  <c r="P147" i="6"/>
  <c r="O147" i="6"/>
  <c r="N147" i="6"/>
  <c r="M147" i="6"/>
  <c r="L147" i="6"/>
  <c r="K147" i="6"/>
  <c r="J147" i="6"/>
  <c r="I147" i="6"/>
  <c r="H147" i="6"/>
  <c r="G147" i="6"/>
  <c r="F147" i="6"/>
  <c r="W146" i="6"/>
  <c r="T146" i="6"/>
  <c r="Q146" i="6"/>
  <c r="P146" i="6"/>
  <c r="O146" i="6"/>
  <c r="N146" i="6"/>
  <c r="M146" i="6"/>
  <c r="L146" i="6"/>
  <c r="K146" i="6"/>
  <c r="J146" i="6"/>
  <c r="I146" i="6"/>
  <c r="H146" i="6"/>
  <c r="G146" i="6"/>
  <c r="AC123" i="6"/>
  <c r="AF123" i="6" s="1"/>
  <c r="W119" i="6"/>
  <c r="W118" i="6"/>
  <c r="AL113" i="6"/>
  <c r="Q103" i="6"/>
  <c r="Q102" i="6"/>
  <c r="Q101" i="6"/>
  <c r="AI99" i="6"/>
  <c r="AF99" i="6"/>
  <c r="AC99" i="6"/>
  <c r="W99" i="6"/>
  <c r="AI98" i="6"/>
  <c r="AF98" i="6"/>
  <c r="AC98" i="6"/>
  <c r="W98" i="6"/>
  <c r="AI97" i="6"/>
  <c r="AF97" i="6"/>
  <c r="AC97" i="6"/>
  <c r="W97" i="6"/>
  <c r="AI87" i="6"/>
  <c r="AF87" i="6"/>
  <c r="AI75" i="6"/>
  <c r="AF75" i="6"/>
  <c r="AC75" i="6"/>
  <c r="Z75" i="6"/>
  <c r="W222" i="6" s="1"/>
  <c r="AI71" i="6"/>
  <c r="AF71" i="6"/>
  <c r="AC71" i="6"/>
  <c r="Z71" i="6"/>
  <c r="W221" i="6" s="1"/>
  <c r="P70" i="6"/>
  <c r="W67" i="6"/>
  <c r="T67" i="6"/>
  <c r="Q67" i="6"/>
  <c r="P67" i="6"/>
  <c r="W48" i="6"/>
  <c r="T48" i="6"/>
  <c r="Q48" i="6"/>
  <c r="W43" i="6"/>
  <c r="T43" i="6"/>
  <c r="Q43" i="6"/>
  <c r="F39" i="6"/>
  <c r="E39" i="6"/>
  <c r="W35" i="6"/>
  <c r="W31" i="6" s="1"/>
  <c r="W75" i="6" s="1"/>
  <c r="V75" i="6" s="1"/>
  <c r="T35" i="6"/>
  <c r="T31" i="6" s="1"/>
  <c r="Q35" i="6"/>
  <c r="Q31" i="6" s="1"/>
  <c r="P35" i="6"/>
  <c r="P31" i="6" s="1"/>
  <c r="BM29" i="6"/>
  <c r="BJ29" i="6"/>
  <c r="BG29" i="6"/>
  <c r="BD29" i="6"/>
  <c r="BA29" i="6"/>
  <c r="AU29" i="6"/>
  <c r="AR29" i="6"/>
  <c r="AO29" i="6"/>
  <c r="AL29" i="6"/>
  <c r="AI29" i="6"/>
  <c r="AF29" i="6"/>
  <c r="AC29" i="6"/>
  <c r="BM28" i="6"/>
  <c r="BJ28" i="6"/>
  <c r="BG28" i="6"/>
  <c r="BD28" i="6"/>
  <c r="BA28" i="6"/>
  <c r="AU28" i="6"/>
  <c r="AR28" i="6"/>
  <c r="AO28" i="6"/>
  <c r="AL28" i="6"/>
  <c r="AI28" i="6"/>
  <c r="AF28" i="6"/>
  <c r="AC28" i="6"/>
  <c r="BM27" i="6"/>
  <c r="BJ27" i="6"/>
  <c r="BG27" i="6"/>
  <c r="BD27" i="6"/>
  <c r="BA27" i="6"/>
  <c r="AU27" i="6"/>
  <c r="AR27" i="6"/>
  <c r="AO27" i="6"/>
  <c r="AL27" i="6"/>
  <c r="AI27" i="6"/>
  <c r="AF27" i="6"/>
  <c r="AC27" i="6"/>
  <c r="W26" i="6"/>
  <c r="T26" i="6"/>
  <c r="Q26" i="6"/>
  <c r="P26" i="6"/>
  <c r="P25" i="6"/>
  <c r="W14" i="6"/>
  <c r="W230" i="6" s="1"/>
  <c r="T14" i="6"/>
  <c r="T132" i="6" s="1"/>
  <c r="T134" i="6" s="1"/>
  <c r="T138" i="6" s="1"/>
  <c r="T141" i="6" s="1"/>
  <c r="Q14" i="6"/>
  <c r="Q132" i="6" s="1"/>
  <c r="Q134" i="6" s="1"/>
  <c r="Q138" i="6" s="1"/>
  <c r="Q141" i="6" s="1"/>
  <c r="P14" i="6"/>
  <c r="P132" i="6" s="1"/>
  <c r="P134" i="6" s="1"/>
  <c r="P138" i="6" s="1"/>
  <c r="P141" i="6" s="1"/>
  <c r="O14" i="6"/>
  <c r="N14" i="6"/>
  <c r="M14" i="6"/>
  <c r="L14" i="6"/>
  <c r="K14" i="6"/>
  <c r="J14" i="6"/>
  <c r="I14" i="6"/>
  <c r="H14" i="6"/>
  <c r="G14" i="6"/>
  <c r="F14" i="6"/>
  <c r="E14" i="6"/>
  <c r="D14" i="6"/>
  <c r="C14" i="6"/>
  <c r="B14" i="6"/>
  <c r="AI6" i="6"/>
  <c r="AF6" i="6"/>
  <c r="AF91" i="6" s="1"/>
  <c r="AC6" i="6"/>
  <c r="AC91" i="6" s="1"/>
  <c r="Z6" i="6"/>
  <c r="W227" i="6" s="1"/>
  <c r="AI4" i="6"/>
  <c r="AI9" i="6" s="1"/>
  <c r="AF4" i="6"/>
  <c r="AC4" i="6"/>
  <c r="Z4" i="6"/>
  <c r="W4" i="6"/>
  <c r="W5" i="6" s="1"/>
  <c r="T4" i="6"/>
  <c r="T5" i="6" s="1"/>
  <c r="Q4" i="6"/>
  <c r="Q5" i="6" s="1"/>
  <c r="P4" i="6"/>
  <c r="P9" i="6" s="1"/>
  <c r="O4" i="6"/>
  <c r="O26" i="6" s="1"/>
  <c r="N4" i="6"/>
  <c r="N26" i="6" s="1"/>
  <c r="M4" i="6"/>
  <c r="M26" i="6" s="1"/>
  <c r="L4" i="6"/>
  <c r="L26" i="6" s="1"/>
  <c r="K4" i="6"/>
  <c r="K26" i="6" s="1"/>
  <c r="K9" i="14" s="1"/>
  <c r="J4" i="6"/>
  <c r="J26" i="6" s="1"/>
  <c r="J9" i="14" s="1"/>
  <c r="I4" i="6"/>
  <c r="I26" i="6" s="1"/>
  <c r="H4" i="6"/>
  <c r="H26" i="6" s="1"/>
  <c r="G4" i="6"/>
  <c r="G26" i="6" s="1"/>
  <c r="F4" i="6"/>
  <c r="F31" i="6" s="1"/>
  <c r="F26" i="6" s="1"/>
  <c r="E4" i="6"/>
  <c r="E31" i="6" s="1"/>
  <c r="E26" i="6" s="1"/>
  <c r="D4" i="6"/>
  <c r="D26" i="6" s="1"/>
  <c r="D9" i="14" s="1"/>
  <c r="C4" i="6"/>
  <c r="C37" i="6" s="1"/>
  <c r="B4" i="6"/>
  <c r="B37" i="6" s="1"/>
  <c r="Q1" i="6"/>
  <c r="Q25" i="6" s="1"/>
  <c r="L1" i="6"/>
  <c r="M1" i="6" s="1"/>
  <c r="N1" i="6" s="1"/>
  <c r="O1" i="6" s="1"/>
  <c r="C1" i="6"/>
  <c r="D1" i="6" s="1"/>
  <c r="E1" i="6" s="1"/>
  <c r="F1" i="6" s="1"/>
  <c r="G1" i="6" s="1"/>
  <c r="H1" i="6" s="1"/>
  <c r="I1" i="6" s="1"/>
  <c r="J1" i="6" s="1"/>
  <c r="AN118" i="6"/>
  <c r="AK118" i="6"/>
  <c r="AN99" i="6"/>
  <c r="AA70" i="3"/>
  <c r="AA25" i="2" s="1"/>
  <c r="U70" i="3"/>
  <c r="U25" i="2" s="1"/>
  <c r="R70" i="3"/>
  <c r="R25" i="2" s="1"/>
  <c r="R228" i="4" s="1"/>
  <c r="AH374" i="20"/>
  <c r="AF119" i="5"/>
  <c r="AI118" i="5"/>
  <c r="AF118" i="5"/>
  <c r="AF113" i="5"/>
  <c r="AE113" i="5" s="1"/>
  <c r="AF110" i="5"/>
  <c r="AE110" i="5" s="1"/>
  <c r="AC110" i="5"/>
  <c r="AB110" i="5" s="1"/>
  <c r="Z110" i="5"/>
  <c r="Y110" i="5" s="1"/>
  <c r="W110" i="5"/>
  <c r="T110" i="5"/>
  <c r="Q110" i="5"/>
  <c r="O110" i="5"/>
  <c r="AF107" i="5"/>
  <c r="AC107" i="5"/>
  <c r="AB107" i="5" s="1"/>
  <c r="AI105" i="5"/>
  <c r="AF105" i="5"/>
  <c r="AC105" i="5"/>
  <c r="Z105" i="5"/>
  <c r="AI119" i="5"/>
  <c r="AC102" i="5"/>
  <c r="AB102" i="5" s="1"/>
  <c r="AB104" i="5" s="1"/>
  <c r="AB119" i="5" s="1"/>
  <c r="AF102" i="5"/>
  <c r="AE102" i="5" s="1"/>
  <c r="AE104" i="5" s="1"/>
  <c r="AE119" i="5" s="1"/>
  <c r="Z102" i="5"/>
  <c r="Y102" i="5" s="1"/>
  <c r="AI93" i="5"/>
  <c r="AF93" i="5"/>
  <c r="AC93" i="5"/>
  <c r="Z93" i="5"/>
  <c r="W93" i="5"/>
  <c r="T93" i="5"/>
  <c r="Q93" i="5"/>
  <c r="P93" i="5"/>
  <c r="N93" i="5"/>
  <c r="M93" i="5"/>
  <c r="K93" i="5"/>
  <c r="I93" i="5"/>
  <c r="H93" i="5"/>
  <c r="G93" i="5"/>
  <c r="F93" i="5"/>
  <c r="E93" i="5"/>
  <c r="D93" i="5"/>
  <c r="B93" i="5"/>
  <c r="AI92" i="5"/>
  <c r="AF92" i="5"/>
  <c r="AC92" i="5"/>
  <c r="AI90" i="5"/>
  <c r="AF90" i="5"/>
  <c r="AC90" i="5"/>
  <c r="Z90" i="5"/>
  <c r="W90" i="5"/>
  <c r="T90" i="5"/>
  <c r="Q90" i="5"/>
  <c r="P90" i="5"/>
  <c r="O90" i="5"/>
  <c r="N90" i="5"/>
  <c r="M90" i="5"/>
  <c r="L90" i="5"/>
  <c r="K90" i="5"/>
  <c r="J90" i="5"/>
  <c r="I90" i="5"/>
  <c r="H90" i="5"/>
  <c r="G90" i="5"/>
  <c r="F90" i="5"/>
  <c r="E90" i="5"/>
  <c r="D90" i="5"/>
  <c r="C90" i="5"/>
  <c r="B90" i="5"/>
  <c r="AF89" i="5"/>
  <c r="AC89" i="5"/>
  <c r="Z89" i="5"/>
  <c r="W89" i="5"/>
  <c r="T89" i="5"/>
  <c r="Q89" i="5"/>
  <c r="P89" i="5"/>
  <c r="O89" i="5"/>
  <c r="N89" i="5"/>
  <c r="M89" i="5"/>
  <c r="L89" i="5"/>
  <c r="K89" i="5"/>
  <c r="J89" i="5"/>
  <c r="I89" i="5"/>
  <c r="H89" i="5"/>
  <c r="G89" i="5"/>
  <c r="F89" i="5"/>
  <c r="E89" i="5"/>
  <c r="D89" i="5"/>
  <c r="C89" i="5"/>
  <c r="B89" i="5"/>
  <c r="AI71" i="5"/>
  <c r="AF71" i="5"/>
  <c r="AC71" i="5"/>
  <c r="Z71" i="5"/>
  <c r="W71" i="5"/>
  <c r="T71" i="5"/>
  <c r="Q71" i="5"/>
  <c r="P71" i="5"/>
  <c r="O71" i="5"/>
  <c r="N71" i="5"/>
  <c r="M71" i="5"/>
  <c r="L71" i="5"/>
  <c r="K71" i="5"/>
  <c r="J71" i="5"/>
  <c r="I71" i="5"/>
  <c r="H71" i="5"/>
  <c r="G71" i="5"/>
  <c r="F71" i="5"/>
  <c r="E71" i="5"/>
  <c r="D71" i="5"/>
  <c r="C71" i="5"/>
  <c r="B71" i="5"/>
  <c r="I69" i="5"/>
  <c r="K68" i="5"/>
  <c r="K65" i="5" s="1"/>
  <c r="J68" i="5"/>
  <c r="J65" i="5" s="1"/>
  <c r="BM65" i="5"/>
  <c r="BM64" i="4" s="1"/>
  <c r="BL64" i="4" s="1"/>
  <c r="BJ65" i="5"/>
  <c r="BJ64" i="4" s="1"/>
  <c r="BI64" i="4" s="1"/>
  <c r="BG65" i="5"/>
  <c r="BD65" i="5"/>
  <c r="BD64" i="4" s="1"/>
  <c r="BC64" i="4" s="1"/>
  <c r="BA65" i="5"/>
  <c r="AO65" i="5"/>
  <c r="AL65" i="5"/>
  <c r="AI65" i="5"/>
  <c r="AF65" i="5"/>
  <c r="AC65" i="5"/>
  <c r="Z65" i="5"/>
  <c r="W65" i="5"/>
  <c r="T65" i="5"/>
  <c r="Q65" i="5"/>
  <c r="P65" i="5"/>
  <c r="O65" i="5"/>
  <c r="N65" i="5"/>
  <c r="M65" i="5"/>
  <c r="L65" i="5"/>
  <c r="H65" i="5"/>
  <c r="G65" i="5"/>
  <c r="F65" i="5"/>
  <c r="E65" i="5"/>
  <c r="D65" i="5"/>
  <c r="C65" i="5"/>
  <c r="B65" i="5"/>
  <c r="E64" i="5"/>
  <c r="AI62" i="5"/>
  <c r="AF60" i="5"/>
  <c r="AC60" i="5"/>
  <c r="Z60" i="5"/>
  <c r="W60" i="5"/>
  <c r="T60" i="5"/>
  <c r="Q60" i="5"/>
  <c r="P60" i="5"/>
  <c r="O60" i="5"/>
  <c r="O212" i="4" s="1"/>
  <c r="N60" i="5"/>
  <c r="N212" i="4" s="1"/>
  <c r="M60" i="5"/>
  <c r="L60" i="5"/>
  <c r="L212" i="4" s="1"/>
  <c r="K60" i="5"/>
  <c r="K212" i="4" s="1"/>
  <c r="J60" i="5"/>
  <c r="J212" i="4" s="1"/>
  <c r="I60" i="5"/>
  <c r="I212" i="4" s="1"/>
  <c r="H60" i="5"/>
  <c r="H212" i="4" s="1"/>
  <c r="G60" i="5"/>
  <c r="G212" i="4" s="1"/>
  <c r="F60" i="5"/>
  <c r="F212" i="4" s="1"/>
  <c r="E60" i="5"/>
  <c r="D60" i="5"/>
  <c r="C60" i="5"/>
  <c r="B60" i="5"/>
  <c r="AL56" i="5"/>
  <c r="E58" i="5"/>
  <c r="D58" i="5"/>
  <c r="C58" i="5"/>
  <c r="J57" i="5"/>
  <c r="J56" i="5" s="1"/>
  <c r="G57" i="5"/>
  <c r="G56" i="5" s="1"/>
  <c r="F57" i="5"/>
  <c r="F56" i="5" s="1"/>
  <c r="E57" i="5"/>
  <c r="D57" i="5"/>
  <c r="C57" i="5"/>
  <c r="B57" i="5"/>
  <c r="B56" i="5" s="1"/>
  <c r="AI56" i="5"/>
  <c r="AF56" i="5"/>
  <c r="AC56" i="5"/>
  <c r="Z56" i="5"/>
  <c r="W56" i="5"/>
  <c r="T56" i="5"/>
  <c r="Q56" i="5"/>
  <c r="P56" i="5"/>
  <c r="O56" i="5"/>
  <c r="N56" i="5"/>
  <c r="M56" i="5"/>
  <c r="L56" i="5"/>
  <c r="K56" i="5"/>
  <c r="I56" i="5"/>
  <c r="H56" i="5"/>
  <c r="AI49" i="5"/>
  <c r="AF49" i="5"/>
  <c r="AC49" i="5"/>
  <c r="Z49" i="5"/>
  <c r="W49" i="5"/>
  <c r="T49" i="5"/>
  <c r="Q49" i="5"/>
  <c r="P49" i="5"/>
  <c r="O49" i="5"/>
  <c r="N49" i="5"/>
  <c r="M49" i="5"/>
  <c r="L49" i="5"/>
  <c r="K49" i="5"/>
  <c r="J49" i="5"/>
  <c r="I49" i="5"/>
  <c r="H49" i="5"/>
  <c r="G49" i="5"/>
  <c r="F49" i="5"/>
  <c r="E49" i="5"/>
  <c r="D49" i="5"/>
  <c r="C49" i="5"/>
  <c r="B49" i="5"/>
  <c r="BM41" i="5"/>
  <c r="BJ41" i="5"/>
  <c r="BG41" i="5"/>
  <c r="BD41" i="5"/>
  <c r="BA41" i="5"/>
  <c r="AO41" i="5"/>
  <c r="AL41" i="5"/>
  <c r="AI41" i="5"/>
  <c r="AF41" i="5"/>
  <c r="AC41" i="5"/>
  <c r="Z41" i="5"/>
  <c r="W41" i="5"/>
  <c r="T41" i="5"/>
  <c r="Q41" i="5"/>
  <c r="P41" i="5"/>
  <c r="O41" i="5"/>
  <c r="N41" i="5"/>
  <c r="M41" i="5"/>
  <c r="L41" i="5"/>
  <c r="K41" i="5"/>
  <c r="J41" i="5"/>
  <c r="I41" i="5"/>
  <c r="H41" i="5"/>
  <c r="G41" i="5"/>
  <c r="F41" i="5"/>
  <c r="E41" i="5"/>
  <c r="D41" i="5"/>
  <c r="C41" i="5"/>
  <c r="B41" i="5"/>
  <c r="AC39" i="5"/>
  <c r="AF37" i="5"/>
  <c r="Z37" i="5"/>
  <c r="W37" i="5"/>
  <c r="T37" i="5"/>
  <c r="Q37" i="5"/>
  <c r="P37" i="5"/>
  <c r="O37" i="5"/>
  <c r="N37" i="5"/>
  <c r="M37" i="5"/>
  <c r="L37" i="5"/>
  <c r="K37" i="5"/>
  <c r="J37" i="5"/>
  <c r="I37" i="5"/>
  <c r="H37" i="5"/>
  <c r="G37" i="5"/>
  <c r="F37" i="5"/>
  <c r="E37" i="5"/>
  <c r="D37" i="5"/>
  <c r="C37" i="5"/>
  <c r="B37" i="5"/>
  <c r="AI34" i="5"/>
  <c r="AF34" i="5"/>
  <c r="AC34" i="5"/>
  <c r="Z34" i="5"/>
  <c r="W34" i="5"/>
  <c r="T34" i="5"/>
  <c r="Q34" i="5"/>
  <c r="P34" i="5"/>
  <c r="O34" i="5"/>
  <c r="N34" i="5"/>
  <c r="M34" i="5"/>
  <c r="L34" i="5"/>
  <c r="K34" i="5"/>
  <c r="J34" i="5"/>
  <c r="I34" i="5"/>
  <c r="H34" i="5"/>
  <c r="G34" i="5"/>
  <c r="F34" i="5"/>
  <c r="E34" i="5"/>
  <c r="D34" i="5"/>
  <c r="C34" i="5"/>
  <c r="B34" i="5"/>
  <c r="O33" i="5"/>
  <c r="O93" i="5" s="1"/>
  <c r="L33" i="5"/>
  <c r="L93" i="5" s="1"/>
  <c r="J33" i="5"/>
  <c r="J93" i="5" s="1"/>
  <c r="C33" i="5"/>
  <c r="C93" i="5" s="1"/>
  <c r="AI24" i="5"/>
  <c r="AF24" i="5"/>
  <c r="AC24" i="5"/>
  <c r="Z24" i="5"/>
  <c r="W24" i="5"/>
  <c r="T24" i="5"/>
  <c r="Q24" i="5"/>
  <c r="P24" i="5"/>
  <c r="O24" i="5"/>
  <c r="N24" i="5"/>
  <c r="M24" i="5"/>
  <c r="L24" i="5"/>
  <c r="AI23" i="5"/>
  <c r="AF23" i="5"/>
  <c r="AF22" i="5"/>
  <c r="AC22" i="5"/>
  <c r="AB22" i="5" s="1"/>
  <c r="Z22" i="5"/>
  <c r="AF21" i="5"/>
  <c r="AC21" i="5"/>
  <c r="AB21" i="5" s="1"/>
  <c r="Z21" i="5"/>
  <c r="Y21" i="5" s="1"/>
  <c r="W19" i="5"/>
  <c r="T19" i="5"/>
  <c r="Q19" i="5"/>
  <c r="P19" i="5"/>
  <c r="O19" i="5"/>
  <c r="N19" i="5"/>
  <c r="M19" i="5"/>
  <c r="L19" i="5"/>
  <c r="K19" i="5"/>
  <c r="J19" i="5"/>
  <c r="I19" i="5"/>
  <c r="H19" i="5"/>
  <c r="G19" i="5"/>
  <c r="F19" i="5"/>
  <c r="E19" i="5"/>
  <c r="D19" i="5"/>
  <c r="C19" i="5"/>
  <c r="B19" i="5"/>
  <c r="BM16" i="5"/>
  <c r="BJ16" i="5"/>
  <c r="BG16" i="5"/>
  <c r="BD16" i="5"/>
  <c r="BA16" i="5"/>
  <c r="AI16" i="5"/>
  <c r="AF12" i="5"/>
  <c r="AC12" i="5"/>
  <c r="Z12" i="5"/>
  <c r="W12" i="5"/>
  <c r="T12" i="5"/>
  <c r="Q12" i="5"/>
  <c r="P12" i="5"/>
  <c r="O12" i="5"/>
  <c r="N12" i="5"/>
  <c r="M12" i="5"/>
  <c r="L12" i="5"/>
  <c r="K12" i="5"/>
  <c r="J12" i="5"/>
  <c r="I12" i="5"/>
  <c r="H12" i="5"/>
  <c r="G12" i="5"/>
  <c r="F12" i="5"/>
  <c r="E12" i="5"/>
  <c r="D12" i="5"/>
  <c r="C12" i="5"/>
  <c r="B12" i="5"/>
  <c r="AI10" i="5"/>
  <c r="AF10" i="5"/>
  <c r="AC10" i="5"/>
  <c r="Z10" i="5"/>
  <c r="W10" i="5"/>
  <c r="T10" i="5"/>
  <c r="S10" i="5" s="1"/>
  <c r="S9" i="5" s="1"/>
  <c r="Q10" i="5"/>
  <c r="P10" i="5"/>
  <c r="O10" i="5"/>
  <c r="O9" i="5" s="1"/>
  <c r="N10" i="5"/>
  <c r="N9" i="5" s="1"/>
  <c r="M10" i="5"/>
  <c r="M9" i="5" s="1"/>
  <c r="L10" i="5"/>
  <c r="L9" i="5" s="1"/>
  <c r="K10" i="5"/>
  <c r="K9" i="5" s="1"/>
  <c r="J10" i="5"/>
  <c r="J9" i="5" s="1"/>
  <c r="I10" i="5"/>
  <c r="I9" i="5" s="1"/>
  <c r="H10" i="5"/>
  <c r="H9" i="5" s="1"/>
  <c r="G10" i="5"/>
  <c r="G9" i="5" s="1"/>
  <c r="F10" i="5"/>
  <c r="F9" i="5" s="1"/>
  <c r="E10" i="5"/>
  <c r="E9" i="5" s="1"/>
  <c r="D10" i="5"/>
  <c r="D9" i="5" s="1"/>
  <c r="C10" i="5"/>
  <c r="C9" i="5" s="1"/>
  <c r="B10" i="5"/>
  <c r="B9" i="5" s="1"/>
  <c r="E8" i="5"/>
  <c r="D8" i="5"/>
  <c r="C8" i="5"/>
  <c r="B8" i="5"/>
  <c r="A3" i="5"/>
  <c r="Q1" i="5"/>
  <c r="T1" i="5" s="1"/>
  <c r="W1" i="5" s="1"/>
  <c r="L1" i="5"/>
  <c r="M1" i="5" s="1"/>
  <c r="N1" i="5" s="1"/>
  <c r="O1" i="5" s="1"/>
  <c r="C1" i="5"/>
  <c r="D1" i="5" s="1"/>
  <c r="E1" i="5" s="1"/>
  <c r="F1" i="5" s="1"/>
  <c r="G1" i="5" s="1"/>
  <c r="H1" i="5" s="1"/>
  <c r="I1" i="5" s="1"/>
  <c r="J1" i="5" s="1"/>
  <c r="E263" i="4"/>
  <c r="D263" i="4"/>
  <c r="C263" i="4"/>
  <c r="B263" i="4"/>
  <c r="AI256" i="4"/>
  <c r="AF256" i="4"/>
  <c r="AC256" i="4"/>
  <c r="Z256" i="4"/>
  <c r="AI249" i="4"/>
  <c r="AI251" i="4" s="1"/>
  <c r="AF249" i="4"/>
  <c r="AF251" i="4" s="1"/>
  <c r="AC249" i="4"/>
  <c r="AC251" i="4" s="1"/>
  <c r="Z249" i="4"/>
  <c r="Z251" i="4" s="1"/>
  <c r="AI238" i="4"/>
  <c r="AF238" i="4"/>
  <c r="AC238" i="4"/>
  <c r="Z238" i="4"/>
  <c r="W238" i="4"/>
  <c r="T238" i="4"/>
  <c r="Q238" i="4"/>
  <c r="P238" i="4"/>
  <c r="O238" i="4"/>
  <c r="N238" i="4"/>
  <c r="M238" i="4"/>
  <c r="L238" i="4"/>
  <c r="K238" i="4"/>
  <c r="J238" i="4"/>
  <c r="I238" i="4"/>
  <c r="H238" i="4"/>
  <c r="G238" i="4"/>
  <c r="F238" i="4"/>
  <c r="E238" i="4"/>
  <c r="D238" i="4"/>
  <c r="C238" i="4"/>
  <c r="B238" i="4"/>
  <c r="AI223" i="4"/>
  <c r="AF223" i="4"/>
  <c r="AC223" i="4"/>
  <c r="Z223" i="4"/>
  <c r="W223" i="4"/>
  <c r="T223" i="4"/>
  <c r="Q223" i="4"/>
  <c r="P223" i="4"/>
  <c r="O223" i="4"/>
  <c r="N223" i="4"/>
  <c r="M223" i="4"/>
  <c r="L223" i="4"/>
  <c r="K223" i="4"/>
  <c r="J223" i="4"/>
  <c r="I223" i="4"/>
  <c r="H223" i="4"/>
  <c r="G223" i="4"/>
  <c r="F223" i="4"/>
  <c r="B223" i="4"/>
  <c r="AI222" i="4"/>
  <c r="AF222" i="4"/>
  <c r="AC222" i="4"/>
  <c r="Z222" i="4"/>
  <c r="W222" i="4"/>
  <c r="T222" i="4"/>
  <c r="Q222" i="4"/>
  <c r="P222" i="4"/>
  <c r="O222" i="4"/>
  <c r="N222" i="4"/>
  <c r="M222" i="4"/>
  <c r="L222" i="4"/>
  <c r="K222" i="4"/>
  <c r="J222" i="4"/>
  <c r="I222" i="4"/>
  <c r="H222" i="4"/>
  <c r="G222" i="4"/>
  <c r="F222" i="4"/>
  <c r="E222" i="4"/>
  <c r="D222" i="4"/>
  <c r="C222" i="4"/>
  <c r="B222" i="4"/>
  <c r="AI221" i="4"/>
  <c r="AF221" i="4"/>
  <c r="AC221" i="4"/>
  <c r="Z221" i="4"/>
  <c r="W221" i="4"/>
  <c r="T221" i="4"/>
  <c r="Q221" i="4"/>
  <c r="P221" i="4"/>
  <c r="O221" i="4"/>
  <c r="N221" i="4"/>
  <c r="M221" i="4"/>
  <c r="L221" i="4"/>
  <c r="K221" i="4"/>
  <c r="J221" i="4"/>
  <c r="I221" i="4"/>
  <c r="H221" i="4"/>
  <c r="G221" i="4"/>
  <c r="F221" i="4"/>
  <c r="E221" i="4"/>
  <c r="D221" i="4"/>
  <c r="C221" i="4"/>
  <c r="B221" i="4"/>
  <c r="AI208" i="4"/>
  <c r="Q207" i="4"/>
  <c r="N207" i="4"/>
  <c r="M207" i="4"/>
  <c r="L207" i="4"/>
  <c r="K207" i="4"/>
  <c r="I207" i="4"/>
  <c r="H207" i="4"/>
  <c r="G207" i="4"/>
  <c r="AF206" i="4"/>
  <c r="AC206" i="4"/>
  <c r="Z206" i="4"/>
  <c r="W206" i="4"/>
  <c r="T206" i="4"/>
  <c r="S206" i="4" s="1"/>
  <c r="Q206" i="4"/>
  <c r="O206" i="4"/>
  <c r="N206" i="4"/>
  <c r="M206" i="4"/>
  <c r="L206" i="4"/>
  <c r="K206" i="4"/>
  <c r="J206" i="4"/>
  <c r="I206" i="4"/>
  <c r="H206" i="4"/>
  <c r="G206" i="4"/>
  <c r="T205" i="4"/>
  <c r="S205" i="4" s="1"/>
  <c r="Q205" i="4"/>
  <c r="P205" i="4"/>
  <c r="P208" i="4" s="1"/>
  <c r="O205" i="4"/>
  <c r="N205" i="4"/>
  <c r="M205" i="4"/>
  <c r="L205" i="4"/>
  <c r="K205" i="4"/>
  <c r="J205" i="4"/>
  <c r="H205" i="4"/>
  <c r="G205" i="4"/>
  <c r="AI203" i="4"/>
  <c r="AF203" i="4"/>
  <c r="AC203" i="4"/>
  <c r="Z203" i="4"/>
  <c r="W203" i="4"/>
  <c r="T203" i="4"/>
  <c r="Q203" i="4"/>
  <c r="P203" i="4"/>
  <c r="O203" i="4"/>
  <c r="N203" i="4"/>
  <c r="M203" i="4"/>
  <c r="L203" i="4"/>
  <c r="K203" i="4"/>
  <c r="J203" i="4"/>
  <c r="H203" i="4"/>
  <c r="G203" i="4"/>
  <c r="F203" i="4"/>
  <c r="I194" i="4"/>
  <c r="AC191" i="4"/>
  <c r="AB191" i="4" s="1"/>
  <c r="Z191" i="4"/>
  <c r="Y191" i="4" s="1"/>
  <c r="W191" i="4"/>
  <c r="V191" i="4" s="1"/>
  <c r="T191" i="4"/>
  <c r="S191" i="4" s="1"/>
  <c r="Q191" i="4"/>
  <c r="P191" i="4"/>
  <c r="O191" i="4"/>
  <c r="N191" i="4"/>
  <c r="M191" i="4"/>
  <c r="L191" i="4"/>
  <c r="K191" i="4"/>
  <c r="J191" i="4"/>
  <c r="H191" i="4"/>
  <c r="G191" i="4"/>
  <c r="AI189" i="4"/>
  <c r="AF189" i="4"/>
  <c r="AC189" i="4"/>
  <c r="AB189" i="4" s="1"/>
  <c r="Z189" i="4"/>
  <c r="Y189" i="4" s="1"/>
  <c r="W189" i="4"/>
  <c r="V189" i="4" s="1"/>
  <c r="T189" i="4"/>
  <c r="S189" i="4" s="1"/>
  <c r="Q189" i="4"/>
  <c r="P189" i="4"/>
  <c r="O189" i="4"/>
  <c r="N189" i="4"/>
  <c r="M189" i="4"/>
  <c r="L189" i="4"/>
  <c r="K189" i="4"/>
  <c r="J189" i="4"/>
  <c r="I189" i="4"/>
  <c r="H189" i="4"/>
  <c r="G189" i="4"/>
  <c r="AF187" i="4"/>
  <c r="AC187" i="4"/>
  <c r="Z187" i="4"/>
  <c r="W187" i="4"/>
  <c r="T187" i="4"/>
  <c r="Q187" i="4"/>
  <c r="P187" i="4"/>
  <c r="O187" i="4"/>
  <c r="N187" i="4"/>
  <c r="M187" i="4"/>
  <c r="L187" i="4"/>
  <c r="K187" i="4"/>
  <c r="J187" i="4"/>
  <c r="H187" i="4"/>
  <c r="G187" i="4"/>
  <c r="F187" i="4"/>
  <c r="AI186" i="4"/>
  <c r="I186" i="4"/>
  <c r="I191" i="4" s="1"/>
  <c r="AF176" i="4"/>
  <c r="AI164" i="4"/>
  <c r="AF164" i="4"/>
  <c r="AG158" i="4" s="1"/>
  <c r="AG163" i="4" s="1"/>
  <c r="AC164" i="4"/>
  <c r="Z164" i="4"/>
  <c r="W164" i="4"/>
  <c r="T164" i="4"/>
  <c r="U158" i="4" s="1"/>
  <c r="U163" i="4" s="1"/>
  <c r="Q164" i="4"/>
  <c r="R158" i="4" s="1"/>
  <c r="R163" i="4" s="1"/>
  <c r="P164" i="4"/>
  <c r="O164" i="4"/>
  <c r="N164" i="4"/>
  <c r="M164" i="4"/>
  <c r="L164" i="4"/>
  <c r="K164" i="4"/>
  <c r="J164" i="4"/>
  <c r="I164" i="4"/>
  <c r="H164" i="4"/>
  <c r="G164" i="4"/>
  <c r="F164" i="4"/>
  <c r="E164" i="4"/>
  <c r="D164" i="4"/>
  <c r="C164" i="4"/>
  <c r="B164" i="4"/>
  <c r="AI161" i="4"/>
  <c r="AH161" i="4" s="1"/>
  <c r="AF161" i="4"/>
  <c r="AE161" i="4" s="1"/>
  <c r="AC161" i="4"/>
  <c r="AB161" i="4" s="1"/>
  <c r="Z161" i="4"/>
  <c r="W161" i="4"/>
  <c r="V161" i="4" s="1"/>
  <c r="T161" i="4"/>
  <c r="S161" i="4" s="1"/>
  <c r="Q161" i="4"/>
  <c r="P161" i="4"/>
  <c r="O161" i="4"/>
  <c r="N161" i="4"/>
  <c r="M161" i="4"/>
  <c r="L161" i="4"/>
  <c r="K161" i="4"/>
  <c r="J161" i="4"/>
  <c r="I161" i="4"/>
  <c r="H161" i="4"/>
  <c r="G161" i="4"/>
  <c r="F161" i="4"/>
  <c r="E161" i="4"/>
  <c r="D161" i="4"/>
  <c r="C161" i="4"/>
  <c r="B161" i="4"/>
  <c r="AI159" i="4"/>
  <c r="AH159" i="4" s="1"/>
  <c r="AF159" i="4"/>
  <c r="AE159" i="4" s="1"/>
  <c r="AC159" i="4"/>
  <c r="AB159" i="4" s="1"/>
  <c r="Z159" i="4"/>
  <c r="W159" i="4"/>
  <c r="V159" i="4" s="1"/>
  <c r="T159" i="4"/>
  <c r="S159" i="4" s="1"/>
  <c r="Q159" i="4"/>
  <c r="P159" i="4"/>
  <c r="O159" i="4"/>
  <c r="N159" i="4"/>
  <c r="M159" i="4"/>
  <c r="L159" i="4"/>
  <c r="K159" i="4"/>
  <c r="J159" i="4"/>
  <c r="I159" i="4"/>
  <c r="H159" i="4"/>
  <c r="G159" i="4"/>
  <c r="F159" i="4"/>
  <c r="E159" i="4"/>
  <c r="D159" i="4"/>
  <c r="C159" i="4"/>
  <c r="B159" i="4"/>
  <c r="W158" i="4"/>
  <c r="T158" i="4"/>
  <c r="Q158" i="4"/>
  <c r="P158" i="4"/>
  <c r="O158" i="4"/>
  <c r="N158" i="4"/>
  <c r="M158" i="4"/>
  <c r="L158" i="4"/>
  <c r="K158" i="4"/>
  <c r="J158" i="4"/>
  <c r="I158" i="4"/>
  <c r="H158" i="4"/>
  <c r="G158" i="4"/>
  <c r="F158" i="4"/>
  <c r="E158" i="4"/>
  <c r="D158" i="4"/>
  <c r="C158" i="4"/>
  <c r="M149" i="4"/>
  <c r="L149" i="4"/>
  <c r="K149" i="4"/>
  <c r="J149" i="4"/>
  <c r="I149" i="4"/>
  <c r="H149" i="4"/>
  <c r="G149" i="4"/>
  <c r="F149" i="4"/>
  <c r="AI145" i="4"/>
  <c r="AI149" i="4" s="1"/>
  <c r="AF145" i="4"/>
  <c r="AF149" i="4" s="1"/>
  <c r="AC145" i="4"/>
  <c r="AC149" i="4" s="1"/>
  <c r="Z145" i="4"/>
  <c r="Z149" i="4" s="1"/>
  <c r="W145" i="4"/>
  <c r="W149" i="4" s="1"/>
  <c r="T145" i="4"/>
  <c r="T149" i="4" s="1"/>
  <c r="Q145" i="4"/>
  <c r="Q149" i="4" s="1"/>
  <c r="P145" i="4"/>
  <c r="P149" i="4" s="1"/>
  <c r="O145" i="4"/>
  <c r="O149" i="4" s="1"/>
  <c r="N145" i="4"/>
  <c r="N149" i="4" s="1"/>
  <c r="AF137" i="4"/>
  <c r="AE137" i="4" s="1"/>
  <c r="AC137" i="4"/>
  <c r="AB137" i="4" s="1"/>
  <c r="Z137" i="4"/>
  <c r="W137" i="4"/>
  <c r="V137" i="4" s="1"/>
  <c r="T137" i="4"/>
  <c r="S137" i="4" s="1"/>
  <c r="Q137" i="4"/>
  <c r="P137" i="4"/>
  <c r="O137" i="4"/>
  <c r="N137" i="4"/>
  <c r="M137" i="4"/>
  <c r="L137" i="4"/>
  <c r="K137" i="4"/>
  <c r="J137" i="4"/>
  <c r="I137" i="4"/>
  <c r="H137" i="4"/>
  <c r="G137" i="4"/>
  <c r="F137" i="4"/>
  <c r="M136" i="4"/>
  <c r="M138" i="4" s="1"/>
  <c r="L136" i="4"/>
  <c r="L138" i="4" s="1"/>
  <c r="K136" i="4"/>
  <c r="K138" i="4" s="1"/>
  <c r="J136" i="4"/>
  <c r="J138" i="4" s="1"/>
  <c r="I136" i="4"/>
  <c r="I138" i="4" s="1"/>
  <c r="H136" i="4"/>
  <c r="H138" i="4" s="1"/>
  <c r="G136" i="4"/>
  <c r="G138" i="4" s="1"/>
  <c r="F136" i="4"/>
  <c r="AI132" i="4"/>
  <c r="AF132" i="4"/>
  <c r="AF136" i="4" s="1"/>
  <c r="AF138" i="4" s="1"/>
  <c r="AE138" i="4" s="1"/>
  <c r="AC132" i="4"/>
  <c r="AC136" i="4" s="1"/>
  <c r="AC138" i="4" s="1"/>
  <c r="AB138" i="4" s="1"/>
  <c r="Z132" i="4"/>
  <c r="W132" i="4"/>
  <c r="W136" i="4" s="1"/>
  <c r="W138" i="4" s="1"/>
  <c r="V138" i="4" s="1"/>
  <c r="T132" i="4"/>
  <c r="Q132" i="4"/>
  <c r="P132" i="4"/>
  <c r="P136" i="4" s="1"/>
  <c r="P138" i="4" s="1"/>
  <c r="O132" i="4"/>
  <c r="N132" i="4"/>
  <c r="AI125" i="4"/>
  <c r="AI241" i="4" s="1"/>
  <c r="AF125" i="4"/>
  <c r="V59" i="10" s="1"/>
  <c r="AC125" i="4"/>
  <c r="AC219" i="4" s="1"/>
  <c r="Z125" i="4"/>
  <c r="Z241" i="4" s="1"/>
  <c r="W125" i="4"/>
  <c r="S59" i="10" s="1"/>
  <c r="T125" i="4"/>
  <c r="T219" i="4" s="1"/>
  <c r="Q125" i="4"/>
  <c r="Q241" i="4" s="1"/>
  <c r="P125" i="4"/>
  <c r="P59" i="10" s="1"/>
  <c r="O125" i="4"/>
  <c r="O219" i="4" s="1"/>
  <c r="N125" i="4"/>
  <c r="N241" i="4" s="1"/>
  <c r="M125" i="4"/>
  <c r="M59" i="10" s="1"/>
  <c r="L125" i="4"/>
  <c r="L219" i="4" s="1"/>
  <c r="K125" i="4"/>
  <c r="K241" i="4" s="1"/>
  <c r="J125" i="4"/>
  <c r="J59" i="10" s="1"/>
  <c r="I125" i="4"/>
  <c r="I219" i="4" s="1"/>
  <c r="H125" i="4"/>
  <c r="H241" i="4" s="1"/>
  <c r="G125" i="4"/>
  <c r="G59" i="10" s="1"/>
  <c r="F125" i="4"/>
  <c r="F219" i="4" s="1"/>
  <c r="E125" i="4"/>
  <c r="E241" i="4" s="1"/>
  <c r="D125" i="4"/>
  <c r="D59" i="10" s="1"/>
  <c r="C125" i="4"/>
  <c r="C219" i="4" s="1"/>
  <c r="C220" i="4" s="1"/>
  <c r="B125" i="4"/>
  <c r="B241" i="4" s="1"/>
  <c r="AI124" i="4"/>
  <c r="M124" i="4"/>
  <c r="L124" i="4"/>
  <c r="K124" i="4"/>
  <c r="J124" i="4"/>
  <c r="I124" i="4"/>
  <c r="H124" i="4"/>
  <c r="G124" i="4"/>
  <c r="F124" i="4"/>
  <c r="E124" i="4"/>
  <c r="D124" i="4"/>
  <c r="C124" i="4"/>
  <c r="B124" i="4"/>
  <c r="AF120" i="4"/>
  <c r="AF124" i="4" s="1"/>
  <c r="AC120" i="4"/>
  <c r="AC124" i="4" s="1"/>
  <c r="Z120" i="4"/>
  <c r="Z124" i="4" s="1"/>
  <c r="W120" i="4"/>
  <c r="W124" i="4" s="1"/>
  <c r="T120" i="4"/>
  <c r="T124" i="4" s="1"/>
  <c r="Q120" i="4"/>
  <c r="Q124" i="4" s="1"/>
  <c r="P120" i="4"/>
  <c r="P124" i="4" s="1"/>
  <c r="O120" i="4"/>
  <c r="O124" i="4" s="1"/>
  <c r="N120" i="4"/>
  <c r="N124" i="4" s="1"/>
  <c r="O99" i="4"/>
  <c r="N99" i="4"/>
  <c r="M99" i="4"/>
  <c r="L99" i="4"/>
  <c r="K99" i="4"/>
  <c r="J99" i="4"/>
  <c r="I99" i="4"/>
  <c r="H99" i="4"/>
  <c r="G99" i="4"/>
  <c r="F99" i="4"/>
  <c r="E99" i="4"/>
  <c r="D99" i="4"/>
  <c r="C99" i="4"/>
  <c r="B99" i="4"/>
  <c r="I98" i="4"/>
  <c r="H98" i="4"/>
  <c r="G98" i="4"/>
  <c r="F98" i="4"/>
  <c r="E98" i="4"/>
  <c r="D98" i="4"/>
  <c r="C98" i="4"/>
  <c r="B98" i="4"/>
  <c r="C95" i="4"/>
  <c r="AO91" i="4"/>
  <c r="Z87" i="4"/>
  <c r="AI85" i="4"/>
  <c r="AI80" i="4" s="1"/>
  <c r="AF85" i="4"/>
  <c r="AF80" i="4" s="1"/>
  <c r="AC85" i="4"/>
  <c r="AC80" i="4" s="1"/>
  <c r="Z85" i="4"/>
  <c r="Z80" i="4" s="1"/>
  <c r="W85" i="4"/>
  <c r="W80" i="4" s="1"/>
  <c r="T85" i="4"/>
  <c r="T80" i="4" s="1"/>
  <c r="U87" i="4" s="1"/>
  <c r="Q85" i="4"/>
  <c r="Q80" i="4" s="1"/>
  <c r="R87" i="4" s="1"/>
  <c r="P85" i="4"/>
  <c r="P80" i="4" s="1"/>
  <c r="O85" i="4"/>
  <c r="O80" i="4" s="1"/>
  <c r="N85" i="4"/>
  <c r="N80" i="4" s="1"/>
  <c r="M80" i="4"/>
  <c r="L80" i="4"/>
  <c r="K80" i="4"/>
  <c r="J80" i="4"/>
  <c r="I80" i="4"/>
  <c r="H80" i="4"/>
  <c r="G80" i="4"/>
  <c r="F80" i="4"/>
  <c r="E80" i="4"/>
  <c r="D80" i="4"/>
  <c r="C80" i="4"/>
  <c r="W78" i="4"/>
  <c r="T78" i="4"/>
  <c r="Q78" i="4"/>
  <c r="P78" i="4"/>
  <c r="O78" i="4"/>
  <c r="N78" i="4"/>
  <c r="M78" i="4"/>
  <c r="L78" i="4"/>
  <c r="K78" i="4"/>
  <c r="J78" i="4"/>
  <c r="I78" i="4"/>
  <c r="H78" i="4"/>
  <c r="G78" i="4"/>
  <c r="F78" i="4"/>
  <c r="W77" i="4"/>
  <c r="T77" i="4"/>
  <c r="Q77" i="4"/>
  <c r="P77" i="4"/>
  <c r="O77" i="4"/>
  <c r="N77" i="4"/>
  <c r="M77" i="4"/>
  <c r="L77" i="4"/>
  <c r="K77" i="4"/>
  <c r="J77" i="4"/>
  <c r="I77" i="4"/>
  <c r="H77" i="4"/>
  <c r="G77" i="4"/>
  <c r="F77" i="4"/>
  <c r="AI76" i="4"/>
  <c r="AF76" i="4"/>
  <c r="AC76" i="4"/>
  <c r="Z76" i="4"/>
  <c r="W76" i="4"/>
  <c r="T76" i="4"/>
  <c r="Q76" i="4"/>
  <c r="P76" i="4"/>
  <c r="O76" i="4"/>
  <c r="N76" i="4"/>
  <c r="M76" i="4"/>
  <c r="L76" i="4"/>
  <c r="K76" i="4"/>
  <c r="J76" i="4"/>
  <c r="I76" i="4"/>
  <c r="H76" i="4"/>
  <c r="G76" i="4"/>
  <c r="F76" i="4"/>
  <c r="E76" i="4"/>
  <c r="D76" i="4"/>
  <c r="C76" i="4"/>
  <c r="B76" i="4"/>
  <c r="BM68" i="4"/>
  <c r="BJ68" i="4"/>
  <c r="BG68" i="4"/>
  <c r="BD68" i="4"/>
  <c r="BA68" i="4"/>
  <c r="AF65" i="4"/>
  <c r="Z65" i="4"/>
  <c r="W65" i="4"/>
  <c r="AF57" i="4"/>
  <c r="AC57" i="4"/>
  <c r="Z57" i="4"/>
  <c r="AA215" i="4" s="1"/>
  <c r="W57" i="4"/>
  <c r="V57" i="4" s="1"/>
  <c r="V215" i="4" s="1"/>
  <c r="T57" i="4"/>
  <c r="Q57" i="4"/>
  <c r="R215" i="4" s="1"/>
  <c r="P57" i="4"/>
  <c r="O57" i="4"/>
  <c r="N57" i="4"/>
  <c r="M57" i="4"/>
  <c r="L57" i="4"/>
  <c r="K57" i="4"/>
  <c r="J57" i="4"/>
  <c r="I57" i="4"/>
  <c r="H57" i="4"/>
  <c r="G57" i="4"/>
  <c r="F57" i="4"/>
  <c r="E57" i="4"/>
  <c r="D57" i="4"/>
  <c r="C57" i="4"/>
  <c r="B57" i="4"/>
  <c r="AF56" i="4"/>
  <c r="AC56" i="4"/>
  <c r="Z56" i="4"/>
  <c r="W56" i="4"/>
  <c r="T56" i="4"/>
  <c r="Q56" i="4"/>
  <c r="P56" i="4"/>
  <c r="O56" i="4"/>
  <c r="N56" i="4"/>
  <c r="M56" i="4"/>
  <c r="L56" i="4"/>
  <c r="K56" i="4"/>
  <c r="J56" i="4"/>
  <c r="I56" i="4"/>
  <c r="H56" i="4"/>
  <c r="G56" i="4"/>
  <c r="F56" i="4"/>
  <c r="E56" i="4"/>
  <c r="D56" i="4"/>
  <c r="C56" i="4"/>
  <c r="B56" i="4"/>
  <c r="AF55" i="4"/>
  <c r="AC55" i="4"/>
  <c r="Z55" i="4"/>
  <c r="AA214" i="4" s="1"/>
  <c r="W55" i="4"/>
  <c r="V55" i="4" s="1"/>
  <c r="T55" i="4"/>
  <c r="Q55" i="4"/>
  <c r="R214" i="4" s="1"/>
  <c r="P55" i="4"/>
  <c r="O55" i="4"/>
  <c r="N55" i="4"/>
  <c r="M55" i="4"/>
  <c r="L55" i="4"/>
  <c r="K55" i="4"/>
  <c r="J55" i="4"/>
  <c r="I55" i="4"/>
  <c r="H55" i="4"/>
  <c r="G55" i="4"/>
  <c r="F55" i="4"/>
  <c r="W49" i="4"/>
  <c r="W51" i="4" s="1"/>
  <c r="T49" i="4"/>
  <c r="R57" i="10" s="1"/>
  <c r="R41" i="10" s="1"/>
  <c r="Q49" i="4"/>
  <c r="P49" i="4"/>
  <c r="O49" i="4"/>
  <c r="O237" i="4" s="1"/>
  <c r="N49" i="4"/>
  <c r="N51" i="4" s="1"/>
  <c r="M49" i="4"/>
  <c r="M51" i="4" s="1"/>
  <c r="L49" i="4"/>
  <c r="L237" i="4" s="1"/>
  <c r="K49" i="4"/>
  <c r="K51" i="4" s="1"/>
  <c r="J49" i="4"/>
  <c r="J237" i="4" s="1"/>
  <c r="I49" i="4"/>
  <c r="I237" i="4" s="1"/>
  <c r="H49" i="4"/>
  <c r="H51" i="4" s="1"/>
  <c r="AF48" i="4"/>
  <c r="AI47" i="4"/>
  <c r="AF47" i="4"/>
  <c r="AE47" i="4" s="1"/>
  <c r="AC47" i="4"/>
  <c r="Z47" i="4"/>
  <c r="G47" i="4"/>
  <c r="G49" i="4" s="1"/>
  <c r="G57" i="10" s="1"/>
  <c r="G41" i="10" s="1"/>
  <c r="F47" i="4"/>
  <c r="F49" i="4" s="1"/>
  <c r="E47" i="4"/>
  <c r="E49" i="4" s="1"/>
  <c r="E57" i="10" s="1"/>
  <c r="E41" i="10" s="1"/>
  <c r="D47" i="4"/>
  <c r="D49" i="4" s="1"/>
  <c r="D57" i="10" s="1"/>
  <c r="D41" i="10" s="1"/>
  <c r="C47" i="4"/>
  <c r="C49" i="4" s="1"/>
  <c r="B47" i="4"/>
  <c r="B49" i="4" s="1"/>
  <c r="B57" i="10" s="1"/>
  <c r="B41" i="10" s="1"/>
  <c r="W38" i="4"/>
  <c r="T38" i="4"/>
  <c r="Q38" i="4"/>
  <c r="P38" i="4"/>
  <c r="O38" i="4"/>
  <c r="N38" i="4"/>
  <c r="M38" i="4"/>
  <c r="L38" i="4"/>
  <c r="K38" i="4"/>
  <c r="J38" i="4"/>
  <c r="I38" i="4"/>
  <c r="H38" i="4"/>
  <c r="G38" i="4"/>
  <c r="F38" i="4"/>
  <c r="E36" i="4"/>
  <c r="E38" i="4" s="1"/>
  <c r="D36" i="4"/>
  <c r="D38" i="4" s="1"/>
  <c r="C36" i="4"/>
  <c r="C38" i="4" s="1"/>
  <c r="B36" i="4"/>
  <c r="B38" i="4" s="1"/>
  <c r="AI33" i="4"/>
  <c r="AF33" i="4"/>
  <c r="AC33" i="4"/>
  <c r="Z33" i="4"/>
  <c r="T30" i="4"/>
  <c r="Q30" i="4"/>
  <c r="P30" i="4"/>
  <c r="O30" i="4"/>
  <c r="N30" i="4"/>
  <c r="M30" i="4"/>
  <c r="L30" i="4"/>
  <c r="K30" i="4"/>
  <c r="J30" i="4"/>
  <c r="I30" i="4"/>
  <c r="H30" i="4"/>
  <c r="G30" i="4"/>
  <c r="F30" i="4"/>
  <c r="F39" i="4" s="1"/>
  <c r="W29" i="4"/>
  <c r="AI26" i="4"/>
  <c r="AF26" i="4"/>
  <c r="AC26" i="4"/>
  <c r="AB26" i="4" s="1"/>
  <c r="Z26" i="4"/>
  <c r="E26" i="4"/>
  <c r="E30" i="4" s="1"/>
  <c r="D26" i="4"/>
  <c r="D78" i="4" s="1"/>
  <c r="C26" i="4"/>
  <c r="C78" i="4" s="1"/>
  <c r="B26" i="4"/>
  <c r="B78" i="4" s="1"/>
  <c r="W21" i="4"/>
  <c r="T21" i="4"/>
  <c r="Q21" i="4"/>
  <c r="P21" i="4"/>
  <c r="O21" i="4"/>
  <c r="N21" i="4"/>
  <c r="M21" i="4"/>
  <c r="L21" i="4"/>
  <c r="K21" i="4"/>
  <c r="J21" i="4"/>
  <c r="I21" i="4"/>
  <c r="H21" i="4"/>
  <c r="G21" i="4"/>
  <c r="F21" i="4"/>
  <c r="E19" i="4"/>
  <c r="D19" i="4"/>
  <c r="D55" i="4" s="1"/>
  <c r="C19" i="4"/>
  <c r="C55" i="4" s="1"/>
  <c r="B19" i="4"/>
  <c r="B55" i="4" s="1"/>
  <c r="AI15" i="4"/>
  <c r="AF15" i="4"/>
  <c r="AC15" i="4"/>
  <c r="AB15" i="4" s="1"/>
  <c r="Z15" i="4"/>
  <c r="Z21" i="4" s="1"/>
  <c r="B15" i="4"/>
  <c r="B77" i="4" s="1"/>
  <c r="AI13" i="4"/>
  <c r="AF13" i="4"/>
  <c r="AC13" i="4"/>
  <c r="Z13" i="4"/>
  <c r="W13" i="4"/>
  <c r="T13" i="4"/>
  <c r="Q13" i="4"/>
  <c r="P13" i="4"/>
  <c r="O13" i="4"/>
  <c r="N13" i="4"/>
  <c r="M13" i="4"/>
  <c r="L13" i="4"/>
  <c r="K13" i="4"/>
  <c r="J13" i="4"/>
  <c r="I13" i="4"/>
  <c r="H13" i="4"/>
  <c r="G13" i="4"/>
  <c r="F13" i="4"/>
  <c r="B13" i="4"/>
  <c r="E11" i="4"/>
  <c r="E223" i="4" s="1"/>
  <c r="D11" i="4"/>
  <c r="D223" i="4" s="1"/>
  <c r="C11" i="4"/>
  <c r="C15" i="4" s="1"/>
  <c r="Q1" i="4"/>
  <c r="T1" i="4" s="1"/>
  <c r="L1" i="4"/>
  <c r="M1" i="4" s="1"/>
  <c r="N1" i="4" s="1"/>
  <c r="O1" i="4" s="1"/>
  <c r="C1" i="4"/>
  <c r="D1" i="4" s="1"/>
  <c r="E1" i="4" s="1"/>
  <c r="F1" i="4" s="1"/>
  <c r="G1" i="4" s="1"/>
  <c r="H1" i="4" s="1"/>
  <c r="I1" i="4" s="1"/>
  <c r="J1" i="4" s="1"/>
  <c r="AO166" i="2"/>
  <c r="AL166" i="2"/>
  <c r="AI166" i="2"/>
  <c r="AF166" i="2"/>
  <c r="AC166" i="2"/>
  <c r="Z166" i="2"/>
  <c r="W166" i="2"/>
  <c r="T166" i="2"/>
  <c r="Q166" i="2"/>
  <c r="P166" i="2"/>
  <c r="O166" i="2"/>
  <c r="N166" i="2"/>
  <c r="M166" i="2"/>
  <c r="L166" i="2"/>
  <c r="K166" i="2"/>
  <c r="J166" i="2"/>
  <c r="I166" i="2"/>
  <c r="H166" i="2"/>
  <c r="G166" i="2"/>
  <c r="F166" i="2"/>
  <c r="AI164" i="2"/>
  <c r="AF164" i="2"/>
  <c r="AC164" i="2"/>
  <c r="Z164" i="2"/>
  <c r="W164" i="2"/>
  <c r="T164" i="2"/>
  <c r="Q164" i="2"/>
  <c r="P164" i="2"/>
  <c r="O164" i="2"/>
  <c r="N164" i="2"/>
  <c r="M164" i="2"/>
  <c r="L164" i="2"/>
  <c r="K164" i="2"/>
  <c r="J164" i="2"/>
  <c r="I164" i="2"/>
  <c r="H164" i="2"/>
  <c r="G164" i="2"/>
  <c r="F164" i="2"/>
  <c r="AU169" i="2"/>
  <c r="AR169" i="2"/>
  <c r="AI155" i="2"/>
  <c r="AH155" i="2" s="1"/>
  <c r="AH156" i="2" s="1"/>
  <c r="AF155" i="2"/>
  <c r="AE155" i="2" s="1"/>
  <c r="AE156" i="2" s="1"/>
  <c r="AC155" i="2"/>
  <c r="AB155" i="2" s="1"/>
  <c r="AB156" i="2" s="1"/>
  <c r="Z155" i="2"/>
  <c r="Y155" i="2" s="1"/>
  <c r="Y156" i="2" s="1"/>
  <c r="W155" i="2"/>
  <c r="V155" i="2" s="1"/>
  <c r="V156" i="2" s="1"/>
  <c r="T155" i="2"/>
  <c r="S155" i="2" s="1"/>
  <c r="S156" i="2" s="1"/>
  <c r="Q155" i="2"/>
  <c r="P155" i="2"/>
  <c r="O155" i="2"/>
  <c r="N155" i="2"/>
  <c r="M155" i="2"/>
  <c r="L155" i="2"/>
  <c r="K155" i="2"/>
  <c r="J155" i="2"/>
  <c r="I155" i="2"/>
  <c r="H155" i="2"/>
  <c r="G155" i="2"/>
  <c r="F155" i="2"/>
  <c r="E155" i="2"/>
  <c r="D155" i="2"/>
  <c r="C155" i="2"/>
  <c r="B155" i="2"/>
  <c r="AI154" i="2"/>
  <c r="AF154" i="2"/>
  <c r="AC154" i="2"/>
  <c r="Z154" i="2"/>
  <c r="W154" i="2"/>
  <c r="T154" i="2"/>
  <c r="Q154" i="2"/>
  <c r="P154" i="2"/>
  <c r="O154" i="2"/>
  <c r="N154" i="2"/>
  <c r="M154" i="2"/>
  <c r="L154" i="2"/>
  <c r="K154" i="2"/>
  <c r="J154" i="2"/>
  <c r="I154" i="2"/>
  <c r="H154" i="2"/>
  <c r="G154" i="2"/>
  <c r="F154" i="2"/>
  <c r="E154" i="2"/>
  <c r="D154" i="2"/>
  <c r="C154" i="2"/>
  <c r="B154" i="2"/>
  <c r="AI153" i="2"/>
  <c r="AF153" i="2"/>
  <c r="AC153" i="2"/>
  <c r="Z153" i="2"/>
  <c r="W153" i="2"/>
  <c r="T153" i="2"/>
  <c r="Q153" i="2"/>
  <c r="P153" i="2"/>
  <c r="O153" i="2"/>
  <c r="N153" i="2"/>
  <c r="M153" i="2"/>
  <c r="L153" i="2"/>
  <c r="K153" i="2"/>
  <c r="J153" i="2"/>
  <c r="I153" i="2"/>
  <c r="H153" i="2"/>
  <c r="G153" i="2"/>
  <c r="F153" i="2"/>
  <c r="E153" i="2"/>
  <c r="D153" i="2"/>
  <c r="C153" i="2"/>
  <c r="B153" i="2"/>
  <c r="AF147" i="2"/>
  <c r="AE147" i="2" s="1"/>
  <c r="AI145" i="2"/>
  <c r="AF145" i="2"/>
  <c r="AC145" i="2"/>
  <c r="AI144" i="2"/>
  <c r="AF144" i="2"/>
  <c r="AC144" i="2"/>
  <c r="AO143" i="2"/>
  <c r="AL143" i="2"/>
  <c r="AI143" i="2"/>
  <c r="AF143" i="2"/>
  <c r="AC143" i="2"/>
  <c r="AI134" i="2"/>
  <c r="AI138" i="2" s="1"/>
  <c r="AI141" i="2" s="1"/>
  <c r="AC134" i="2"/>
  <c r="Z134" i="2"/>
  <c r="W134" i="2"/>
  <c r="W138" i="2" s="1"/>
  <c r="W141" i="2" s="1"/>
  <c r="T134" i="2"/>
  <c r="T138" i="2" s="1"/>
  <c r="T141" i="2" s="1"/>
  <c r="Q134" i="2"/>
  <c r="Q138" i="2" s="1"/>
  <c r="Q141" i="2" s="1"/>
  <c r="P134" i="2"/>
  <c r="P138" i="2" s="1"/>
  <c r="P141" i="2" s="1"/>
  <c r="O134" i="2"/>
  <c r="O138" i="2" s="1"/>
  <c r="O141" i="2" s="1"/>
  <c r="N134" i="2"/>
  <c r="N138" i="2" s="1"/>
  <c r="N141" i="2" s="1"/>
  <c r="M134" i="2"/>
  <c r="M138" i="2" s="1"/>
  <c r="M141" i="2" s="1"/>
  <c r="L134" i="2"/>
  <c r="L138" i="2" s="1"/>
  <c r="L141" i="2" s="1"/>
  <c r="AF132" i="2"/>
  <c r="AE132" i="2" s="1"/>
  <c r="AF129" i="2"/>
  <c r="AE129" i="2" s="1"/>
  <c r="AI125" i="2"/>
  <c r="AF125" i="2"/>
  <c r="AC125" i="2"/>
  <c r="Z125" i="2"/>
  <c r="W125" i="2"/>
  <c r="T125" i="2"/>
  <c r="Q125" i="2"/>
  <c r="P125" i="2"/>
  <c r="O125" i="2"/>
  <c r="AF119" i="2"/>
  <c r="AC119" i="2"/>
  <c r="Z119" i="2"/>
  <c r="W119" i="2"/>
  <c r="T119" i="2"/>
  <c r="Q119" i="2"/>
  <c r="P119" i="2"/>
  <c r="O119" i="2"/>
  <c r="N119" i="2"/>
  <c r="M119" i="2"/>
  <c r="L119" i="2"/>
  <c r="K119" i="2"/>
  <c r="J119" i="2"/>
  <c r="I119" i="2"/>
  <c r="H119" i="2"/>
  <c r="G119" i="2"/>
  <c r="F119" i="2"/>
  <c r="E119" i="2"/>
  <c r="D119" i="2"/>
  <c r="C119" i="2"/>
  <c r="B119" i="2"/>
  <c r="AF117" i="2"/>
  <c r="AC117" i="2"/>
  <c r="Z117" i="2"/>
  <c r="W117" i="2"/>
  <c r="T117" i="2"/>
  <c r="Q117" i="2"/>
  <c r="P117" i="2"/>
  <c r="O117" i="2"/>
  <c r="N117" i="2"/>
  <c r="M117" i="2"/>
  <c r="L117" i="2"/>
  <c r="K117" i="2"/>
  <c r="J117" i="2"/>
  <c r="I117" i="2"/>
  <c r="H117" i="2"/>
  <c r="G117" i="2"/>
  <c r="F117" i="2"/>
  <c r="E117" i="2"/>
  <c r="D117" i="2"/>
  <c r="C117" i="2"/>
  <c r="B117" i="2"/>
  <c r="AI116" i="2"/>
  <c r="AI150" i="4" s="1"/>
  <c r="AF116" i="2"/>
  <c r="AF150" i="4" s="1"/>
  <c r="AC116" i="2"/>
  <c r="AC150" i="4" s="1"/>
  <c r="Z116" i="2"/>
  <c r="Z150" i="4" s="1"/>
  <c r="W116" i="2"/>
  <c r="T116" i="2"/>
  <c r="T150" i="4" s="1"/>
  <c r="Q116" i="2"/>
  <c r="Q150" i="4" s="1"/>
  <c r="P116" i="2"/>
  <c r="O116" i="2"/>
  <c r="O150" i="4" s="1"/>
  <c r="N116" i="2"/>
  <c r="N150" i="4" s="1"/>
  <c r="M116" i="2"/>
  <c r="L116" i="2"/>
  <c r="L150" i="4" s="1"/>
  <c r="K116" i="2"/>
  <c r="K150" i="4" s="1"/>
  <c r="J116" i="2"/>
  <c r="I116" i="2"/>
  <c r="I150" i="4" s="1"/>
  <c r="H116" i="2"/>
  <c r="H150" i="4" s="1"/>
  <c r="G116" i="2"/>
  <c r="F116" i="2"/>
  <c r="F150" i="4" s="1"/>
  <c r="E116" i="2"/>
  <c r="D116" i="2"/>
  <c r="C116" i="2"/>
  <c r="B116" i="2"/>
  <c r="AI115" i="2"/>
  <c r="AF115" i="2"/>
  <c r="AC115" i="2"/>
  <c r="Z115" i="2"/>
  <c r="W115" i="2"/>
  <c r="T115" i="2"/>
  <c r="Q115" i="2"/>
  <c r="P115" i="2"/>
  <c r="O115" i="2"/>
  <c r="N115" i="2"/>
  <c r="M115" i="2"/>
  <c r="L115" i="2"/>
  <c r="K115" i="2"/>
  <c r="J115" i="2"/>
  <c r="I115" i="2"/>
  <c r="H115" i="2"/>
  <c r="G115" i="2"/>
  <c r="F115" i="2"/>
  <c r="E115" i="2"/>
  <c r="D115" i="2"/>
  <c r="C115" i="2"/>
  <c r="B115" i="2"/>
  <c r="AI114" i="2"/>
  <c r="AF114" i="2"/>
  <c r="AI113" i="2"/>
  <c r="AF113" i="2"/>
  <c r="AC113" i="2"/>
  <c r="Z113" i="2"/>
  <c r="W113" i="2"/>
  <c r="T113" i="2"/>
  <c r="Q113" i="2"/>
  <c r="P113" i="2"/>
  <c r="O113" i="2"/>
  <c r="N113" i="2"/>
  <c r="M113" i="2"/>
  <c r="L113" i="2"/>
  <c r="K113" i="2"/>
  <c r="J113" i="2"/>
  <c r="I113" i="2"/>
  <c r="H113" i="2"/>
  <c r="G113" i="2"/>
  <c r="F113" i="2"/>
  <c r="E113" i="2"/>
  <c r="D113" i="2"/>
  <c r="C113" i="2"/>
  <c r="B113" i="2"/>
  <c r="Z109" i="2"/>
  <c r="W109" i="2"/>
  <c r="T109" i="2"/>
  <c r="Q109" i="2"/>
  <c r="P109" i="2"/>
  <c r="O109" i="2"/>
  <c r="N109" i="2"/>
  <c r="M109" i="2"/>
  <c r="L109" i="2"/>
  <c r="K109" i="2"/>
  <c r="J109" i="2"/>
  <c r="I109" i="2"/>
  <c r="F109" i="2"/>
  <c r="E109" i="2"/>
  <c r="D109" i="2"/>
  <c r="C109" i="2"/>
  <c r="B109" i="2"/>
  <c r="AF107" i="2"/>
  <c r="AE107" i="2" s="1"/>
  <c r="AC107" i="2"/>
  <c r="AI103" i="2"/>
  <c r="AH103" i="2" s="1"/>
  <c r="AF103" i="2"/>
  <c r="AE103" i="2" s="1"/>
  <c r="AI102" i="2"/>
  <c r="AH102" i="2" s="1"/>
  <c r="H102" i="2"/>
  <c r="H109" i="2" s="1"/>
  <c r="G102" i="2"/>
  <c r="G109" i="2" s="1"/>
  <c r="Z100" i="2"/>
  <c r="Z24" i="2" s="1"/>
  <c r="J100" i="2"/>
  <c r="J24" i="2" s="1"/>
  <c r="J165" i="2" s="1"/>
  <c r="I100" i="2"/>
  <c r="I24" i="2" s="1"/>
  <c r="I165" i="2" s="1"/>
  <c r="H100" i="2"/>
  <c r="H24" i="2" s="1"/>
  <c r="H165" i="2" s="1"/>
  <c r="F100" i="2"/>
  <c r="F24" i="2" s="1"/>
  <c r="F165" i="2" s="1"/>
  <c r="AI97" i="2"/>
  <c r="AH97" i="2" s="1"/>
  <c r="AF97" i="2"/>
  <c r="AE97" i="2" s="1"/>
  <c r="AC97" i="2"/>
  <c r="AB97" i="2" s="1"/>
  <c r="W93" i="2"/>
  <c r="T93" i="2"/>
  <c r="S93" i="2" s="1"/>
  <c r="Q93" i="2"/>
  <c r="P93" i="2"/>
  <c r="O93" i="2"/>
  <c r="N93" i="2"/>
  <c r="E93" i="2"/>
  <c r="E100" i="2" s="1"/>
  <c r="E24" i="2" s="1"/>
  <c r="D93" i="2"/>
  <c r="D100" i="2" s="1"/>
  <c r="D24" i="2" s="1"/>
  <c r="C93" i="2"/>
  <c r="C100" i="2" s="1"/>
  <c r="C24" i="2" s="1"/>
  <c r="B93" i="2"/>
  <c r="AF92" i="2"/>
  <c r="AE92" i="2" s="1"/>
  <c r="AC92" i="2"/>
  <c r="T92" i="2"/>
  <c r="S92" i="2" s="1"/>
  <c r="Q92" i="2"/>
  <c r="P92" i="2"/>
  <c r="O92" i="2"/>
  <c r="N92" i="2"/>
  <c r="M92" i="2"/>
  <c r="M100" i="2" s="1"/>
  <c r="M24" i="2" s="1"/>
  <c r="M165" i="2" s="1"/>
  <c r="L92" i="2"/>
  <c r="L100" i="2" s="1"/>
  <c r="L24" i="2" s="1"/>
  <c r="L165" i="2" s="1"/>
  <c r="K92" i="2"/>
  <c r="K100" i="2" s="1"/>
  <c r="K24" i="2" s="1"/>
  <c r="K165" i="2" s="1"/>
  <c r="B91" i="2"/>
  <c r="BM90" i="2"/>
  <c r="BL90" i="2" s="1"/>
  <c r="BJ90" i="2"/>
  <c r="BI90" i="2" s="1"/>
  <c r="BG90" i="2"/>
  <c r="BF90" i="2" s="1"/>
  <c r="BD90" i="2"/>
  <c r="BC90" i="2" s="1"/>
  <c r="BA90" i="2"/>
  <c r="AZ90" i="2" s="1"/>
  <c r="AI117" i="2"/>
  <c r="G86" i="2"/>
  <c r="G100" i="2" s="1"/>
  <c r="G24" i="2" s="1"/>
  <c r="G165" i="2" s="1"/>
  <c r="AC84" i="2"/>
  <c r="AB84" i="2" s="1"/>
  <c r="BM82" i="2"/>
  <c r="BM6" i="2" s="1"/>
  <c r="BJ82" i="2"/>
  <c r="BJ6" i="2" s="1"/>
  <c r="BG82" i="2"/>
  <c r="BG6" i="2" s="1"/>
  <c r="BD82" i="2"/>
  <c r="BD6" i="2" s="1"/>
  <c r="BA82" i="2"/>
  <c r="AX6" i="2"/>
  <c r="AO82" i="2"/>
  <c r="AO6" i="2" s="1"/>
  <c r="AL82" i="2"/>
  <c r="AL6" i="2" s="1"/>
  <c r="AI82" i="2"/>
  <c r="AI6" i="2" s="1"/>
  <c r="AF82" i="2"/>
  <c r="AF6" i="2" s="1"/>
  <c r="AC82" i="2"/>
  <c r="AC6" i="2" s="1"/>
  <c r="Z82" i="2"/>
  <c r="Z6" i="2" s="1"/>
  <c r="W82" i="2"/>
  <c r="W6" i="2" s="1"/>
  <c r="T82" i="2"/>
  <c r="T6" i="2" s="1"/>
  <c r="Q82" i="2"/>
  <c r="Q6" i="2" s="1"/>
  <c r="P82" i="2"/>
  <c r="P6" i="2" s="1"/>
  <c r="O82" i="2"/>
  <c r="O6" i="2" s="1"/>
  <c r="N82" i="2"/>
  <c r="N6" i="2" s="1"/>
  <c r="M82" i="2"/>
  <c r="M6" i="2" s="1"/>
  <c r="L82" i="2"/>
  <c r="L6" i="2" s="1"/>
  <c r="K82" i="2"/>
  <c r="K6" i="2" s="1"/>
  <c r="J82" i="2"/>
  <c r="J6" i="2" s="1"/>
  <c r="AI71" i="2"/>
  <c r="AH71" i="2" s="1"/>
  <c r="AF71" i="2"/>
  <c r="AE71" i="2" s="1"/>
  <c r="AC71" i="2"/>
  <c r="AB71" i="2" s="1"/>
  <c r="Z71" i="2"/>
  <c r="Y71" i="2" s="1"/>
  <c r="W71" i="2"/>
  <c r="V71" i="2" s="1"/>
  <c r="T71" i="2"/>
  <c r="S71" i="2" s="1"/>
  <c r="Q71" i="2"/>
  <c r="P71" i="2"/>
  <c r="O71" i="2"/>
  <c r="N71" i="2"/>
  <c r="M71" i="2"/>
  <c r="L71" i="2"/>
  <c r="I71" i="2"/>
  <c r="H71" i="2"/>
  <c r="G71" i="2"/>
  <c r="F71" i="2"/>
  <c r="E71" i="2"/>
  <c r="D71" i="2"/>
  <c r="C71" i="2"/>
  <c r="B71" i="2"/>
  <c r="AI70" i="2"/>
  <c r="AH70" i="2" s="1"/>
  <c r="AF70" i="2"/>
  <c r="AE70" i="2" s="1"/>
  <c r="AC70" i="2"/>
  <c r="AB70" i="2" s="1"/>
  <c r="Z70" i="2"/>
  <c r="Y70" i="2" s="1"/>
  <c r="W70" i="2"/>
  <c r="V70" i="2" s="1"/>
  <c r="T70" i="2"/>
  <c r="S70" i="2" s="1"/>
  <c r="Q70" i="2"/>
  <c r="P70" i="2"/>
  <c r="O70" i="2"/>
  <c r="N70" i="2"/>
  <c r="M70" i="2"/>
  <c r="L70" i="2"/>
  <c r="K70" i="2"/>
  <c r="J70" i="2"/>
  <c r="I70" i="2"/>
  <c r="H70" i="2"/>
  <c r="G70" i="2"/>
  <c r="F70" i="2"/>
  <c r="E70" i="2"/>
  <c r="D70" i="2"/>
  <c r="C70" i="2"/>
  <c r="B70" i="2"/>
  <c r="AF68" i="2"/>
  <c r="AF67" i="2"/>
  <c r="AE67" i="2" s="1"/>
  <c r="AF65" i="2"/>
  <c r="AF64" i="2"/>
  <c r="H64" i="2"/>
  <c r="H68" i="2" s="1"/>
  <c r="G64" i="2"/>
  <c r="F64" i="2"/>
  <c r="E64" i="2"/>
  <c r="D64" i="2"/>
  <c r="C64" i="2"/>
  <c r="Z62" i="2"/>
  <c r="W61" i="2"/>
  <c r="V61" i="2" s="1"/>
  <c r="V62" i="2" s="1"/>
  <c r="T61" i="2"/>
  <c r="S61" i="2" s="1"/>
  <c r="S62" i="2" s="1"/>
  <c r="Q61" i="2"/>
  <c r="P61" i="2"/>
  <c r="O61" i="2"/>
  <c r="N61" i="2"/>
  <c r="M61" i="2"/>
  <c r="L61" i="2"/>
  <c r="K61" i="2"/>
  <c r="J61" i="2"/>
  <c r="I61" i="2"/>
  <c r="H61" i="2"/>
  <c r="G61" i="2"/>
  <c r="F61" i="2"/>
  <c r="E61" i="2"/>
  <c r="D61" i="2"/>
  <c r="C61" i="2"/>
  <c r="B61" i="2"/>
  <c r="Z60" i="2"/>
  <c r="AI56" i="2"/>
  <c r="AF56" i="2"/>
  <c r="AC56" i="2"/>
  <c r="G56" i="2"/>
  <c r="F56" i="2"/>
  <c r="E56" i="2"/>
  <c r="D56" i="2"/>
  <c r="C56" i="2"/>
  <c r="B56" i="2"/>
  <c r="AF53" i="2"/>
  <c r="AC53" i="2"/>
  <c r="Z53" i="2"/>
  <c r="W53" i="2"/>
  <c r="T53" i="2"/>
  <c r="Q53" i="2"/>
  <c r="P53" i="2"/>
  <c r="O53" i="2"/>
  <c r="N53" i="2"/>
  <c r="M53" i="2"/>
  <c r="L53" i="2"/>
  <c r="K53" i="2"/>
  <c r="J53" i="2"/>
  <c r="I53" i="2"/>
  <c r="H53" i="2"/>
  <c r="G52" i="2"/>
  <c r="F52" i="2"/>
  <c r="E52" i="2"/>
  <c r="D52" i="2"/>
  <c r="C52" i="2"/>
  <c r="B52" i="2"/>
  <c r="AO51" i="2"/>
  <c r="AI51" i="2"/>
  <c r="AI53" i="2" s="1"/>
  <c r="AF51" i="2"/>
  <c r="AC51" i="2"/>
  <c r="W51" i="2"/>
  <c r="T51" i="2"/>
  <c r="Q51" i="2"/>
  <c r="P51" i="2"/>
  <c r="O51" i="2"/>
  <c r="N51" i="2"/>
  <c r="M51" i="2"/>
  <c r="L51" i="2"/>
  <c r="K51" i="2"/>
  <c r="J51" i="2"/>
  <c r="I51" i="2"/>
  <c r="H51" i="2"/>
  <c r="G51" i="2"/>
  <c r="F51" i="2"/>
  <c r="E51" i="2"/>
  <c r="D51" i="2"/>
  <c r="C51" i="2"/>
  <c r="AL164" i="2"/>
  <c r="AC39" i="2"/>
  <c r="AI36" i="2"/>
  <c r="AF36" i="2"/>
  <c r="AC36" i="2"/>
  <c r="Z36" i="2"/>
  <c r="W36" i="2"/>
  <c r="V36" i="2" s="1"/>
  <c r="T36" i="2"/>
  <c r="Q36" i="2"/>
  <c r="P36" i="2"/>
  <c r="O36" i="2"/>
  <c r="N36" i="2"/>
  <c r="M36" i="2"/>
  <c r="L36" i="2"/>
  <c r="K36" i="2"/>
  <c r="J36" i="2"/>
  <c r="I36" i="2"/>
  <c r="H36" i="2"/>
  <c r="G36" i="2"/>
  <c r="F36" i="2"/>
  <c r="E36" i="2"/>
  <c r="D36" i="2"/>
  <c r="C36" i="2"/>
  <c r="B36" i="2"/>
  <c r="AI30" i="2"/>
  <c r="AF30" i="2"/>
  <c r="AC30" i="2"/>
  <c r="Z30" i="2"/>
  <c r="W30" i="2"/>
  <c r="T30" i="2"/>
  <c r="Q30" i="2"/>
  <c r="P30" i="2"/>
  <c r="O30" i="2"/>
  <c r="N30" i="2"/>
  <c r="M30" i="2"/>
  <c r="L30" i="2"/>
  <c r="K30" i="2"/>
  <c r="J30" i="2"/>
  <c r="I30" i="2"/>
  <c r="H30" i="2"/>
  <c r="G30" i="2"/>
  <c r="F30" i="2"/>
  <c r="E30" i="2"/>
  <c r="D30" i="2"/>
  <c r="C30" i="2"/>
  <c r="B30" i="2"/>
  <c r="AI22" i="2"/>
  <c r="AI20" i="2"/>
  <c r="I18" i="2"/>
  <c r="H18" i="2"/>
  <c r="G18" i="2"/>
  <c r="F18" i="2"/>
  <c r="E18" i="2"/>
  <c r="D18" i="2"/>
  <c r="C18" i="2"/>
  <c r="B18" i="2"/>
  <c r="I16" i="2"/>
  <c r="H16" i="2"/>
  <c r="G16" i="2"/>
  <c r="F16" i="2"/>
  <c r="E15" i="2"/>
  <c r="E16" i="2" s="1"/>
  <c r="D15" i="2"/>
  <c r="D16" i="2" s="1"/>
  <c r="C15" i="2"/>
  <c r="C16" i="2" s="1"/>
  <c r="B15" i="2"/>
  <c r="B16" i="2" s="1"/>
  <c r="I12" i="2"/>
  <c r="I13" i="2" s="1"/>
  <c r="H12" i="2"/>
  <c r="G12" i="2"/>
  <c r="G13" i="2" s="1"/>
  <c r="F12" i="2"/>
  <c r="F23" i="2" s="1"/>
  <c r="E12" i="2"/>
  <c r="D12" i="2"/>
  <c r="D13" i="2" s="1"/>
  <c r="C12" i="2"/>
  <c r="B12" i="2"/>
  <c r="W9" i="2"/>
  <c r="T9" i="2"/>
  <c r="Q9" i="2"/>
  <c r="P9" i="2"/>
  <c r="A3" i="2"/>
  <c r="Q1" i="2"/>
  <c r="T1" i="2" s="1"/>
  <c r="L1" i="2"/>
  <c r="C1" i="2"/>
  <c r="D1" i="2" s="1"/>
  <c r="E1" i="2" s="1"/>
  <c r="F1" i="2" s="1"/>
  <c r="G1" i="2" s="1"/>
  <c r="H1" i="2" s="1"/>
  <c r="I1" i="2" s="1"/>
  <c r="J1" i="2" s="1"/>
  <c r="W97" i="3"/>
  <c r="T97" i="3"/>
  <c r="Q97" i="3"/>
  <c r="P97" i="3"/>
  <c r="O97" i="3"/>
  <c r="N97" i="3"/>
  <c r="M97" i="3"/>
  <c r="L97" i="3"/>
  <c r="K97" i="3"/>
  <c r="J97" i="3"/>
  <c r="I97" i="3"/>
  <c r="H97" i="3"/>
  <c r="G97" i="3"/>
  <c r="F97" i="3"/>
  <c r="E97" i="3"/>
  <c r="D97" i="3"/>
  <c r="C97" i="3"/>
  <c r="B97" i="3"/>
  <c r="Z83" i="3"/>
  <c r="Z99" i="3" s="1"/>
  <c r="W83" i="3"/>
  <c r="T83" i="3"/>
  <c r="Q83" i="3"/>
  <c r="P83" i="3"/>
  <c r="O83" i="3"/>
  <c r="N83" i="3"/>
  <c r="M83" i="3"/>
  <c r="L83" i="3"/>
  <c r="K83" i="3"/>
  <c r="J83" i="3"/>
  <c r="I83" i="3"/>
  <c r="H83" i="3"/>
  <c r="G83" i="3"/>
  <c r="F83" i="3"/>
  <c r="E83" i="3"/>
  <c r="D83" i="3"/>
  <c r="C83" i="3"/>
  <c r="B83" i="3"/>
  <c r="AF82" i="3"/>
  <c r="AF83" i="3" s="1"/>
  <c r="AC82" i="3"/>
  <c r="AC83" i="3" s="1"/>
  <c r="W70" i="3"/>
  <c r="M70" i="3"/>
  <c r="L70" i="3"/>
  <c r="K70" i="3"/>
  <c r="J70" i="3"/>
  <c r="I70" i="3"/>
  <c r="H70" i="3"/>
  <c r="G70" i="3"/>
  <c r="E70" i="3"/>
  <c r="D70" i="3"/>
  <c r="C70" i="3"/>
  <c r="AC69" i="3"/>
  <c r="AI70" i="3"/>
  <c r="AF68" i="3"/>
  <c r="AF70" i="3" s="1"/>
  <c r="AC68" i="3"/>
  <c r="Z68" i="3"/>
  <c r="Z70" i="3" s="1"/>
  <c r="T67" i="3"/>
  <c r="S67" i="3" s="1"/>
  <c r="Q67" i="3"/>
  <c r="P67" i="3"/>
  <c r="O67" i="3"/>
  <c r="O80" i="10" s="1"/>
  <c r="N67" i="3"/>
  <c r="F67" i="3"/>
  <c r="B67" i="3"/>
  <c r="AC66" i="3"/>
  <c r="Z65" i="3"/>
  <c r="W64" i="3"/>
  <c r="T64" i="3"/>
  <c r="Q64" i="3"/>
  <c r="P64" i="3"/>
  <c r="N64" i="3"/>
  <c r="M64" i="3"/>
  <c r="L64" i="3"/>
  <c r="K64" i="3"/>
  <c r="J64" i="3"/>
  <c r="I64" i="3"/>
  <c r="H64" i="3"/>
  <c r="G64" i="3"/>
  <c r="F64" i="3"/>
  <c r="E64" i="3"/>
  <c r="D64" i="3"/>
  <c r="C64" i="3"/>
  <c r="B64" i="3"/>
  <c r="O63" i="3"/>
  <c r="W62" i="3"/>
  <c r="T62" i="3"/>
  <c r="Q62" i="3"/>
  <c r="P62" i="3"/>
  <c r="O62" i="3"/>
  <c r="N62" i="3"/>
  <c r="M62" i="3"/>
  <c r="L62" i="3"/>
  <c r="K62" i="3"/>
  <c r="J62" i="3"/>
  <c r="I62" i="3"/>
  <c r="H62" i="3"/>
  <c r="G62" i="3"/>
  <c r="F62" i="3"/>
  <c r="E62" i="3"/>
  <c r="D62" i="3"/>
  <c r="C62" i="3"/>
  <c r="B62" i="3"/>
  <c r="AI58" i="3"/>
  <c r="AF58" i="3"/>
  <c r="AC58" i="3"/>
  <c r="Z58" i="3"/>
  <c r="W58" i="3"/>
  <c r="T58" i="3"/>
  <c r="Q58" i="3"/>
  <c r="P58" i="3"/>
  <c r="O58" i="3"/>
  <c r="AI56" i="3"/>
  <c r="AF56" i="3"/>
  <c r="AC56" i="3"/>
  <c r="Z56" i="3"/>
  <c r="W56" i="3"/>
  <c r="T56" i="3"/>
  <c r="Q56" i="3"/>
  <c r="P56" i="3"/>
  <c r="O56" i="3"/>
  <c r="N56" i="3"/>
  <c r="M56" i="3"/>
  <c r="L56" i="3"/>
  <c r="K56" i="3"/>
  <c r="J56" i="3"/>
  <c r="I56" i="3"/>
  <c r="H56" i="3"/>
  <c r="G56" i="3"/>
  <c r="F56" i="3"/>
  <c r="E56" i="3"/>
  <c r="D56" i="3"/>
  <c r="C56" i="3"/>
  <c r="B56" i="3"/>
  <c r="AI176" i="2"/>
  <c r="AF176" i="2"/>
  <c r="AC176" i="2"/>
  <c r="W54" i="3"/>
  <c r="W176" i="2" s="1"/>
  <c r="T54" i="3"/>
  <c r="T176" i="2" s="1"/>
  <c r="Q54" i="3"/>
  <c r="Q176" i="2" s="1"/>
  <c r="P54" i="3"/>
  <c r="P176" i="2" s="1"/>
  <c r="O54" i="3"/>
  <c r="O176" i="2" s="1"/>
  <c r="N54" i="3"/>
  <c r="N176" i="2" s="1"/>
  <c r="M54" i="3"/>
  <c r="M176" i="2" s="1"/>
  <c r="L54" i="3"/>
  <c r="L176" i="2" s="1"/>
  <c r="K54" i="3"/>
  <c r="K176" i="2" s="1"/>
  <c r="J54" i="3"/>
  <c r="J176" i="2" s="1"/>
  <c r="I54" i="3"/>
  <c r="I176" i="2" s="1"/>
  <c r="H54" i="3"/>
  <c r="H176" i="2" s="1"/>
  <c r="G54" i="3"/>
  <c r="G176" i="2" s="1"/>
  <c r="F54" i="3"/>
  <c r="F176" i="2" s="1"/>
  <c r="E54" i="3"/>
  <c r="E176" i="2" s="1"/>
  <c r="D54" i="3"/>
  <c r="D176" i="2" s="1"/>
  <c r="C54" i="3"/>
  <c r="C176" i="2" s="1"/>
  <c r="B54" i="3"/>
  <c r="B176" i="2" s="1"/>
  <c r="AI48" i="3"/>
  <c r="AI9" i="2" s="1"/>
  <c r="AF46" i="3"/>
  <c r="AF48" i="3" s="1"/>
  <c r="AF9" i="2" s="1"/>
  <c r="AC46" i="3"/>
  <c r="AC48" i="3" s="1"/>
  <c r="Z46" i="3"/>
  <c r="Z48" i="3" s="1"/>
  <c r="Z9" i="2" s="1"/>
  <c r="AF44" i="3"/>
  <c r="AC44" i="3"/>
  <c r="AO43" i="3"/>
  <c r="S41" i="3"/>
  <c r="Q42" i="3"/>
  <c r="S39" i="3"/>
  <c r="P40" i="3"/>
  <c r="AI36" i="3"/>
  <c r="AF36" i="3"/>
  <c r="AC36" i="3"/>
  <c r="Z36" i="3"/>
  <c r="W35" i="3"/>
  <c r="T35" i="3"/>
  <c r="Q35" i="3"/>
  <c r="Q36" i="3" s="1"/>
  <c r="P35" i="3"/>
  <c r="P36" i="3" s="1"/>
  <c r="AI34" i="3"/>
  <c r="AF34" i="3"/>
  <c r="AC34" i="3"/>
  <c r="Z34" i="3"/>
  <c r="W33" i="3"/>
  <c r="T33" i="3"/>
  <c r="Q33" i="3"/>
  <c r="Q34" i="3" s="1"/>
  <c r="P33" i="3"/>
  <c r="P34" i="3" s="1"/>
  <c r="AI32" i="3"/>
  <c r="AF32" i="3"/>
  <c r="AC32" i="3"/>
  <c r="Z32" i="3"/>
  <c r="W31" i="3"/>
  <c r="T31" i="3"/>
  <c r="Q31" i="3"/>
  <c r="Q32" i="3" s="1"/>
  <c r="P31" i="3"/>
  <c r="P32" i="3" s="1"/>
  <c r="W5" i="2"/>
  <c r="O23" i="3"/>
  <c r="N23" i="3"/>
  <c r="M23" i="3"/>
  <c r="L23" i="3"/>
  <c r="L5" i="2" s="1"/>
  <c r="L13" i="10" s="1"/>
  <c r="K23" i="3"/>
  <c r="K5" i="2" s="1"/>
  <c r="J23" i="3"/>
  <c r="J5" i="2" s="1"/>
  <c r="J13" i="10" s="1"/>
  <c r="I23" i="3"/>
  <c r="I5" i="2" s="1"/>
  <c r="H23" i="3"/>
  <c r="G23" i="3"/>
  <c r="F23" i="3"/>
  <c r="F5" i="2" s="1"/>
  <c r="F13" i="10" s="1"/>
  <c r="E23" i="3"/>
  <c r="E5" i="2" s="1"/>
  <c r="D23" i="3"/>
  <c r="D5" i="2" s="1"/>
  <c r="D13" i="10" s="1"/>
  <c r="C23" i="3"/>
  <c r="C5" i="2" s="1"/>
  <c r="AC22" i="3"/>
  <c r="AI23" i="3"/>
  <c r="AF21" i="3"/>
  <c r="AF23" i="3" s="1"/>
  <c r="AC21" i="3"/>
  <c r="Z21" i="3"/>
  <c r="T20" i="3"/>
  <c r="R72" i="10" s="1"/>
  <c r="Q20" i="3"/>
  <c r="P20" i="3"/>
  <c r="B20" i="3"/>
  <c r="AI19" i="3"/>
  <c r="AF19" i="3"/>
  <c r="Z18" i="3"/>
  <c r="W17" i="3"/>
  <c r="T17" i="3"/>
  <c r="Q17" i="3"/>
  <c r="N17" i="3"/>
  <c r="M17" i="3"/>
  <c r="L17" i="3"/>
  <c r="K17" i="3"/>
  <c r="J17" i="3"/>
  <c r="I17" i="3"/>
  <c r="H17" i="3"/>
  <c r="G17" i="3"/>
  <c r="F17" i="3"/>
  <c r="E17" i="3"/>
  <c r="D17" i="3"/>
  <c r="C17" i="3"/>
  <c r="W15" i="3"/>
  <c r="T15" i="3"/>
  <c r="Q15" i="3"/>
  <c r="P15" i="3"/>
  <c r="O15" i="3"/>
  <c r="N15" i="3"/>
  <c r="M15" i="3"/>
  <c r="L15" i="3"/>
  <c r="K15" i="3"/>
  <c r="J15" i="3"/>
  <c r="I15" i="3"/>
  <c r="H15" i="3"/>
  <c r="G15" i="3"/>
  <c r="F15" i="3"/>
  <c r="E15" i="3"/>
  <c r="D15" i="3"/>
  <c r="C15" i="3"/>
  <c r="AI11" i="3"/>
  <c r="AF11" i="3"/>
  <c r="AC11" i="3"/>
  <c r="W11" i="3"/>
  <c r="T11" i="3"/>
  <c r="Q11" i="3"/>
  <c r="P11" i="3"/>
  <c r="N11" i="3"/>
  <c r="AI9" i="3"/>
  <c r="AF9" i="3"/>
  <c r="AC9" i="3"/>
  <c r="W9" i="3"/>
  <c r="T9" i="3"/>
  <c r="Q9" i="3"/>
  <c r="P9" i="3"/>
  <c r="O9" i="3"/>
  <c r="N9" i="3"/>
  <c r="M9" i="3"/>
  <c r="L9" i="3"/>
  <c r="K9" i="3"/>
  <c r="J9" i="3"/>
  <c r="I9" i="3"/>
  <c r="H9" i="3"/>
  <c r="G9" i="3"/>
  <c r="F9" i="3"/>
  <c r="E9" i="3"/>
  <c r="D9" i="3"/>
  <c r="C9" i="3"/>
  <c r="AI7" i="3"/>
  <c r="AF7" i="3"/>
  <c r="AC7" i="3"/>
  <c r="W7" i="3"/>
  <c r="T7" i="3"/>
  <c r="Q7" i="3"/>
  <c r="P7" i="3"/>
  <c r="O7" i="3"/>
  <c r="N7" i="3"/>
  <c r="M7" i="3"/>
  <c r="L7" i="3"/>
  <c r="K7" i="3"/>
  <c r="J7" i="3"/>
  <c r="I7" i="3"/>
  <c r="H7" i="3"/>
  <c r="G7" i="3"/>
  <c r="F7" i="3"/>
  <c r="E7" i="3"/>
  <c r="D7" i="3"/>
  <c r="C7" i="3"/>
  <c r="Q1" i="3"/>
  <c r="L1" i="3"/>
  <c r="C1" i="3"/>
  <c r="AA37" i="10"/>
  <c r="Z37" i="10"/>
  <c r="V31" i="10"/>
  <c r="U31" i="10"/>
  <c r="S31" i="10"/>
  <c r="R31" i="10"/>
  <c r="Q31" i="10"/>
  <c r="P31" i="10"/>
  <c r="O31" i="10"/>
  <c r="N31" i="10"/>
  <c r="M31" i="10"/>
  <c r="L31" i="10"/>
  <c r="K31" i="10"/>
  <c r="J31" i="10"/>
  <c r="I31" i="10"/>
  <c r="H31" i="10"/>
  <c r="G31" i="10"/>
  <c r="F31" i="10"/>
  <c r="E31" i="10"/>
  <c r="D31" i="10"/>
  <c r="C31" i="10"/>
  <c r="N21" i="10"/>
  <c r="M21" i="10"/>
  <c r="L21" i="10"/>
  <c r="Y19" i="10"/>
  <c r="X19" i="10"/>
  <c r="W19" i="10"/>
  <c r="V19" i="10"/>
  <c r="U19" i="10"/>
  <c r="T19" i="10"/>
  <c r="S19" i="10"/>
  <c r="R19" i="10"/>
  <c r="Q19" i="10"/>
  <c r="P19" i="10"/>
  <c r="O19" i="10"/>
  <c r="N19" i="10"/>
  <c r="M19" i="10"/>
  <c r="L19" i="10"/>
  <c r="K19" i="10"/>
  <c r="J19" i="10"/>
  <c r="I19" i="10"/>
  <c r="H19" i="10"/>
  <c r="G19" i="10"/>
  <c r="F19" i="10"/>
  <c r="E19" i="10"/>
  <c r="D19" i="10"/>
  <c r="C19" i="10"/>
  <c r="B19" i="10"/>
  <c r="R18" i="10"/>
  <c r="W9" i="10"/>
  <c r="V9" i="10"/>
  <c r="U9" i="10"/>
  <c r="T9" i="10"/>
  <c r="S9" i="10"/>
  <c r="R9" i="10"/>
  <c r="Q9" i="10"/>
  <c r="P9" i="10"/>
  <c r="O9" i="10"/>
  <c r="N9" i="10"/>
  <c r="M9" i="10"/>
  <c r="L9" i="10"/>
  <c r="K9" i="10"/>
  <c r="J9" i="10"/>
  <c r="I9" i="10"/>
  <c r="H9" i="10"/>
  <c r="G9" i="10"/>
  <c r="F9" i="10"/>
  <c r="E9" i="10"/>
  <c r="D9" i="10"/>
  <c r="C9" i="10"/>
  <c r="B9" i="10"/>
  <c r="W8" i="10"/>
  <c r="AI171" i="2" s="1"/>
  <c r="V8" i="10"/>
  <c r="AF171" i="2" s="1"/>
  <c r="U8" i="10"/>
  <c r="AC171" i="2" s="1"/>
  <c r="T8" i="10"/>
  <c r="Z171" i="2" s="1"/>
  <c r="S8" i="10"/>
  <c r="W171" i="2" s="1"/>
  <c r="R8" i="10"/>
  <c r="T171" i="2" s="1"/>
  <c r="Q8" i="10"/>
  <c r="Q171" i="2" s="1"/>
  <c r="P8" i="10"/>
  <c r="P171" i="2" s="1"/>
  <c r="O8" i="10"/>
  <c r="O171" i="2" s="1"/>
  <c r="N8" i="10"/>
  <c r="N171" i="2" s="1"/>
  <c r="M8" i="10"/>
  <c r="M171" i="2" s="1"/>
  <c r="L8" i="10"/>
  <c r="L171" i="2" s="1"/>
  <c r="K8" i="10"/>
  <c r="K171" i="2" s="1"/>
  <c r="J8" i="10"/>
  <c r="J171" i="2" s="1"/>
  <c r="I8" i="10"/>
  <c r="I171" i="2" s="1"/>
  <c r="H8" i="10"/>
  <c r="H171" i="2" s="1"/>
  <c r="G8" i="10"/>
  <c r="G171" i="2" s="1"/>
  <c r="F8" i="10"/>
  <c r="F171" i="2" s="1"/>
  <c r="E8" i="10"/>
  <c r="D8" i="10"/>
  <c r="C8" i="10"/>
  <c r="B8" i="10"/>
  <c r="W5" i="10"/>
  <c r="W4" i="10" s="1"/>
  <c r="AI73" i="2" s="1"/>
  <c r="V5" i="10"/>
  <c r="V4" i="10" s="1"/>
  <c r="AF73" i="2" s="1"/>
  <c r="U5" i="10"/>
  <c r="U4" i="10" s="1"/>
  <c r="AC73" i="2" s="1"/>
  <c r="S5" i="10"/>
  <c r="S4" i="10" s="1"/>
  <c r="W73" i="2" s="1"/>
  <c r="R5" i="10"/>
  <c r="R4" i="10" s="1"/>
  <c r="T73" i="2" s="1"/>
  <c r="Q5" i="10"/>
  <c r="Q4" i="10" s="1"/>
  <c r="P5" i="10"/>
  <c r="P4" i="10" s="1"/>
  <c r="O5" i="10"/>
  <c r="O4" i="10" s="1"/>
  <c r="N5" i="10"/>
  <c r="N4" i="10" s="1"/>
  <c r="M5" i="10"/>
  <c r="M4" i="10" s="1"/>
  <c r="L5" i="10"/>
  <c r="L4" i="10" s="1"/>
  <c r="K5" i="10"/>
  <c r="K4" i="10" s="1"/>
  <c r="J5" i="10"/>
  <c r="J4" i="10" s="1"/>
  <c r="I5" i="10"/>
  <c r="I4" i="10" s="1"/>
  <c r="H5" i="10"/>
  <c r="H4" i="10" s="1"/>
  <c r="G5" i="10"/>
  <c r="G4" i="10" s="1"/>
  <c r="F5" i="10"/>
  <c r="F4" i="10" s="1"/>
  <c r="E5" i="10"/>
  <c r="E4" i="10" s="1"/>
  <c r="D5" i="10"/>
  <c r="D4" i="10" s="1"/>
  <c r="C5" i="10"/>
  <c r="C4" i="10" s="1"/>
  <c r="B5" i="10"/>
  <c r="B4" i="10" s="1"/>
  <c r="L39" i="4" l="1"/>
  <c r="BA6" i="2"/>
  <c r="AX252" i="14"/>
  <c r="BG252" i="14"/>
  <c r="AU252" i="14"/>
  <c r="AS252" i="14" s="1"/>
  <c r="BA252" i="14"/>
  <c r="BA253" i="14" s="1"/>
  <c r="BD252" i="14"/>
  <c r="AU328" i="20"/>
  <c r="AU329" i="20" s="1"/>
  <c r="AU327" i="20"/>
  <c r="AU330" i="20"/>
  <c r="AU331" i="20" s="1"/>
  <c r="AU362" i="20"/>
  <c r="N39" i="4"/>
  <c r="AR233" i="20"/>
  <c r="AR249" i="20" s="1"/>
  <c r="AR231" i="20"/>
  <c r="AR239" i="20"/>
  <c r="AR252" i="20" s="1"/>
  <c r="AR237" i="20"/>
  <c r="AR76" i="20"/>
  <c r="AR78" i="20" s="1"/>
  <c r="AR116" i="20"/>
  <c r="AR252" i="14"/>
  <c r="AR253" i="14" s="1"/>
  <c r="AR254" i="14" s="1"/>
  <c r="BI68" i="4"/>
  <c r="BL68" i="4"/>
  <c r="BA64" i="4"/>
  <c r="AZ64" i="4" s="1"/>
  <c r="BG64" i="4"/>
  <c r="BF64" i="4" s="1"/>
  <c r="AZ68" i="4"/>
  <c r="BC68" i="4"/>
  <c r="BF68" i="4"/>
  <c r="H39" i="4"/>
  <c r="AF257" i="4"/>
  <c r="AE257" i="4" s="1"/>
  <c r="AE259" i="4" s="1"/>
  <c r="AE260" i="4" s="1"/>
  <c r="AE100" i="2"/>
  <c r="AE24" i="2" s="1"/>
  <c r="AC80" i="6"/>
  <c r="AC92" i="6" s="1"/>
  <c r="AT219" i="14"/>
  <c r="AT209" i="14"/>
  <c r="AW199" i="14"/>
  <c r="AW219" i="14"/>
  <c r="AT199" i="14"/>
  <c r="AO116" i="20"/>
  <c r="AO330" i="20"/>
  <c r="AR331" i="20" s="1"/>
  <c r="AO326" i="20"/>
  <c r="AO328" i="20"/>
  <c r="AR329" i="20" s="1"/>
  <c r="AL326" i="20"/>
  <c r="AL333" i="20" s="1"/>
  <c r="AL328" i="20"/>
  <c r="AI326" i="20"/>
  <c r="AI333" i="20" s="1"/>
  <c r="AI328" i="20"/>
  <c r="AC400" i="20"/>
  <c r="Q487" i="20"/>
  <c r="M573" i="20"/>
  <c r="AO357" i="20"/>
  <c r="AO76" i="20"/>
  <c r="AO233" i="20"/>
  <c r="AO249" i="20" s="1"/>
  <c r="AO362" i="20"/>
  <c r="AO231" i="20"/>
  <c r="AO239" i="20"/>
  <c r="AO252" i="20" s="1"/>
  <c r="AO237" i="20"/>
  <c r="AR6" i="2"/>
  <c r="AR7" i="2" s="1"/>
  <c r="S208" i="4"/>
  <c r="S192" i="4"/>
  <c r="AI257" i="4"/>
  <c r="AH257" i="4" s="1"/>
  <c r="AH259" i="4" s="1"/>
  <c r="AH260" i="4" s="1"/>
  <c r="AB192" i="4"/>
  <c r="W217" i="6"/>
  <c r="W71" i="6"/>
  <c r="V71" i="6" s="1"/>
  <c r="W34" i="3"/>
  <c r="V33" i="3"/>
  <c r="Y65" i="3"/>
  <c r="W32" i="3"/>
  <c r="V31" i="3"/>
  <c r="W36" i="3"/>
  <c r="V35" i="3"/>
  <c r="U73" i="10"/>
  <c r="AB22" i="3"/>
  <c r="U81" i="10"/>
  <c r="AB69" i="3"/>
  <c r="Y18" i="3"/>
  <c r="T32" i="3"/>
  <c r="S31" i="3"/>
  <c r="T34" i="3"/>
  <c r="S33" i="3"/>
  <c r="T36" i="3"/>
  <c r="S35" i="3"/>
  <c r="V192" i="4"/>
  <c r="AN43" i="3"/>
  <c r="AB105" i="5"/>
  <c r="AE105" i="5"/>
  <c r="S100" i="2"/>
  <c r="S24" i="2" s="1"/>
  <c r="AE109" i="2"/>
  <c r="W100" i="2"/>
  <c r="W24" i="2" s="1"/>
  <c r="W165" i="2" s="1"/>
  <c r="V93" i="2"/>
  <c r="V100" i="2" s="1"/>
  <c r="V24" i="2" s="1"/>
  <c r="W30" i="4"/>
  <c r="W39" i="4" s="1"/>
  <c r="V29" i="4"/>
  <c r="V30" i="4" s="1"/>
  <c r="V39" i="4" s="1"/>
  <c r="S55" i="4"/>
  <c r="U214" i="4"/>
  <c r="V65" i="4"/>
  <c r="V166" i="4"/>
  <c r="S110" i="5"/>
  <c r="S73" i="2"/>
  <c r="T74" i="2"/>
  <c r="S74" i="2" s="1"/>
  <c r="R73" i="2"/>
  <c r="S36" i="2"/>
  <c r="V58" i="4"/>
  <c r="V60" i="4" s="1"/>
  <c r="V214" i="4"/>
  <c r="V110" i="5"/>
  <c r="W74" i="2"/>
  <c r="V74" i="2" s="1"/>
  <c r="V73" i="2"/>
  <c r="U73" i="2"/>
  <c r="V34" i="2"/>
  <c r="V153" i="2" s="1"/>
  <c r="AH109" i="2"/>
  <c r="U215" i="4"/>
  <c r="S57" i="4"/>
  <c r="S215" i="4" s="1"/>
  <c r="S166" i="4"/>
  <c r="W208" i="4"/>
  <c r="V206" i="4"/>
  <c r="V208" i="4" s="1"/>
  <c r="W9" i="5"/>
  <c r="V10" i="5"/>
  <c r="V9" i="5" s="1"/>
  <c r="U228" i="4"/>
  <c r="U33" i="2"/>
  <c r="R33" i="2"/>
  <c r="R98" i="5" s="1"/>
  <c r="R108" i="5" s="1"/>
  <c r="R111" i="5" s="1"/>
  <c r="Z215" i="4"/>
  <c r="Z208" i="4"/>
  <c r="Y206" i="4"/>
  <c r="Y208" i="4" s="1"/>
  <c r="T5" i="10"/>
  <c r="T4" i="10" s="1"/>
  <c r="T49" i="10" s="1"/>
  <c r="Y60" i="2"/>
  <c r="Y56" i="2" s="1"/>
  <c r="Z214" i="4"/>
  <c r="AB19" i="5"/>
  <c r="Z164" i="20"/>
  <c r="Z128" i="20" s="1"/>
  <c r="T165" i="20"/>
  <c r="T129" i="20" s="1"/>
  <c r="Z166" i="20"/>
  <c r="T167" i="20"/>
  <c r="T131" i="20" s="1"/>
  <c r="T169" i="20"/>
  <c r="T133" i="20" s="1"/>
  <c r="T202" i="20" s="1"/>
  <c r="T213" i="20" s="1"/>
  <c r="W171" i="20"/>
  <c r="W135" i="20" s="1"/>
  <c r="Y10" i="5"/>
  <c r="Y9" i="5" s="1"/>
  <c r="Y36" i="2"/>
  <c r="W215" i="4"/>
  <c r="Y192" i="4"/>
  <c r="Y22" i="5"/>
  <c r="Y19" i="5" s="1"/>
  <c r="Y105" i="5"/>
  <c r="AF74" i="2"/>
  <c r="AE74" i="2" s="1"/>
  <c r="AE73" i="2"/>
  <c r="AD73" i="2"/>
  <c r="AD74" i="2" s="1"/>
  <c r="AD65" i="2" s="1"/>
  <c r="AI92" i="2"/>
  <c r="AH92" i="2" s="1"/>
  <c r="AH100" i="2" s="1"/>
  <c r="AH24" i="2" s="1"/>
  <c r="AH20" i="2"/>
  <c r="AB36" i="2"/>
  <c r="AB39" i="2"/>
  <c r="AE134" i="2"/>
  <c r="AE138" i="2" s="1"/>
  <c r="AB30" i="4"/>
  <c r="AB33" i="4"/>
  <c r="AB38" i="4" s="1"/>
  <c r="AB47" i="4"/>
  <c r="AB49" i="4" s="1"/>
  <c r="AI214" i="4"/>
  <c r="AE55" i="4"/>
  <c r="AG214" i="4"/>
  <c r="AH166" i="4"/>
  <c r="AE107" i="5"/>
  <c r="AI74" i="2"/>
  <c r="AH74" i="2" s="1"/>
  <c r="AH73" i="2"/>
  <c r="AG73" i="2"/>
  <c r="AG74" i="2" s="1"/>
  <c r="AG65" i="2" s="1"/>
  <c r="AH65" i="2" s="1"/>
  <c r="AE36" i="2"/>
  <c r="AC100" i="2"/>
  <c r="AC24" i="2" s="1"/>
  <c r="AC165" i="2" s="1"/>
  <c r="AB92" i="2"/>
  <c r="AB100" i="2" s="1"/>
  <c r="AB24" i="2" s="1"/>
  <c r="AB77" i="4"/>
  <c r="AB21" i="4"/>
  <c r="AB22" i="4" s="1"/>
  <c r="AF30" i="4"/>
  <c r="AE26" i="4"/>
  <c r="AE33" i="4"/>
  <c r="AE38" i="4" s="1"/>
  <c r="AI187" i="4"/>
  <c r="AI210" i="4" s="1"/>
  <c r="AH186" i="4"/>
  <c r="AH187" i="4" s="1"/>
  <c r="AH210" i="4" s="1"/>
  <c r="AF192" i="4"/>
  <c r="AE189" i="4"/>
  <c r="AE192" i="4" s="1"/>
  <c r="AC208" i="4"/>
  <c r="AB206" i="4"/>
  <c r="AB208" i="4" s="1"/>
  <c r="AB10" i="5"/>
  <c r="AB9" i="5" s="1"/>
  <c r="AI12" i="5"/>
  <c r="AH16" i="5"/>
  <c r="AE22" i="5"/>
  <c r="AH62" i="5"/>
  <c r="AH22" i="2"/>
  <c r="AH36" i="2"/>
  <c r="AI64" i="2"/>
  <c r="AI68" i="2" s="1"/>
  <c r="AJ64" i="2" s="1"/>
  <c r="AG64" i="2"/>
  <c r="AC109" i="2"/>
  <c r="AC31" i="2" s="1"/>
  <c r="AB31" i="2" s="1"/>
  <c r="AB107" i="2"/>
  <c r="AB109" i="2" s="1"/>
  <c r="AE15" i="4"/>
  <c r="AH26" i="4"/>
  <c r="AH33" i="4"/>
  <c r="AH38" i="4" s="1"/>
  <c r="AH47" i="4"/>
  <c r="AH49" i="4" s="1"/>
  <c r="AB57" i="4"/>
  <c r="AB215" i="4" s="1"/>
  <c r="AD215" i="4"/>
  <c r="AE65" i="4"/>
  <c r="AB166" i="4"/>
  <c r="AC158" i="4"/>
  <c r="AC163" i="4" s="1"/>
  <c r="AA158" i="4"/>
  <c r="AA163" i="4" s="1"/>
  <c r="AF175" i="4"/>
  <c r="AG170" i="4"/>
  <c r="AG175" i="4" s="1"/>
  <c r="AI192" i="4"/>
  <c r="AI211" i="4" s="1"/>
  <c r="AH189" i="4"/>
  <c r="AH192" i="4" s="1"/>
  <c r="AH211" i="4" s="1"/>
  <c r="AF208" i="4"/>
  <c r="AE206" i="4"/>
  <c r="AE208" i="4" s="1"/>
  <c r="AE10" i="5"/>
  <c r="AE9" i="5" s="1"/>
  <c r="AE21" i="5"/>
  <c r="AE23" i="5"/>
  <c r="AH105" i="5"/>
  <c r="AA73" i="2"/>
  <c r="AA74" i="2" s="1"/>
  <c r="AA65" i="2" s="1"/>
  <c r="AB73" i="2"/>
  <c r="AI21" i="4"/>
  <c r="AH15" i="4"/>
  <c r="AE48" i="4"/>
  <c r="AE49" i="4" s="1"/>
  <c r="AD214" i="4"/>
  <c r="AB55" i="4"/>
  <c r="AE57" i="4"/>
  <c r="AE215" i="4" s="1"/>
  <c r="AG215" i="4"/>
  <c r="AE166" i="4"/>
  <c r="AF158" i="4"/>
  <c r="AF163" i="4" s="1"/>
  <c r="AD158" i="4"/>
  <c r="AD163" i="4" s="1"/>
  <c r="AH10" i="5"/>
  <c r="AH9" i="5" s="1"/>
  <c r="AH23" i="5"/>
  <c r="AC37" i="5"/>
  <c r="AB39" i="5"/>
  <c r="AB37" i="5" s="1"/>
  <c r="AA100" i="5"/>
  <c r="AA108" i="5" s="1"/>
  <c r="AA111" i="5" s="1"/>
  <c r="AA105" i="4" s="1"/>
  <c r="AA228" i="4"/>
  <c r="AA33" i="2"/>
  <c r="W166" i="20"/>
  <c r="W130" i="20" s="1"/>
  <c r="T171" i="20"/>
  <c r="T135" i="20" s="1"/>
  <c r="T204" i="20" s="1"/>
  <c r="T215" i="20" s="1"/>
  <c r="Z170" i="20"/>
  <c r="AF215" i="4"/>
  <c r="AL158" i="4"/>
  <c r="AL163" i="4" s="1"/>
  <c r="AJ158" i="4"/>
  <c r="AJ163" i="4" s="1"/>
  <c r="T215" i="4"/>
  <c r="BA182" i="4"/>
  <c r="S13" i="10"/>
  <c r="T214" i="4"/>
  <c r="AF214" i="4"/>
  <c r="AI215" i="4"/>
  <c r="AC215" i="4"/>
  <c r="AC214" i="4"/>
  <c r="W214" i="4"/>
  <c r="AZ181" i="4"/>
  <c r="AZ185" i="4"/>
  <c r="W170" i="20"/>
  <c r="W134" i="20" s="1"/>
  <c r="W164" i="20"/>
  <c r="W128" i="20" s="1"/>
  <c r="W165" i="20"/>
  <c r="W129" i="20" s="1"/>
  <c r="T40" i="3"/>
  <c r="T42" i="3"/>
  <c r="AG9" i="6"/>
  <c r="AG12" i="6"/>
  <c r="AG15" i="6"/>
  <c r="AE33" i="18"/>
  <c r="AE12" i="18"/>
  <c r="AE23" i="18"/>
  <c r="AE9" i="18"/>
  <c r="AH76" i="20"/>
  <c r="AH78" i="20" s="1"/>
  <c r="AH357" i="20"/>
  <c r="AB82" i="14"/>
  <c r="AA531" i="20"/>
  <c r="AA532" i="20" s="1"/>
  <c r="AA182" i="14"/>
  <c r="AB189" i="14"/>
  <c r="AA189" i="14"/>
  <c r="AB219" i="14"/>
  <c r="AA219" i="14"/>
  <c r="AA218" i="14" s="1"/>
  <c r="AB218" i="14" s="1"/>
  <c r="AB252" i="14"/>
  <c r="AV252" i="14"/>
  <c r="AW249" i="14"/>
  <c r="BI249" i="14"/>
  <c r="Z260" i="14"/>
  <c r="U260" i="14"/>
  <c r="U259" i="14" s="1"/>
  <c r="U36" i="14" s="1"/>
  <c r="AB387" i="20"/>
  <c r="AA387" i="20"/>
  <c r="BA457" i="20"/>
  <c r="R92" i="7"/>
  <c r="R80" i="7" s="1"/>
  <c r="S92" i="7"/>
  <c r="Z23" i="3"/>
  <c r="Z98" i="3" s="1"/>
  <c r="W40" i="3"/>
  <c r="V39" i="3"/>
  <c r="W42" i="3"/>
  <c r="V41" i="3"/>
  <c r="R12" i="6"/>
  <c r="R9" i="6"/>
  <c r="R15" i="6"/>
  <c r="AH33" i="18"/>
  <c r="AH23" i="18"/>
  <c r="AH9" i="18"/>
  <c r="AH12" i="18"/>
  <c r="Y14" i="6"/>
  <c r="Y91" i="6"/>
  <c r="AK119" i="6"/>
  <c r="Z87" i="6"/>
  <c r="Y175" i="6"/>
  <c r="AG189" i="14"/>
  <c r="AH189" i="14"/>
  <c r="BB244" i="14"/>
  <c r="AZ249" i="14"/>
  <c r="AA347" i="20"/>
  <c r="AD115" i="6" s="1"/>
  <c r="AA28" i="20"/>
  <c r="AB382" i="20"/>
  <c r="AA382" i="20"/>
  <c r="AB388" i="20"/>
  <c r="AA388" i="20"/>
  <c r="AB396" i="20"/>
  <c r="AA396" i="20"/>
  <c r="BD571" i="20"/>
  <c r="AY571" i="20"/>
  <c r="AZ571" i="20" s="1"/>
  <c r="AA579" i="20"/>
  <c r="AA577" i="20"/>
  <c r="T23" i="18"/>
  <c r="S81" i="18"/>
  <c r="R81" i="18"/>
  <c r="R69" i="18" s="1"/>
  <c r="V92" i="7"/>
  <c r="U92" i="7"/>
  <c r="U80" i="7" s="1"/>
  <c r="Y33" i="7"/>
  <c r="AB28" i="7" s="1"/>
  <c r="Y12" i="7"/>
  <c r="Y9" i="7"/>
  <c r="Y33" i="18"/>
  <c r="Y12" i="18"/>
  <c r="Y9" i="18"/>
  <c r="S20" i="3"/>
  <c r="R48" i="3"/>
  <c r="R9" i="2" s="1"/>
  <c r="AN119" i="6"/>
  <c r="AA513" i="20"/>
  <c r="AB79" i="14"/>
  <c r="AA162" i="14"/>
  <c r="AB83" i="14"/>
  <c r="AA537" i="20"/>
  <c r="AA538" i="20" s="1"/>
  <c r="AA192" i="14"/>
  <c r="AB60" i="20"/>
  <c r="AB224" i="20"/>
  <c r="AB223" i="20"/>
  <c r="AB234" i="20"/>
  <c r="AC87" i="6"/>
  <c r="AB175" i="6"/>
  <c r="AC250" i="14"/>
  <c r="AB248" i="14"/>
  <c r="AQ249" i="14"/>
  <c r="BC249" i="14"/>
  <c r="BA364" i="20"/>
  <c r="BD364" i="20" s="1"/>
  <c r="BB364" i="20" s="1"/>
  <c r="AV364" i="20"/>
  <c r="AB383" i="20"/>
  <c r="AA383" i="20"/>
  <c r="AB385" i="20"/>
  <c r="AA385" i="20"/>
  <c r="AC572" i="20"/>
  <c r="AD569" i="20" s="1"/>
  <c r="AB397" i="20"/>
  <c r="AA397" i="20"/>
  <c r="W169" i="20"/>
  <c r="W133" i="20" s="1"/>
  <c r="Z171" i="20"/>
  <c r="T170" i="20"/>
  <c r="T134" i="20" s="1"/>
  <c r="T203" i="20" s="1"/>
  <c r="T214" i="20" s="1"/>
  <c r="V81" i="18"/>
  <c r="U81" i="18"/>
  <c r="U69" i="18" s="1"/>
  <c r="U48" i="3"/>
  <c r="U9" i="2" s="1"/>
  <c r="AB81" i="14"/>
  <c r="AA525" i="20"/>
  <c r="AA172" i="14"/>
  <c r="AB84" i="14"/>
  <c r="AA543" i="20"/>
  <c r="AA544" i="20" s="1"/>
  <c r="AA202" i="14"/>
  <c r="AE223" i="20"/>
  <c r="AE60" i="20"/>
  <c r="AE222" i="20"/>
  <c r="AE224" i="20"/>
  <c r="AF564" i="20"/>
  <c r="AE89" i="14"/>
  <c r="AE93" i="14" s="1"/>
  <c r="V189" i="14"/>
  <c r="U189" i="14"/>
  <c r="Z253" i="14"/>
  <c r="X253" i="14" s="1"/>
  <c r="Y253" i="14" s="1"/>
  <c r="X252" i="14"/>
  <c r="AT249" i="14"/>
  <c r="BF249" i="14"/>
  <c r="AB386" i="20"/>
  <c r="AA386" i="20"/>
  <c r="T166" i="20"/>
  <c r="T130" i="20" s="1"/>
  <c r="T199" i="20" s="1"/>
  <c r="T210" i="20" s="1"/>
  <c r="T168" i="20"/>
  <c r="Z169" i="20"/>
  <c r="AA560" i="20"/>
  <c r="AB557" i="20" s="1"/>
  <c r="AB560" i="20" s="1"/>
  <c r="AB561" i="20" s="1"/>
  <c r="AI81" i="18"/>
  <c r="AL81" i="18" s="1"/>
  <c r="AE81" i="18"/>
  <c r="AD81" i="18"/>
  <c r="AD69" i="18" s="1"/>
  <c r="AH14" i="7"/>
  <c r="AK22" i="14"/>
  <c r="AK256" i="14" s="1"/>
  <c r="Y21" i="20"/>
  <c r="AR1" i="18"/>
  <c r="AU1" i="18" s="1"/>
  <c r="AX1" i="18" s="1"/>
  <c r="BA1" i="18" s="1"/>
  <c r="BD1" i="18" s="1"/>
  <c r="BG1" i="18" s="1"/>
  <c r="BJ1" i="18" s="1"/>
  <c r="BM1" i="18" s="1"/>
  <c r="AR1" i="7"/>
  <c r="AU1" i="7" s="1"/>
  <c r="AX1" i="7" s="1"/>
  <c r="BA1" i="7" s="1"/>
  <c r="BD1" i="7" s="1"/>
  <c r="BG1" i="7" s="1"/>
  <c r="BJ1" i="7" s="1"/>
  <c r="BM1" i="7" s="1"/>
  <c r="AF1" i="20"/>
  <c r="AI1" i="20" s="1"/>
  <c r="AL1" i="20" s="1"/>
  <c r="AO1" i="20" s="1"/>
  <c r="AR1" i="20" s="1"/>
  <c r="AU1" i="20" s="1"/>
  <c r="AX1" i="20" s="1"/>
  <c r="BA1" i="20" s="1"/>
  <c r="BD1" i="20" s="1"/>
  <c r="BG1" i="20" s="1"/>
  <c r="BJ1" i="20" s="1"/>
  <c r="AO1" i="14"/>
  <c r="AR1" i="14" s="1"/>
  <c r="AU1" i="14" s="1"/>
  <c r="AX1" i="14" s="1"/>
  <c r="BA1" i="14" s="1"/>
  <c r="BD1" i="14" s="1"/>
  <c r="BG1" i="14" s="1"/>
  <c r="BJ1" i="14" s="1"/>
  <c r="AC1" i="5"/>
  <c r="AF1" i="5" s="1"/>
  <c r="AI1" i="5" s="1"/>
  <c r="AL1" i="5" s="1"/>
  <c r="AO1" i="5" s="1"/>
  <c r="AR1" i="5" s="1"/>
  <c r="AU1" i="5" s="1"/>
  <c r="AX1" i="5" s="1"/>
  <c r="BA1" i="5" s="1"/>
  <c r="BD1" i="5" s="1"/>
  <c r="BG1" i="5" s="1"/>
  <c r="BJ1" i="5" s="1"/>
  <c r="BM1" i="5" s="1"/>
  <c r="Z212" i="4"/>
  <c r="J71" i="2"/>
  <c r="J120" i="5"/>
  <c r="K71" i="2"/>
  <c r="K120" i="5"/>
  <c r="I65" i="5"/>
  <c r="I74" i="5" s="1"/>
  <c r="I120" i="5"/>
  <c r="AI177" i="2"/>
  <c r="AF177" i="2"/>
  <c r="AC177" i="2"/>
  <c r="P487" i="20"/>
  <c r="O488" i="20"/>
  <c r="AI233" i="20"/>
  <c r="AI239" i="20"/>
  <c r="AI252" i="20" s="1"/>
  <c r="AI237" i="20"/>
  <c r="AU233" i="20"/>
  <c r="AU249" i="20" s="1"/>
  <c r="AU239" i="20"/>
  <c r="AU252" i="20" s="1"/>
  <c r="AL233" i="20"/>
  <c r="AL239" i="20"/>
  <c r="AL252" i="20" s="1"/>
  <c r="AL237" i="20"/>
  <c r="AX233" i="20"/>
  <c r="AX249" i="20" s="1"/>
  <c r="AX239" i="20"/>
  <c r="AX252" i="20" s="1"/>
  <c r="AC233" i="20"/>
  <c r="AC239" i="20"/>
  <c r="AC252" i="20" s="1"/>
  <c r="AC237" i="20"/>
  <c r="AF233" i="20"/>
  <c r="AF237" i="20"/>
  <c r="AF239" i="20"/>
  <c r="AF252" i="20" s="1"/>
  <c r="AK374" i="20"/>
  <c r="AC62" i="14"/>
  <c r="AF113" i="6" s="1"/>
  <c r="AC59" i="14"/>
  <c r="AC126" i="14" s="1"/>
  <c r="AF376" i="20"/>
  <c r="BD376" i="20"/>
  <c r="BD357" i="20"/>
  <c r="AI376" i="20"/>
  <c r="AI357" i="20"/>
  <c r="AI362" i="20"/>
  <c r="AI360" i="20" s="1"/>
  <c r="AU376" i="20"/>
  <c r="AU357" i="20"/>
  <c r="BG376" i="20"/>
  <c r="BG357" i="20"/>
  <c r="AC287" i="20"/>
  <c r="AB22" i="20"/>
  <c r="AB358" i="20" s="1"/>
  <c r="AC358" i="20"/>
  <c r="AC362" i="20" s="1"/>
  <c r="AC360" i="20" s="1"/>
  <c r="AC356" i="20" s="1"/>
  <c r="AL357" i="20"/>
  <c r="AL376" i="20"/>
  <c r="AL362" i="20"/>
  <c r="AL360" i="20" s="1"/>
  <c r="AX376" i="20"/>
  <c r="AX357" i="20"/>
  <c r="BJ376" i="20"/>
  <c r="BJ357" i="20"/>
  <c r="AF98" i="20"/>
  <c r="AF286" i="20"/>
  <c r="AF287" i="20"/>
  <c r="AF358" i="20"/>
  <c r="AF362" i="20" s="1"/>
  <c r="AF360" i="20" s="1"/>
  <c r="AC76" i="20"/>
  <c r="AC79" i="20" s="1"/>
  <c r="AC83" i="20" s="1"/>
  <c r="AC357" i="20"/>
  <c r="AC376" i="20"/>
  <c r="AC116" i="20"/>
  <c r="AO376" i="20"/>
  <c r="BA376" i="20"/>
  <c r="BA357" i="20"/>
  <c r="AI113" i="6"/>
  <c r="M57" i="10"/>
  <c r="M41" i="10" s="1"/>
  <c r="C59" i="10"/>
  <c r="B23" i="3"/>
  <c r="C24" i="3" s="1"/>
  <c r="B72" i="10"/>
  <c r="N70" i="3"/>
  <c r="N71" i="3" s="1"/>
  <c r="N80" i="10"/>
  <c r="T70" i="3"/>
  <c r="R80" i="10"/>
  <c r="P23" i="3"/>
  <c r="P72" i="10"/>
  <c r="Q23" i="3"/>
  <c r="Q49" i="3" s="1"/>
  <c r="Q72" i="10"/>
  <c r="B70" i="3"/>
  <c r="B80" i="10"/>
  <c r="P70" i="3"/>
  <c r="P80" i="10"/>
  <c r="F70" i="3"/>
  <c r="F71" i="3" s="1"/>
  <c r="F80" i="10"/>
  <c r="Q70" i="3"/>
  <c r="Q71" i="3" s="1"/>
  <c r="Q80" i="10"/>
  <c r="AL25" i="3"/>
  <c r="AL26" i="3"/>
  <c r="Q212" i="4"/>
  <c r="O59" i="10"/>
  <c r="W59" i="10"/>
  <c r="K59" i="10"/>
  <c r="Q57" i="10"/>
  <c r="Q41" i="10" s="1"/>
  <c r="I57" i="10"/>
  <c r="I41" i="10" s="1"/>
  <c r="AC103" i="20"/>
  <c r="AC97" i="20"/>
  <c r="AC98" i="20"/>
  <c r="AL76" i="20"/>
  <c r="AL78" i="20" s="1"/>
  <c r="AX76" i="20"/>
  <c r="BJ76" i="20"/>
  <c r="AF103" i="20"/>
  <c r="AF97" i="20"/>
  <c r="BA76" i="20"/>
  <c r="AF174" i="2"/>
  <c r="AF76" i="20"/>
  <c r="AF80" i="20" s="1"/>
  <c r="BD76" i="20"/>
  <c r="AI76" i="20"/>
  <c r="AI80" i="20" s="1"/>
  <c r="AU76" i="20"/>
  <c r="BG76" i="20"/>
  <c r="AF98" i="3"/>
  <c r="AI26" i="3"/>
  <c r="AI25" i="3"/>
  <c r="Q167" i="20"/>
  <c r="Q485" i="20"/>
  <c r="K57" i="10"/>
  <c r="K41" i="10" s="1"/>
  <c r="O57" i="10"/>
  <c r="O41" i="10" s="1"/>
  <c r="E59" i="10"/>
  <c r="Q59" i="10"/>
  <c r="E122" i="2"/>
  <c r="G31" i="2"/>
  <c r="K31" i="2"/>
  <c r="O31" i="2"/>
  <c r="W31" i="2"/>
  <c r="L192" i="4"/>
  <c r="P192" i="4"/>
  <c r="P211" i="4" s="1"/>
  <c r="G85" i="3"/>
  <c r="O126" i="4"/>
  <c r="W126" i="4"/>
  <c r="F210" i="4"/>
  <c r="F263" i="4" s="1"/>
  <c r="K210" i="4"/>
  <c r="O210" i="4"/>
  <c r="G192" i="4"/>
  <c r="L210" i="4"/>
  <c r="P210" i="4"/>
  <c r="E39" i="4"/>
  <c r="T46" i="14"/>
  <c r="P5" i="18"/>
  <c r="P23" i="18"/>
  <c r="O24" i="18"/>
  <c r="M24" i="7"/>
  <c r="N23" i="7"/>
  <c r="T5" i="7"/>
  <c r="T23" i="7"/>
  <c r="Q24" i="7"/>
  <c r="AF38" i="7"/>
  <c r="AC24" i="7"/>
  <c r="M192" i="4"/>
  <c r="D56" i="5"/>
  <c r="D74" i="5" s="1"/>
  <c r="Q38" i="18"/>
  <c r="Q40" i="18" s="1"/>
  <c r="Q42" i="18" s="1"/>
  <c r="Q23" i="18"/>
  <c r="P24" i="18"/>
  <c r="P28" i="7"/>
  <c r="O23" i="7"/>
  <c r="N24" i="7"/>
  <c r="W5" i="7"/>
  <c r="W23" i="7"/>
  <c r="T24" i="7"/>
  <c r="AI38" i="7"/>
  <c r="AF24" i="7"/>
  <c r="P212" i="4"/>
  <c r="E56" i="5"/>
  <c r="E74" i="5" s="1"/>
  <c r="O484" i="20"/>
  <c r="P489" i="20"/>
  <c r="T5" i="18"/>
  <c r="Q24" i="18"/>
  <c r="AC24" i="18"/>
  <c r="AF23" i="18"/>
  <c r="P7" i="7"/>
  <c r="P23" i="7"/>
  <c r="O24" i="7"/>
  <c r="W192" i="4"/>
  <c r="W38" i="18"/>
  <c r="W40" i="18" s="1"/>
  <c r="W42" i="18" s="1"/>
  <c r="T24" i="18"/>
  <c r="AI23" i="18"/>
  <c r="AF24" i="18"/>
  <c r="N28" i="7"/>
  <c r="M23" i="7"/>
  <c r="L24" i="7"/>
  <c r="Q38" i="7"/>
  <c r="T44" i="7" s="1"/>
  <c r="S44" i="7" s="1"/>
  <c r="Q23" i="7"/>
  <c r="P24" i="7"/>
  <c r="AC38" i="7"/>
  <c r="Z24" i="7"/>
  <c r="I84" i="3"/>
  <c r="B31" i="2"/>
  <c r="F31" i="2"/>
  <c r="Q165" i="20"/>
  <c r="K74" i="5"/>
  <c r="AC212" i="4"/>
  <c r="M85" i="3"/>
  <c r="B74" i="5"/>
  <c r="H579" i="20"/>
  <c r="Z579" i="20"/>
  <c r="M31" i="2"/>
  <c r="S57" i="10"/>
  <c r="S41" i="10" s="1"/>
  <c r="I59" i="10"/>
  <c r="U59" i="10"/>
  <c r="H118" i="2"/>
  <c r="Z118" i="2"/>
  <c r="I22" i="4"/>
  <c r="M22" i="4"/>
  <c r="Z19" i="5"/>
  <c r="E91" i="5"/>
  <c r="M91" i="5"/>
  <c r="Q91" i="5"/>
  <c r="O485" i="20"/>
  <c r="I139" i="4"/>
  <c r="C158" i="2"/>
  <c r="N57" i="10"/>
  <c r="N41" i="10" s="1"/>
  <c r="J91" i="5"/>
  <c r="AF91" i="5"/>
  <c r="Y20" i="14"/>
  <c r="Y40" i="14" s="1"/>
  <c r="Q486" i="20"/>
  <c r="Q166" i="20"/>
  <c r="AI85" i="3"/>
  <c r="AI98" i="3"/>
  <c r="H71" i="3"/>
  <c r="AF99" i="3"/>
  <c r="AI84" i="3"/>
  <c r="F99" i="3"/>
  <c r="AC84" i="3"/>
  <c r="AC99" i="3"/>
  <c r="V22" i="14"/>
  <c r="V256" i="14" s="1"/>
  <c r="G142" i="14"/>
  <c r="AC69" i="14"/>
  <c r="T161" i="14"/>
  <c r="AE99" i="6"/>
  <c r="I142" i="14"/>
  <c r="W259" i="14"/>
  <c r="J142" i="14"/>
  <c r="AC227" i="14"/>
  <c r="AC240" i="14" s="1"/>
  <c r="Q259" i="14"/>
  <c r="Q36" i="14" s="1"/>
  <c r="B133" i="14"/>
  <c r="N133" i="14"/>
  <c r="F142" i="14"/>
  <c r="I149" i="14"/>
  <c r="AC149" i="14"/>
  <c r="AL252" i="14"/>
  <c r="J149" i="14"/>
  <c r="N149" i="14"/>
  <c r="B438" i="20"/>
  <c r="B483" i="20" s="1"/>
  <c r="F438" i="20"/>
  <c r="F483" i="20" s="1"/>
  <c r="J438" i="20"/>
  <c r="J483" i="20" s="1"/>
  <c r="N438" i="20"/>
  <c r="N483" i="20" s="1"/>
  <c r="T438" i="20"/>
  <c r="E133" i="14"/>
  <c r="Q133" i="14"/>
  <c r="AR133" i="14"/>
  <c r="E438" i="20"/>
  <c r="E483" i="20" s="1"/>
  <c r="I438" i="20"/>
  <c r="I483" i="20" s="1"/>
  <c r="M438" i="20"/>
  <c r="M483" i="20" s="1"/>
  <c r="Q438" i="20"/>
  <c r="AI47" i="7"/>
  <c r="AC47" i="7"/>
  <c r="AF47" i="7"/>
  <c r="N74" i="7"/>
  <c r="H74" i="7"/>
  <c r="AC74" i="7"/>
  <c r="F59" i="10"/>
  <c r="J208" i="4"/>
  <c r="AF126" i="4"/>
  <c r="W164" i="6"/>
  <c r="R59" i="10"/>
  <c r="J57" i="10"/>
  <c r="J41" i="10" s="1"/>
  <c r="H22" i="4"/>
  <c r="H41" i="4" s="1"/>
  <c r="H3" i="4" s="1"/>
  <c r="H3" i="5" s="1"/>
  <c r="B58" i="4"/>
  <c r="B60" i="4" s="1"/>
  <c r="B7" i="10" s="1"/>
  <c r="B52" i="10" s="1"/>
  <c r="B126" i="4"/>
  <c r="J126" i="4"/>
  <c r="L31" i="2"/>
  <c r="E49" i="10"/>
  <c r="I49" i="10"/>
  <c r="Q49" i="10"/>
  <c r="C23" i="2"/>
  <c r="C5" i="5" s="1"/>
  <c r="C29" i="5" s="1"/>
  <c r="L158" i="2"/>
  <c r="B100" i="2"/>
  <c r="B24" i="2" s="1"/>
  <c r="N100" i="2"/>
  <c r="N24" i="2" s="1"/>
  <c r="N165" i="2" s="1"/>
  <c r="AC156" i="2"/>
  <c r="L59" i="10"/>
  <c r="J22" i="4"/>
  <c r="N22" i="4"/>
  <c r="N41" i="4" s="1"/>
  <c r="N3" i="4" s="1"/>
  <c r="N3" i="2" s="1"/>
  <c r="D87" i="4"/>
  <c r="AF212" i="4"/>
  <c r="H74" i="5"/>
  <c r="L74" i="5"/>
  <c r="F74" i="5"/>
  <c r="AF18" i="14"/>
  <c r="AC142" i="14"/>
  <c r="N579" i="20"/>
  <c r="H57" i="10"/>
  <c r="H41" i="10" s="1"/>
  <c r="P57" i="10"/>
  <c r="P41" i="10" s="1"/>
  <c r="AC23" i="3"/>
  <c r="C84" i="3"/>
  <c r="O84" i="3"/>
  <c r="F25" i="2"/>
  <c r="F15" i="10" s="1"/>
  <c r="F34" i="10" s="1"/>
  <c r="P100" i="2"/>
  <c r="P24" i="2" s="1"/>
  <c r="G22" i="4"/>
  <c r="K22" i="4"/>
  <c r="W22" i="4"/>
  <c r="B101" i="4"/>
  <c r="P126" i="4"/>
  <c r="Z126" i="4"/>
  <c r="H210" i="4"/>
  <c r="Q210" i="4"/>
  <c r="AC210" i="4"/>
  <c r="K208" i="4"/>
  <c r="O208" i="4"/>
  <c r="T212" i="4"/>
  <c r="G91" i="5"/>
  <c r="K91" i="5"/>
  <c r="W91" i="5"/>
  <c r="C56" i="5"/>
  <c r="C74" i="5" s="1"/>
  <c r="G74" i="5"/>
  <c r="AC57" i="14"/>
  <c r="K133" i="14"/>
  <c r="BJ133" i="14"/>
  <c r="C149" i="14"/>
  <c r="O149" i="14"/>
  <c r="P201" i="14"/>
  <c r="W457" i="20"/>
  <c r="W470" i="20" s="1"/>
  <c r="C438" i="20"/>
  <c r="C483" i="20" s="1"/>
  <c r="G438" i="20"/>
  <c r="G483" i="20" s="1"/>
  <c r="K438" i="20"/>
  <c r="K483" i="20" s="1"/>
  <c r="O438" i="20"/>
  <c r="W438" i="20"/>
  <c r="Z438" i="20" s="1"/>
  <c r="T485" i="20"/>
  <c r="AI74" i="7"/>
  <c r="L57" i="10"/>
  <c r="L41" i="10" s="1"/>
  <c r="K49" i="10"/>
  <c r="O49" i="10"/>
  <c r="I24" i="3"/>
  <c r="E31" i="2"/>
  <c r="B118" i="2"/>
  <c r="N118" i="2"/>
  <c r="C156" i="2"/>
  <c r="B102" i="4"/>
  <c r="Q126" i="4"/>
  <c r="AC126" i="4"/>
  <c r="D126" i="4"/>
  <c r="J210" i="4"/>
  <c r="T210" i="4"/>
  <c r="AF210" i="4"/>
  <c r="J192" i="4"/>
  <c r="T192" i="4"/>
  <c r="AF19" i="5"/>
  <c r="D91" i="5"/>
  <c r="P91" i="5"/>
  <c r="Z91" i="5"/>
  <c r="N74" i="5"/>
  <c r="H133" i="14"/>
  <c r="Z133" i="14"/>
  <c r="BA133" i="14"/>
  <c r="L142" i="14"/>
  <c r="D149" i="14"/>
  <c r="H149" i="14"/>
  <c r="P149" i="14"/>
  <c r="Z227" i="14"/>
  <c r="D438" i="20"/>
  <c r="D483" i="20" s="1"/>
  <c r="H438" i="20"/>
  <c r="H483" i="20" s="1"/>
  <c r="L438" i="20"/>
  <c r="L483" i="20" s="1"/>
  <c r="P438" i="20"/>
  <c r="P486" i="20"/>
  <c r="AH31" i="7"/>
  <c r="F22" i="4"/>
  <c r="F41" i="4" s="1"/>
  <c r="L22" i="4"/>
  <c r="L41" i="4" s="1"/>
  <c r="G87" i="4"/>
  <c r="M87" i="4"/>
  <c r="H168" i="6"/>
  <c r="B99" i="3"/>
  <c r="H99" i="3"/>
  <c r="N99" i="3"/>
  <c r="F98" i="3"/>
  <c r="AL22" i="2"/>
  <c r="H112" i="2"/>
  <c r="L51" i="4"/>
  <c r="T126" i="4"/>
  <c r="C126" i="4"/>
  <c r="I126" i="4"/>
  <c r="AI80" i="6"/>
  <c r="C71" i="3"/>
  <c r="Z18" i="14"/>
  <c r="AR18" i="14"/>
  <c r="BJ18" i="14"/>
  <c r="W74" i="7"/>
  <c r="N192" i="4"/>
  <c r="C87" i="14"/>
  <c r="O24" i="3"/>
  <c r="N84" i="3"/>
  <c r="Q31" i="2"/>
  <c r="D112" i="2"/>
  <c r="J112" i="2"/>
  <c r="P112" i="2"/>
  <c r="C58" i="4"/>
  <c r="C60" i="4" s="1"/>
  <c r="C7" i="10" s="1"/>
  <c r="C10" i="10" s="1"/>
  <c r="F126" i="4"/>
  <c r="L126" i="4"/>
  <c r="T91" i="5"/>
  <c r="AC49" i="14"/>
  <c r="AC96" i="14" s="1"/>
  <c r="W227" i="14"/>
  <c r="W240" i="14" s="1"/>
  <c r="C516" i="20"/>
  <c r="I516" i="20"/>
  <c r="O516" i="20"/>
  <c r="C552" i="20"/>
  <c r="I552" i="20"/>
  <c r="F237" i="4"/>
  <c r="F57" i="10"/>
  <c r="F41" i="10" s="1"/>
  <c r="AC87" i="4"/>
  <c r="T1" i="3"/>
  <c r="Q51" i="3"/>
  <c r="Q29" i="3"/>
  <c r="W49" i="10"/>
  <c r="I71" i="3"/>
  <c r="D84" i="3"/>
  <c r="J84" i="3"/>
  <c r="P84" i="3"/>
  <c r="AF84" i="3"/>
  <c r="C85" i="3"/>
  <c r="C99" i="3"/>
  <c r="I99" i="3"/>
  <c r="O99" i="3"/>
  <c r="F158" i="2"/>
  <c r="T100" i="2"/>
  <c r="T24" i="2" s="1"/>
  <c r="M156" i="2"/>
  <c r="W156" i="2"/>
  <c r="Z30" i="4"/>
  <c r="Z78" i="4"/>
  <c r="AF87" i="4"/>
  <c r="G54" i="5"/>
  <c r="AI89" i="5"/>
  <c r="F87" i="14"/>
  <c r="D133" i="14"/>
  <c r="J133" i="14"/>
  <c r="P133" i="14"/>
  <c r="AF133" i="14"/>
  <c r="AC233" i="14"/>
  <c r="AC241" i="14" s="1"/>
  <c r="F516" i="20"/>
  <c r="L516" i="20"/>
  <c r="T516" i="20"/>
  <c r="D546" i="20"/>
  <c r="J546" i="20"/>
  <c r="P546" i="20"/>
  <c r="F567" i="20"/>
  <c r="L567" i="20"/>
  <c r="T567" i="20"/>
  <c r="D1" i="3"/>
  <c r="C51" i="3"/>
  <c r="C29" i="3"/>
  <c r="F24" i="3"/>
  <c r="E85" i="3"/>
  <c r="K85" i="3"/>
  <c r="F85" i="3"/>
  <c r="AF109" i="2"/>
  <c r="AF31" i="2" s="1"/>
  <c r="C118" i="2"/>
  <c r="C123" i="2" s="1"/>
  <c r="I118" i="2"/>
  <c r="I123" i="2" s="1"/>
  <c r="O118" i="2"/>
  <c r="AC118" i="2"/>
  <c r="M58" i="4"/>
  <c r="M60" i="4" s="1"/>
  <c r="M84" i="5" s="1"/>
  <c r="O79" i="4"/>
  <c r="O224" i="4" s="1"/>
  <c r="E166" i="4"/>
  <c r="K166" i="4"/>
  <c r="H192" i="4"/>
  <c r="Q208" i="4"/>
  <c r="Q219" i="4"/>
  <c r="Q220" i="4" s="1"/>
  <c r="M54" i="5"/>
  <c r="W54" i="5"/>
  <c r="O74" i="5"/>
  <c r="J74" i="5"/>
  <c r="BG26" i="6"/>
  <c r="T53" i="6"/>
  <c r="T55" i="6" s="1"/>
  <c r="W195" i="6"/>
  <c r="W215" i="6"/>
  <c r="B87" i="14"/>
  <c r="I87" i="14"/>
  <c r="E149" i="14"/>
  <c r="K149" i="14"/>
  <c r="Q149" i="14"/>
  <c r="P227" i="14"/>
  <c r="P240" i="14" s="1"/>
  <c r="Z233" i="14"/>
  <c r="AI252" i="14"/>
  <c r="G24" i="3"/>
  <c r="W49" i="3"/>
  <c r="J71" i="3"/>
  <c r="F84" i="3"/>
  <c r="L84" i="3"/>
  <c r="T84" i="3"/>
  <c r="I85" i="3"/>
  <c r="E99" i="3"/>
  <c r="K99" i="3"/>
  <c r="Q99" i="3"/>
  <c r="AF100" i="2"/>
  <c r="AF24" i="2" s="1"/>
  <c r="O22" i="4"/>
  <c r="AF58" i="4"/>
  <c r="AF60" i="4" s="1"/>
  <c r="J87" i="4"/>
  <c r="T87" i="4"/>
  <c r="AI126" i="4"/>
  <c r="AI170" i="4"/>
  <c r="AI175" i="4" s="1"/>
  <c r="T208" i="4"/>
  <c r="L87" i="14"/>
  <c r="Q169" i="20"/>
  <c r="L522" i="20"/>
  <c r="W573" i="20"/>
  <c r="C579" i="20"/>
  <c r="I579" i="20"/>
  <c r="O579" i="20"/>
  <c r="L24" i="3"/>
  <c r="D71" i="3"/>
  <c r="K71" i="3"/>
  <c r="G84" i="3"/>
  <c r="M84" i="3"/>
  <c r="W84" i="3"/>
  <c r="L85" i="3"/>
  <c r="L99" i="3"/>
  <c r="T99" i="3"/>
  <c r="O100" i="2"/>
  <c r="O24" i="2" s="1"/>
  <c r="O165" i="2" s="1"/>
  <c r="W1" i="4"/>
  <c r="AC1" i="4" s="1"/>
  <c r="AF1" i="4" s="1"/>
  <c r="AI1" i="4" s="1"/>
  <c r="AL1" i="4" s="1"/>
  <c r="N210" i="4"/>
  <c r="Z210" i="4"/>
  <c r="O241" i="4"/>
  <c r="O87" i="14"/>
  <c r="AC95" i="14"/>
  <c r="AC98" i="14" s="1"/>
  <c r="AC99" i="14" s="1"/>
  <c r="G149" i="14"/>
  <c r="M149" i="14"/>
  <c r="W149" i="14"/>
  <c r="AO252" i="14"/>
  <c r="C528" i="20"/>
  <c r="I528" i="20"/>
  <c r="O528" i="20"/>
  <c r="G561" i="20"/>
  <c r="M561" i="20"/>
  <c r="W561" i="20"/>
  <c r="M1" i="3"/>
  <c r="L29" i="3"/>
  <c r="L51" i="3"/>
  <c r="M24" i="3"/>
  <c r="E71" i="3"/>
  <c r="L71" i="3"/>
  <c r="O85" i="3"/>
  <c r="AC148" i="2"/>
  <c r="I156" i="2"/>
  <c r="D58" i="4"/>
  <c r="D60" i="4" s="1"/>
  <c r="D7" i="10" s="1"/>
  <c r="D10" i="10" s="1"/>
  <c r="D44" i="10" s="1"/>
  <c r="K39" i="4"/>
  <c r="I51" i="4"/>
  <c r="I187" i="4"/>
  <c r="G208" i="4"/>
  <c r="N208" i="4"/>
  <c r="Z257" i="4"/>
  <c r="Z259" i="4" s="1"/>
  <c r="Z260" i="4" s="1"/>
  <c r="D54" i="5"/>
  <c r="J54" i="5"/>
  <c r="AF87" i="14"/>
  <c r="T87" i="14"/>
  <c r="AU133" i="14"/>
  <c r="B149" i="14"/>
  <c r="Z149" i="14"/>
  <c r="W252" i="14"/>
  <c r="D552" i="20"/>
  <c r="T22" i="4"/>
  <c r="E126" i="4"/>
  <c r="K126" i="4"/>
  <c r="H208" i="4"/>
  <c r="AC257" i="4"/>
  <c r="E54" i="5"/>
  <c r="K54" i="5"/>
  <c r="Q215" i="6"/>
  <c r="Q227" i="6" s="1"/>
  <c r="AX133" i="14"/>
  <c r="C133" i="14"/>
  <c r="I133" i="14"/>
  <c r="O133" i="14"/>
  <c r="AC133" i="14"/>
  <c r="P171" i="14"/>
  <c r="Q516" i="20"/>
  <c r="H534" i="20"/>
  <c r="N534" i="20"/>
  <c r="Z534" i="20"/>
  <c r="G540" i="20"/>
  <c r="M540" i="20"/>
  <c r="W540" i="20"/>
  <c r="W88" i="7"/>
  <c r="W90" i="7" s="1"/>
  <c r="I74" i="7"/>
  <c r="O74" i="7"/>
  <c r="E13" i="10"/>
  <c r="E28" i="10" s="1"/>
  <c r="AI5" i="18"/>
  <c r="T38" i="18"/>
  <c r="W44" i="18" s="1"/>
  <c r="AC384" i="20"/>
  <c r="AC502" i="20" s="1"/>
  <c r="AD499" i="20" s="1"/>
  <c r="W475" i="20"/>
  <c r="Z510" i="20"/>
  <c r="H561" i="20"/>
  <c r="N561" i="20"/>
  <c r="Z561" i="20"/>
  <c r="C573" i="20"/>
  <c r="I573" i="20"/>
  <c r="O573" i="20"/>
  <c r="Z475" i="20"/>
  <c r="O486" i="20"/>
  <c r="AF141" i="20"/>
  <c r="AI141" i="20" s="1"/>
  <c r="C526" i="20"/>
  <c r="G546" i="20"/>
  <c r="M546" i="20"/>
  <c r="W546" i="20"/>
  <c r="C567" i="20"/>
  <c r="I567" i="20"/>
  <c r="O567" i="20"/>
  <c r="D579" i="20"/>
  <c r="J579" i="20"/>
  <c r="P579" i="20"/>
  <c r="P484" i="20"/>
  <c r="G534" i="20"/>
  <c r="M534" i="20"/>
  <c r="W534" i="20"/>
  <c r="D567" i="20"/>
  <c r="J567" i="20"/>
  <c r="P567" i="20"/>
  <c r="J565" i="20"/>
  <c r="BA155" i="20"/>
  <c r="BD155" i="20" s="1"/>
  <c r="BG155" i="20" s="1"/>
  <c r="BJ155" i="20" s="1"/>
  <c r="O487" i="20"/>
  <c r="Z488" i="20"/>
  <c r="W579" i="20"/>
  <c r="Z489" i="20"/>
  <c r="K522" i="20"/>
  <c r="T573" i="20"/>
  <c r="H528" i="20"/>
  <c r="N528" i="20"/>
  <c r="Z528" i="20"/>
  <c r="AC566" i="20"/>
  <c r="AD563" i="20" s="1"/>
  <c r="AF563" i="20"/>
  <c r="H544" i="20"/>
  <c r="AF569" i="20"/>
  <c r="Z487" i="20"/>
  <c r="W488" i="20"/>
  <c r="T489" i="20"/>
  <c r="H479" i="20"/>
  <c r="N479" i="20"/>
  <c r="E516" i="20"/>
  <c r="K516" i="20"/>
  <c r="C522" i="20"/>
  <c r="I522" i="20"/>
  <c r="O522" i="20"/>
  <c r="E528" i="20"/>
  <c r="K528" i="20"/>
  <c r="D573" i="20"/>
  <c r="J573" i="20"/>
  <c r="T579" i="20"/>
  <c r="N544" i="20"/>
  <c r="AC460" i="20"/>
  <c r="AC509" i="20"/>
  <c r="AD506" i="20" s="1"/>
  <c r="AF506" i="20"/>
  <c r="W489" i="20"/>
  <c r="D522" i="20"/>
  <c r="J522" i="20"/>
  <c r="P522" i="20"/>
  <c r="F528" i="20"/>
  <c r="L528" i="20"/>
  <c r="T528" i="20"/>
  <c r="F526" i="20"/>
  <c r="L526" i="20"/>
  <c r="T526" i="20"/>
  <c r="H540" i="20"/>
  <c r="N540" i="20"/>
  <c r="P561" i="20"/>
  <c r="E573" i="20"/>
  <c r="K573" i="20"/>
  <c r="Q573" i="20"/>
  <c r="AF419" i="20"/>
  <c r="AF427" i="20" s="1"/>
  <c r="AF457" i="20"/>
  <c r="W487" i="20"/>
  <c r="T488" i="20"/>
  <c r="Z544" i="20"/>
  <c r="D394" i="20"/>
  <c r="D402" i="20" s="1"/>
  <c r="P394" i="20"/>
  <c r="P402" i="20" s="1"/>
  <c r="AC515" i="20"/>
  <c r="AD512" i="20" s="1"/>
  <c r="AF512" i="20"/>
  <c r="E510" i="20"/>
  <c r="K510" i="20"/>
  <c r="Q510" i="20"/>
  <c r="G528" i="20"/>
  <c r="M528" i="20"/>
  <c r="W528" i="20"/>
  <c r="C540" i="20"/>
  <c r="I540" i="20"/>
  <c r="O540" i="20"/>
  <c r="E546" i="20"/>
  <c r="K546" i="20"/>
  <c r="Q546" i="20"/>
  <c r="E561" i="20"/>
  <c r="K561" i="20"/>
  <c r="G567" i="20"/>
  <c r="M567" i="20"/>
  <c r="G565" i="20"/>
  <c r="M565" i="20"/>
  <c r="AC463" i="20"/>
  <c r="AF524" i="20"/>
  <c r="AC527" i="20"/>
  <c r="AD524" i="20" s="1"/>
  <c r="AC462" i="20"/>
  <c r="AC521" i="20"/>
  <c r="AD518" i="20" s="1"/>
  <c r="AF518" i="20"/>
  <c r="D540" i="20"/>
  <c r="J540" i="20"/>
  <c r="P540" i="20"/>
  <c r="H552" i="20"/>
  <c r="N552" i="20"/>
  <c r="Z552" i="20"/>
  <c r="H567" i="20"/>
  <c r="N567" i="20"/>
  <c r="Z567" i="20"/>
  <c r="Q540" i="20"/>
  <c r="F552" i="20"/>
  <c r="L552" i="20"/>
  <c r="T552" i="20"/>
  <c r="F544" i="20"/>
  <c r="L544" i="20"/>
  <c r="T544" i="20"/>
  <c r="I526" i="20"/>
  <c r="O526" i="20"/>
  <c r="D534" i="20"/>
  <c r="P534" i="20"/>
  <c r="E567" i="20"/>
  <c r="K567" i="20"/>
  <c r="Q567" i="20"/>
  <c r="D516" i="20"/>
  <c r="J516" i="20"/>
  <c r="P516" i="20"/>
  <c r="G559" i="20"/>
  <c r="M559" i="20"/>
  <c r="W559" i="20"/>
  <c r="E579" i="20"/>
  <c r="K579" i="20"/>
  <c r="Q579" i="20"/>
  <c r="Z540" i="20"/>
  <c r="O552" i="20"/>
  <c r="C561" i="20"/>
  <c r="I561" i="20"/>
  <c r="O561" i="20"/>
  <c r="W365" i="20"/>
  <c r="Z365" i="20" s="1"/>
  <c r="AC365" i="20" s="1"/>
  <c r="W565" i="20"/>
  <c r="F550" i="20"/>
  <c r="L550" i="20"/>
  <c r="T550" i="20"/>
  <c r="Z142" i="20"/>
  <c r="AC142" i="20" s="1"/>
  <c r="AF142" i="20" s="1"/>
  <c r="AI142" i="20" s="1"/>
  <c r="Q488" i="20"/>
  <c r="H522" i="20"/>
  <c r="N522" i="20"/>
  <c r="Z522" i="20"/>
  <c r="G520" i="20"/>
  <c r="M520" i="20"/>
  <c r="W520" i="20"/>
  <c r="F520" i="20"/>
  <c r="L520" i="20"/>
  <c r="G552" i="20"/>
  <c r="M552" i="20"/>
  <c r="W552" i="20"/>
  <c r="C565" i="20"/>
  <c r="I565" i="20"/>
  <c r="O565" i="20"/>
  <c r="T457" i="20"/>
  <c r="T470" i="20" s="1"/>
  <c r="Q489" i="20"/>
  <c r="C510" i="20"/>
  <c r="I510" i="20"/>
  <c r="O510" i="20"/>
  <c r="H520" i="20"/>
  <c r="N520" i="20"/>
  <c r="Z520" i="20"/>
  <c r="F534" i="20"/>
  <c r="L534" i="20"/>
  <c r="T534" i="20"/>
  <c r="P577" i="20"/>
  <c r="F394" i="20"/>
  <c r="F402" i="20" s="1"/>
  <c r="L394" i="20"/>
  <c r="L402" i="20" s="1"/>
  <c r="T394" i="20"/>
  <c r="T402" i="20" s="1"/>
  <c r="C550" i="20"/>
  <c r="I550" i="20"/>
  <c r="O550" i="20"/>
  <c r="C544" i="20"/>
  <c r="I544" i="20"/>
  <c r="O544" i="20"/>
  <c r="AC490" i="20"/>
  <c r="W484" i="20"/>
  <c r="AC465" i="20"/>
  <c r="G532" i="20"/>
  <c r="M532" i="20"/>
  <c r="W532" i="20"/>
  <c r="C538" i="20"/>
  <c r="I538" i="20"/>
  <c r="O538" i="20"/>
  <c r="P552" i="20"/>
  <c r="D561" i="20"/>
  <c r="W567" i="20"/>
  <c r="W419" i="20"/>
  <c r="W427" i="20" s="1"/>
  <c r="W485" i="20"/>
  <c r="Q168" i="20"/>
  <c r="Q170" i="20"/>
  <c r="Z514" i="20"/>
  <c r="H526" i="20"/>
  <c r="N526" i="20"/>
  <c r="Z526" i="20"/>
  <c r="H532" i="20"/>
  <c r="N532" i="20"/>
  <c r="Z532" i="20"/>
  <c r="D559" i="20"/>
  <c r="J559" i="20"/>
  <c r="P559" i="20"/>
  <c r="J526" i="20"/>
  <c r="D577" i="20"/>
  <c r="T486" i="20"/>
  <c r="O479" i="20"/>
  <c r="AC461" i="20"/>
  <c r="C479" i="20"/>
  <c r="I479" i="20"/>
  <c r="Z472" i="20"/>
  <c r="K499" i="20"/>
  <c r="K503" i="20" s="1"/>
  <c r="C508" i="20"/>
  <c r="O508" i="20"/>
  <c r="F514" i="20"/>
  <c r="L514" i="20"/>
  <c r="T514" i="20"/>
  <c r="C520" i="20"/>
  <c r="I520" i="20"/>
  <c r="O520" i="20"/>
  <c r="K526" i="20"/>
  <c r="Q526" i="20"/>
  <c r="D538" i="20"/>
  <c r="J538" i="20"/>
  <c r="G550" i="20"/>
  <c r="M550" i="20"/>
  <c r="W550" i="20"/>
  <c r="J544" i="20"/>
  <c r="P544" i="20"/>
  <c r="H559" i="20"/>
  <c r="N559" i="20"/>
  <c r="Z559" i="20"/>
  <c r="K565" i="20"/>
  <c r="E571" i="20"/>
  <c r="K571" i="20"/>
  <c r="Q571" i="20"/>
  <c r="H571" i="20"/>
  <c r="E577" i="20"/>
  <c r="K577" i="20"/>
  <c r="Q577" i="20"/>
  <c r="K514" i="20"/>
  <c r="D571" i="20"/>
  <c r="BA153" i="20"/>
  <c r="BD153" i="20" s="1"/>
  <c r="BG153" i="20" s="1"/>
  <c r="BJ153" i="20" s="1"/>
  <c r="E394" i="20"/>
  <c r="E402" i="20" s="1"/>
  <c r="Q457" i="20"/>
  <c r="Q470" i="20" s="1"/>
  <c r="Z485" i="20"/>
  <c r="D479" i="20"/>
  <c r="J479" i="20"/>
  <c r="L499" i="20"/>
  <c r="D510" i="20"/>
  <c r="J510" i="20"/>
  <c r="P510" i="20"/>
  <c r="D508" i="20"/>
  <c r="P508" i="20"/>
  <c r="D520" i="20"/>
  <c r="J520" i="20"/>
  <c r="P520" i="20"/>
  <c r="E526" i="20"/>
  <c r="E534" i="20"/>
  <c r="K534" i="20"/>
  <c r="Q534" i="20"/>
  <c r="D532" i="20"/>
  <c r="J532" i="20"/>
  <c r="H550" i="20"/>
  <c r="N550" i="20"/>
  <c r="Z550" i="20"/>
  <c r="F546" i="20"/>
  <c r="L546" i="20"/>
  <c r="T546" i="20"/>
  <c r="K544" i="20"/>
  <c r="J561" i="20"/>
  <c r="C559" i="20"/>
  <c r="I559" i="20"/>
  <c r="O559" i="20"/>
  <c r="F565" i="20"/>
  <c r="L565" i="20"/>
  <c r="T565" i="20"/>
  <c r="L577" i="20"/>
  <c r="E514" i="20"/>
  <c r="J571" i="20"/>
  <c r="J577" i="20"/>
  <c r="K394" i="20"/>
  <c r="K402" i="20" s="1"/>
  <c r="T487" i="20"/>
  <c r="E479" i="20"/>
  <c r="K479" i="20"/>
  <c r="K508" i="20"/>
  <c r="Q508" i="20"/>
  <c r="F522" i="20"/>
  <c r="T522" i="20"/>
  <c r="E532" i="20"/>
  <c r="K532" i="20"/>
  <c r="Q532" i="20"/>
  <c r="G579" i="20"/>
  <c r="M579" i="20"/>
  <c r="G577" i="20"/>
  <c r="M577" i="20"/>
  <c r="P502" i="20"/>
  <c r="P503" i="20" s="1"/>
  <c r="Q514" i="20"/>
  <c r="Q171" i="20"/>
  <c r="Q394" i="20"/>
  <c r="Q402" i="20" s="1"/>
  <c r="T419" i="20"/>
  <c r="T427" i="20" s="1"/>
  <c r="F479" i="20"/>
  <c r="F480" i="20" s="1"/>
  <c r="L479" i="20"/>
  <c r="L480" i="20" s="1"/>
  <c r="F510" i="20"/>
  <c r="L510" i="20"/>
  <c r="T510" i="20"/>
  <c r="F508" i="20"/>
  <c r="L508" i="20"/>
  <c r="T508" i="20"/>
  <c r="C514" i="20"/>
  <c r="I514" i="20"/>
  <c r="O514" i="20"/>
  <c r="G522" i="20"/>
  <c r="M522" i="20"/>
  <c r="W522" i="20"/>
  <c r="T520" i="20"/>
  <c r="G526" i="20"/>
  <c r="M526" i="20"/>
  <c r="W526" i="20"/>
  <c r="F532" i="20"/>
  <c r="L532" i="20"/>
  <c r="T532" i="20"/>
  <c r="G538" i="20"/>
  <c r="M538" i="20"/>
  <c r="W538" i="20"/>
  <c r="H546" i="20"/>
  <c r="N546" i="20"/>
  <c r="Z546" i="20"/>
  <c r="G544" i="20"/>
  <c r="M544" i="20"/>
  <c r="W544" i="20"/>
  <c r="F561" i="20"/>
  <c r="L561" i="20"/>
  <c r="T561" i="20"/>
  <c r="E559" i="20"/>
  <c r="H565" i="20"/>
  <c r="N565" i="20"/>
  <c r="Z565" i="20"/>
  <c r="H577" i="20"/>
  <c r="N577" i="20"/>
  <c r="Z577" i="20"/>
  <c r="J503" i="20"/>
  <c r="AC464" i="20"/>
  <c r="O502" i="20"/>
  <c r="G510" i="20"/>
  <c r="M510" i="20"/>
  <c r="W510" i="20"/>
  <c r="G508" i="20"/>
  <c r="M508" i="20"/>
  <c r="W508" i="20"/>
  <c r="D514" i="20"/>
  <c r="J514" i="20"/>
  <c r="P514" i="20"/>
  <c r="J534" i="20"/>
  <c r="C546" i="20"/>
  <c r="I546" i="20"/>
  <c r="O546" i="20"/>
  <c r="F559" i="20"/>
  <c r="L559" i="20"/>
  <c r="T559" i="20"/>
  <c r="C571" i="20"/>
  <c r="I571" i="20"/>
  <c r="O571" i="20"/>
  <c r="C577" i="20"/>
  <c r="I577" i="20"/>
  <c r="O577" i="20"/>
  <c r="T232" i="20"/>
  <c r="T330" i="20"/>
  <c r="P532" i="20"/>
  <c r="N538" i="20"/>
  <c r="T144" i="20"/>
  <c r="Z146" i="20"/>
  <c r="AC146" i="20" s="1"/>
  <c r="AF146" i="20" s="1"/>
  <c r="I508" i="20"/>
  <c r="AF140" i="20"/>
  <c r="AI140" i="20" s="1"/>
  <c r="Z538" i="20"/>
  <c r="H453" i="20"/>
  <c r="N453" i="20"/>
  <c r="Z453" i="20"/>
  <c r="P538" i="20"/>
  <c r="H538" i="20"/>
  <c r="C453" i="20"/>
  <c r="E508" i="20"/>
  <c r="Q538" i="20"/>
  <c r="G571" i="20"/>
  <c r="M571" i="20"/>
  <c r="W571" i="20"/>
  <c r="I453" i="20"/>
  <c r="B453" i="20"/>
  <c r="E520" i="20"/>
  <c r="K520" i="20"/>
  <c r="Q520" i="20"/>
  <c r="I532" i="20"/>
  <c r="N571" i="20"/>
  <c r="T218" i="6"/>
  <c r="T222" i="6" s="1"/>
  <c r="I168" i="6"/>
  <c r="W175" i="6"/>
  <c r="W159" i="6" s="1"/>
  <c r="W160" i="6" s="1"/>
  <c r="AL18" i="14"/>
  <c r="W17" i="20"/>
  <c r="W218" i="6"/>
  <c r="L15" i="6"/>
  <c r="T60" i="6"/>
  <c r="AC96" i="6"/>
  <c r="AI7" i="6"/>
  <c r="W223" i="6"/>
  <c r="W228" i="6" s="1"/>
  <c r="Q160" i="6"/>
  <c r="T285" i="20"/>
  <c r="Q9" i="6"/>
  <c r="AO26" i="6"/>
  <c r="Q53" i="6"/>
  <c r="Q55" i="6" s="1"/>
  <c r="Q45" i="14"/>
  <c r="AU18" i="14"/>
  <c r="AF80" i="6"/>
  <c r="AF81" i="6" s="1"/>
  <c r="T9" i="14"/>
  <c r="AF23" i="14"/>
  <c r="W53" i="6"/>
  <c r="W55" i="6" s="1"/>
  <c r="AF252" i="14"/>
  <c r="AX208" i="14"/>
  <c r="AF9" i="6"/>
  <c r="Q5" i="18"/>
  <c r="AI12" i="6"/>
  <c r="AC14" i="6"/>
  <c r="C15" i="6"/>
  <c r="I15" i="6"/>
  <c r="O15" i="6"/>
  <c r="D15" i="6"/>
  <c r="J15" i="6"/>
  <c r="T15" i="6"/>
  <c r="T28" i="18"/>
  <c r="Z12" i="6"/>
  <c r="E15" i="6"/>
  <c r="K15" i="6"/>
  <c r="C57" i="6"/>
  <c r="F15" i="6"/>
  <c r="Z5" i="7"/>
  <c r="H49" i="10"/>
  <c r="N49" i="10"/>
  <c r="C237" i="4"/>
  <c r="C51" i="4"/>
  <c r="C57" i="10"/>
  <c r="C41" i="10" s="1"/>
  <c r="W87" i="4"/>
  <c r="AO114" i="2"/>
  <c r="T151" i="6"/>
  <c r="F152" i="4"/>
  <c r="F153" i="4" s="1"/>
  <c r="H87" i="4"/>
  <c r="N87" i="4"/>
  <c r="G126" i="4"/>
  <c r="M126" i="4"/>
  <c r="AL189" i="4"/>
  <c r="AK189" i="4" s="1"/>
  <c r="AK192" i="4" s="1"/>
  <c r="AK211" i="4" s="1"/>
  <c r="AK263" i="4" s="1"/>
  <c r="B219" i="4"/>
  <c r="B220" i="4" s="1"/>
  <c r="Z219" i="4"/>
  <c r="Z220" i="4" s="1"/>
  <c r="C223" i="4"/>
  <c r="T241" i="4"/>
  <c r="T167" i="6"/>
  <c r="F168" i="6"/>
  <c r="L168" i="6"/>
  <c r="AL109" i="2"/>
  <c r="AL31" i="2" s="1"/>
  <c r="AK31" i="2" s="1"/>
  <c r="J39" i="4"/>
  <c r="O51" i="4"/>
  <c r="J58" i="4"/>
  <c r="J60" i="4" s="1"/>
  <c r="W58" i="4"/>
  <c r="W60" i="4" s="1"/>
  <c r="S7" i="10" s="1"/>
  <c r="S10" i="10" s="1"/>
  <c r="E219" i="4"/>
  <c r="E220" i="4" s="1"/>
  <c r="AI219" i="4"/>
  <c r="AI220" i="4" s="1"/>
  <c r="K237" i="4"/>
  <c r="C241" i="4"/>
  <c r="AC241" i="4"/>
  <c r="L149" i="6"/>
  <c r="J149" i="6"/>
  <c r="T164" i="6"/>
  <c r="AO109" i="2"/>
  <c r="D30" i="4"/>
  <c r="D39" i="4" s="1"/>
  <c r="Q39" i="4"/>
  <c r="E78" i="4"/>
  <c r="AO198" i="4"/>
  <c r="AR198" i="4" s="1"/>
  <c r="G214" i="4"/>
  <c r="H219" i="4"/>
  <c r="H220" i="4" s="1"/>
  <c r="Q237" i="4"/>
  <c r="F241" i="4"/>
  <c r="I151" i="6"/>
  <c r="O149" i="6"/>
  <c r="H126" i="4"/>
  <c r="B103" i="4"/>
  <c r="AF38" i="4"/>
  <c r="AC49" i="4"/>
  <c r="AC237" i="4" s="1"/>
  <c r="E87" i="4"/>
  <c r="K87" i="4"/>
  <c r="P87" i="4"/>
  <c r="F138" i="4"/>
  <c r="F139" i="4" s="1"/>
  <c r="I192" i="4"/>
  <c r="O192" i="4"/>
  <c r="AC192" i="4"/>
  <c r="M208" i="4"/>
  <c r="M214" i="4"/>
  <c r="K219" i="4"/>
  <c r="K220" i="4" s="1"/>
  <c r="I241" i="4"/>
  <c r="L151" i="6"/>
  <c r="B59" i="10"/>
  <c r="H59" i="10"/>
  <c r="N59" i="10"/>
  <c r="T59" i="10"/>
  <c r="E15" i="4"/>
  <c r="E77" i="4" s="1"/>
  <c r="G39" i="4"/>
  <c r="M39" i="4"/>
  <c r="I39" i="4"/>
  <c r="O39" i="4"/>
  <c r="N126" i="4"/>
  <c r="Z192" i="4"/>
  <c r="N219" i="4"/>
  <c r="N220" i="4" s="1"/>
  <c r="L241" i="4"/>
  <c r="Q164" i="6"/>
  <c r="P167" i="6"/>
  <c r="K10" i="14"/>
  <c r="J122" i="2"/>
  <c r="E163" i="4"/>
  <c r="K163" i="4"/>
  <c r="Q163" i="4"/>
  <c r="H166" i="4"/>
  <c r="N166" i="4"/>
  <c r="Z166" i="4"/>
  <c r="Z9" i="5"/>
  <c r="Q7" i="6"/>
  <c r="T9" i="6"/>
  <c r="AF12" i="6"/>
  <c r="P15" i="6"/>
  <c r="AL26" i="6"/>
  <c r="BD26" i="6"/>
  <c r="AI26" i="6"/>
  <c r="BA26" i="6"/>
  <c r="I149" i="6"/>
  <c r="O151" i="6"/>
  <c r="K149" i="6"/>
  <c r="M151" i="6"/>
  <c r="W167" i="6"/>
  <c r="G168" i="6"/>
  <c r="M168" i="6"/>
  <c r="AX18" i="14"/>
  <c r="AC23" i="14"/>
  <c r="D142" i="14"/>
  <c r="AF142" i="14"/>
  <c r="P8" i="20"/>
  <c r="W23" i="20"/>
  <c r="Z147" i="20"/>
  <c r="AC147" i="20" s="1"/>
  <c r="AF147" i="20" s="1"/>
  <c r="Z280" i="20"/>
  <c r="D550" i="20"/>
  <c r="T577" i="20"/>
  <c r="W5" i="18"/>
  <c r="W142" i="2"/>
  <c r="C166" i="4"/>
  <c r="I166" i="4"/>
  <c r="O166" i="4"/>
  <c r="AC166" i="4"/>
  <c r="AI9" i="5"/>
  <c r="T7" i="6"/>
  <c r="W9" i="6"/>
  <c r="Q15" i="6"/>
  <c r="N167" i="6"/>
  <c r="N168" i="6" s="1"/>
  <c r="AC167" i="6"/>
  <c r="AC18" i="14"/>
  <c r="B142" i="14"/>
  <c r="I447" i="20"/>
  <c r="O453" i="20"/>
  <c r="E550" i="20"/>
  <c r="K550" i="20"/>
  <c r="K559" i="20"/>
  <c r="Q559" i="20"/>
  <c r="W577" i="20"/>
  <c r="AF5" i="18"/>
  <c r="W7" i="18"/>
  <c r="T15" i="18"/>
  <c r="P7" i="6"/>
  <c r="T17" i="20"/>
  <c r="G125" i="2"/>
  <c r="W121" i="2"/>
  <c r="AI119" i="2"/>
  <c r="AI112" i="2" s="1"/>
  <c r="AI150" i="2" s="1"/>
  <c r="AF7" i="6"/>
  <c r="AF69" i="14"/>
  <c r="F149" i="14"/>
  <c r="L149" i="14"/>
  <c r="T149" i="14"/>
  <c r="F447" i="20"/>
  <c r="L447" i="20"/>
  <c r="T447" i="20"/>
  <c r="O447" i="20"/>
  <c r="G453" i="20"/>
  <c r="M453" i="20"/>
  <c r="W453" i="20"/>
  <c r="F484" i="20"/>
  <c r="F492" i="20" s="1"/>
  <c r="H508" i="20"/>
  <c r="N508" i="20"/>
  <c r="Z508" i="20"/>
  <c r="D565" i="20"/>
  <c r="W9" i="18"/>
  <c r="E28" i="18"/>
  <c r="B49" i="10"/>
  <c r="H163" i="4"/>
  <c r="AH97" i="6"/>
  <c r="V20" i="20"/>
  <c r="Z5" i="6"/>
  <c r="P12" i="6"/>
  <c r="G15" i="6"/>
  <c r="M15" i="6"/>
  <c r="J151" i="6"/>
  <c r="P151" i="6"/>
  <c r="T160" i="6"/>
  <c r="P164" i="6"/>
  <c r="T15" i="14"/>
  <c r="T18" i="14" s="1"/>
  <c r="T20" i="14" s="1"/>
  <c r="T72" i="6" s="1"/>
  <c r="T97" i="6" s="1"/>
  <c r="W233" i="14"/>
  <c r="W241" i="14" s="1"/>
  <c r="W8" i="20"/>
  <c r="Z23" i="20"/>
  <c r="Z145" i="20"/>
  <c r="F538" i="20"/>
  <c r="L538" i="20"/>
  <c r="T538" i="20"/>
  <c r="F571" i="20"/>
  <c r="L571" i="20"/>
  <c r="T571" i="20"/>
  <c r="F28" i="18"/>
  <c r="W12" i="18"/>
  <c r="C125" i="2"/>
  <c r="I125" i="2"/>
  <c r="F166" i="4"/>
  <c r="L166" i="4"/>
  <c r="T166" i="4"/>
  <c r="AC5" i="6"/>
  <c r="Q12" i="6"/>
  <c r="B15" i="6"/>
  <c r="H15" i="6"/>
  <c r="N15" i="6"/>
  <c r="Z14" i="6"/>
  <c r="Z15" i="6" s="1"/>
  <c r="AR26" i="6"/>
  <c r="P46" i="14"/>
  <c r="BD18" i="14"/>
  <c r="Q17" i="20"/>
  <c r="Z143" i="20"/>
  <c r="AC143" i="20" s="1"/>
  <c r="H514" i="20"/>
  <c r="N514" i="20"/>
  <c r="Q15" i="18"/>
  <c r="L28" i="18"/>
  <c r="D34" i="7"/>
  <c r="D90" i="7"/>
  <c r="F13" i="2"/>
  <c r="E6" i="2"/>
  <c r="E82" i="2" s="1"/>
  <c r="C13" i="2"/>
  <c r="G23" i="2"/>
  <c r="G5" i="5" s="1"/>
  <c r="G29" i="5" s="1"/>
  <c r="N31" i="2"/>
  <c r="F118" i="2"/>
  <c r="F123" i="2" s="1"/>
  <c r="L118" i="2"/>
  <c r="L123" i="2" s="1"/>
  <c r="T118" i="2"/>
  <c r="G156" i="2"/>
  <c r="K7" i="2"/>
  <c r="K12" i="2" s="1"/>
  <c r="I23" i="2"/>
  <c r="I32" i="2" s="1"/>
  <c r="I38" i="2" s="1"/>
  <c r="E158" i="2"/>
  <c r="K158" i="2"/>
  <c r="B112" i="2"/>
  <c r="AF112" i="2"/>
  <c r="AF150" i="2" s="1"/>
  <c r="G112" i="2"/>
  <c r="M112" i="2"/>
  <c r="W112" i="2"/>
  <c r="B156" i="2"/>
  <c r="H156" i="2"/>
  <c r="N156" i="2"/>
  <c r="Z156" i="2"/>
  <c r="O156" i="2"/>
  <c r="Q100" i="2"/>
  <c r="Q24" i="2" s="1"/>
  <c r="N112" i="2"/>
  <c r="E118" i="2"/>
  <c r="E123" i="2" s="1"/>
  <c r="D156" i="2"/>
  <c r="J156" i="2"/>
  <c r="P156" i="2"/>
  <c r="AF156" i="2"/>
  <c r="W139" i="4"/>
  <c r="L163" i="4"/>
  <c r="Q9" i="5"/>
  <c r="K13" i="10"/>
  <c r="K28" i="10" s="1"/>
  <c r="J31" i="2"/>
  <c r="P31" i="2"/>
  <c r="Z112" i="2"/>
  <c r="J139" i="4"/>
  <c r="I163" i="4"/>
  <c r="I158" i="2"/>
  <c r="D31" i="2"/>
  <c r="B125" i="2"/>
  <c r="H125" i="2"/>
  <c r="N125" i="2"/>
  <c r="E125" i="2"/>
  <c r="K125" i="2"/>
  <c r="M125" i="2"/>
  <c r="E112" i="2"/>
  <c r="K112" i="2"/>
  <c r="Q112" i="2"/>
  <c r="F156" i="2"/>
  <c r="L156" i="2"/>
  <c r="T156" i="2"/>
  <c r="U49" i="10"/>
  <c r="O152" i="4"/>
  <c r="AI152" i="4"/>
  <c r="M163" i="4"/>
  <c r="Z152" i="4"/>
  <c r="Q152" i="4"/>
  <c r="C49" i="10"/>
  <c r="L23" i="10"/>
  <c r="AC152" i="4"/>
  <c r="C163" i="4"/>
  <c r="G163" i="4"/>
  <c r="O163" i="4"/>
  <c r="W163" i="4"/>
  <c r="V163" i="4" s="1"/>
  <c r="V164" i="4" s="1"/>
  <c r="N152" i="4"/>
  <c r="T152" i="4"/>
  <c r="F163" i="4"/>
  <c r="N163" i="4"/>
  <c r="T163" i="4"/>
  <c r="S163" i="4" s="1"/>
  <c r="S164" i="4" s="1"/>
  <c r="V21" i="20"/>
  <c r="V22" i="20"/>
  <c r="AH7" i="7"/>
  <c r="AI71" i="3"/>
  <c r="AC7" i="7"/>
  <c r="AC92" i="7" s="1"/>
  <c r="AC9" i="7"/>
  <c r="M15" i="7"/>
  <c r="Q28" i="7"/>
  <c r="Q36" i="7" s="1"/>
  <c r="M33" i="7"/>
  <c r="M34" i="7" s="1"/>
  <c r="K79" i="7"/>
  <c r="K90" i="7" s="1"/>
  <c r="L88" i="7"/>
  <c r="AF7" i="7"/>
  <c r="T15" i="7"/>
  <c r="T28" i="7"/>
  <c r="F38" i="7"/>
  <c r="M88" i="7"/>
  <c r="M90" i="7" s="1"/>
  <c r="AC14" i="7"/>
  <c r="AC15" i="7" s="1"/>
  <c r="E28" i="7"/>
  <c r="E34" i="7" s="1"/>
  <c r="G38" i="7"/>
  <c r="G40" i="7" s="1"/>
  <c r="G42" i="7" s="1"/>
  <c r="J74" i="7"/>
  <c r="P74" i="7"/>
  <c r="AF74" i="7"/>
  <c r="Q79" i="7"/>
  <c r="Q88" i="7" s="1"/>
  <c r="Q90" i="7" s="1"/>
  <c r="Q7" i="7"/>
  <c r="Z12" i="7"/>
  <c r="P90" i="7"/>
  <c r="F15" i="7"/>
  <c r="F28" i="7"/>
  <c r="F33" i="7"/>
  <c r="L38" i="7"/>
  <c r="L40" i="7" s="1"/>
  <c r="L42" i="7" s="1"/>
  <c r="L74" i="7"/>
  <c r="T7" i="7"/>
  <c r="AC12" i="7"/>
  <c r="Q15" i="7"/>
  <c r="G15" i="7"/>
  <c r="K28" i="7"/>
  <c r="G33" i="7"/>
  <c r="G34" i="7" s="1"/>
  <c r="M38" i="7"/>
  <c r="M40" i="7" s="1"/>
  <c r="M42" i="7" s="1"/>
  <c r="K74" i="7"/>
  <c r="E79" i="7"/>
  <c r="E90" i="7" s="1"/>
  <c r="F88" i="7"/>
  <c r="Z7" i="7"/>
  <c r="L15" i="7"/>
  <c r="L28" i="7"/>
  <c r="L33" i="7"/>
  <c r="T38" i="7"/>
  <c r="G88" i="7"/>
  <c r="G90" i="7" s="1"/>
  <c r="AC26" i="6"/>
  <c r="AU26" i="6"/>
  <c r="BM26" i="6"/>
  <c r="AF26" i="6"/>
  <c r="BJ26" i="6"/>
  <c r="P36" i="14"/>
  <c r="P29" i="14"/>
  <c r="Q218" i="6"/>
  <c r="Q222" i="6" s="1"/>
  <c r="D37" i="6"/>
  <c r="D39" i="6" s="1"/>
  <c r="P9" i="14"/>
  <c r="Q239" i="14"/>
  <c r="J37" i="6"/>
  <c r="J40" i="6" s="1"/>
  <c r="Q22" i="14"/>
  <c r="Q74" i="6" s="1"/>
  <c r="Q99" i="6" s="1"/>
  <c r="Q22" i="20"/>
  <c r="Q79" i="6" s="1"/>
  <c r="T37" i="20"/>
  <c r="T43" i="20" s="1"/>
  <c r="Q59" i="6"/>
  <c r="Q9" i="14"/>
  <c r="G49" i="10"/>
  <c r="M49" i="10"/>
  <c r="S49" i="10"/>
  <c r="AC74" i="2"/>
  <c r="H56" i="2"/>
  <c r="I64" i="2"/>
  <c r="I68" i="2" s="1"/>
  <c r="AF85" i="3"/>
  <c r="AF5" i="2"/>
  <c r="AF49" i="3"/>
  <c r="N23" i="10"/>
  <c r="N47" i="10"/>
  <c r="I31" i="2"/>
  <c r="W150" i="4"/>
  <c r="W151" i="4" s="1"/>
  <c r="W122" i="2"/>
  <c r="C13" i="10"/>
  <c r="I13" i="10"/>
  <c r="E24" i="3"/>
  <c r="D85" i="3"/>
  <c r="D24" i="3"/>
  <c r="K24" i="3"/>
  <c r="J85" i="3"/>
  <c r="J24" i="3"/>
  <c r="AI49" i="3"/>
  <c r="G71" i="3"/>
  <c r="M71" i="3"/>
  <c r="D99" i="3"/>
  <c r="J99" i="3"/>
  <c r="P99" i="3"/>
  <c r="I98" i="3"/>
  <c r="G5" i="2"/>
  <c r="F5" i="5"/>
  <c r="F29" i="5" s="1"/>
  <c r="F32" i="2"/>
  <c r="F38" i="2" s="1"/>
  <c r="AI109" i="2"/>
  <c r="AI31" i="2" s="1"/>
  <c r="AH31" i="2" s="1"/>
  <c r="W118" i="2"/>
  <c r="W123" i="2" s="1"/>
  <c r="AI148" i="2"/>
  <c r="E156" i="2"/>
  <c r="K156" i="2"/>
  <c r="Q156" i="2"/>
  <c r="AI156" i="2"/>
  <c r="E13" i="4"/>
  <c r="Q22" i="4"/>
  <c r="Q136" i="4"/>
  <c r="Q138" i="4" s="1"/>
  <c r="AI136" i="4"/>
  <c r="AI138" i="4" s="1"/>
  <c r="AH138" i="4" s="1"/>
  <c r="O64" i="3"/>
  <c r="O70" i="3"/>
  <c r="M150" i="4"/>
  <c r="M118" i="2"/>
  <c r="E162" i="4"/>
  <c r="E160" i="4"/>
  <c r="E130" i="2"/>
  <c r="E121" i="2"/>
  <c r="K162" i="4"/>
  <c r="K160" i="4"/>
  <c r="K130" i="2"/>
  <c r="K121" i="2"/>
  <c r="W85" i="3"/>
  <c r="E84" i="3"/>
  <c r="Q84" i="3"/>
  <c r="L98" i="3"/>
  <c r="J130" i="2"/>
  <c r="J121" i="2"/>
  <c r="J7" i="2"/>
  <c r="Z165" i="2"/>
  <c r="G158" i="2"/>
  <c r="M158" i="2"/>
  <c r="I151" i="4"/>
  <c r="K122" i="2"/>
  <c r="C77" i="4"/>
  <c r="C21" i="4"/>
  <c r="E55" i="4"/>
  <c r="E51" i="4"/>
  <c r="E237" i="4"/>
  <c r="F79" i="4"/>
  <c r="L79" i="4"/>
  <c r="T79" i="4"/>
  <c r="U93" i="4" s="1"/>
  <c r="Q45" i="3"/>
  <c r="Q40" i="3"/>
  <c r="D130" i="2"/>
  <c r="D121" i="2"/>
  <c r="D6" i="2"/>
  <c r="D82" i="2" s="1"/>
  <c r="C31" i="2"/>
  <c r="J49" i="10"/>
  <c r="F162" i="4"/>
  <c r="F160" i="4"/>
  <c r="F6" i="2"/>
  <c r="F82" i="2" s="1"/>
  <c r="L162" i="4"/>
  <c r="L160" i="4"/>
  <c r="L115" i="5"/>
  <c r="L7" i="2"/>
  <c r="L139" i="4"/>
  <c r="T45" i="3"/>
  <c r="S45" i="3" s="1"/>
  <c r="AC70" i="3"/>
  <c r="H84" i="3"/>
  <c r="O98" i="3"/>
  <c r="M5" i="2"/>
  <c r="M142" i="2" s="1"/>
  <c r="B13" i="2"/>
  <c r="B23" i="2"/>
  <c r="H13" i="2"/>
  <c r="H23" i="2"/>
  <c r="AL20" i="2"/>
  <c r="AK20" i="2" s="1"/>
  <c r="H158" i="2"/>
  <c r="D122" i="2"/>
  <c r="AO56" i="4"/>
  <c r="G150" i="4"/>
  <c r="T23" i="3"/>
  <c r="I122" i="2"/>
  <c r="I130" i="2"/>
  <c r="I6" i="2"/>
  <c r="I82" i="2" s="1"/>
  <c r="P49" i="10"/>
  <c r="AC19" i="3"/>
  <c r="W45" i="3"/>
  <c r="V45" i="3" s="1"/>
  <c r="G99" i="3"/>
  <c r="M99" i="3"/>
  <c r="W99" i="3"/>
  <c r="Z56" i="2"/>
  <c r="F130" i="2"/>
  <c r="I220" i="4"/>
  <c r="O220" i="4"/>
  <c r="AC220" i="4"/>
  <c r="C122" i="2"/>
  <c r="C130" i="2"/>
  <c r="C6" i="2"/>
  <c r="C82" i="2" s="1"/>
  <c r="AC9" i="2"/>
  <c r="AF71" i="3"/>
  <c r="Z1" i="2"/>
  <c r="W1" i="2"/>
  <c r="E13" i="2"/>
  <c r="E23" i="2"/>
  <c r="D49" i="10"/>
  <c r="V49" i="10"/>
  <c r="L36" i="10"/>
  <c r="L178" i="2" s="1"/>
  <c r="F49" i="10"/>
  <c r="L49" i="10"/>
  <c r="R49" i="10"/>
  <c r="R20" i="10"/>
  <c r="M47" i="10"/>
  <c r="M23" i="10"/>
  <c r="L47" i="10"/>
  <c r="AI5" i="2"/>
  <c r="AI24" i="3"/>
  <c r="H85" i="3"/>
  <c r="H24" i="3"/>
  <c r="H5" i="2"/>
  <c r="N85" i="3"/>
  <c r="N24" i="3"/>
  <c r="N5" i="2"/>
  <c r="P42" i="3"/>
  <c r="P45" i="3"/>
  <c r="Z66" i="3"/>
  <c r="W71" i="3"/>
  <c r="K84" i="3"/>
  <c r="C98" i="3"/>
  <c r="W8" i="2"/>
  <c r="W99" i="4" s="1"/>
  <c r="W7" i="2"/>
  <c r="W130" i="2"/>
  <c r="D23" i="2"/>
  <c r="H31" i="2"/>
  <c r="D158" i="2"/>
  <c r="J158" i="2"/>
  <c r="Z61" i="2"/>
  <c r="Y61" i="2" s="1"/>
  <c r="F125" i="2"/>
  <c r="F121" i="2"/>
  <c r="F112" i="2"/>
  <c r="L125" i="2"/>
  <c r="L121" i="2"/>
  <c r="L112" i="2"/>
  <c r="T112" i="2"/>
  <c r="F151" i="4"/>
  <c r="L151" i="4"/>
  <c r="G118" i="2"/>
  <c r="L130" i="2"/>
  <c r="L142" i="2"/>
  <c r="P39" i="4"/>
  <c r="G98" i="3"/>
  <c r="M98" i="3"/>
  <c r="W98" i="3"/>
  <c r="Z31" i="2"/>
  <c r="Y31" i="2" s="1"/>
  <c r="C112" i="2"/>
  <c r="I112" i="2"/>
  <c r="O112" i="2"/>
  <c r="AC112" i="2"/>
  <c r="AC150" i="2" s="1"/>
  <c r="F122" i="2"/>
  <c r="L122" i="2"/>
  <c r="AF134" i="2"/>
  <c r="AF138" i="2" s="1"/>
  <c r="AF141" i="2" s="1"/>
  <c r="Z77" i="4"/>
  <c r="P22" i="4"/>
  <c r="AI30" i="4"/>
  <c r="Z38" i="4"/>
  <c r="T39" i="4"/>
  <c r="F51" i="4"/>
  <c r="H214" i="4"/>
  <c r="N214" i="4"/>
  <c r="F215" i="4"/>
  <c r="G58" i="4"/>
  <c r="G60" i="4" s="1"/>
  <c r="AF77" i="4"/>
  <c r="I87" i="4"/>
  <c r="O87" i="4"/>
  <c r="D219" i="4"/>
  <c r="D241" i="4"/>
  <c r="J219" i="4"/>
  <c r="J241" i="4"/>
  <c r="P219" i="4"/>
  <c r="P241" i="4"/>
  <c r="AF219" i="4"/>
  <c r="AF241" i="4"/>
  <c r="AF152" i="4"/>
  <c r="J150" i="4"/>
  <c r="J151" i="4" s="1"/>
  <c r="I152" i="4"/>
  <c r="I153" i="4" s="1"/>
  <c r="C160" i="4"/>
  <c r="I160" i="4"/>
  <c r="C162" i="4"/>
  <c r="I162" i="4"/>
  <c r="D163" i="4"/>
  <c r="J163" i="4"/>
  <c r="P163" i="4"/>
  <c r="AI158" i="4"/>
  <c r="AI163" i="4" s="1"/>
  <c r="AH163" i="4" s="1"/>
  <c r="AH164" i="4" s="1"/>
  <c r="G210" i="4"/>
  <c r="M210" i="4"/>
  <c r="W210" i="4"/>
  <c r="L208" i="4"/>
  <c r="AC19" i="5"/>
  <c r="M74" i="5"/>
  <c r="M212" i="4"/>
  <c r="W74" i="5"/>
  <c r="W212" i="4"/>
  <c r="H98" i="3"/>
  <c r="N98" i="3"/>
  <c r="C121" i="2"/>
  <c r="I121" i="2"/>
  <c r="Z158" i="2"/>
  <c r="AC77" i="4"/>
  <c r="AC78" i="4"/>
  <c r="AC38" i="4"/>
  <c r="G51" i="4"/>
  <c r="G237" i="4"/>
  <c r="T237" i="4"/>
  <c r="G215" i="4"/>
  <c r="M215" i="4"/>
  <c r="B79" i="4"/>
  <c r="B224" i="4" s="1"/>
  <c r="H79" i="4"/>
  <c r="N79" i="4"/>
  <c r="Q87" i="4"/>
  <c r="K152" i="4"/>
  <c r="K153" i="4" s="1"/>
  <c r="L152" i="4"/>
  <c r="L153" i="4" s="1"/>
  <c r="D160" i="4"/>
  <c r="D166" i="4"/>
  <c r="J160" i="4"/>
  <c r="J166" i="4"/>
  <c r="P166" i="4"/>
  <c r="AF166" i="4"/>
  <c r="D162" i="4"/>
  <c r="J162" i="4"/>
  <c r="D118" i="2"/>
  <c r="D123" i="2" s="1"/>
  <c r="J118" i="2"/>
  <c r="J123" i="2" s="1"/>
  <c r="P118" i="2"/>
  <c r="AF118" i="2"/>
  <c r="D125" i="2"/>
  <c r="J125" i="2"/>
  <c r="B21" i="4"/>
  <c r="B22" i="4" s="1"/>
  <c r="AF78" i="4"/>
  <c r="B51" i="4"/>
  <c r="B237" i="4"/>
  <c r="C96" i="4"/>
  <c r="C103" i="4" s="1"/>
  <c r="D95" i="4"/>
  <c r="F220" i="4"/>
  <c r="L220" i="4"/>
  <c r="T220" i="4"/>
  <c r="N136" i="4"/>
  <c r="N138" i="4" s="1"/>
  <c r="Z136" i="4"/>
  <c r="Z138" i="4" s="1"/>
  <c r="K139" i="4"/>
  <c r="P150" i="4"/>
  <c r="AO189" i="4"/>
  <c r="AN189" i="4" s="1"/>
  <c r="AN192" i="4" s="1"/>
  <c r="T9" i="5"/>
  <c r="AC74" i="5"/>
  <c r="D98" i="3"/>
  <c r="J98" i="3"/>
  <c r="K151" i="4"/>
  <c r="K118" i="2"/>
  <c r="K123" i="2" s="1"/>
  <c r="Q118" i="2"/>
  <c r="AI118" i="2"/>
  <c r="C13" i="4"/>
  <c r="AI77" i="4"/>
  <c r="AC21" i="4"/>
  <c r="B30" i="4"/>
  <c r="B39" i="4" s="1"/>
  <c r="AI38" i="4"/>
  <c r="K214" i="4"/>
  <c r="Q214" i="4"/>
  <c r="P58" i="4"/>
  <c r="P60" i="4" s="1"/>
  <c r="AI78" i="4"/>
  <c r="I79" i="4"/>
  <c r="F87" i="4"/>
  <c r="L87" i="4"/>
  <c r="G241" i="4"/>
  <c r="G219" i="4"/>
  <c r="M241" i="4"/>
  <c r="M219" i="4"/>
  <c r="W241" i="4"/>
  <c r="W219" i="4"/>
  <c r="J215" i="4"/>
  <c r="C91" i="5"/>
  <c r="I91" i="5"/>
  <c r="I54" i="5"/>
  <c r="O91" i="5"/>
  <c r="P74" i="5"/>
  <c r="E98" i="3"/>
  <c r="K98" i="3"/>
  <c r="M1" i="2"/>
  <c r="O5" i="2"/>
  <c r="O142" i="2" s="1"/>
  <c r="W10" i="2"/>
  <c r="T31" i="2"/>
  <c r="S31" i="2" s="1"/>
  <c r="AF39" i="2"/>
  <c r="AE39" i="2" s="1"/>
  <c r="D13" i="4"/>
  <c r="D15" i="4"/>
  <c r="AF21" i="4"/>
  <c r="Z22" i="4"/>
  <c r="C30" i="4"/>
  <c r="C39" i="4" s="1"/>
  <c r="AC30" i="4"/>
  <c r="D237" i="4"/>
  <c r="D51" i="4"/>
  <c r="AF49" i="4"/>
  <c r="T51" i="4"/>
  <c r="K79" i="4"/>
  <c r="Q79" i="4"/>
  <c r="R93" i="4" s="1"/>
  <c r="H152" i="4"/>
  <c r="W162" i="4"/>
  <c r="K192" i="4"/>
  <c r="Q192" i="4"/>
  <c r="I215" i="4"/>
  <c r="I205" i="4"/>
  <c r="I208" i="4" s="1"/>
  <c r="I203" i="4"/>
  <c r="P215" i="4"/>
  <c r="AI37" i="5"/>
  <c r="Q74" i="5"/>
  <c r="AF74" i="5"/>
  <c r="J51" i="4"/>
  <c r="P51" i="4"/>
  <c r="H58" i="4"/>
  <c r="H60" i="4" s="1"/>
  <c r="N58" i="4"/>
  <c r="N60" i="4" s="1"/>
  <c r="Z58" i="4"/>
  <c r="Z60" i="4" s="1"/>
  <c r="Y60" i="4" s="1"/>
  <c r="Y84" i="5" s="1"/>
  <c r="G79" i="4"/>
  <c r="M79" i="4"/>
  <c r="W79" i="4"/>
  <c r="K215" i="4"/>
  <c r="Q215" i="4"/>
  <c r="AC9" i="5"/>
  <c r="AL24" i="5"/>
  <c r="B54" i="5"/>
  <c r="H54" i="5"/>
  <c r="N54" i="5"/>
  <c r="Z54" i="5"/>
  <c r="Q70" i="6"/>
  <c r="T1" i="6"/>
  <c r="L9" i="14"/>
  <c r="L10" i="14" s="1"/>
  <c r="L37" i="6"/>
  <c r="Q60" i="6"/>
  <c r="O167" i="6"/>
  <c r="O164" i="6"/>
  <c r="D168" i="6"/>
  <c r="C168" i="6"/>
  <c r="Z239" i="14"/>
  <c r="Z23" i="14"/>
  <c r="Z256" i="14"/>
  <c r="AI49" i="4"/>
  <c r="Q51" i="4"/>
  <c r="I58" i="4"/>
  <c r="I60" i="4" s="1"/>
  <c r="O58" i="4"/>
  <c r="O60" i="4" s="1"/>
  <c r="AC58" i="4"/>
  <c r="AC60" i="4" s="1"/>
  <c r="AD69" i="4" s="1"/>
  <c r="T136" i="4"/>
  <c r="T138" i="4" s="1"/>
  <c r="S138" i="4" s="1"/>
  <c r="Q166" i="4"/>
  <c r="AI166" i="4"/>
  <c r="I214" i="4"/>
  <c r="O214" i="4"/>
  <c r="L215" i="4"/>
  <c r="M237" i="4"/>
  <c r="W237" i="4"/>
  <c r="P9" i="5"/>
  <c r="AF9" i="5"/>
  <c r="C54" i="5"/>
  <c r="O54" i="5"/>
  <c r="T74" i="5"/>
  <c r="F91" i="5"/>
  <c r="L91" i="5"/>
  <c r="W96" i="6"/>
  <c r="J168" i="6"/>
  <c r="AL187" i="4"/>
  <c r="J214" i="4"/>
  <c r="P214" i="4"/>
  <c r="H237" i="4"/>
  <c r="N237" i="4"/>
  <c r="P54" i="5"/>
  <c r="AF54" i="5"/>
  <c r="G9" i="14"/>
  <c r="G37" i="6"/>
  <c r="M9" i="14"/>
  <c r="M37" i="6"/>
  <c r="M39" i="6" s="1"/>
  <c r="P37" i="6"/>
  <c r="P40" i="6" s="1"/>
  <c r="Q195" i="6"/>
  <c r="K58" i="4"/>
  <c r="K60" i="4" s="1"/>
  <c r="Q58" i="4"/>
  <c r="Q60" i="4" s="1"/>
  <c r="AI58" i="4"/>
  <c r="AI60" i="4" s="1"/>
  <c r="AJ69" i="4" s="1"/>
  <c r="J79" i="4"/>
  <c r="P79" i="4"/>
  <c r="G166" i="4"/>
  <c r="M166" i="4"/>
  <c r="W166" i="4"/>
  <c r="H215" i="4"/>
  <c r="N215" i="4"/>
  <c r="Q54" i="5"/>
  <c r="AI60" i="5"/>
  <c r="AI74" i="5" s="1"/>
  <c r="Z74" i="5"/>
  <c r="B91" i="5"/>
  <c r="H91" i="5"/>
  <c r="N91" i="5"/>
  <c r="AI102" i="5"/>
  <c r="AH102" i="5" s="1"/>
  <c r="AH104" i="5" s="1"/>
  <c r="AH119" i="5" s="1"/>
  <c r="H9" i="14"/>
  <c r="H37" i="6"/>
  <c r="H39" i="6" s="1"/>
  <c r="N37" i="6"/>
  <c r="N39" i="6" s="1"/>
  <c r="N9" i="14"/>
  <c r="F9" i="14"/>
  <c r="F37" i="6"/>
  <c r="T217" i="6"/>
  <c r="T37" i="6"/>
  <c r="T40" i="6" s="1"/>
  <c r="W113" i="6"/>
  <c r="E142" i="14"/>
  <c r="E168" i="14"/>
  <c r="E169" i="14" s="1"/>
  <c r="K168" i="14"/>
  <c r="K169" i="14" s="1"/>
  <c r="K142" i="14"/>
  <c r="Q168" i="14"/>
  <c r="Q169" i="14" s="1"/>
  <c r="Q161" i="14"/>
  <c r="AC23" i="20"/>
  <c r="Z49" i="4"/>
  <c r="F58" i="4"/>
  <c r="F60" i="4" s="1"/>
  <c r="L58" i="4"/>
  <c r="L60" i="4" s="1"/>
  <c r="T58" i="4"/>
  <c r="T60" i="4" s="1"/>
  <c r="O136" i="4"/>
  <c r="O138" i="4" s="1"/>
  <c r="W160" i="4"/>
  <c r="L214" i="4"/>
  <c r="O215" i="4"/>
  <c r="P237" i="4"/>
  <c r="AL49" i="5"/>
  <c r="F54" i="5"/>
  <c r="L54" i="5"/>
  <c r="T54" i="5"/>
  <c r="I9" i="14"/>
  <c r="J10" i="14" s="1"/>
  <c r="I37" i="6"/>
  <c r="O37" i="6"/>
  <c r="O39" i="6" s="1"/>
  <c r="O9" i="14"/>
  <c r="AC12" i="6"/>
  <c r="AC7" i="6"/>
  <c r="AC9" i="6"/>
  <c r="E9" i="14"/>
  <c r="E10" i="14" s="1"/>
  <c r="E37" i="6"/>
  <c r="Q149" i="6"/>
  <c r="Q30" i="14"/>
  <c r="W27" i="14"/>
  <c r="W18" i="14"/>
  <c r="E500" i="20"/>
  <c r="E87" i="14"/>
  <c r="K500" i="20"/>
  <c r="K87" i="14"/>
  <c r="Q500" i="20"/>
  <c r="Q87" i="14"/>
  <c r="P5" i="6"/>
  <c r="AF5" i="6"/>
  <c r="W7" i="6"/>
  <c r="Z9" i="6"/>
  <c r="W15" i="6"/>
  <c r="K37" i="6"/>
  <c r="K39" i="6" s="1"/>
  <c r="Q37" i="6"/>
  <c r="Q39" i="6" s="1"/>
  <c r="T59" i="6"/>
  <c r="Z91" i="6"/>
  <c r="AF96" i="6"/>
  <c r="P149" i="6"/>
  <c r="T195" i="6"/>
  <c r="Q230" i="6"/>
  <c r="T256" i="14"/>
  <c r="T22" i="14"/>
  <c r="T74" i="6" s="1"/>
  <c r="T99" i="6" s="1"/>
  <c r="Q18" i="14"/>
  <c r="Q20" i="14" s="1"/>
  <c r="AC243" i="14"/>
  <c r="T45" i="14"/>
  <c r="Y20" i="20"/>
  <c r="Y22" i="20"/>
  <c r="AI5" i="6"/>
  <c r="Z7" i="6"/>
  <c r="T12" i="6"/>
  <c r="AF14" i="6"/>
  <c r="AI96" i="6"/>
  <c r="Q100" i="6"/>
  <c r="T149" i="6"/>
  <c r="K151" i="6"/>
  <c r="Q151" i="6"/>
  <c r="Q167" i="6"/>
  <c r="E168" i="6"/>
  <c r="K168" i="6"/>
  <c r="T230" i="6"/>
  <c r="W9" i="14"/>
  <c r="AO18" i="14"/>
  <c r="BG18" i="14"/>
  <c r="AF243" i="14"/>
  <c r="AF40" i="14"/>
  <c r="AF48" i="14" s="1"/>
  <c r="Z373" i="20"/>
  <c r="Z69" i="14"/>
  <c r="G500" i="20"/>
  <c r="G87" i="14"/>
  <c r="M500" i="20"/>
  <c r="M87" i="14"/>
  <c r="W500" i="20"/>
  <c r="W87" i="14"/>
  <c r="BJ500" i="20"/>
  <c r="AC253" i="14"/>
  <c r="J490" i="20"/>
  <c r="J492" i="20" s="1"/>
  <c r="J447" i="20"/>
  <c r="W12" i="6"/>
  <c r="AI14" i="6"/>
  <c r="W37" i="6"/>
  <c r="T215" i="6"/>
  <c r="T227" i="6" s="1"/>
  <c r="Q217" i="6"/>
  <c r="W23" i="14"/>
  <c r="Q63" i="14"/>
  <c r="Q62" i="14" s="1"/>
  <c r="T62" i="14"/>
  <c r="C142" i="14"/>
  <c r="Q287" i="20"/>
  <c r="Q20" i="20"/>
  <c r="W358" i="20"/>
  <c r="W38" i="20"/>
  <c r="Z80" i="6"/>
  <c r="AI91" i="6"/>
  <c r="G149" i="6"/>
  <c r="M149" i="6"/>
  <c r="W149" i="6"/>
  <c r="Q46" i="14"/>
  <c r="AI18" i="14"/>
  <c r="BA18" i="14"/>
  <c r="U183" i="14"/>
  <c r="W374" i="20"/>
  <c r="W69" i="14"/>
  <c r="F133" i="14"/>
  <c r="L133" i="14"/>
  <c r="T133" i="14"/>
  <c r="AL133" i="14"/>
  <c r="BD133" i="14"/>
  <c r="W107" i="20"/>
  <c r="V107" i="20" s="1"/>
  <c r="V105" i="20" s="1"/>
  <c r="W35" i="20"/>
  <c r="H151" i="6"/>
  <c r="H149" i="6"/>
  <c r="N151" i="6"/>
  <c r="N149" i="6"/>
  <c r="G151" i="6"/>
  <c r="W151" i="6"/>
  <c r="Q69" i="14"/>
  <c r="D500" i="20"/>
  <c r="D87" i="14"/>
  <c r="J500" i="20"/>
  <c r="J501" i="20" s="1"/>
  <c r="J87" i="14"/>
  <c r="P500" i="20"/>
  <c r="P87" i="14"/>
  <c r="AI500" i="20"/>
  <c r="BA500" i="20"/>
  <c r="G133" i="14"/>
  <c r="M133" i="14"/>
  <c r="W133" i="14"/>
  <c r="AO133" i="14"/>
  <c r="BG133" i="14"/>
  <c r="W179" i="14"/>
  <c r="AF193" i="20"/>
  <c r="AI193" i="20" s="1"/>
  <c r="AL193" i="20" s="1"/>
  <c r="AO193" i="20" s="1"/>
  <c r="T21" i="14"/>
  <c r="T73" i="6" s="1"/>
  <c r="T98" i="6" s="1"/>
  <c r="W40" i="14"/>
  <c r="P45" i="14"/>
  <c r="Q164" i="14"/>
  <c r="P163" i="14"/>
  <c r="P161" i="14" s="1"/>
  <c r="AF23" i="20"/>
  <c r="AF99" i="20" s="1"/>
  <c r="W191" i="20"/>
  <c r="AL62" i="14"/>
  <c r="AK62" i="14" s="1"/>
  <c r="H87" i="14"/>
  <c r="N87" i="14"/>
  <c r="Z87" i="14"/>
  <c r="Z142" i="14"/>
  <c r="AT188" i="14"/>
  <c r="P233" i="14"/>
  <c r="P241" i="14" s="1"/>
  <c r="AF228" i="14"/>
  <c r="Q253" i="14"/>
  <c r="Q254" i="14" s="1"/>
  <c r="Q285" i="20"/>
  <c r="Z295" i="20"/>
  <c r="Z186" i="20"/>
  <c r="W189" i="20"/>
  <c r="B502" i="20"/>
  <c r="C499" i="20"/>
  <c r="B394" i="20"/>
  <c r="B402" i="20" s="1"/>
  <c r="H502" i="20"/>
  <c r="I499" i="20"/>
  <c r="H394" i="20"/>
  <c r="H402" i="20" s="1"/>
  <c r="H470" i="20"/>
  <c r="N502" i="20"/>
  <c r="O499" i="20"/>
  <c r="N394" i="20"/>
  <c r="N402" i="20" s="1"/>
  <c r="N470" i="20"/>
  <c r="Z502" i="20"/>
  <c r="AA499" i="20" s="1"/>
  <c r="Z394" i="20"/>
  <c r="Z402" i="20" s="1"/>
  <c r="BA208" i="14"/>
  <c r="AZ208" i="14" s="1"/>
  <c r="Q233" i="14"/>
  <c r="Q227" i="14"/>
  <c r="AF293" i="20"/>
  <c r="AF294" i="20"/>
  <c r="AF339" i="20" s="1"/>
  <c r="AC295" i="20"/>
  <c r="Z361" i="20"/>
  <c r="P191" i="14"/>
  <c r="T233" i="14"/>
  <c r="T241" i="14" s="1"/>
  <c r="T227" i="14"/>
  <c r="T240" i="14" s="1"/>
  <c r="Q8" i="20"/>
  <c r="AF144" i="20"/>
  <c r="AF188" i="20"/>
  <c r="G514" i="20"/>
  <c r="G516" i="20"/>
  <c r="M514" i="20"/>
  <c r="M516" i="20"/>
  <c r="W514" i="20"/>
  <c r="W516" i="20"/>
  <c r="P69" i="14"/>
  <c r="P375" i="20" s="1"/>
  <c r="P328" i="20" s="1"/>
  <c r="H142" i="14"/>
  <c r="AF149" i="14"/>
  <c r="T8" i="20"/>
  <c r="T19" i="20"/>
  <c r="T358" i="20"/>
  <c r="T38" i="20"/>
  <c r="G479" i="20"/>
  <c r="G480" i="20" s="1"/>
  <c r="Q550" i="20"/>
  <c r="Q552" i="20"/>
  <c r="T252" i="14"/>
  <c r="Q19" i="20"/>
  <c r="T20" i="20"/>
  <c r="W37" i="20"/>
  <c r="T140" i="20"/>
  <c r="W192" i="20"/>
  <c r="D485" i="20"/>
  <c r="D492" i="20" s="1"/>
  <c r="D447" i="20"/>
  <c r="P485" i="20"/>
  <c r="P447" i="20"/>
  <c r="Q471" i="20"/>
  <c r="T164" i="20" s="1"/>
  <c r="W474" i="20"/>
  <c r="Z167" i="20" s="1"/>
  <c r="P488" i="20"/>
  <c r="W294" i="20"/>
  <c r="P285" i="20"/>
  <c r="Q286" i="20"/>
  <c r="AF295" i="20"/>
  <c r="T479" i="20"/>
  <c r="Z486" i="20"/>
  <c r="J552" i="20"/>
  <c r="J550" i="20"/>
  <c r="I28" i="18"/>
  <c r="H33" i="18"/>
  <c r="O28" i="18"/>
  <c r="N33" i="18"/>
  <c r="Z12" i="18"/>
  <c r="Z33" i="18"/>
  <c r="Z9" i="18"/>
  <c r="Z294" i="20"/>
  <c r="Z293" i="20"/>
  <c r="T36" i="20"/>
  <c r="T42" i="20" s="1"/>
  <c r="T286" i="20"/>
  <c r="T328" i="20" s="1"/>
  <c r="P457" i="20"/>
  <c r="P419" i="20"/>
  <c r="P427" i="20" s="1"/>
  <c r="C492" i="20"/>
  <c r="C459" i="20"/>
  <c r="E552" i="20"/>
  <c r="K552" i="20"/>
  <c r="W285" i="20"/>
  <c r="W286" i="20"/>
  <c r="Q367" i="20"/>
  <c r="Q369" i="20" s="1"/>
  <c r="AC294" i="20"/>
  <c r="AC339" i="20" s="1"/>
  <c r="AC293" i="20"/>
  <c r="W295" i="20"/>
  <c r="W36" i="20"/>
  <c r="W190" i="20"/>
  <c r="W293" i="20"/>
  <c r="M479" i="20"/>
  <c r="M480" i="20" s="1"/>
  <c r="E484" i="20"/>
  <c r="E447" i="20"/>
  <c r="K484" i="20"/>
  <c r="K447" i="20"/>
  <c r="Q484" i="20"/>
  <c r="Q447" i="20"/>
  <c r="W486" i="20"/>
  <c r="G492" i="20"/>
  <c r="G459" i="20"/>
  <c r="E538" i="20"/>
  <c r="E540" i="20"/>
  <c r="K538" i="20"/>
  <c r="K540" i="20"/>
  <c r="P550" i="20"/>
  <c r="E565" i="20"/>
  <c r="Q565" i="20"/>
  <c r="L579" i="20"/>
  <c r="D28" i="18"/>
  <c r="C33" i="18"/>
  <c r="J28" i="18"/>
  <c r="I33" i="18"/>
  <c r="P28" i="18"/>
  <c r="O38" i="18"/>
  <c r="O33" i="18"/>
  <c r="AC33" i="18"/>
  <c r="AC12" i="18"/>
  <c r="AC9" i="18"/>
  <c r="AC5" i="18"/>
  <c r="C447" i="20"/>
  <c r="D453" i="20"/>
  <c r="J453" i="20"/>
  <c r="P453" i="20"/>
  <c r="L484" i="20"/>
  <c r="D526" i="20"/>
  <c r="D528" i="20"/>
  <c r="P526" i="20"/>
  <c r="P528" i="20"/>
  <c r="C532" i="20"/>
  <c r="C534" i="20"/>
  <c r="O532" i="20"/>
  <c r="O534" i="20"/>
  <c r="P565" i="20"/>
  <c r="Z457" i="20"/>
  <c r="Z470" i="20" s="1"/>
  <c r="G447" i="20"/>
  <c r="M447" i="20"/>
  <c r="W447" i="20"/>
  <c r="E453" i="20"/>
  <c r="K453" i="20"/>
  <c r="Q453" i="20"/>
  <c r="M492" i="20"/>
  <c r="M459" i="20"/>
  <c r="I486" i="20"/>
  <c r="I459" i="20" s="1"/>
  <c r="J528" i="20"/>
  <c r="D544" i="20"/>
  <c r="F577" i="20"/>
  <c r="F579" i="20"/>
  <c r="G502" i="20"/>
  <c r="H499" i="20"/>
  <c r="G394" i="20"/>
  <c r="G402" i="20" s="1"/>
  <c r="M502" i="20"/>
  <c r="N499" i="20"/>
  <c r="M394" i="20"/>
  <c r="M402" i="20" s="1"/>
  <c r="W502" i="20"/>
  <c r="Z499" i="20"/>
  <c r="W394" i="20"/>
  <c r="W402" i="20" s="1"/>
  <c r="O457" i="20"/>
  <c r="O419" i="20"/>
  <c r="O427" i="20" s="1"/>
  <c r="AC419" i="20"/>
  <c r="AC427" i="20" s="1"/>
  <c r="B447" i="20"/>
  <c r="H447" i="20"/>
  <c r="N447" i="20"/>
  <c r="Z447" i="20"/>
  <c r="F453" i="20"/>
  <c r="L453" i="20"/>
  <c r="T453" i="20"/>
  <c r="P479" i="20"/>
  <c r="T484" i="20"/>
  <c r="I534" i="20"/>
  <c r="E544" i="20"/>
  <c r="Q544" i="20"/>
  <c r="Q561" i="20"/>
  <c r="P573" i="20"/>
  <c r="P571" i="20"/>
  <c r="Z419" i="20"/>
  <c r="Z427" i="20" s="1"/>
  <c r="H484" i="20"/>
  <c r="N484" i="20"/>
  <c r="Z484" i="20"/>
  <c r="Q499" i="20"/>
  <c r="Q503" i="20" s="1"/>
  <c r="C502" i="20"/>
  <c r="H510" i="20"/>
  <c r="Q522" i="20"/>
  <c r="AC393" i="20"/>
  <c r="C470" i="20"/>
  <c r="I470" i="20"/>
  <c r="T499" i="20"/>
  <c r="D502" i="20"/>
  <c r="Q528" i="20"/>
  <c r="F573" i="20"/>
  <c r="D89" i="7"/>
  <c r="J90" i="7"/>
  <c r="C394" i="20"/>
  <c r="C402" i="20" s="1"/>
  <c r="I394" i="20"/>
  <c r="I402" i="20" s="1"/>
  <c r="O394" i="20"/>
  <c r="O402" i="20" s="1"/>
  <c r="D470" i="20"/>
  <c r="J470" i="20"/>
  <c r="E499" i="20"/>
  <c r="E503" i="20" s="1"/>
  <c r="I502" i="20"/>
  <c r="N510" i="20"/>
  <c r="H516" i="20"/>
  <c r="N516" i="20"/>
  <c r="Z516" i="20"/>
  <c r="E522" i="20"/>
  <c r="G573" i="20"/>
  <c r="AO10" i="18"/>
  <c r="W77" i="18"/>
  <c r="W15" i="18"/>
  <c r="E89" i="7"/>
  <c r="J40" i="7"/>
  <c r="J42" i="7" s="1"/>
  <c r="F502" i="20"/>
  <c r="G499" i="20"/>
  <c r="L502" i="20"/>
  <c r="M499" i="20"/>
  <c r="T502" i="20"/>
  <c r="W499" i="20"/>
  <c r="J394" i="20"/>
  <c r="J402" i="20" s="1"/>
  <c r="Q419" i="20"/>
  <c r="Q427" i="20" s="1"/>
  <c r="E470" i="20"/>
  <c r="K470" i="20"/>
  <c r="F499" i="20"/>
  <c r="J508" i="20"/>
  <c r="L573" i="20"/>
  <c r="K40" i="7"/>
  <c r="K42" i="7" s="1"/>
  <c r="T74" i="7"/>
  <c r="Q74" i="7"/>
  <c r="F540" i="20"/>
  <c r="L540" i="20"/>
  <c r="T540" i="20"/>
  <c r="H573" i="20"/>
  <c r="N573" i="20"/>
  <c r="Z573" i="20"/>
  <c r="P38" i="18"/>
  <c r="P33" i="18"/>
  <c r="P12" i="18"/>
  <c r="P9" i="18"/>
  <c r="P7" i="18"/>
  <c r="AF33" i="18"/>
  <c r="AF12" i="18"/>
  <c r="AF9" i="18"/>
  <c r="Z5" i="18"/>
  <c r="Z14" i="18"/>
  <c r="Q12" i="18"/>
  <c r="Q9" i="18"/>
  <c r="Q7" i="18"/>
  <c r="AI33" i="18"/>
  <c r="AI9" i="18"/>
  <c r="AC77" i="18"/>
  <c r="AC15" i="18"/>
  <c r="O15" i="18"/>
  <c r="K28" i="18"/>
  <c r="G33" i="18"/>
  <c r="W12" i="7"/>
  <c r="W9" i="7"/>
  <c r="W7" i="7"/>
  <c r="AI5" i="7"/>
  <c r="AI14" i="7"/>
  <c r="AI7" i="7"/>
  <c r="W15" i="7"/>
  <c r="W38" i="7"/>
  <c r="V38" i="7" s="1"/>
  <c r="Z571" i="20"/>
  <c r="F33" i="18"/>
  <c r="G28" i="18"/>
  <c r="L33" i="18"/>
  <c r="M28" i="18"/>
  <c r="T12" i="18"/>
  <c r="T9" i="18"/>
  <c r="T7" i="18"/>
  <c r="AF77" i="18"/>
  <c r="AF15" i="18"/>
  <c r="T68" i="18"/>
  <c r="Q79" i="18"/>
  <c r="C28" i="7"/>
  <c r="B33" i="7"/>
  <c r="I28" i="7"/>
  <c r="H38" i="7"/>
  <c r="H33" i="7"/>
  <c r="H34" i="7" s="1"/>
  <c r="O28" i="7"/>
  <c r="N38" i="7"/>
  <c r="N33" i="7"/>
  <c r="Z38" i="7"/>
  <c r="Y38" i="7" s="1"/>
  <c r="Z33" i="7"/>
  <c r="C79" i="7"/>
  <c r="B88" i="7"/>
  <c r="B15" i="7"/>
  <c r="I79" i="7"/>
  <c r="H88" i="7"/>
  <c r="H15" i="7"/>
  <c r="O79" i="7"/>
  <c r="N88" i="7"/>
  <c r="N15" i="7"/>
  <c r="Z88" i="7"/>
  <c r="Z15" i="7"/>
  <c r="AI77" i="18"/>
  <c r="AI15" i="18"/>
  <c r="Z7" i="18"/>
  <c r="Q28" i="18"/>
  <c r="M33" i="18"/>
  <c r="Z9" i="7"/>
  <c r="C88" i="7"/>
  <c r="C15" i="7"/>
  <c r="I88" i="7"/>
  <c r="I15" i="7"/>
  <c r="O88" i="7"/>
  <c r="O15" i="7"/>
  <c r="AC7" i="18"/>
  <c r="AC5" i="7"/>
  <c r="P9" i="7"/>
  <c r="AF9" i="7"/>
  <c r="P12" i="7"/>
  <c r="AF12" i="7"/>
  <c r="AF14" i="7"/>
  <c r="W28" i="7"/>
  <c r="G74" i="7"/>
  <c r="M74" i="7"/>
  <c r="F79" i="7"/>
  <c r="L79" i="7"/>
  <c r="T79" i="7"/>
  <c r="AF7" i="18"/>
  <c r="P5" i="7"/>
  <c r="AF5" i="7"/>
  <c r="Q9" i="7"/>
  <c r="AI9" i="7"/>
  <c r="Q12" i="7"/>
  <c r="C33" i="7"/>
  <c r="I33" i="7"/>
  <c r="O33" i="7"/>
  <c r="AC33" i="7"/>
  <c r="I38" i="7"/>
  <c r="O38" i="7"/>
  <c r="AI7" i="18"/>
  <c r="P15" i="18"/>
  <c r="Q5" i="7"/>
  <c r="T9" i="7"/>
  <c r="T12" i="7"/>
  <c r="D15" i="7"/>
  <c r="J15" i="7"/>
  <c r="P15" i="7"/>
  <c r="J33" i="7"/>
  <c r="J34" i="7" s="1"/>
  <c r="P33" i="7"/>
  <c r="AF33" i="7"/>
  <c r="P38" i="7"/>
  <c r="E15" i="7"/>
  <c r="K15" i="7"/>
  <c r="K33" i="7"/>
  <c r="AI33" i="7"/>
  <c r="AG87" i="7"/>
  <c r="AH87" i="7" s="1"/>
  <c r="AC92" i="20" l="1"/>
  <c r="AC99" i="20"/>
  <c r="AU78" i="20"/>
  <c r="AF259" i="4"/>
  <c r="AF260" i="4" s="1"/>
  <c r="AP252" i="14"/>
  <c r="AQ252" i="14" s="1"/>
  <c r="AO333" i="20"/>
  <c r="AR334" i="20" s="1"/>
  <c r="AR327" i="20"/>
  <c r="AQ237" i="20"/>
  <c r="AR253" i="20"/>
  <c r="AR119" i="20"/>
  <c r="AQ231" i="20"/>
  <c r="AR250" i="20"/>
  <c r="AC81" i="6"/>
  <c r="Z73" i="2"/>
  <c r="X73" i="2" s="1"/>
  <c r="X74" i="2" s="1"/>
  <c r="X65" i="2" s="1"/>
  <c r="Z254" i="14"/>
  <c r="Z257" i="14" s="1"/>
  <c r="Z49" i="3"/>
  <c r="W65" i="2"/>
  <c r="T174" i="2"/>
  <c r="Z59" i="14"/>
  <c r="W59" i="14"/>
  <c r="AZ209" i="14"/>
  <c r="AY202" i="14"/>
  <c r="AY118" i="14" s="1"/>
  <c r="AT189" i="14"/>
  <c r="AF59" i="14"/>
  <c r="AF126" i="14" s="1"/>
  <c r="AF342" i="20"/>
  <c r="AE342" i="20" s="1"/>
  <c r="AF330" i="20"/>
  <c r="AC342" i="20"/>
  <c r="AC336" i="20" s="1"/>
  <c r="AC330" i="20"/>
  <c r="AF84" i="20"/>
  <c r="AF306" i="20"/>
  <c r="AI84" i="20"/>
  <c r="AI306" i="20"/>
  <c r="AB116" i="20"/>
  <c r="AE339" i="20"/>
  <c r="AC328" i="20"/>
  <c r="AF328" i="20"/>
  <c r="AC312" i="20"/>
  <c r="AF312" i="20"/>
  <c r="AC326" i="20"/>
  <c r="AF326" i="20"/>
  <c r="T26" i="3"/>
  <c r="B98" i="3"/>
  <c r="Q98" i="3"/>
  <c r="Z165" i="20"/>
  <c r="Z129" i="20" s="1"/>
  <c r="W158" i="2"/>
  <c r="W219" i="6"/>
  <c r="W231" i="6" s="1"/>
  <c r="AI100" i="2"/>
  <c r="AI24" i="2" s="1"/>
  <c r="BA152" i="20"/>
  <c r="BD152" i="20" s="1"/>
  <c r="S211" i="4"/>
  <c r="S263" i="4" s="1"/>
  <c r="Z211" i="4"/>
  <c r="AI259" i="4"/>
  <c r="AI260" i="4" s="1"/>
  <c r="AN10" i="18"/>
  <c r="AR74" i="18"/>
  <c r="AQ74" i="18" s="1"/>
  <c r="AO44" i="20"/>
  <c r="AO360" i="20"/>
  <c r="AR203" i="4"/>
  <c r="AR210" i="4" s="1"/>
  <c r="AR206" i="4"/>
  <c r="AQ198" i="4"/>
  <c r="AQ203" i="4" s="1"/>
  <c r="AQ210" i="4" s="1"/>
  <c r="AO250" i="20"/>
  <c r="AN231" i="20"/>
  <c r="AN237" i="20"/>
  <c r="AO253" i="20"/>
  <c r="AN253" i="20" s="1"/>
  <c r="AO329" i="20"/>
  <c r="AO78" i="20"/>
  <c r="AO82" i="20" s="1"/>
  <c r="AO79" i="20"/>
  <c r="AO83" i="20" s="1"/>
  <c r="AO80" i="20"/>
  <c r="AO306" i="20" s="1"/>
  <c r="AO119" i="20"/>
  <c r="AO41" i="20"/>
  <c r="AO331" i="20"/>
  <c r="AR18" i="2"/>
  <c r="AR16" i="2"/>
  <c r="AR12" i="2"/>
  <c r="AG68" i="2"/>
  <c r="AH64" i="2" s="1"/>
  <c r="AH68" i="2" s="1"/>
  <c r="AF211" i="4"/>
  <c r="AF263" i="4" s="1"/>
  <c r="Z5" i="2"/>
  <c r="Z8" i="2" s="1"/>
  <c r="Z99" i="4" s="1"/>
  <c r="Z14" i="3"/>
  <c r="Z71" i="3"/>
  <c r="Z85" i="3"/>
  <c r="AI22" i="4"/>
  <c r="AC158" i="2"/>
  <c r="V211" i="4"/>
  <c r="V263" i="4" s="1"/>
  <c r="AC54" i="5"/>
  <c r="L211" i="4"/>
  <c r="L263" i="4" s="1"/>
  <c r="AB211" i="4"/>
  <c r="AB263" i="4" s="1"/>
  <c r="AC91" i="5"/>
  <c r="S44" i="10"/>
  <c r="BB207" i="14"/>
  <c r="BC207" i="14" s="1"/>
  <c r="BB197" i="14"/>
  <c r="S34" i="3"/>
  <c r="S6" i="7"/>
  <c r="S14" i="7" s="1"/>
  <c r="V36" i="3"/>
  <c r="V6" i="18"/>
  <c r="V34" i="3"/>
  <c r="V6" i="7"/>
  <c r="V5" i="7" s="1"/>
  <c r="S36" i="3"/>
  <c r="S6" i="18"/>
  <c r="AI24" i="14"/>
  <c r="W211" i="4"/>
  <c r="W263" i="4" s="1"/>
  <c r="S32" i="3"/>
  <c r="S6" i="6"/>
  <c r="V32" i="3"/>
  <c r="V6" i="6"/>
  <c r="V91" i="6" s="1"/>
  <c r="AN113" i="6"/>
  <c r="AK63" i="14"/>
  <c r="AE19" i="5"/>
  <c r="AE211" i="4"/>
  <c r="AE263" i="4" s="1"/>
  <c r="P24" i="3"/>
  <c r="AZ200" i="4"/>
  <c r="Y211" i="4"/>
  <c r="V158" i="2"/>
  <c r="S158" i="2"/>
  <c r="S34" i="2"/>
  <c r="S153" i="2" s="1"/>
  <c r="V41" i="4"/>
  <c r="V3" i="4" s="1"/>
  <c r="V52" i="4"/>
  <c r="U74" i="2"/>
  <c r="U65" i="2" s="1"/>
  <c r="V31" i="2"/>
  <c r="R74" i="2"/>
  <c r="R65" i="2" s="1"/>
  <c r="S65" i="2" s="1"/>
  <c r="AZ182" i="4"/>
  <c r="V239" i="4"/>
  <c r="V240" i="4" s="1"/>
  <c r="V242" i="4" s="1"/>
  <c r="V84" i="5"/>
  <c r="S58" i="4"/>
  <c r="S60" i="4" s="1"/>
  <c r="S214" i="4"/>
  <c r="U43" i="2"/>
  <c r="U98" i="5"/>
  <c r="U108" i="5" s="1"/>
  <c r="U111" i="5" s="1"/>
  <c r="U37" i="2"/>
  <c r="U157" i="2" s="1"/>
  <c r="R62" i="4"/>
  <c r="R105" i="4"/>
  <c r="R43" i="2"/>
  <c r="R37" i="2"/>
  <c r="AA106" i="4"/>
  <c r="AD106" i="4"/>
  <c r="AC211" i="4"/>
  <c r="AC263" i="4" s="1"/>
  <c r="AX253" i="14"/>
  <c r="AX254" i="14" s="1"/>
  <c r="AB39" i="4"/>
  <c r="AB41" i="4" s="1"/>
  <c r="Y62" i="2"/>
  <c r="AL64" i="2"/>
  <c r="Y34" i="2"/>
  <c r="Y153" i="2" s="1"/>
  <c r="Y158" i="2"/>
  <c r="AE51" i="4"/>
  <c r="AE237" i="4"/>
  <c r="AD71" i="4"/>
  <c r="AD72" i="4" s="1"/>
  <c r="AE163" i="4"/>
  <c r="AE164" i="4" s="1"/>
  <c r="AB163" i="4"/>
  <c r="AB164" i="4" s="1"/>
  <c r="AH263" i="4"/>
  <c r="AE31" i="2"/>
  <c r="AA62" i="4"/>
  <c r="AA112" i="5"/>
  <c r="AH51" i="4"/>
  <c r="AH237" i="4"/>
  <c r="AH240" i="4" s="1"/>
  <c r="AH242" i="4" s="1"/>
  <c r="AH78" i="4"/>
  <c r="AH30" i="4"/>
  <c r="AH39" i="4" s="1"/>
  <c r="AH158" i="2"/>
  <c r="AH34" i="2"/>
  <c r="AH153" i="2" s="1"/>
  <c r="AH60" i="5"/>
  <c r="AH89" i="5"/>
  <c r="AE34" i="2"/>
  <c r="AE153" i="2" s="1"/>
  <c r="AE158" i="2"/>
  <c r="AE58" i="4"/>
  <c r="AE60" i="4" s="1"/>
  <c r="AE214" i="4"/>
  <c r="AB34" i="2"/>
  <c r="AB153" i="2" s="1"/>
  <c r="AB158" i="2"/>
  <c r="AE65" i="2"/>
  <c r="AD68" i="2"/>
  <c r="AE64" i="2" s="1"/>
  <c r="AC65" i="2"/>
  <c r="AB65" i="2" s="1"/>
  <c r="AB74" i="2"/>
  <c r="V7" i="10"/>
  <c r="V10" i="10" s="1"/>
  <c r="AG69" i="4"/>
  <c r="AB91" i="5"/>
  <c r="AB54" i="5"/>
  <c r="AB58" i="4"/>
  <c r="AB60" i="4" s="1"/>
  <c r="AB214" i="4"/>
  <c r="AH77" i="4"/>
  <c r="AH21" i="4"/>
  <c r="AH22" i="4" s="1"/>
  <c r="AH175" i="4"/>
  <c r="AH176" i="4" s="1"/>
  <c r="AH119" i="2"/>
  <c r="AH112" i="2" s="1"/>
  <c r="AH12" i="5"/>
  <c r="AE141" i="2"/>
  <c r="AC259" i="4"/>
  <c r="AC260" i="4" s="1"/>
  <c r="AB257" i="4"/>
  <c r="AB259" i="4" s="1"/>
  <c r="AB260" i="4" s="1"/>
  <c r="AA43" i="2"/>
  <c r="AA98" i="5"/>
  <c r="AA99" i="5" s="1"/>
  <c r="AA37" i="2"/>
  <c r="AA157" i="2" s="1"/>
  <c r="AE77" i="4"/>
  <c r="AE21" i="4"/>
  <c r="AE22" i="4" s="1"/>
  <c r="AE78" i="4"/>
  <c r="AE30" i="4"/>
  <c r="AE39" i="4" s="1"/>
  <c r="AB51" i="4"/>
  <c r="AB237" i="4"/>
  <c r="AB78" i="4"/>
  <c r="AJ71" i="4"/>
  <c r="AJ72" i="4" s="1"/>
  <c r="AK69" i="4"/>
  <c r="AO22" i="2"/>
  <c r="AN22" i="2" s="1"/>
  <c r="AK22" i="2"/>
  <c r="AK163" i="4"/>
  <c r="AK164" i="4" s="1"/>
  <c r="AI10" i="2"/>
  <c r="AO206" i="4"/>
  <c r="AN206" i="4" s="1"/>
  <c r="AN208" i="4" s="1"/>
  <c r="AN211" i="4" s="1"/>
  <c r="AN198" i="4"/>
  <c r="AN203" i="4" s="1"/>
  <c r="AN210" i="4" s="1"/>
  <c r="BD181" i="4"/>
  <c r="BB181" i="4" s="1"/>
  <c r="BC181" i="4" s="1"/>
  <c r="BA183" i="4"/>
  <c r="AZ183" i="4" s="1"/>
  <c r="BD185" i="4"/>
  <c r="BB185" i="4" s="1"/>
  <c r="BC185" i="4" s="1"/>
  <c r="BD182" i="4"/>
  <c r="AF162" i="4"/>
  <c r="Z168" i="20"/>
  <c r="Z132" i="20" s="1"/>
  <c r="BA190" i="4"/>
  <c r="AZ190" i="4" s="1"/>
  <c r="BA184" i="4"/>
  <c r="AA561" i="20"/>
  <c r="BA59" i="4"/>
  <c r="AC254" i="14"/>
  <c r="AC257" i="14" s="1"/>
  <c r="AA253" i="14"/>
  <c r="Y7" i="18"/>
  <c r="Y14" i="18"/>
  <c r="Y40" i="7"/>
  <c r="Y42" i="7" s="1"/>
  <c r="AZ457" i="20"/>
  <c r="AY457" i="20"/>
  <c r="U179" i="14"/>
  <c r="U178" i="14" s="1"/>
  <c r="V178" i="14" s="1"/>
  <c r="V179" i="14"/>
  <c r="U184" i="14"/>
  <c r="U181" i="14"/>
  <c r="AH12" i="6"/>
  <c r="AH9" i="6"/>
  <c r="S12" i="18"/>
  <c r="S33" i="18"/>
  <c r="S23" i="18"/>
  <c r="S9" i="18"/>
  <c r="AD105" i="20"/>
  <c r="AD73" i="20"/>
  <c r="AB14" i="7"/>
  <c r="Z72" i="10"/>
  <c r="T33" i="18"/>
  <c r="W28" i="18" s="1"/>
  <c r="W36" i="18" s="1"/>
  <c r="S28" i="18"/>
  <c r="S36" i="18" s="1"/>
  <c r="W253" i="14"/>
  <c r="U253" i="14" s="1"/>
  <c r="V253" i="14" s="1"/>
  <c r="U252" i="14"/>
  <c r="BD123" i="6"/>
  <c r="AZ123" i="6"/>
  <c r="AI29" i="7"/>
  <c r="AH29" i="7" s="1"/>
  <c r="AE38" i="7"/>
  <c r="AF253" i="20"/>
  <c r="AE253" i="20" s="1"/>
  <c r="AE237" i="20"/>
  <c r="AM249" i="20"/>
  <c r="AH15" i="7"/>
  <c r="AH88" i="7"/>
  <c r="Y252" i="14"/>
  <c r="Y254" i="14" s="1"/>
  <c r="X254" i="14"/>
  <c r="X257" i="14" s="1"/>
  <c r="AE564" i="20"/>
  <c r="AE565" i="20" s="1"/>
  <c r="AE228" i="14"/>
  <c r="AE149" i="14"/>
  <c r="AE151" i="14" s="1"/>
  <c r="AE95" i="14"/>
  <c r="AE98" i="14" s="1"/>
  <c r="AE99" i="14" s="1"/>
  <c r="AB525" i="20"/>
  <c r="AB172" i="14"/>
  <c r="AA572" i="20"/>
  <c r="AB509" i="20"/>
  <c r="AB460" i="20"/>
  <c r="AB393" i="20"/>
  <c r="AB459" i="20" s="1"/>
  <c r="AB226" i="20"/>
  <c r="AB61" i="20"/>
  <c r="AB240" i="20"/>
  <c r="AB537" i="20"/>
  <c r="AB538" i="20" s="1"/>
  <c r="AB192" i="14"/>
  <c r="Y5" i="18"/>
  <c r="X12" i="6"/>
  <c r="X9" i="6"/>
  <c r="X15" i="6"/>
  <c r="V80" i="7"/>
  <c r="U81" i="7"/>
  <c r="AB463" i="20"/>
  <c r="AB474" i="20" s="1"/>
  <c r="AB527" i="20"/>
  <c r="AY252" i="14"/>
  <c r="AZ252" i="14" s="1"/>
  <c r="AH40" i="18"/>
  <c r="AK28" i="18"/>
  <c r="S80" i="7"/>
  <c r="R81" i="7"/>
  <c r="AE7" i="3"/>
  <c r="AB9" i="6"/>
  <c r="AB12" i="6"/>
  <c r="BA254" i="14"/>
  <c r="BA256" i="14" s="1"/>
  <c r="AY253" i="14"/>
  <c r="AZ253" i="14" s="1"/>
  <c r="W44" i="7"/>
  <c r="S38" i="7"/>
  <c r="T36" i="7"/>
  <c r="S28" i="7"/>
  <c r="Y15" i="6"/>
  <c r="AB14" i="18"/>
  <c r="AA374" i="20"/>
  <c r="AA69" i="14"/>
  <c r="AE22" i="14"/>
  <c r="AE256" i="14" s="1"/>
  <c r="AH99" i="6"/>
  <c r="AF365" i="20"/>
  <c r="AA365" i="20"/>
  <c r="AD522" i="20"/>
  <c r="AD520" i="20"/>
  <c r="AD516" i="20"/>
  <c r="AD514" i="20"/>
  <c r="AG65" i="14"/>
  <c r="AG57" i="14"/>
  <c r="AG48" i="14" s="1"/>
  <c r="AG61" i="14"/>
  <c r="AC24" i="3"/>
  <c r="AL253" i="14"/>
  <c r="AL254" i="14" s="1"/>
  <c r="AL257" i="14" s="1"/>
  <c r="AJ252" i="14"/>
  <c r="AK252" i="14" s="1"/>
  <c r="AE21" i="14"/>
  <c r="AE239" i="14" s="1"/>
  <c r="AH98" i="6"/>
  <c r="AI40" i="7"/>
  <c r="AI55" i="7" s="1"/>
  <c r="AH38" i="7"/>
  <c r="AF249" i="20"/>
  <c r="AD233" i="20"/>
  <c r="AD249" i="20" s="1"/>
  <c r="AC253" i="20"/>
  <c r="AL249" i="20"/>
  <c r="AJ233" i="20"/>
  <c r="AJ249" i="20" s="1"/>
  <c r="AI253" i="20"/>
  <c r="AH253" i="20" s="1"/>
  <c r="AH237" i="20"/>
  <c r="BG253" i="14"/>
  <c r="BE252" i="14"/>
  <c r="AB543" i="20"/>
  <c r="AB544" i="20" s="1"/>
  <c r="AB202" i="14"/>
  <c r="U23" i="3"/>
  <c r="U5" i="2" s="1"/>
  <c r="W167" i="20"/>
  <c r="AB572" i="20"/>
  <c r="BG364" i="20"/>
  <c r="AY364" i="20"/>
  <c r="AP253" i="14"/>
  <c r="AA566" i="20"/>
  <c r="AA400" i="20"/>
  <c r="AD312" i="20" s="1"/>
  <c r="AA384" i="20"/>
  <c r="AK189" i="14"/>
  <c r="AJ189" i="14"/>
  <c r="AJ188" i="14" s="1"/>
  <c r="AK188" i="14" s="1"/>
  <c r="W168" i="20"/>
  <c r="W132" i="20" s="1"/>
  <c r="AW457" i="20"/>
  <c r="AC260" i="14"/>
  <c r="X260" i="14"/>
  <c r="X259" i="14" s="1"/>
  <c r="X36" i="14" s="1"/>
  <c r="AW252" i="14"/>
  <c r="AG21" i="3"/>
  <c r="AG23" i="3" s="1"/>
  <c r="AG5" i="2" s="1"/>
  <c r="AG32" i="3"/>
  <c r="AJ7" i="3"/>
  <c r="AG54" i="3"/>
  <c r="AE7" i="7"/>
  <c r="AE14" i="7"/>
  <c r="AB52" i="20"/>
  <c r="AN54" i="20" s="1"/>
  <c r="AB49" i="20"/>
  <c r="AE5" i="7"/>
  <c r="AE23" i="7"/>
  <c r="AE12" i="7"/>
  <c r="AE9" i="7"/>
  <c r="AF92" i="7"/>
  <c r="AI92" i="7" s="1"/>
  <c r="AA92" i="7"/>
  <c r="AA80" i="7" s="1"/>
  <c r="AB92" i="7"/>
  <c r="V33" i="18"/>
  <c r="V12" i="18"/>
  <c r="V9" i="18"/>
  <c r="AW208" i="14"/>
  <c r="AD565" i="20"/>
  <c r="AD567" i="20"/>
  <c r="AD503" i="20"/>
  <c r="AD501" i="20"/>
  <c r="AO253" i="14"/>
  <c r="AM252" i="14"/>
  <c r="AI253" i="14"/>
  <c r="AG253" i="14" s="1"/>
  <c r="AH253" i="14" s="1"/>
  <c r="AG252" i="14"/>
  <c r="W1" i="3"/>
  <c r="W51" i="3" s="1"/>
  <c r="T51" i="3"/>
  <c r="AC48" i="14"/>
  <c r="AE374" i="20"/>
  <c r="AE69" i="14"/>
  <c r="AB374" i="20"/>
  <c r="AB362" i="20" s="1"/>
  <c r="AB360" i="20" s="1"/>
  <c r="AB356" i="20" s="1"/>
  <c r="AB69" i="14"/>
  <c r="AA461" i="20"/>
  <c r="AA472" i="20" s="1"/>
  <c r="AA515" i="20"/>
  <c r="AE61" i="20"/>
  <c r="AE62" i="20" s="1"/>
  <c r="AE59" i="20" s="1"/>
  <c r="AE226" i="20"/>
  <c r="AE225" i="20"/>
  <c r="AE240" i="20"/>
  <c r="AD573" i="20"/>
  <c r="AD571" i="20"/>
  <c r="AB28" i="18"/>
  <c r="AB36" i="18" s="1"/>
  <c r="Y40" i="18"/>
  <c r="AD12" i="6"/>
  <c r="AD9" i="6"/>
  <c r="AD15" i="6"/>
  <c r="S69" i="18"/>
  <c r="R70" i="18"/>
  <c r="BG571" i="20"/>
  <c r="BB571" i="20"/>
  <c r="BC571" i="20" s="1"/>
  <c r="AB566" i="20"/>
  <c r="AB400" i="20"/>
  <c r="AE312" i="20" s="1"/>
  <c r="AB384" i="20"/>
  <c r="BJ244" i="14"/>
  <c r="BH244" i="14" s="1"/>
  <c r="BE244" i="14"/>
  <c r="AA521" i="20"/>
  <c r="AA462" i="20"/>
  <c r="AA473" i="20" s="1"/>
  <c r="AB531" i="20"/>
  <c r="AB532" i="20" s="1"/>
  <c r="AB182" i="14"/>
  <c r="AE40" i="18"/>
  <c r="AA12" i="6"/>
  <c r="AA9" i="6"/>
  <c r="AA15" i="6"/>
  <c r="T88" i="7"/>
  <c r="T90" i="7" s="1"/>
  <c r="S79" i="7"/>
  <c r="T77" i="18"/>
  <c r="S68" i="18"/>
  <c r="AK81" i="18"/>
  <c r="AJ81" i="18"/>
  <c r="AJ69" i="18" s="1"/>
  <c r="AJ70" i="18" s="1"/>
  <c r="V40" i="7"/>
  <c r="V42" i="7" s="1"/>
  <c r="AW464" i="20"/>
  <c r="AW167" i="14"/>
  <c r="AB7" i="18"/>
  <c r="AE118" i="20"/>
  <c r="AE52" i="20"/>
  <c r="AE49" i="20"/>
  <c r="T98" i="3"/>
  <c r="AH23" i="7"/>
  <c r="AH9" i="7"/>
  <c r="AH12" i="7"/>
  <c r="AF253" i="14"/>
  <c r="AD252" i="14"/>
  <c r="AD526" i="20"/>
  <c r="AD528" i="20"/>
  <c r="AD510" i="20"/>
  <c r="AD508" i="20"/>
  <c r="AB20" i="14"/>
  <c r="AB40" i="14" s="1"/>
  <c r="AE97" i="6"/>
  <c r="AF29" i="7"/>
  <c r="AE29" i="7" s="1"/>
  <c r="AB38" i="7"/>
  <c r="AK376" i="20"/>
  <c r="AK357" i="20"/>
  <c r="AK76" i="20"/>
  <c r="AK78" i="20" s="1"/>
  <c r="AN376" i="20"/>
  <c r="AC249" i="20"/>
  <c r="AA233" i="20"/>
  <c r="AA249" i="20" s="1"/>
  <c r="AL253" i="20"/>
  <c r="AK253" i="20" s="1"/>
  <c r="AK237" i="20"/>
  <c r="AI249" i="20"/>
  <c r="AG233" i="20"/>
  <c r="AG249" i="20" s="1"/>
  <c r="AH5" i="7"/>
  <c r="AD70" i="18"/>
  <c r="AB515" i="20"/>
  <c r="AB461" i="20"/>
  <c r="AB472" i="20" s="1"/>
  <c r="AU253" i="14"/>
  <c r="AS253" i="14" s="1"/>
  <c r="AS254" i="14" s="1"/>
  <c r="AT252" i="14"/>
  <c r="V69" i="18"/>
  <c r="U70" i="18"/>
  <c r="AA509" i="20"/>
  <c r="AA460" i="20"/>
  <c r="AA471" i="20" s="1"/>
  <c r="AA393" i="20"/>
  <c r="AA459" i="20" s="1"/>
  <c r="BD253" i="14"/>
  <c r="BB252" i="14"/>
  <c r="AB250" i="14"/>
  <c r="AA250" i="14"/>
  <c r="AB513" i="20"/>
  <c r="AB162" i="14"/>
  <c r="AB36" i="7"/>
  <c r="AA463" i="20"/>
  <c r="AA474" i="20" s="1"/>
  <c r="AA527" i="20"/>
  <c r="R23" i="3"/>
  <c r="U7" i="3"/>
  <c r="R32" i="3"/>
  <c r="R54" i="3"/>
  <c r="AB521" i="20"/>
  <c r="AB462" i="20"/>
  <c r="AB473" i="20" s="1"/>
  <c r="BJ253" i="14"/>
  <c r="BH252" i="14"/>
  <c r="AF35" i="14"/>
  <c r="AE243" i="14"/>
  <c r="Y22" i="14"/>
  <c r="Y256" i="14" s="1"/>
  <c r="AH71" i="6"/>
  <c r="AE20" i="14"/>
  <c r="AE40" i="14" s="1"/>
  <c r="W29" i="14"/>
  <c r="V259" i="14"/>
  <c r="AC35" i="14"/>
  <c r="AB243" i="14"/>
  <c r="T25" i="6"/>
  <c r="W1" i="6"/>
  <c r="AB22" i="14"/>
  <c r="AB256" i="14" s="1"/>
  <c r="V20" i="14"/>
  <c r="V40" i="14" s="1"/>
  <c r="Y43" i="14"/>
  <c r="Y42" i="14"/>
  <c r="Y44" i="14"/>
  <c r="AF40" i="7"/>
  <c r="AF58" i="7" s="1"/>
  <c r="T27" i="14"/>
  <c r="T34" i="14"/>
  <c r="T111" i="6" s="1"/>
  <c r="Q27" i="14"/>
  <c r="Q34" i="14"/>
  <c r="M41" i="4"/>
  <c r="M3" i="4" s="1"/>
  <c r="M3" i="5" s="1"/>
  <c r="AF165" i="2"/>
  <c r="B5" i="2"/>
  <c r="B123" i="2" s="1"/>
  <c r="T25" i="3"/>
  <c r="P71" i="3"/>
  <c r="B85" i="3"/>
  <c r="Q5" i="2"/>
  <c r="Q142" i="2" s="1"/>
  <c r="B71" i="3"/>
  <c r="Q85" i="3"/>
  <c r="Q24" i="3"/>
  <c r="Q25" i="3"/>
  <c r="T40" i="18"/>
  <c r="T42" i="18" s="1"/>
  <c r="P5" i="2"/>
  <c r="P142" i="2" s="1"/>
  <c r="Q40" i="7"/>
  <c r="Q59" i="7" s="1"/>
  <c r="P98" i="3"/>
  <c r="Q26" i="3"/>
  <c r="P85" i="3"/>
  <c r="P49" i="3"/>
  <c r="AC487" i="20"/>
  <c r="W116" i="20"/>
  <c r="V116" i="20" s="1"/>
  <c r="V119" i="20" s="1"/>
  <c r="Z183" i="14"/>
  <c r="X183" i="14" s="1"/>
  <c r="T183" i="14"/>
  <c r="W184" i="14"/>
  <c r="W181" i="14"/>
  <c r="AC42" i="14"/>
  <c r="AC52" i="14"/>
  <c r="AI127" i="6"/>
  <c r="AI128" i="6"/>
  <c r="W41" i="18"/>
  <c r="P34" i="7"/>
  <c r="AE22" i="20"/>
  <c r="AE358" i="20" s="1"/>
  <c r="AC78" i="20"/>
  <c r="AC82" i="20" s="1"/>
  <c r="F89" i="7"/>
  <c r="AC80" i="20"/>
  <c r="E143" i="14"/>
  <c r="E41" i="14" s="1"/>
  <c r="W41" i="4"/>
  <c r="H123" i="2"/>
  <c r="Z79" i="4"/>
  <c r="Z224" i="4" s="1"/>
  <c r="Z225" i="4" s="1"/>
  <c r="AF39" i="4"/>
  <c r="J39" i="6"/>
  <c r="AC375" i="20"/>
  <c r="F228" i="4"/>
  <c r="B158" i="2"/>
  <c r="F28" i="10"/>
  <c r="G211" i="4"/>
  <c r="G263" i="4" s="1"/>
  <c r="AF99" i="5"/>
  <c r="AF78" i="20"/>
  <c r="AF82" i="20" s="1"/>
  <c r="AF79" i="20"/>
  <c r="AF83" i="20" s="1"/>
  <c r="D239" i="4"/>
  <c r="D240" i="4" s="1"/>
  <c r="D242" i="4" s="1"/>
  <c r="AL79" i="20"/>
  <c r="AL83" i="20" s="1"/>
  <c r="Q211" i="4"/>
  <c r="Q263" i="4" s="1"/>
  <c r="B239" i="4"/>
  <c r="B240" i="4" s="1"/>
  <c r="B242" i="4" s="1"/>
  <c r="O81" i="4"/>
  <c r="AL80" i="20"/>
  <c r="AL306" i="20" s="1"/>
  <c r="N34" i="7"/>
  <c r="T44" i="18"/>
  <c r="S44" i="18" s="1"/>
  <c r="Q41" i="18"/>
  <c r="K211" i="4"/>
  <c r="K263" i="4" s="1"/>
  <c r="C84" i="5"/>
  <c r="B84" i="5"/>
  <c r="AI27" i="3"/>
  <c r="AI24" i="20"/>
  <c r="AF92" i="20"/>
  <c r="AI79" i="20"/>
  <c r="AI83" i="20" s="1"/>
  <c r="AI78" i="20"/>
  <c r="AI82" i="20" s="1"/>
  <c r="P263" i="4"/>
  <c r="T40" i="14"/>
  <c r="T95" i="14"/>
  <c r="T49" i="14"/>
  <c r="T96" i="14" s="1"/>
  <c r="D448" i="20"/>
  <c r="D455" i="20" s="1"/>
  <c r="Q448" i="20"/>
  <c r="Q455" i="20" s="1"/>
  <c r="W448" i="20"/>
  <c r="W455" i="20" s="1"/>
  <c r="B448" i="20"/>
  <c r="B455" i="20" s="1"/>
  <c r="L448" i="20"/>
  <c r="L455" i="20" s="1"/>
  <c r="AL141" i="20"/>
  <c r="AO141" i="20" s="1"/>
  <c r="G448" i="20"/>
  <c r="G455" i="20" s="1"/>
  <c r="E448" i="20"/>
  <c r="E455" i="20" s="1"/>
  <c r="T448" i="20"/>
  <c r="T455" i="20" s="1"/>
  <c r="O142" i="14"/>
  <c r="O143" i="14" s="1"/>
  <c r="W483" i="20"/>
  <c r="W10" i="14"/>
  <c r="M211" i="4"/>
  <c r="M263" i="4" s="1"/>
  <c r="AI263" i="4"/>
  <c r="AF24" i="3"/>
  <c r="W168" i="6"/>
  <c r="K98" i="4"/>
  <c r="O483" i="20"/>
  <c r="M448" i="20"/>
  <c r="M455" i="20" s="1"/>
  <c r="J448" i="20"/>
  <c r="J455" i="20" s="1"/>
  <c r="N95" i="14"/>
  <c r="N174" i="2"/>
  <c r="K95" i="14"/>
  <c r="K174" i="2"/>
  <c r="H95" i="14"/>
  <c r="H174" i="2"/>
  <c r="D95" i="14"/>
  <c r="D174" i="2"/>
  <c r="G95" i="14"/>
  <c r="G174" i="2"/>
  <c r="C95" i="14"/>
  <c r="C174" i="2"/>
  <c r="E95" i="14"/>
  <c r="E174" i="2"/>
  <c r="L95" i="14"/>
  <c r="L174" i="2"/>
  <c r="I95" i="14"/>
  <c r="I174" i="2"/>
  <c r="J95" i="14"/>
  <c r="J174" i="2"/>
  <c r="M95" i="14"/>
  <c r="M174" i="2"/>
  <c r="O95" i="14"/>
  <c r="O174" i="2"/>
  <c r="B95" i="14"/>
  <c r="B174" i="2"/>
  <c r="F95" i="14"/>
  <c r="F174" i="2"/>
  <c r="H448" i="20"/>
  <c r="H455" i="20" s="1"/>
  <c r="C32" i="2"/>
  <c r="C38" i="2" s="1"/>
  <c r="C42" i="2" s="1"/>
  <c r="C45" i="2" s="1"/>
  <c r="M239" i="4"/>
  <c r="M240" i="4" s="1"/>
  <c r="M242" i="4" s="1"/>
  <c r="G41" i="4"/>
  <c r="G3" i="4" s="1"/>
  <c r="G3" i="5" s="1"/>
  <c r="AI81" i="6"/>
  <c r="W142" i="14"/>
  <c r="W143" i="14" s="1"/>
  <c r="W41" i="14" s="1"/>
  <c r="W44" i="14" s="1"/>
  <c r="K448" i="20"/>
  <c r="K455" i="20" s="1"/>
  <c r="H480" i="20"/>
  <c r="M7" i="10"/>
  <c r="M52" i="10" s="1"/>
  <c r="H211" i="4"/>
  <c r="H263" i="4" s="1"/>
  <c r="O41" i="4"/>
  <c r="O3" i="4" s="1"/>
  <c r="P448" i="20"/>
  <c r="P455" i="20" s="1"/>
  <c r="L3" i="4"/>
  <c r="L3" i="5" s="1"/>
  <c r="E480" i="20"/>
  <c r="J57" i="6"/>
  <c r="C448" i="20"/>
  <c r="C455" i="20" s="1"/>
  <c r="C493" i="20"/>
  <c r="P483" i="20"/>
  <c r="AI92" i="6"/>
  <c r="K501" i="20"/>
  <c r="B10" i="10"/>
  <c r="F33" i="2"/>
  <c r="F37" i="2" s="1"/>
  <c r="J239" i="4"/>
  <c r="J240" i="4" s="1"/>
  <c r="J242" i="4" s="1"/>
  <c r="O448" i="20"/>
  <c r="O455" i="20" s="1"/>
  <c r="J41" i="4"/>
  <c r="J3" i="4" s="1"/>
  <c r="J3" i="2" s="1"/>
  <c r="N211" i="4"/>
  <c r="N263" i="4" s="1"/>
  <c r="K41" i="4"/>
  <c r="K3" i="4" s="1"/>
  <c r="K3" i="5" s="1"/>
  <c r="J480" i="20"/>
  <c r="Q33" i="7"/>
  <c r="Q89" i="7" s="1"/>
  <c r="N448" i="20"/>
  <c r="N455" i="20" s="1"/>
  <c r="AF92" i="6"/>
  <c r="F26" i="2"/>
  <c r="D143" i="14"/>
  <c r="D41" i="14" s="1"/>
  <c r="Q483" i="20"/>
  <c r="T211" i="4"/>
  <c r="T263" i="4" s="1"/>
  <c r="C88" i="5"/>
  <c r="C94" i="5" s="1"/>
  <c r="C111" i="5" s="1"/>
  <c r="C31" i="5"/>
  <c r="C76" i="5" s="1"/>
  <c r="AC473" i="20"/>
  <c r="B225" i="4"/>
  <c r="B58" i="10" s="1"/>
  <c r="B60" i="10" s="1"/>
  <c r="J84" i="5"/>
  <c r="F448" i="20"/>
  <c r="F455" i="20" s="1"/>
  <c r="I448" i="20"/>
  <c r="I455" i="20" s="1"/>
  <c r="E79" i="4"/>
  <c r="E224" i="4" s="1"/>
  <c r="E225" i="4" s="1"/>
  <c r="AC486" i="20"/>
  <c r="AC474" i="20"/>
  <c r="C501" i="20"/>
  <c r="I210" i="4"/>
  <c r="J7" i="10"/>
  <c r="J52" i="10" s="1"/>
  <c r="C25" i="2"/>
  <c r="C26" i="2" s="1"/>
  <c r="I41" i="4"/>
  <c r="I3" i="4" s="1"/>
  <c r="I3" i="2" s="1"/>
  <c r="AC475" i="20"/>
  <c r="AC168" i="20" s="1"/>
  <c r="AC476" i="20"/>
  <c r="J211" i="4"/>
  <c r="J263" i="4" s="1"/>
  <c r="AC471" i="20"/>
  <c r="AF84" i="5"/>
  <c r="W36" i="14"/>
  <c r="AC472" i="20"/>
  <c r="AC85" i="3"/>
  <c r="AC98" i="3"/>
  <c r="F143" i="14"/>
  <c r="F41" i="14" s="1"/>
  <c r="AF143" i="14"/>
  <c r="AF154" i="14" s="1"/>
  <c r="AF61" i="14" s="1"/>
  <c r="M142" i="14"/>
  <c r="M143" i="14" s="1"/>
  <c r="M41" i="14" s="1"/>
  <c r="AC143" i="14"/>
  <c r="AC154" i="14" s="1"/>
  <c r="AC61" i="14" s="1"/>
  <c r="T10" i="14"/>
  <c r="T142" i="14"/>
  <c r="T143" i="14" s="1"/>
  <c r="T154" i="14" s="1"/>
  <c r="B143" i="14"/>
  <c r="B154" i="14" s="1"/>
  <c r="G143" i="14"/>
  <c r="G154" i="14" s="1"/>
  <c r="P142" i="14"/>
  <c r="P143" i="14" s="1"/>
  <c r="C143" i="14"/>
  <c r="C154" i="14" s="1"/>
  <c r="Q29" i="14"/>
  <c r="AC43" i="14"/>
  <c r="Q142" i="14"/>
  <c r="Q143" i="14" s="1"/>
  <c r="Q151" i="14" s="1"/>
  <c r="K143" i="14"/>
  <c r="K154" i="14" s="1"/>
  <c r="Z143" i="14"/>
  <c r="Z154" i="14" s="1"/>
  <c r="Z61" i="14" s="1"/>
  <c r="AF375" i="20"/>
  <c r="BD157" i="20"/>
  <c r="J143" i="14"/>
  <c r="J154" i="14" s="1"/>
  <c r="K34" i="7"/>
  <c r="L89" i="7"/>
  <c r="T33" i="7"/>
  <c r="T34" i="7" s="1"/>
  <c r="F90" i="7"/>
  <c r="G89" i="7"/>
  <c r="AI54" i="18"/>
  <c r="AI57" i="18"/>
  <c r="AI55" i="18"/>
  <c r="AI56" i="18"/>
  <c r="AF54" i="18"/>
  <c r="AF57" i="18"/>
  <c r="AF55" i="18"/>
  <c r="AF56" i="18"/>
  <c r="AC54" i="18"/>
  <c r="AB54" i="18" s="1"/>
  <c r="AC56" i="18"/>
  <c r="AB56" i="18" s="1"/>
  <c r="AC57" i="18"/>
  <c r="AB57" i="18" s="1"/>
  <c r="AC55" i="18"/>
  <c r="AB55" i="18" s="1"/>
  <c r="T36" i="18"/>
  <c r="Q40" i="14"/>
  <c r="T219" i="6"/>
  <c r="T226" i="6" s="1"/>
  <c r="O168" i="6"/>
  <c r="D52" i="10"/>
  <c r="D84" i="5"/>
  <c r="W239" i="4"/>
  <c r="W240" i="4" s="1"/>
  <c r="W242" i="4" s="1"/>
  <c r="O211" i="4"/>
  <c r="O263" i="4" s="1"/>
  <c r="E21" i="4"/>
  <c r="E22" i="4" s="1"/>
  <c r="E41" i="4" s="1"/>
  <c r="E3" i="4" s="1"/>
  <c r="AF158" i="2"/>
  <c r="T165" i="2"/>
  <c r="T158" i="2"/>
  <c r="N158" i="2"/>
  <c r="N123" i="2"/>
  <c r="Q158" i="2"/>
  <c r="O158" i="2"/>
  <c r="Q165" i="2"/>
  <c r="N139" i="4"/>
  <c r="G41" i="7"/>
  <c r="AC453" i="20"/>
  <c r="I143" i="14"/>
  <c r="I41" i="14" s="1"/>
  <c r="W57" i="6"/>
  <c r="P165" i="2"/>
  <c r="H3" i="2"/>
  <c r="AC5" i="2"/>
  <c r="N142" i="14"/>
  <c r="N143" i="14" s="1"/>
  <c r="N41" i="14" s="1"/>
  <c r="L143" i="14"/>
  <c r="L151" i="14" s="1"/>
  <c r="AC49" i="3"/>
  <c r="L90" i="7"/>
  <c r="H143" i="14"/>
  <c r="H154" i="14" s="1"/>
  <c r="C239" i="4"/>
  <c r="C240" i="4" s="1"/>
  <c r="C242" i="4" s="1"/>
  <c r="P158" i="2"/>
  <c r="C101" i="4"/>
  <c r="AF239" i="4"/>
  <c r="AE20" i="20"/>
  <c r="O225" i="4"/>
  <c r="O226" i="4" s="1"/>
  <c r="AC88" i="7"/>
  <c r="Z479" i="20"/>
  <c r="Z480" i="20" s="1"/>
  <c r="N3" i="5"/>
  <c r="K18" i="2"/>
  <c r="N1" i="3"/>
  <c r="M51" i="3"/>
  <c r="M29" i="3"/>
  <c r="Z1" i="3"/>
  <c r="Z51" i="3" s="1"/>
  <c r="T29" i="3"/>
  <c r="H503" i="20"/>
  <c r="W479" i="20"/>
  <c r="W480" i="20" s="1"/>
  <c r="D40" i="6"/>
  <c r="C44" i="10"/>
  <c r="E57" i="6"/>
  <c r="T71" i="3"/>
  <c r="AF49" i="14"/>
  <c r="AF96" i="14" s="1"/>
  <c r="AI174" i="2"/>
  <c r="T480" i="20"/>
  <c r="AF95" i="14"/>
  <c r="AF98" i="14" s="1"/>
  <c r="AF99" i="14" s="1"/>
  <c r="T483" i="20"/>
  <c r="P40" i="14"/>
  <c r="Q58" i="6"/>
  <c r="K16" i="2"/>
  <c r="Q241" i="14"/>
  <c r="D29" i="3"/>
  <c r="D51" i="3"/>
  <c r="E1" i="3"/>
  <c r="I39" i="6"/>
  <c r="D57" i="6"/>
  <c r="T40" i="7"/>
  <c r="AC84" i="7"/>
  <c r="AB84" i="7" s="1"/>
  <c r="B89" i="7"/>
  <c r="M89" i="7"/>
  <c r="M160" i="4"/>
  <c r="M162" i="4"/>
  <c r="Z139" i="4"/>
  <c r="T501" i="20"/>
  <c r="O492" i="20"/>
  <c r="O459" i="20"/>
  <c r="K480" i="20"/>
  <c r="P501" i="20"/>
  <c r="I480" i="20"/>
  <c r="T132" i="20"/>
  <c r="T201" i="20" s="1"/>
  <c r="T212" i="20" s="1"/>
  <c r="AC520" i="20"/>
  <c r="AC522" i="20"/>
  <c r="AF510" i="20"/>
  <c r="AF508" i="20"/>
  <c r="Z232" i="20"/>
  <c r="AC516" i="20"/>
  <c r="AC514" i="20"/>
  <c r="AF516" i="20"/>
  <c r="AF514" i="20"/>
  <c r="AC508" i="20"/>
  <c r="AC510" i="20"/>
  <c r="L501" i="20"/>
  <c r="W492" i="20"/>
  <c r="AC573" i="20"/>
  <c r="AC571" i="20"/>
  <c r="AC565" i="20"/>
  <c r="AC567" i="20"/>
  <c r="N503" i="20"/>
  <c r="N480" i="20"/>
  <c r="AC526" i="20"/>
  <c r="AC528" i="20"/>
  <c r="AF522" i="20"/>
  <c r="AF520" i="20"/>
  <c r="AF528" i="20"/>
  <c r="AF526" i="20"/>
  <c r="AC489" i="20"/>
  <c r="Z503" i="20"/>
  <c r="Z130" i="20"/>
  <c r="Z351" i="20"/>
  <c r="Z297" i="20" s="1"/>
  <c r="AC135" i="20"/>
  <c r="AC204" i="20" s="1"/>
  <c r="N351" i="20"/>
  <c r="Z135" i="20"/>
  <c r="AB20" i="20"/>
  <c r="P470" i="20"/>
  <c r="P480" i="20" s="1"/>
  <c r="AC134" i="20"/>
  <c r="AC485" i="20"/>
  <c r="G503" i="20"/>
  <c r="T234" i="20"/>
  <c r="D480" i="20"/>
  <c r="I503" i="20"/>
  <c r="O501" i="20"/>
  <c r="T326" i="20"/>
  <c r="L503" i="20"/>
  <c r="O503" i="20"/>
  <c r="AE21" i="20"/>
  <c r="AC488" i="20"/>
  <c r="F459" i="20"/>
  <c r="F503" i="20"/>
  <c r="W503" i="20"/>
  <c r="C480" i="20"/>
  <c r="Q9" i="20"/>
  <c r="Z133" i="20"/>
  <c r="W9" i="20"/>
  <c r="I351" i="20"/>
  <c r="H351" i="20"/>
  <c r="W351" i="20"/>
  <c r="W297" i="20" s="1"/>
  <c r="P459" i="20"/>
  <c r="Z134" i="20"/>
  <c r="AC24" i="20"/>
  <c r="C351" i="20"/>
  <c r="O351" i="20"/>
  <c r="M351" i="20"/>
  <c r="G351" i="20"/>
  <c r="AC24" i="14"/>
  <c r="T58" i="6"/>
  <c r="Q219" i="6"/>
  <c r="Q226" i="6" s="1"/>
  <c r="Z24" i="20"/>
  <c r="AF24" i="14"/>
  <c r="T289" i="20"/>
  <c r="Q168" i="6"/>
  <c r="P39" i="6"/>
  <c r="Q57" i="6"/>
  <c r="AU229" i="14"/>
  <c r="AO164" i="2"/>
  <c r="M10" i="14"/>
  <c r="AI142" i="2"/>
  <c r="AI153" i="4"/>
  <c r="H10" i="14"/>
  <c r="M139" i="4"/>
  <c r="AI123" i="2"/>
  <c r="N121" i="2"/>
  <c r="H121" i="2"/>
  <c r="AC15" i="6"/>
  <c r="AF151" i="4"/>
  <c r="AI151" i="4"/>
  <c r="N151" i="4"/>
  <c r="C52" i="10"/>
  <c r="S52" i="10"/>
  <c r="I211" i="4"/>
  <c r="T41" i="4"/>
  <c r="C102" i="4"/>
  <c r="W84" i="5"/>
  <c r="AO170" i="4"/>
  <c r="AC79" i="4"/>
  <c r="AF22" i="4"/>
  <c r="U57" i="10"/>
  <c r="U41" i="10" s="1"/>
  <c r="AC51" i="4"/>
  <c r="C22" i="4"/>
  <c r="C41" i="4" s="1"/>
  <c r="C3" i="4" s="1"/>
  <c r="C3" i="5" s="1"/>
  <c r="B41" i="4"/>
  <c r="B3" i="4" s="1"/>
  <c r="B3" i="5" s="1"/>
  <c r="AL192" i="4"/>
  <c r="O34" i="7"/>
  <c r="W232" i="6"/>
  <c r="W233" i="6" s="1"/>
  <c r="D493" i="20"/>
  <c r="N10" i="14"/>
  <c r="H151" i="4"/>
  <c r="M122" i="2"/>
  <c r="Q10" i="14"/>
  <c r="P492" i="20"/>
  <c r="AC145" i="20"/>
  <c r="AF145" i="20" s="1"/>
  <c r="F34" i="7"/>
  <c r="Q240" i="14"/>
  <c r="J493" i="20"/>
  <c r="BD37" i="2"/>
  <c r="AC37" i="10"/>
  <c r="O160" i="4"/>
  <c r="AF130" i="2"/>
  <c r="AF160" i="4"/>
  <c r="AF8" i="2"/>
  <c r="M123" i="2"/>
  <c r="G32" i="2"/>
  <c r="G38" i="2" s="1"/>
  <c r="G163" i="2" s="1"/>
  <c r="AF10" i="2"/>
  <c r="I5" i="5"/>
  <c r="I29" i="5" s="1"/>
  <c r="I25" i="2"/>
  <c r="W152" i="4"/>
  <c r="W153" i="4" s="1"/>
  <c r="G25" i="2"/>
  <c r="G33" i="2" s="1"/>
  <c r="AF139" i="4"/>
  <c r="AF153" i="4"/>
  <c r="AF123" i="2"/>
  <c r="O139" i="4"/>
  <c r="AF122" i="2"/>
  <c r="BA157" i="2"/>
  <c r="BA169" i="2" s="1"/>
  <c r="L28" i="10"/>
  <c r="M41" i="7"/>
  <c r="F40" i="7"/>
  <c r="F42" i="7" s="1"/>
  <c r="J89" i="7"/>
  <c r="L34" i="7"/>
  <c r="W40" i="6"/>
  <c r="O10" i="14"/>
  <c r="P68" i="6"/>
  <c r="Q221" i="6"/>
  <c r="Q223" i="6" s="1"/>
  <c r="Q228" i="6" s="1"/>
  <c r="T9" i="20"/>
  <c r="W39" i="6"/>
  <c r="W68" i="6"/>
  <c r="G10" i="14"/>
  <c r="F10" i="14"/>
  <c r="Q23" i="14"/>
  <c r="Q71" i="6" s="1"/>
  <c r="Q72" i="6"/>
  <c r="Q97" i="6" s="1"/>
  <c r="AO81" i="18"/>
  <c r="Q33" i="18"/>
  <c r="Q36" i="18"/>
  <c r="AC78" i="18"/>
  <c r="AF68" i="18"/>
  <c r="AC484" i="20"/>
  <c r="AC447" i="20"/>
  <c r="AI144" i="20"/>
  <c r="T200" i="20"/>
  <c r="T211" i="20" s="1"/>
  <c r="Z191" i="20"/>
  <c r="Z84" i="5"/>
  <c r="Z239" i="4"/>
  <c r="T7" i="10"/>
  <c r="I224" i="4"/>
  <c r="I225" i="4" s="1"/>
  <c r="I81" i="4"/>
  <c r="I93" i="4"/>
  <c r="B25" i="2"/>
  <c r="B5" i="5"/>
  <c r="B29" i="5" s="1"/>
  <c r="B32" i="2"/>
  <c r="B38" i="2" s="1"/>
  <c r="B42" i="2" s="1"/>
  <c r="F224" i="4"/>
  <c r="F225" i="4" s="1"/>
  <c r="F81" i="4"/>
  <c r="O71" i="3"/>
  <c r="G6" i="2"/>
  <c r="G82" i="2" s="1"/>
  <c r="G130" i="2"/>
  <c r="G13" i="10"/>
  <c r="G28" i="10" s="1"/>
  <c r="G121" i="2"/>
  <c r="I42" i="2"/>
  <c r="I163" i="2"/>
  <c r="Q44" i="7"/>
  <c r="P40" i="7"/>
  <c r="AO85" i="7"/>
  <c r="AN85" i="7" s="1"/>
  <c r="Z77" i="18"/>
  <c r="Z15" i="18"/>
  <c r="I501" i="20"/>
  <c r="J41" i="7"/>
  <c r="T351" i="20"/>
  <c r="Q501" i="20"/>
  <c r="BD465" i="20"/>
  <c r="W102" i="6"/>
  <c r="I492" i="20"/>
  <c r="I493" i="20" s="1"/>
  <c r="Q479" i="20"/>
  <c r="Q480" i="20" s="1"/>
  <c r="T128" i="20"/>
  <c r="Q164" i="20"/>
  <c r="Q162" i="20" s="1"/>
  <c r="AY167" i="14"/>
  <c r="AF143" i="20"/>
  <c r="AI187" i="20"/>
  <c r="AL187" i="20" s="1"/>
  <c r="AO187" i="20" s="1"/>
  <c r="BD208" i="14"/>
  <c r="BA202" i="14" s="1"/>
  <c r="H501" i="20"/>
  <c r="P95" i="14"/>
  <c r="P49" i="14"/>
  <c r="P174" i="2"/>
  <c r="Q375" i="20"/>
  <c r="Q330" i="20" s="1"/>
  <c r="T331" i="20" s="1"/>
  <c r="Z92" i="6"/>
  <c r="Q91" i="6"/>
  <c r="T239" i="4"/>
  <c r="T240" i="4" s="1"/>
  <c r="T242" i="4" s="1"/>
  <c r="R7" i="10"/>
  <c r="T84" i="5"/>
  <c r="AI84" i="5"/>
  <c r="AI239" i="4"/>
  <c r="W7" i="10"/>
  <c r="Z259" i="14"/>
  <c r="M81" i="4"/>
  <c r="M93" i="4"/>
  <c r="M224" i="4"/>
  <c r="N84" i="5"/>
  <c r="N239" i="4"/>
  <c r="N240" i="4" s="1"/>
  <c r="N242" i="4" s="1"/>
  <c r="N7" i="10"/>
  <c r="G160" i="4"/>
  <c r="AF7" i="5"/>
  <c r="O122" i="2"/>
  <c r="O130" i="2"/>
  <c r="O7" i="2"/>
  <c r="O151" i="4"/>
  <c r="O13" i="10"/>
  <c r="H93" i="4"/>
  <c r="H224" i="4"/>
  <c r="H225" i="4" s="1"/>
  <c r="H81" i="4"/>
  <c r="O162" i="4"/>
  <c r="AF142" i="2"/>
  <c r="AF148" i="2"/>
  <c r="W98" i="4"/>
  <c r="W18" i="2"/>
  <c r="W16" i="2"/>
  <c r="W12" i="2"/>
  <c r="AC71" i="3"/>
  <c r="G139" i="4"/>
  <c r="I84" i="5"/>
  <c r="I239" i="4"/>
  <c r="I240" i="4" s="1"/>
  <c r="I242" i="4" s="1"/>
  <c r="I7" i="10"/>
  <c r="AI39" i="4"/>
  <c r="T44" i="20"/>
  <c r="T103" i="6"/>
  <c r="AI28" i="7"/>
  <c r="AI36" i="7" s="1"/>
  <c r="I34" i="7"/>
  <c r="O89" i="7"/>
  <c r="O90" i="7"/>
  <c r="Z89" i="7"/>
  <c r="AC79" i="7"/>
  <c r="H90" i="7"/>
  <c r="H89" i="7"/>
  <c r="AF78" i="18"/>
  <c r="AI68" i="18"/>
  <c r="AI79" i="18" s="1"/>
  <c r="M503" i="20"/>
  <c r="D501" i="20"/>
  <c r="D503" i="20"/>
  <c r="Z492" i="20"/>
  <c r="Z459" i="20"/>
  <c r="W501" i="20"/>
  <c r="G501" i="20"/>
  <c r="M493" i="20"/>
  <c r="M495" i="20" s="1"/>
  <c r="L351" i="20"/>
  <c r="AF28" i="18"/>
  <c r="AF36" i="18" s="1"/>
  <c r="AC40" i="18"/>
  <c r="K492" i="20"/>
  <c r="K493" i="20" s="1"/>
  <c r="K459" i="20"/>
  <c r="F493" i="20"/>
  <c r="F495" i="20" s="1"/>
  <c r="P326" i="20"/>
  <c r="W459" i="20"/>
  <c r="D459" i="20"/>
  <c r="T356" i="20"/>
  <c r="T22" i="20"/>
  <c r="T79" i="6" s="1"/>
  <c r="AT168" i="14"/>
  <c r="AL142" i="20"/>
  <c r="AO142" i="20" s="1"/>
  <c r="AF15" i="6"/>
  <c r="T259" i="14"/>
  <c r="T221" i="6"/>
  <c r="T223" i="6" s="1"/>
  <c r="T228" i="6" s="1"/>
  <c r="O40" i="6"/>
  <c r="O57" i="6"/>
  <c r="L239" i="4"/>
  <c r="L240" i="4" s="1"/>
  <c r="L242" i="4" s="1"/>
  <c r="L84" i="5"/>
  <c r="L7" i="10"/>
  <c r="T68" i="6"/>
  <c r="T39" i="6"/>
  <c r="Q84" i="5"/>
  <c r="Q239" i="4"/>
  <c r="Q240" i="4" s="1"/>
  <c r="Q242" i="4" s="1"/>
  <c r="Q7" i="10"/>
  <c r="P57" i="6"/>
  <c r="Q61" i="6"/>
  <c r="AI51" i="4"/>
  <c r="AI237" i="4"/>
  <c r="W57" i="10"/>
  <c r="T70" i="6"/>
  <c r="G81" i="4"/>
  <c r="G93" i="4"/>
  <c r="G224" i="4"/>
  <c r="H84" i="5"/>
  <c r="H239" i="4"/>
  <c r="H240" i="4" s="1"/>
  <c r="H242" i="4" s="1"/>
  <c r="H7" i="10"/>
  <c r="H153" i="4"/>
  <c r="AF237" i="4"/>
  <c r="AF51" i="4"/>
  <c r="V57" i="10"/>
  <c r="D21" i="4"/>
  <c r="D22" i="4" s="1"/>
  <c r="D41" i="4" s="1"/>
  <c r="D3" i="4" s="1"/>
  <c r="D77" i="4"/>
  <c r="N1" i="2"/>
  <c r="G220" i="4"/>
  <c r="P84" i="5"/>
  <c r="P239" i="4"/>
  <c r="P240" i="4" s="1"/>
  <c r="P242" i="4" s="1"/>
  <c r="P7" i="10"/>
  <c r="F3" i="4"/>
  <c r="J152" i="4"/>
  <c r="J153" i="4" s="1"/>
  <c r="P220" i="4"/>
  <c r="P41" i="4"/>
  <c r="N115" i="5"/>
  <c r="N122" i="2"/>
  <c r="N130" i="2"/>
  <c r="N162" i="4"/>
  <c r="N160" i="4"/>
  <c r="N153" i="4"/>
  <c r="N7" i="2"/>
  <c r="N13" i="10"/>
  <c r="E5" i="5"/>
  <c r="E29" i="5" s="1"/>
  <c r="E25" i="2"/>
  <c r="E32" i="2"/>
  <c r="E38" i="2" s="1"/>
  <c r="E42" i="2" s="1"/>
  <c r="G151" i="4"/>
  <c r="G152" i="4"/>
  <c r="G153" i="4" s="1"/>
  <c r="AO20" i="2"/>
  <c r="AN20" i="2" s="1"/>
  <c r="AL92" i="2"/>
  <c r="M115" i="5"/>
  <c r="M7" i="2"/>
  <c r="M130" i="2"/>
  <c r="M13" i="10"/>
  <c r="M121" i="2"/>
  <c r="L18" i="2"/>
  <c r="L16" i="2"/>
  <c r="L12" i="2"/>
  <c r="L98" i="4"/>
  <c r="T224" i="4"/>
  <c r="T225" i="4" s="1"/>
  <c r="T81" i="4"/>
  <c r="U92" i="4" s="1"/>
  <c r="T93" i="4"/>
  <c r="N142" i="2"/>
  <c r="AI139" i="4"/>
  <c r="F14" i="10"/>
  <c r="F170" i="2" s="1"/>
  <c r="AF172" i="4"/>
  <c r="AF174" i="4"/>
  <c r="AF98" i="4"/>
  <c r="AF121" i="2"/>
  <c r="AF7" i="2"/>
  <c r="V13" i="10"/>
  <c r="C89" i="7"/>
  <c r="C90" i="7"/>
  <c r="N40" i="7"/>
  <c r="N42" i="7" s="1"/>
  <c r="AL60" i="5"/>
  <c r="AL212" i="4" s="1"/>
  <c r="M220" i="4"/>
  <c r="N93" i="4"/>
  <c r="N224" i="4"/>
  <c r="N225" i="4" s="1"/>
  <c r="N81" i="4"/>
  <c r="D220" i="4"/>
  <c r="AI147" i="20"/>
  <c r="C34" i="7"/>
  <c r="W36" i="7"/>
  <c r="W33" i="7"/>
  <c r="Z40" i="7"/>
  <c r="Z42" i="7" s="1"/>
  <c r="AC28" i="7"/>
  <c r="AC36" i="7" s="1"/>
  <c r="H40" i="7"/>
  <c r="H42" i="7" s="1"/>
  <c r="W40" i="7"/>
  <c r="P34" i="18"/>
  <c r="K89" i="7"/>
  <c r="K41" i="7"/>
  <c r="T503" i="20"/>
  <c r="N492" i="20"/>
  <c r="N493" i="20" s="1"/>
  <c r="N459" i="20"/>
  <c r="F351" i="20"/>
  <c r="L492" i="20"/>
  <c r="L493" i="20" s="1"/>
  <c r="L495" i="20" s="1"/>
  <c r="L459" i="20"/>
  <c r="Q351" i="20"/>
  <c r="P351" i="20"/>
  <c r="J459" i="20"/>
  <c r="Z190" i="20"/>
  <c r="W289" i="20"/>
  <c r="T102" i="6"/>
  <c r="T293" i="20"/>
  <c r="T77" i="6"/>
  <c r="P330" i="20"/>
  <c r="AL140" i="20"/>
  <c r="AO140" i="20" s="1"/>
  <c r="AU230" i="14"/>
  <c r="AX90" i="14"/>
  <c r="N501" i="20"/>
  <c r="C503" i="20"/>
  <c r="Z189" i="20"/>
  <c r="AX188" i="14"/>
  <c r="AF24" i="20"/>
  <c r="W103" i="6"/>
  <c r="AI15" i="6"/>
  <c r="Q40" i="6"/>
  <c r="E501" i="20"/>
  <c r="F239" i="4"/>
  <c r="F240" i="4" s="1"/>
  <c r="F242" i="4" s="1"/>
  <c r="F84" i="5"/>
  <c r="F7" i="10"/>
  <c r="N40" i="6"/>
  <c r="N57" i="6"/>
  <c r="AI212" i="4"/>
  <c r="AF79" i="4"/>
  <c r="AG93" i="4" s="1"/>
  <c r="AG92" i="4" s="1"/>
  <c r="K84" i="5"/>
  <c r="K239" i="4"/>
  <c r="K240" i="4" s="1"/>
  <c r="K242" i="4" s="1"/>
  <c r="K7" i="10"/>
  <c r="M40" i="6"/>
  <c r="M57" i="6"/>
  <c r="X59" i="10"/>
  <c r="Z24" i="14"/>
  <c r="D96" i="4"/>
  <c r="E95" i="4"/>
  <c r="G84" i="5"/>
  <c r="G239" i="4"/>
  <c r="G240" i="4" s="1"/>
  <c r="G242" i="4" s="1"/>
  <c r="G7" i="10"/>
  <c r="AC99" i="5"/>
  <c r="Q41" i="4"/>
  <c r="J28" i="10"/>
  <c r="O123" i="2"/>
  <c r="Z74" i="2"/>
  <c r="AC40" i="7"/>
  <c r="AF28" i="7"/>
  <c r="AF36" i="7" s="1"/>
  <c r="AI88" i="7"/>
  <c r="AI15" i="7"/>
  <c r="Q492" i="20"/>
  <c r="Q459" i="20"/>
  <c r="T198" i="20"/>
  <c r="T209" i="20" s="1"/>
  <c r="BA198" i="14"/>
  <c r="AZ198" i="14" s="1"/>
  <c r="AF186" i="20"/>
  <c r="AI186" i="20" s="1"/>
  <c r="AL186" i="20" s="1"/>
  <c r="AO186" i="20" s="1"/>
  <c r="AO93" i="5"/>
  <c r="AO49" i="5"/>
  <c r="T23" i="14"/>
  <c r="W24" i="14" s="1"/>
  <c r="K93" i="4"/>
  <c r="K224" i="4"/>
  <c r="K225" i="4" s="1"/>
  <c r="K81" i="4"/>
  <c r="AC39" i="4"/>
  <c r="AF220" i="4"/>
  <c r="O40" i="7"/>
  <c r="AF88" i="7"/>
  <c r="AF15" i="7"/>
  <c r="I89" i="7"/>
  <c r="I90" i="7"/>
  <c r="AC29" i="7"/>
  <c r="AI40" i="18"/>
  <c r="AL36" i="18"/>
  <c r="P40" i="18"/>
  <c r="P42" i="18" s="1"/>
  <c r="Q44" i="18"/>
  <c r="O470" i="20"/>
  <c r="O480" i="20" s="1"/>
  <c r="H492" i="20"/>
  <c r="H493" i="20" s="1"/>
  <c r="H459" i="20"/>
  <c r="T492" i="20"/>
  <c r="T459" i="20"/>
  <c r="K351" i="20"/>
  <c r="J351" i="20"/>
  <c r="E492" i="20"/>
  <c r="E493" i="20" s="1"/>
  <c r="E459" i="20"/>
  <c r="AC348" i="20"/>
  <c r="AB348" i="20" s="1"/>
  <c r="Z348" i="20"/>
  <c r="Z192" i="20"/>
  <c r="Q23" i="20"/>
  <c r="Q75" i="6" s="1"/>
  <c r="Q76" i="6"/>
  <c r="BD457" i="20"/>
  <c r="T103" i="20"/>
  <c r="T76" i="6"/>
  <c r="AX202" i="14"/>
  <c r="AL89" i="14"/>
  <c r="AL93" i="14" s="1"/>
  <c r="AI228" i="14"/>
  <c r="AF348" i="20"/>
  <c r="AE348" i="20" s="1"/>
  <c r="AO113" i="6"/>
  <c r="P10" i="14"/>
  <c r="W39" i="20"/>
  <c r="W101" i="6"/>
  <c r="W375" i="20"/>
  <c r="W61" i="6"/>
  <c r="T91" i="6"/>
  <c r="W95" i="14"/>
  <c r="W98" i="14" s="1"/>
  <c r="W99" i="14" s="1"/>
  <c r="W49" i="14"/>
  <c r="W96" i="14" s="1"/>
  <c r="W174" i="2"/>
  <c r="Z375" i="20"/>
  <c r="Q95" i="14"/>
  <c r="Q49" i="14"/>
  <c r="Q174" i="2"/>
  <c r="I40" i="6"/>
  <c r="I57" i="6"/>
  <c r="Z51" i="4"/>
  <c r="Z237" i="4"/>
  <c r="T57" i="10"/>
  <c r="T41" i="10" s="1"/>
  <c r="T168" i="6"/>
  <c r="F57" i="6"/>
  <c r="AO92" i="5"/>
  <c r="AO56" i="5"/>
  <c r="P93" i="4"/>
  <c r="P224" i="4"/>
  <c r="P81" i="4"/>
  <c r="AI146" i="20"/>
  <c r="AC84" i="5"/>
  <c r="AC239" i="4"/>
  <c r="AC240" i="4" s="1"/>
  <c r="AC242" i="4" s="1"/>
  <c r="U7" i="10"/>
  <c r="Z240" i="14"/>
  <c r="Z241" i="14"/>
  <c r="Z243" i="14"/>
  <c r="L40" i="6"/>
  <c r="L57" i="6"/>
  <c r="L39" i="6"/>
  <c r="G162" i="4"/>
  <c r="Z105" i="20"/>
  <c r="AI79" i="4"/>
  <c r="AJ93" i="4" s="1"/>
  <c r="AJ92" i="4" s="1"/>
  <c r="AO34" i="4"/>
  <c r="AN34" i="4" s="1"/>
  <c r="AN38" i="4" s="1"/>
  <c r="AN39" i="4" s="1"/>
  <c r="X9" i="10"/>
  <c r="W220" i="4"/>
  <c r="P152" i="4"/>
  <c r="J220" i="4"/>
  <c r="G123" i="2"/>
  <c r="AC1" i="2"/>
  <c r="O93" i="4"/>
  <c r="G31" i="5"/>
  <c r="G76" i="5" s="1"/>
  <c r="G88" i="5"/>
  <c r="G94" i="5" s="1"/>
  <c r="G111" i="5" s="1"/>
  <c r="T49" i="3"/>
  <c r="W26" i="3"/>
  <c r="T5" i="2"/>
  <c r="T24" i="3"/>
  <c r="W24" i="3"/>
  <c r="T85" i="3"/>
  <c r="O153" i="4"/>
  <c r="H5" i="5"/>
  <c r="H29" i="5" s="1"/>
  <c r="H25" i="2"/>
  <c r="H32" i="2"/>
  <c r="H38" i="2" s="1"/>
  <c r="Z162" i="4"/>
  <c r="Z160" i="4"/>
  <c r="T13" i="10"/>
  <c r="Z7" i="2"/>
  <c r="L224" i="4"/>
  <c r="L225" i="4" s="1"/>
  <c r="L81" i="4"/>
  <c r="L93" i="4"/>
  <c r="F214" i="4"/>
  <c r="E58" i="4"/>
  <c r="E60" i="4" s="1"/>
  <c r="F42" i="2"/>
  <c r="F163" i="2"/>
  <c r="G122" i="2"/>
  <c r="K13" i="2"/>
  <c r="K23" i="2"/>
  <c r="I56" i="2"/>
  <c r="J64" i="2"/>
  <c r="J68" i="2" s="1"/>
  <c r="D28" i="10"/>
  <c r="K40" i="6"/>
  <c r="K57" i="6"/>
  <c r="G40" i="6"/>
  <c r="G57" i="6"/>
  <c r="W81" i="4"/>
  <c r="W93" i="4"/>
  <c r="W224" i="4"/>
  <c r="AI54" i="5"/>
  <c r="AI91" i="5"/>
  <c r="AH67" i="14"/>
  <c r="I40" i="7"/>
  <c r="I42" i="7" s="1"/>
  <c r="AI78" i="18"/>
  <c r="N90" i="7"/>
  <c r="N89" i="7"/>
  <c r="AI28" i="18"/>
  <c r="AI36" i="18" s="1"/>
  <c r="AF40" i="18"/>
  <c r="L41" i="7"/>
  <c r="F501" i="20"/>
  <c r="AO74" i="18"/>
  <c r="AN74" i="18" s="1"/>
  <c r="P89" i="7"/>
  <c r="M501" i="20"/>
  <c r="E351" i="20"/>
  <c r="D351" i="20"/>
  <c r="O40" i="18"/>
  <c r="O42" i="18" s="1"/>
  <c r="G493" i="20"/>
  <c r="G495" i="20" s="1"/>
  <c r="AC28" i="18"/>
  <c r="AC36" i="18" s="1"/>
  <c r="Z40" i="18"/>
  <c r="BA218" i="14"/>
  <c r="AZ218" i="14" s="1"/>
  <c r="T253" i="14"/>
  <c r="T254" i="14" s="1"/>
  <c r="T257" i="14" s="1"/>
  <c r="Z483" i="20"/>
  <c r="Z448" i="20"/>
  <c r="Z455" i="20" s="1"/>
  <c r="AC499" i="20"/>
  <c r="AC501" i="20" s="1"/>
  <c r="Z501" i="20"/>
  <c r="Q289" i="20"/>
  <c r="AF233" i="14"/>
  <c r="AF241" i="14" s="1"/>
  <c r="AF227" i="14"/>
  <c r="AF240" i="14" s="1"/>
  <c r="AI142" i="14"/>
  <c r="AI143" i="14" s="1"/>
  <c r="Z95" i="14"/>
  <c r="Z98" i="14" s="1"/>
  <c r="Z99" i="14" s="1"/>
  <c r="Z49" i="14"/>
  <c r="Z52" i="14" s="1"/>
  <c r="AC174" i="2"/>
  <c r="Q293" i="20"/>
  <c r="Q77" i="6"/>
  <c r="T113" i="6"/>
  <c r="T232" i="6"/>
  <c r="Q232" i="6"/>
  <c r="Q68" i="6"/>
  <c r="T61" i="6"/>
  <c r="T57" i="6"/>
  <c r="I10" i="14"/>
  <c r="H40" i="6"/>
  <c r="H57" i="6"/>
  <c r="J93" i="4"/>
  <c r="J224" i="4"/>
  <c r="J81" i="4"/>
  <c r="G39" i="6"/>
  <c r="O84" i="5"/>
  <c r="O239" i="4"/>
  <c r="O240" i="4" s="1"/>
  <c r="O242" i="4" s="1"/>
  <c r="O7" i="10"/>
  <c r="T96" i="6"/>
  <c r="AL203" i="4"/>
  <c r="AL208" i="4"/>
  <c r="Q93" i="4"/>
  <c r="Q224" i="4"/>
  <c r="Q225" i="4" s="1"/>
  <c r="Q81" i="4"/>
  <c r="R92" i="4" s="1"/>
  <c r="AC22" i="4"/>
  <c r="AO9" i="5"/>
  <c r="P168" i="6"/>
  <c r="Z39" i="4"/>
  <c r="C79" i="4"/>
  <c r="D5" i="5"/>
  <c r="D29" i="5" s="1"/>
  <c r="D32" i="2"/>
  <c r="D38" i="2" s="1"/>
  <c r="D42" i="2" s="1"/>
  <c r="D25" i="2"/>
  <c r="H139" i="4"/>
  <c r="H122" i="2"/>
  <c r="H130" i="2"/>
  <c r="H162" i="4"/>
  <c r="H6" i="2"/>
  <c r="H82" i="2" s="1"/>
  <c r="H13" i="10"/>
  <c r="H160" i="4"/>
  <c r="AI172" i="4"/>
  <c r="AI174" i="4"/>
  <c r="AI162" i="4"/>
  <c r="AI160" i="4"/>
  <c r="AI98" i="4"/>
  <c r="AI130" i="2"/>
  <c r="AI121" i="2"/>
  <c r="AI7" i="2"/>
  <c r="AI122" i="2"/>
  <c r="W13" i="10"/>
  <c r="O121" i="2"/>
  <c r="J98" i="4"/>
  <c r="J18" i="2"/>
  <c r="J16" i="2"/>
  <c r="J12" i="2"/>
  <c r="M151" i="4"/>
  <c r="M152" i="4"/>
  <c r="M153" i="4" s="1"/>
  <c r="F31" i="5"/>
  <c r="F76" i="5" s="1"/>
  <c r="F82" i="5" s="1"/>
  <c r="F88" i="5"/>
  <c r="F94" i="5" s="1"/>
  <c r="F111" i="5" s="1"/>
  <c r="AI8" i="2"/>
  <c r="AC338" i="20" l="1"/>
  <c r="AC110" i="20"/>
  <c r="BA84" i="14"/>
  <c r="BA118" i="14"/>
  <c r="AZ118" i="14" s="1"/>
  <c r="AX84" i="14"/>
  <c r="AX118" i="14"/>
  <c r="AW118" i="14" s="1"/>
  <c r="BG157" i="20"/>
  <c r="BJ157" i="20" s="1"/>
  <c r="AP254" i="14"/>
  <c r="AC55" i="14"/>
  <c r="Y52" i="14"/>
  <c r="Y53" i="14" s="1"/>
  <c r="AG50" i="14"/>
  <c r="AG51" i="14" s="1"/>
  <c r="AG55" i="14"/>
  <c r="AR120" i="20"/>
  <c r="Y73" i="2"/>
  <c r="AR255" i="20"/>
  <c r="AQ250" i="20"/>
  <c r="AQ248" i="20" s="1"/>
  <c r="AQ249" i="20" s="1"/>
  <c r="AQ253" i="20"/>
  <c r="AI158" i="2"/>
  <c r="AI165" i="2"/>
  <c r="AQ253" i="14"/>
  <c r="AQ254" i="14" s="1"/>
  <c r="AF61" i="18"/>
  <c r="AF60" i="18"/>
  <c r="AF62" i="18"/>
  <c r="AF63" i="18"/>
  <c r="AE54" i="18"/>
  <c r="AE60" i="18" s="1"/>
  <c r="AH56" i="18"/>
  <c r="AH50" i="18" s="1"/>
  <c r="AI62" i="18"/>
  <c r="AL62" i="18"/>
  <c r="AH55" i="18"/>
  <c r="AI61" i="18"/>
  <c r="AL61" i="18"/>
  <c r="AH57" i="18"/>
  <c r="AH51" i="18" s="1"/>
  <c r="AI63" i="18"/>
  <c r="AL63" i="18"/>
  <c r="AH54" i="18"/>
  <c r="AH48" i="18" s="1"/>
  <c r="AI60" i="18"/>
  <c r="AL60" i="18"/>
  <c r="AE56" i="18"/>
  <c r="AE55" i="18"/>
  <c r="AE61" i="18" s="1"/>
  <c r="AE57" i="18"/>
  <c r="AE63" i="18" s="1"/>
  <c r="V7" i="7"/>
  <c r="Z121" i="2"/>
  <c r="Z122" i="2"/>
  <c r="Z10" i="2"/>
  <c r="Z142" i="2"/>
  <c r="Z130" i="2"/>
  <c r="Z123" i="2"/>
  <c r="Z153" i="4"/>
  <c r="Z151" i="4"/>
  <c r="AE54" i="20"/>
  <c r="AE108" i="20" s="1"/>
  <c r="AN51" i="20"/>
  <c r="AE51" i="20"/>
  <c r="BD200" i="4"/>
  <c r="BB200" i="4" s="1"/>
  <c r="BC200" i="4" s="1"/>
  <c r="V14" i="7"/>
  <c r="V88" i="7" s="1"/>
  <c r="Z96" i="14"/>
  <c r="AZ199" i="14"/>
  <c r="AY192" i="14"/>
  <c r="AY117" i="14" s="1"/>
  <c r="AT169" i="14"/>
  <c r="AZ219" i="14"/>
  <c r="AY212" i="14"/>
  <c r="AY119" i="14" s="1"/>
  <c r="AW209" i="14"/>
  <c r="AF336" i="20"/>
  <c r="AL309" i="20"/>
  <c r="AL303" i="20"/>
  <c r="AI309" i="20"/>
  <c r="AI303" i="20"/>
  <c r="AF309" i="20"/>
  <c r="AF303" i="20"/>
  <c r="AO84" i="20"/>
  <c r="AC84" i="20"/>
  <c r="AC306" i="20"/>
  <c r="AF333" i="20"/>
  <c r="AC333" i="20"/>
  <c r="V14" i="6"/>
  <c r="W226" i="6"/>
  <c r="AI56" i="7"/>
  <c r="AF56" i="7"/>
  <c r="AE56" i="7" s="1"/>
  <c r="T78" i="18"/>
  <c r="B13" i="10"/>
  <c r="C28" i="10" s="1"/>
  <c r="B121" i="2"/>
  <c r="AE58" i="7"/>
  <c r="AH55" i="7"/>
  <c r="AC169" i="20"/>
  <c r="AC133" i="20" s="1"/>
  <c r="AC167" i="20"/>
  <c r="AC131" i="20" s="1"/>
  <c r="AC166" i="20"/>
  <c r="AC130" i="20" s="1"/>
  <c r="AC165" i="20"/>
  <c r="AC129" i="20" s="1"/>
  <c r="AC164" i="20"/>
  <c r="AC128" i="20" s="1"/>
  <c r="AF59" i="7"/>
  <c r="AF42" i="7"/>
  <c r="AH96" i="6"/>
  <c r="AF41" i="7"/>
  <c r="AI41" i="7"/>
  <c r="AF57" i="7"/>
  <c r="AF55" i="7"/>
  <c r="P122" i="2"/>
  <c r="P139" i="4"/>
  <c r="Q10" i="2"/>
  <c r="AI59" i="7"/>
  <c r="AI57" i="7"/>
  <c r="AI58" i="7"/>
  <c r="AI42" i="7"/>
  <c r="W33" i="18"/>
  <c r="W34" i="18" s="1"/>
  <c r="W35" i="18" s="1"/>
  <c r="Y257" i="14"/>
  <c r="AR208" i="4"/>
  <c r="AR211" i="4" s="1"/>
  <c r="AR263" i="4" s="1"/>
  <c r="AQ206" i="4"/>
  <c r="AQ208" i="4" s="1"/>
  <c r="AQ211" i="4" s="1"/>
  <c r="AQ263" i="4" s="1"/>
  <c r="AO255" i="20"/>
  <c r="AO256" i="20" s="1"/>
  <c r="AO356" i="20"/>
  <c r="AO367" i="20" s="1"/>
  <c r="AK89" i="14"/>
  <c r="AK93" i="14" s="1"/>
  <c r="AK95" i="14" s="1"/>
  <c r="AK98" i="14" s="1"/>
  <c r="AK99" i="14" s="1"/>
  <c r="AO89" i="14"/>
  <c r="AO38" i="20"/>
  <c r="AN38" i="20" s="1"/>
  <c r="AN44" i="20"/>
  <c r="AR13" i="2"/>
  <c r="AR23" i="2"/>
  <c r="BB208" i="14"/>
  <c r="AF80" i="7"/>
  <c r="Q121" i="2"/>
  <c r="W68" i="18"/>
  <c r="W79" i="18" s="1"/>
  <c r="AI254" i="14"/>
  <c r="AI257" i="14" s="1"/>
  <c r="T79" i="18"/>
  <c r="W29" i="3"/>
  <c r="T34" i="18"/>
  <c r="T35" i="18" s="1"/>
  <c r="AB52" i="4"/>
  <c r="BE207" i="14"/>
  <c r="BF207" i="14" s="1"/>
  <c r="BE197" i="14"/>
  <c r="AV253" i="14"/>
  <c r="AW253" i="14" s="1"/>
  <c r="AW254" i="14" s="1"/>
  <c r="AA107" i="20"/>
  <c r="AB107" i="20" s="1"/>
  <c r="AA231" i="20"/>
  <c r="V7" i="6"/>
  <c r="V5" i="6"/>
  <c r="S5" i="6"/>
  <c r="S7" i="6"/>
  <c r="S91" i="6"/>
  <c r="S14" i="6"/>
  <c r="S15" i="6" s="1"/>
  <c r="W254" i="14"/>
  <c r="W257" i="14" s="1"/>
  <c r="U49" i="3"/>
  <c r="AK92" i="2"/>
  <c r="AK100" i="2" s="1"/>
  <c r="AK24" i="2" s="1"/>
  <c r="AL100" i="2"/>
  <c r="AE41" i="4"/>
  <c r="AE3" i="4" s="1"/>
  <c r="AE3" i="5" s="1"/>
  <c r="AE68" i="2"/>
  <c r="U229" i="4"/>
  <c r="U233" i="4" s="1"/>
  <c r="B160" i="4"/>
  <c r="V65" i="2"/>
  <c r="S84" i="5"/>
  <c r="S239" i="4"/>
  <c r="S240" i="4" s="1"/>
  <c r="S242" i="4" s="1"/>
  <c r="T52" i="4"/>
  <c r="W3" i="4"/>
  <c r="Z3" i="2" s="1"/>
  <c r="W52" i="4"/>
  <c r="BA106" i="2"/>
  <c r="BA109" i="2" s="1"/>
  <c r="AZ184" i="4"/>
  <c r="BB182" i="4"/>
  <c r="BC182" i="4" s="1"/>
  <c r="V3" i="2"/>
  <c r="V3" i="5"/>
  <c r="AE362" i="20"/>
  <c r="AE360" i="20" s="1"/>
  <c r="AE356" i="20" s="1"/>
  <c r="U98" i="4"/>
  <c r="U130" i="2"/>
  <c r="U122" i="2"/>
  <c r="U7" i="2"/>
  <c r="U142" i="2"/>
  <c r="U153" i="4"/>
  <c r="U234" i="4"/>
  <c r="U151" i="4"/>
  <c r="U160" i="4"/>
  <c r="U139" i="4"/>
  <c r="U162" i="4"/>
  <c r="U123" i="2"/>
  <c r="U121" i="2"/>
  <c r="U26" i="2"/>
  <c r="U8" i="2"/>
  <c r="U99" i="4" s="1"/>
  <c r="R157" i="2"/>
  <c r="R229" i="4"/>
  <c r="R69" i="4"/>
  <c r="S69" i="4" s="1"/>
  <c r="U62" i="4"/>
  <c r="U105" i="4"/>
  <c r="U106" i="4" s="1"/>
  <c r="U115" i="5"/>
  <c r="R71" i="3"/>
  <c r="R5" i="2"/>
  <c r="U10" i="2"/>
  <c r="U47" i="2"/>
  <c r="U46" i="2"/>
  <c r="R47" i="2"/>
  <c r="R46" i="2"/>
  <c r="P13" i="10"/>
  <c r="P28" i="10" s="1"/>
  <c r="Q7" i="2"/>
  <c r="Q98" i="4" s="1"/>
  <c r="Q160" i="4"/>
  <c r="M3" i="2"/>
  <c r="Q27" i="3"/>
  <c r="AH79" i="4"/>
  <c r="AH81" i="4" s="1"/>
  <c r="P7" i="2"/>
  <c r="P98" i="4" s="1"/>
  <c r="Q122" i="2"/>
  <c r="Q162" i="4"/>
  <c r="Q123" i="2"/>
  <c r="Q153" i="4"/>
  <c r="Z65" i="2"/>
  <c r="Y65" i="2" s="1"/>
  <c r="Y74" i="2"/>
  <c r="T27" i="3"/>
  <c r="P130" i="2"/>
  <c r="Q13" i="10"/>
  <c r="AG111" i="4"/>
  <c r="AG109" i="4"/>
  <c r="B162" i="4"/>
  <c r="T35" i="7"/>
  <c r="AC50" i="14"/>
  <c r="AA46" i="2"/>
  <c r="AA47" i="2"/>
  <c r="AE148" i="2"/>
  <c r="AH69" i="4"/>
  <c r="AG71" i="4"/>
  <c r="AG72" i="4" s="1"/>
  <c r="AH212" i="4"/>
  <c r="AH74" i="5"/>
  <c r="AE7" i="5"/>
  <c r="B6" i="2"/>
  <c r="B82" i="2" s="1"/>
  <c r="B130" i="2"/>
  <c r="AG98" i="4"/>
  <c r="AG162" i="4"/>
  <c r="AG172" i="4"/>
  <c r="AG139" i="4"/>
  <c r="AG7" i="2"/>
  <c r="AG160" i="4"/>
  <c r="AG121" i="2"/>
  <c r="AG174" i="4"/>
  <c r="AG142" i="2"/>
  <c r="AG130" i="2"/>
  <c r="AG151" i="4"/>
  <c r="AG122" i="2"/>
  <c r="AG123" i="2"/>
  <c r="AG153" i="4"/>
  <c r="AG10" i="2"/>
  <c r="AG8" i="2"/>
  <c r="AG99" i="4" s="1"/>
  <c r="AG26" i="2"/>
  <c r="AG115" i="5"/>
  <c r="AG233" i="4"/>
  <c r="AE79" i="4"/>
  <c r="AB84" i="5"/>
  <c r="AB239" i="4"/>
  <c r="AB240" i="4" s="1"/>
  <c r="AB242" i="4" s="1"/>
  <c r="AA69" i="4"/>
  <c r="AB69" i="4" s="1"/>
  <c r="B122" i="2"/>
  <c r="AC81" i="4"/>
  <c r="AD93" i="4"/>
  <c r="AE52" i="4"/>
  <c r="AB79" i="4"/>
  <c r="AH52" i="4"/>
  <c r="AH41" i="4"/>
  <c r="AH3" i="4" s="1"/>
  <c r="AE84" i="5"/>
  <c r="AE239" i="4"/>
  <c r="AE240" i="4" s="1"/>
  <c r="AE242" i="4" s="1"/>
  <c r="AB3" i="4"/>
  <c r="AB3" i="5" s="1"/>
  <c r="AA229" i="4"/>
  <c r="AJ111" i="4"/>
  <c r="AJ109" i="4"/>
  <c r="AA453" i="20"/>
  <c r="AA351" i="20" s="1"/>
  <c r="AA297" i="20" s="1"/>
  <c r="AB233" i="20"/>
  <c r="T139" i="4"/>
  <c r="T234" i="4"/>
  <c r="AC151" i="4"/>
  <c r="BG182" i="4"/>
  <c r="BG185" i="4"/>
  <c r="BE185" i="4" s="1"/>
  <c r="BF185" i="4" s="1"/>
  <c r="BD190" i="4"/>
  <c r="BB190" i="4" s="1"/>
  <c r="BC190" i="4" s="1"/>
  <c r="AN52" i="4"/>
  <c r="AN41" i="4"/>
  <c r="AN3" i="4" s="1"/>
  <c r="AW11" i="4"/>
  <c r="BB37" i="2"/>
  <c r="BB157" i="2" s="1"/>
  <c r="Y41" i="7"/>
  <c r="BD184" i="4"/>
  <c r="BG181" i="4"/>
  <c r="BE181" i="4" s="1"/>
  <c r="BF181" i="4" s="1"/>
  <c r="AN263" i="4"/>
  <c r="AE44" i="7"/>
  <c r="BD59" i="4"/>
  <c r="AZ59" i="4"/>
  <c r="BD183" i="4"/>
  <c r="BB183" i="4" s="1"/>
  <c r="BC183" i="4" s="1"/>
  <c r="AA72" i="10"/>
  <c r="AA485" i="20"/>
  <c r="AZ254" i="14"/>
  <c r="V41" i="7"/>
  <c r="AY254" i="14"/>
  <c r="AE66" i="20"/>
  <c r="AE68" i="20"/>
  <c r="AB53" i="18"/>
  <c r="BH253" i="14"/>
  <c r="BI253" i="14" s="1"/>
  <c r="BJ254" i="14"/>
  <c r="AB524" i="20"/>
  <c r="AB528" i="20" s="1"/>
  <c r="AA526" i="20"/>
  <c r="AA528" i="20"/>
  <c r="AT253" i="14"/>
  <c r="AT254" i="14" s="1"/>
  <c r="AU254" i="14"/>
  <c r="AT85" i="14"/>
  <c r="AE252" i="14"/>
  <c r="AE53" i="20"/>
  <c r="AW168" i="14"/>
  <c r="AW169" i="14" s="1"/>
  <c r="AA21" i="3"/>
  <c r="AA23" i="3" s="1"/>
  <c r="AA5" i="2" s="1"/>
  <c r="AA7" i="3"/>
  <c r="AA32" i="3"/>
  <c r="AA54" i="3"/>
  <c r="BJ571" i="20"/>
  <c r="BE571" i="20"/>
  <c r="BF571" i="20" s="1"/>
  <c r="AD21" i="3"/>
  <c r="AD23" i="3" s="1"/>
  <c r="AD5" i="2" s="1"/>
  <c r="AD7" i="3"/>
  <c r="AD32" i="3"/>
  <c r="AD54" i="3"/>
  <c r="AE375" i="20"/>
  <c r="V40" i="18"/>
  <c r="R49" i="3"/>
  <c r="AT192" i="14"/>
  <c r="AA375" i="20"/>
  <c r="AB77" i="18"/>
  <c r="AB15" i="18"/>
  <c r="AH42" i="18"/>
  <c r="AH38" i="18"/>
  <c r="AB62" i="20"/>
  <c r="AB59" i="20" s="1"/>
  <c r="AB67" i="20" s="1"/>
  <c r="AB484" i="20"/>
  <c r="V23" i="7"/>
  <c r="V9" i="7"/>
  <c r="V12" i="7"/>
  <c r="BG123" i="6"/>
  <c r="BB123" i="6"/>
  <c r="BC123" i="6" s="1"/>
  <c r="AB88" i="7"/>
  <c r="AB15" i="7"/>
  <c r="AD79" i="20"/>
  <c r="AD83" i="20" s="1"/>
  <c r="AD74" i="20"/>
  <c r="S34" i="18"/>
  <c r="S35" i="18" s="1"/>
  <c r="S40" i="18"/>
  <c r="V28" i="18"/>
  <c r="V36" i="18" s="1"/>
  <c r="S32" i="18"/>
  <c r="Y77" i="18"/>
  <c r="Y15" i="18"/>
  <c r="AZ167" i="14"/>
  <c r="AY168" i="14"/>
  <c r="BC465" i="20"/>
  <c r="BB465" i="20"/>
  <c r="AN81" i="18"/>
  <c r="AM81" i="18"/>
  <c r="AM69" i="18" s="1"/>
  <c r="AM70" i="18" s="1"/>
  <c r="AP537" i="20"/>
  <c r="X184" i="14"/>
  <c r="X181" i="14"/>
  <c r="W80" i="6"/>
  <c r="W92" i="6" s="1"/>
  <c r="AH14" i="6"/>
  <c r="AA484" i="20"/>
  <c r="AA447" i="20"/>
  <c r="AF254" i="14"/>
  <c r="AF257" i="14" s="1"/>
  <c r="AD253" i="14"/>
  <c r="AE253" i="14" s="1"/>
  <c r="AE12" i="6"/>
  <c r="AE9" i="6"/>
  <c r="AE58" i="14"/>
  <c r="AD59" i="14"/>
  <c r="AD126" i="14" s="1"/>
  <c r="AD49" i="14"/>
  <c r="AD96" i="14" s="1"/>
  <c r="AB502" i="20"/>
  <c r="AB394" i="20"/>
  <c r="AB402" i="20" s="1"/>
  <c r="AB457" i="20"/>
  <c r="AB470" i="20" s="1"/>
  <c r="Y38" i="18"/>
  <c r="Y41" i="18" s="1"/>
  <c r="Y42" i="18"/>
  <c r="AB512" i="20"/>
  <c r="AB516" i="20" s="1"/>
  <c r="AA514" i="20"/>
  <c r="AA516" i="20"/>
  <c r="AE76" i="20"/>
  <c r="AE78" i="20" s="1"/>
  <c r="AE82" i="20" s="1"/>
  <c r="AE376" i="20"/>
  <c r="AE357" i="20"/>
  <c r="AH376" i="20"/>
  <c r="AA81" i="7"/>
  <c r="AG7" i="3"/>
  <c r="BE253" i="14"/>
  <c r="BF253" i="14" s="1"/>
  <c r="BG254" i="14"/>
  <c r="AT83" i="14"/>
  <c r="AA76" i="20"/>
  <c r="AA78" i="20" s="1"/>
  <c r="AA82" i="20" s="1"/>
  <c r="AA357" i="20"/>
  <c r="AA368" i="20" s="1"/>
  <c r="AD376" i="20"/>
  <c r="AA362" i="20"/>
  <c r="AA328" i="20"/>
  <c r="AD329" i="20" s="1"/>
  <c r="AA330" i="20"/>
  <c r="AD331" i="20" s="1"/>
  <c r="AA326" i="20"/>
  <c r="AD327" i="20" s="1"/>
  <c r="AA239" i="20"/>
  <c r="AA252" i="20" s="1"/>
  <c r="AA237" i="20"/>
  <c r="S33" i="7"/>
  <c r="S36" i="7"/>
  <c r="AB447" i="20"/>
  <c r="V252" i="14"/>
  <c r="V254" i="14" s="1"/>
  <c r="V257" i="14" s="1"/>
  <c r="U254" i="14"/>
  <c r="U257" i="14" s="1"/>
  <c r="AE7" i="18"/>
  <c r="AE14" i="18"/>
  <c r="AE5" i="18"/>
  <c r="AD35" i="20"/>
  <c r="AD104" i="20"/>
  <c r="AH23" i="3"/>
  <c r="AH5" i="2" s="1"/>
  <c r="BC197" i="14"/>
  <c r="BB198" i="14"/>
  <c r="AG92" i="7"/>
  <c r="AG80" i="7" s="1"/>
  <c r="AH92" i="7"/>
  <c r="AZ467" i="20"/>
  <c r="AY467" i="20"/>
  <c r="S15" i="7"/>
  <c r="AB486" i="20"/>
  <c r="BC252" i="14"/>
  <c r="AA479" i="20"/>
  <c r="AC132" i="20"/>
  <c r="V7" i="18"/>
  <c r="V14" i="18"/>
  <c r="V5" i="18"/>
  <c r="AB12" i="7"/>
  <c r="AB9" i="7"/>
  <c r="AE42" i="18"/>
  <c r="AE38" i="18"/>
  <c r="AE41" i="18" s="1"/>
  <c r="AA486" i="20"/>
  <c r="AE67" i="20"/>
  <c r="AB375" i="20"/>
  <c r="AP549" i="20"/>
  <c r="AN252" i="14"/>
  <c r="Y7" i="7"/>
  <c r="Y14" i="7"/>
  <c r="Y5" i="7"/>
  <c r="AE92" i="7"/>
  <c r="AD92" i="7"/>
  <c r="AD80" i="7" s="1"/>
  <c r="AG49" i="3"/>
  <c r="AG71" i="3"/>
  <c r="AA457" i="20"/>
  <c r="AA470" i="20" s="1"/>
  <c r="AA394" i="20"/>
  <c r="AA402" i="20" s="1"/>
  <c r="AA502" i="20"/>
  <c r="AB563" i="20"/>
  <c r="AB567" i="20" s="1"/>
  <c r="AA565" i="20"/>
  <c r="AA567" i="20"/>
  <c r="BJ364" i="20"/>
  <c r="BH364" i="20" s="1"/>
  <c r="BE364" i="20"/>
  <c r="U24" i="3"/>
  <c r="U71" i="3"/>
  <c r="AJ253" i="14"/>
  <c r="AK253" i="14" s="1"/>
  <c r="AK254" i="14" s="1"/>
  <c r="AK257" i="14" s="1"/>
  <c r="S7" i="18"/>
  <c r="S14" i="18"/>
  <c r="S5" i="18"/>
  <c r="X21" i="3"/>
  <c r="X23" i="3" s="1"/>
  <c r="X5" i="2" s="1"/>
  <c r="X7" i="3"/>
  <c r="X32" i="3"/>
  <c r="X54" i="3"/>
  <c r="AB471" i="20"/>
  <c r="AB479" i="20" s="1"/>
  <c r="AH152" i="14"/>
  <c r="AE40" i="7"/>
  <c r="AE42" i="7" s="1"/>
  <c r="AB7" i="7"/>
  <c r="V181" i="14"/>
  <c r="V183" i="14" s="1"/>
  <c r="V184" i="14" s="1"/>
  <c r="BC457" i="20"/>
  <c r="BB457" i="20"/>
  <c r="AC80" i="7"/>
  <c r="AB80" i="7" s="1"/>
  <c r="AB29" i="7"/>
  <c r="AW188" i="14"/>
  <c r="AW90" i="14"/>
  <c r="AW570" i="20" s="1"/>
  <c r="AW572" i="20" s="1"/>
  <c r="AW573" i="20" s="1"/>
  <c r="AV230" i="14"/>
  <c r="Z163" i="14"/>
  <c r="U163" i="14"/>
  <c r="AZ464" i="20"/>
  <c r="AY464" i="20"/>
  <c r="Z173" i="14"/>
  <c r="U173" i="14"/>
  <c r="S9" i="6"/>
  <c r="S12" i="6"/>
  <c r="BI252" i="14"/>
  <c r="AA487" i="20"/>
  <c r="BB253" i="14"/>
  <c r="BC253" i="14" s="1"/>
  <c r="BD254" i="14"/>
  <c r="AB506" i="20"/>
  <c r="AA508" i="20"/>
  <c r="AA510" i="20"/>
  <c r="AB485" i="20"/>
  <c r="AB40" i="7"/>
  <c r="AB42" i="7" s="1"/>
  <c r="AT212" i="14"/>
  <c r="AB85" i="14"/>
  <c r="AA549" i="20"/>
  <c r="AA550" i="20" s="1"/>
  <c r="AA212" i="14"/>
  <c r="AA142" i="14" s="1"/>
  <c r="AA143" i="14" s="1"/>
  <c r="AA86" i="14"/>
  <c r="AA87" i="14" s="1"/>
  <c r="AE50" i="20"/>
  <c r="AB5" i="18"/>
  <c r="AB33" i="18"/>
  <c r="AB9" i="18"/>
  <c r="AB12" i="18"/>
  <c r="S88" i="7"/>
  <c r="AB518" i="20"/>
  <c r="AA520" i="20"/>
  <c r="AA522" i="20"/>
  <c r="AE239" i="20"/>
  <c r="AE252" i="20" s="1"/>
  <c r="AE241" i="20"/>
  <c r="AB76" i="20"/>
  <c r="AB78" i="20" s="1"/>
  <c r="AB82" i="20" s="1"/>
  <c r="AB357" i="20"/>
  <c r="AH252" i="14"/>
  <c r="AH254" i="14" s="1"/>
  <c r="AG254" i="14"/>
  <c r="AG257" i="14" s="1"/>
  <c r="AO254" i="14"/>
  <c r="AO257" i="14" s="1"/>
  <c r="AM253" i="14"/>
  <c r="AN253" i="14" s="1"/>
  <c r="AE88" i="7"/>
  <c r="AE15" i="7"/>
  <c r="AF260" i="14"/>
  <c r="AA260" i="14"/>
  <c r="AA259" i="14" s="1"/>
  <c r="AA36" i="14" s="1"/>
  <c r="AC259" i="14"/>
  <c r="AB453" i="20"/>
  <c r="BF252" i="14"/>
  <c r="AH40" i="7"/>
  <c r="AH42" i="7" s="1"/>
  <c r="AK44" i="7"/>
  <c r="AI365" i="20"/>
  <c r="AD365" i="20"/>
  <c r="AD368" i="20" s="1"/>
  <c r="Y9" i="6"/>
  <c r="Y12" i="6"/>
  <c r="V44" i="7"/>
  <c r="S40" i="7"/>
  <c r="S42" i="7" s="1"/>
  <c r="AK36" i="18"/>
  <c r="AB487" i="20"/>
  <c r="AB239" i="20"/>
  <c r="AB252" i="20" s="1"/>
  <c r="AB569" i="20"/>
  <c r="AA571" i="20"/>
  <c r="AA573" i="20"/>
  <c r="AE233" i="14"/>
  <c r="AE241" i="14" s="1"/>
  <c r="AE227" i="14"/>
  <c r="AE240" i="14" s="1"/>
  <c r="AK79" i="7"/>
  <c r="AH44" i="7"/>
  <c r="AB14" i="6"/>
  <c r="AB91" i="6"/>
  <c r="AB5" i="7"/>
  <c r="AD124" i="20"/>
  <c r="AD41" i="20"/>
  <c r="AB253" i="14"/>
  <c r="AB254" i="14" s="1"/>
  <c r="AB257" i="14" s="1"/>
  <c r="AA254" i="14"/>
  <c r="AA257" i="14" s="1"/>
  <c r="AE28" i="20"/>
  <c r="AB28" i="20"/>
  <c r="AC1" i="6"/>
  <c r="W25" i="6"/>
  <c r="V80" i="6"/>
  <c r="V92" i="6" s="1"/>
  <c r="AE244" i="14"/>
  <c r="AE35" i="14"/>
  <c r="Z35" i="14"/>
  <c r="Y243" i="14"/>
  <c r="AE287" i="20"/>
  <c r="AE330" i="20" s="1"/>
  <c r="AE295" i="20"/>
  <c r="AE293" i="20"/>
  <c r="AE286" i="20"/>
  <c r="AE98" i="20"/>
  <c r="AE294" i="20"/>
  <c r="AE328" i="20" s="1"/>
  <c r="V260" i="14"/>
  <c r="V36" i="14"/>
  <c r="AE44" i="14"/>
  <c r="AB19" i="20"/>
  <c r="Z36" i="14"/>
  <c r="Y259" i="14"/>
  <c r="AB286" i="20"/>
  <c r="AB294" i="20"/>
  <c r="AE98" i="6"/>
  <c r="AE96" i="6" s="1"/>
  <c r="V42" i="14"/>
  <c r="V43" i="14"/>
  <c r="V44" i="14"/>
  <c r="AH91" i="6"/>
  <c r="AB35" i="14"/>
  <c r="AE75" i="6"/>
  <c r="AB21" i="20"/>
  <c r="AB98" i="20" s="1"/>
  <c r="AE23" i="14"/>
  <c r="AH25" i="14" s="1"/>
  <c r="P123" i="2"/>
  <c r="Q8" i="2"/>
  <c r="Q130" i="2"/>
  <c r="Q139" i="4"/>
  <c r="Q151" i="4"/>
  <c r="P162" i="4"/>
  <c r="W174" i="14"/>
  <c r="W171" i="14"/>
  <c r="Q348" i="20"/>
  <c r="Q349" i="20" s="1"/>
  <c r="T107" i="6"/>
  <c r="T243" i="14"/>
  <c r="T35" i="14" s="1"/>
  <c r="T42" i="14"/>
  <c r="T43" i="14" s="1"/>
  <c r="O92" i="4"/>
  <c r="Z81" i="4"/>
  <c r="P121" i="2"/>
  <c r="P160" i="4"/>
  <c r="Q55" i="7"/>
  <c r="Q56" i="7"/>
  <c r="Q42" i="7"/>
  <c r="T41" i="18"/>
  <c r="P153" i="4"/>
  <c r="P8" i="2"/>
  <c r="Q41" i="7"/>
  <c r="P10" i="2"/>
  <c r="P151" i="4"/>
  <c r="Z34" i="14"/>
  <c r="AC34" i="14"/>
  <c r="T181" i="14"/>
  <c r="Q183" i="14"/>
  <c r="T184" i="14"/>
  <c r="Z184" i="14"/>
  <c r="Z181" i="14"/>
  <c r="E154" i="14"/>
  <c r="E151" i="14"/>
  <c r="W42" i="14"/>
  <c r="W43" i="14" s="1"/>
  <c r="W52" i="14"/>
  <c r="AF43" i="14"/>
  <c r="AF52" i="14"/>
  <c r="AF55" i="14" s="1"/>
  <c r="AL84" i="20"/>
  <c r="F93" i="4"/>
  <c r="P92" i="4"/>
  <c r="Q34" i="7"/>
  <c r="Q35" i="7" s="1"/>
  <c r="G42" i="2"/>
  <c r="G45" i="2" s="1"/>
  <c r="AC93" i="4"/>
  <c r="AF41" i="4"/>
  <c r="U13" i="10"/>
  <c r="V28" i="10" s="1"/>
  <c r="K3" i="2"/>
  <c r="F229" i="4"/>
  <c r="F230" i="4" s="1"/>
  <c r="F61" i="10" s="1"/>
  <c r="D151" i="14"/>
  <c r="M10" i="10"/>
  <c r="M44" i="10" s="1"/>
  <c r="U213" i="14"/>
  <c r="U211" i="14" s="1"/>
  <c r="C41" i="14"/>
  <c r="C44" i="2"/>
  <c r="M54" i="10"/>
  <c r="F154" i="14"/>
  <c r="Z41" i="14"/>
  <c r="Z44" i="14" s="1"/>
  <c r="D154" i="14"/>
  <c r="D155" i="14" s="1"/>
  <c r="G151" i="14"/>
  <c r="AR141" i="20"/>
  <c r="W493" i="20"/>
  <c r="W495" i="20" s="1"/>
  <c r="Q493" i="20"/>
  <c r="Q495" i="20" s="1"/>
  <c r="N495" i="20"/>
  <c r="N496" i="20" s="1"/>
  <c r="O41" i="14"/>
  <c r="O154" i="14"/>
  <c r="O151" i="14"/>
  <c r="AC142" i="2"/>
  <c r="I3" i="5"/>
  <c r="AC130" i="2"/>
  <c r="AC8" i="2"/>
  <c r="AC99" i="4" s="1"/>
  <c r="B226" i="4"/>
  <c r="H28" i="10"/>
  <c r="AC98" i="4"/>
  <c r="AC10" i="2"/>
  <c r="I495" i="20"/>
  <c r="F151" i="14"/>
  <c r="P493" i="20"/>
  <c r="P495" i="20" s="1"/>
  <c r="O493" i="20"/>
  <c r="O495" i="20" s="1"/>
  <c r="K41" i="14"/>
  <c r="N151" i="14"/>
  <c r="T3" i="4"/>
  <c r="T3" i="5" s="1"/>
  <c r="L3" i="2"/>
  <c r="J92" i="4"/>
  <c r="Z240" i="4"/>
  <c r="Z242" i="4" s="1"/>
  <c r="E81" i="4"/>
  <c r="F92" i="4" s="1"/>
  <c r="O58" i="10"/>
  <c r="O60" i="10" s="1"/>
  <c r="G3" i="2"/>
  <c r="B234" i="4"/>
  <c r="C33" i="2"/>
  <c r="C15" i="10"/>
  <c r="C46" i="10" s="1"/>
  <c r="C228" i="4"/>
  <c r="L92" i="4"/>
  <c r="N154" i="14"/>
  <c r="G41" i="14"/>
  <c r="AF25" i="14"/>
  <c r="J151" i="14"/>
  <c r="O3" i="5"/>
  <c r="O3" i="2"/>
  <c r="W42" i="7"/>
  <c r="W59" i="7"/>
  <c r="W56" i="7"/>
  <c r="W55" i="7"/>
  <c r="E495" i="20"/>
  <c r="F496" i="20" s="1"/>
  <c r="F43" i="2"/>
  <c r="F116" i="5" s="1"/>
  <c r="AF240" i="4"/>
  <c r="AF242" i="4" s="1"/>
  <c r="AC41" i="14"/>
  <c r="AC44" i="14" s="1"/>
  <c r="AC224" i="4"/>
  <c r="AC225" i="4" s="1"/>
  <c r="AD230" i="4" s="1"/>
  <c r="O42" i="7"/>
  <c r="O55" i="7"/>
  <c r="O59" i="7"/>
  <c r="O56" i="7"/>
  <c r="T231" i="6"/>
  <c r="J10" i="10"/>
  <c r="J44" i="10" s="1"/>
  <c r="K151" i="14"/>
  <c r="J3" i="5"/>
  <c r="T42" i="7"/>
  <c r="T55" i="7"/>
  <c r="T59" i="7"/>
  <c r="T56" i="7"/>
  <c r="P42" i="7"/>
  <c r="P55" i="7"/>
  <c r="P56" i="7"/>
  <c r="P59" i="7"/>
  <c r="W58" i="6"/>
  <c r="H495" i="20"/>
  <c r="C495" i="20"/>
  <c r="AF151" i="14"/>
  <c r="I263" i="4"/>
  <c r="Q231" i="6"/>
  <c r="AF41" i="14"/>
  <c r="AF44" i="14" s="1"/>
  <c r="B3" i="2"/>
  <c r="AI240" i="4"/>
  <c r="AI242" i="4" s="1"/>
  <c r="J495" i="20"/>
  <c r="AF25" i="20"/>
  <c r="BD215" i="4"/>
  <c r="AC479" i="20"/>
  <c r="B41" i="14"/>
  <c r="Q41" i="14"/>
  <c r="Q44" i="14" s="1"/>
  <c r="C151" i="14"/>
  <c r="B151" i="14"/>
  <c r="Q154" i="14"/>
  <c r="T155" i="14" s="1"/>
  <c r="M154" i="14"/>
  <c r="AC151" i="14"/>
  <c r="T11" i="14"/>
  <c r="P41" i="14"/>
  <c r="P44" i="14" s="1"/>
  <c r="P151" i="14"/>
  <c r="P154" i="14"/>
  <c r="J41" i="14"/>
  <c r="AF42" i="14"/>
  <c r="T151" i="14"/>
  <c r="T152" i="14" s="1"/>
  <c r="M151" i="14"/>
  <c r="M152" i="14" s="1"/>
  <c r="T41" i="14"/>
  <c r="T44" i="14" s="1"/>
  <c r="Z151" i="14"/>
  <c r="P42" i="14"/>
  <c r="P43" i="14" s="1"/>
  <c r="H151" i="14"/>
  <c r="Q42" i="14"/>
  <c r="Q43" i="14" s="1"/>
  <c r="L41" i="14"/>
  <c r="I154" i="14"/>
  <c r="J155" i="14" s="1"/>
  <c r="L154" i="14"/>
  <c r="L155" i="14" s="1"/>
  <c r="I151" i="14"/>
  <c r="H41" i="14"/>
  <c r="AC215" i="20"/>
  <c r="AC55" i="7"/>
  <c r="AB55" i="7" s="1"/>
  <c r="AC58" i="7"/>
  <c r="AB58" i="7" s="1"/>
  <c r="AC57" i="7"/>
  <c r="AB57" i="7" s="1"/>
  <c r="AC56" i="7"/>
  <c r="AB56" i="7" s="1"/>
  <c r="AC59" i="7"/>
  <c r="AB59" i="7" s="1"/>
  <c r="T89" i="7"/>
  <c r="T41" i="7"/>
  <c r="AC53" i="18"/>
  <c r="AF53" i="18"/>
  <c r="AI53" i="18"/>
  <c r="AF34" i="18"/>
  <c r="AF35" i="18" s="1"/>
  <c r="Q11" i="14"/>
  <c r="Q233" i="6"/>
  <c r="P225" i="4"/>
  <c r="P58" i="10" s="1"/>
  <c r="P60" i="10" s="1"/>
  <c r="M225" i="4"/>
  <c r="N234" i="4" s="1"/>
  <c r="Q92" i="4"/>
  <c r="AC121" i="2"/>
  <c r="AC123" i="2"/>
  <c r="AC122" i="2"/>
  <c r="AC162" i="4"/>
  <c r="G26" i="2"/>
  <c r="AC7" i="2"/>
  <c r="AC12" i="2" s="1"/>
  <c r="AC139" i="4"/>
  <c r="AC153" i="4"/>
  <c r="AC160" i="4"/>
  <c r="AL60" i="20"/>
  <c r="AC25" i="14"/>
  <c r="AC90" i="7"/>
  <c r="AF91" i="4"/>
  <c r="AD91" i="4" s="1"/>
  <c r="W154" i="14"/>
  <c r="T493" i="20"/>
  <c r="T495" i="20" s="1"/>
  <c r="E29" i="3"/>
  <c r="E51" i="3"/>
  <c r="F1" i="3"/>
  <c r="AF79" i="7"/>
  <c r="AC1" i="3"/>
  <c r="AC51" i="3" s="1"/>
  <c r="Z29" i="3"/>
  <c r="AC89" i="7"/>
  <c r="AI34" i="7"/>
  <c r="AI35" i="7" s="1"/>
  <c r="Z234" i="4"/>
  <c r="AL211" i="4"/>
  <c r="W25" i="3"/>
  <c r="AI81" i="4"/>
  <c r="AL93" i="4"/>
  <c r="AL92" i="4" s="1"/>
  <c r="W151" i="14"/>
  <c r="D495" i="20"/>
  <c r="W11" i="14"/>
  <c r="K495" i="20"/>
  <c r="L496" i="20" s="1"/>
  <c r="AL210" i="4"/>
  <c r="AL543" i="20"/>
  <c r="O1" i="3"/>
  <c r="N29" i="3"/>
  <c r="N51" i="3"/>
  <c r="Z41" i="7"/>
  <c r="Z204" i="20"/>
  <c r="Z215" i="20" s="1"/>
  <c r="Z226" i="20"/>
  <c r="AC25" i="20"/>
  <c r="T348" i="20"/>
  <c r="T349" i="20" s="1"/>
  <c r="W326" i="20"/>
  <c r="W327" i="20" s="1"/>
  <c r="W204" i="20"/>
  <c r="W215" i="20" s="1"/>
  <c r="AL537" i="20"/>
  <c r="AL531" i="20"/>
  <c r="AI151" i="14"/>
  <c r="AI41" i="14"/>
  <c r="AX229" i="14"/>
  <c r="AR164" i="2"/>
  <c r="BD467" i="20"/>
  <c r="O41" i="18"/>
  <c r="AO187" i="4"/>
  <c r="AO192" i="4"/>
  <c r="W225" i="4"/>
  <c r="W226" i="4" s="1"/>
  <c r="J225" i="4"/>
  <c r="J234" i="4" s="1"/>
  <c r="C3" i="2"/>
  <c r="G225" i="4"/>
  <c r="G58" i="10" s="1"/>
  <c r="G60" i="10" s="1"/>
  <c r="AI232" i="20"/>
  <c r="Q328" i="20"/>
  <c r="T329" i="20" s="1"/>
  <c r="AI34" i="18"/>
  <c r="AI35" i="18" s="1"/>
  <c r="W25" i="14"/>
  <c r="AF99" i="4"/>
  <c r="G496" i="20"/>
  <c r="W203" i="20"/>
  <c r="W214" i="20" s="1"/>
  <c r="W43" i="20"/>
  <c r="M496" i="20"/>
  <c r="Q326" i="20"/>
  <c r="G15" i="10"/>
  <c r="G29" i="10" s="1"/>
  <c r="G228" i="4"/>
  <c r="I33" i="2"/>
  <c r="I15" i="10"/>
  <c r="I228" i="4"/>
  <c r="I26" i="2"/>
  <c r="AD37" i="10"/>
  <c r="BG37" i="2"/>
  <c r="BD157" i="2"/>
  <c r="BD169" i="2" s="1"/>
  <c r="I88" i="5"/>
  <c r="I94" i="5" s="1"/>
  <c r="I111" i="5" s="1"/>
  <c r="I31" i="5"/>
  <c r="I76" i="5" s="1"/>
  <c r="N41" i="7"/>
  <c r="F41" i="7"/>
  <c r="I41" i="7"/>
  <c r="AI32" i="7"/>
  <c r="AH32" i="7" s="1"/>
  <c r="O41" i="7"/>
  <c r="W41" i="7"/>
  <c r="AW13" i="7"/>
  <c r="Q80" i="6"/>
  <c r="Q92" i="6" s="1"/>
  <c r="L226" i="4"/>
  <c r="L58" i="10"/>
  <c r="L60" i="10" s="1"/>
  <c r="K226" i="4"/>
  <c r="K58" i="10"/>
  <c r="K60" i="10" s="1"/>
  <c r="L234" i="4"/>
  <c r="F115" i="5"/>
  <c r="F21" i="10"/>
  <c r="W28" i="10"/>
  <c r="D45" i="2"/>
  <c r="D44" i="2"/>
  <c r="K64" i="2"/>
  <c r="K68" i="2" s="1"/>
  <c r="J56" i="2"/>
  <c r="F45" i="2"/>
  <c r="F44" i="2"/>
  <c r="AX192" i="14"/>
  <c r="K10" i="10"/>
  <c r="K52" i="10"/>
  <c r="F53" i="10"/>
  <c r="F52" i="10"/>
  <c r="F10" i="10"/>
  <c r="BD189" i="14"/>
  <c r="BB189" i="14" s="1"/>
  <c r="BB188" i="14" s="1"/>
  <c r="BA188" i="14"/>
  <c r="AZ188" i="14" s="1"/>
  <c r="C12" i="54"/>
  <c r="AO92" i="2"/>
  <c r="AO100" i="2" s="1"/>
  <c r="E45" i="2"/>
  <c r="E44" i="2"/>
  <c r="N28" i="10"/>
  <c r="N36" i="10"/>
  <c r="N178" i="2" s="1"/>
  <c r="P10" i="10"/>
  <c r="P52" i="10"/>
  <c r="D102" i="4"/>
  <c r="D79" i="4"/>
  <c r="Z94" i="6"/>
  <c r="Z70" i="6"/>
  <c r="AF50" i="14"/>
  <c r="AI188" i="20"/>
  <c r="AL188" i="20" s="1"/>
  <c r="AO188" i="20" s="1"/>
  <c r="AC42" i="18"/>
  <c r="AC38" i="18"/>
  <c r="I52" i="10"/>
  <c r="I10" i="10"/>
  <c r="W13" i="2"/>
  <c r="W23" i="2"/>
  <c r="R52" i="10"/>
  <c r="R10" i="10"/>
  <c r="BG465" i="20"/>
  <c r="B228" i="4"/>
  <c r="B33" i="2"/>
  <c r="B26" i="2"/>
  <c r="B15" i="10"/>
  <c r="T10" i="10"/>
  <c r="T52" i="10"/>
  <c r="AC155" i="14"/>
  <c r="Z65" i="14"/>
  <c r="G78" i="5"/>
  <c r="G82" i="5" s="1"/>
  <c r="H78" i="5" s="1"/>
  <c r="F121" i="5"/>
  <c r="J13" i="2"/>
  <c r="J23" i="2"/>
  <c r="D31" i="5"/>
  <c r="D76" i="5" s="1"/>
  <c r="D88" i="5"/>
  <c r="D94" i="5" s="1"/>
  <c r="D111" i="5" s="1"/>
  <c r="AC41" i="4"/>
  <c r="AC52" i="4" s="1"/>
  <c r="AL513" i="20"/>
  <c r="Z42" i="18"/>
  <c r="Z38" i="18"/>
  <c r="AK67" i="14"/>
  <c r="W92" i="4"/>
  <c r="AO238" i="4"/>
  <c r="Y9" i="10"/>
  <c r="AL564" i="20"/>
  <c r="AL228" i="14"/>
  <c r="AL149" i="14"/>
  <c r="T23" i="20"/>
  <c r="P41" i="18"/>
  <c r="AI42" i="18"/>
  <c r="AI38" i="18"/>
  <c r="T24" i="14"/>
  <c r="T25" i="14" s="1"/>
  <c r="T71" i="6"/>
  <c r="S71" i="6" s="1"/>
  <c r="S23" i="14" s="1"/>
  <c r="BD198" i="14"/>
  <c r="BA192" i="14" s="1"/>
  <c r="AC34" i="7"/>
  <c r="AC35" i="7" s="1"/>
  <c r="BG200" i="4"/>
  <c r="BE200" i="4" s="1"/>
  <c r="BF200" i="4" s="1"/>
  <c r="F95" i="4"/>
  <c r="E96" i="4"/>
  <c r="Z25" i="14"/>
  <c r="W44" i="20"/>
  <c r="T297" i="20"/>
  <c r="W348" i="20"/>
  <c r="W243" i="14"/>
  <c r="V243" i="14" s="1"/>
  <c r="H41" i="7"/>
  <c r="W34" i="7"/>
  <c r="W35" i="7" s="1"/>
  <c r="W89" i="7"/>
  <c r="N92" i="4"/>
  <c r="L23" i="2"/>
  <c r="L13" i="2"/>
  <c r="M98" i="4"/>
  <c r="M18" i="2"/>
  <c r="M16" i="2"/>
  <c r="M12" i="2"/>
  <c r="E228" i="4"/>
  <c r="E26" i="2"/>
  <c r="E33" i="2"/>
  <c r="E15" i="10"/>
  <c r="N98" i="4"/>
  <c r="N18" i="2"/>
  <c r="N16" i="2"/>
  <c r="N12" i="2"/>
  <c r="X8" i="10"/>
  <c r="AL171" i="2" s="1"/>
  <c r="Q52" i="10"/>
  <c r="Q10" i="10"/>
  <c r="Z493" i="20"/>
  <c r="Z495" i="20" s="1"/>
  <c r="O98" i="4"/>
  <c r="O18" i="2"/>
  <c r="O16" i="2"/>
  <c r="O12" i="2"/>
  <c r="W197" i="20"/>
  <c r="W208" i="20" s="1"/>
  <c r="BG208" i="14"/>
  <c r="AI143" i="20"/>
  <c r="T162" i="20"/>
  <c r="T150" i="20"/>
  <c r="AC68" i="18"/>
  <c r="Z78" i="18"/>
  <c r="F226" i="4"/>
  <c r="F58" i="10"/>
  <c r="F60" i="10" s="1"/>
  <c r="C155" i="14"/>
  <c r="Z42" i="14"/>
  <c r="Z43" i="14"/>
  <c r="AF38" i="18"/>
  <c r="AF42" i="18"/>
  <c r="AI373" i="20"/>
  <c r="AI69" i="14"/>
  <c r="E84" i="5"/>
  <c r="E239" i="4"/>
  <c r="E240" i="4" s="1"/>
  <c r="E242" i="4" s="1"/>
  <c r="E7" i="10"/>
  <c r="AF1" i="2"/>
  <c r="AI233" i="14"/>
  <c r="AI241" i="14" s="1"/>
  <c r="AI227" i="14"/>
  <c r="AI240" i="14" s="1"/>
  <c r="AC28" i="20"/>
  <c r="G52" i="10"/>
  <c r="G10" i="10"/>
  <c r="AI12" i="2"/>
  <c r="AI23" i="2" s="1"/>
  <c r="AI18" i="2"/>
  <c r="AI16" i="2"/>
  <c r="O52" i="10"/>
  <c r="O10" i="10"/>
  <c r="W131" i="20"/>
  <c r="W162" i="20"/>
  <c r="W150" i="20"/>
  <c r="K5" i="5"/>
  <c r="K29" i="5" s="1"/>
  <c r="K25" i="2"/>
  <c r="K32" i="2"/>
  <c r="K38" i="2" s="1"/>
  <c r="G115" i="5"/>
  <c r="G21" i="10"/>
  <c r="K155" i="14"/>
  <c r="AF28" i="20"/>
  <c r="T105" i="20"/>
  <c r="AF192" i="20"/>
  <c r="AI192" i="20" s="1"/>
  <c r="AL192" i="20" s="1"/>
  <c r="AO192" i="20" s="1"/>
  <c r="Z28" i="20"/>
  <c r="G37" i="2"/>
  <c r="G43" i="2"/>
  <c r="G116" i="5" s="1"/>
  <c r="D103" i="4"/>
  <c r="D101" i="4"/>
  <c r="AF189" i="20"/>
  <c r="AF190" i="20"/>
  <c r="AL147" i="20"/>
  <c r="AO147" i="20" s="1"/>
  <c r="N226" i="4"/>
  <c r="N58" i="10"/>
  <c r="N60" i="10" s="1"/>
  <c r="V44" i="10"/>
  <c r="T92" i="4"/>
  <c r="E31" i="5"/>
  <c r="E76" i="5" s="1"/>
  <c r="E88" i="5"/>
  <c r="E94" i="5" s="1"/>
  <c r="E111" i="5" s="1"/>
  <c r="F3" i="5"/>
  <c r="F3" i="2"/>
  <c r="O1" i="2"/>
  <c r="T36" i="14"/>
  <c r="T29" i="14"/>
  <c r="AC368" i="20"/>
  <c r="AF79" i="18"/>
  <c r="BB9" i="18"/>
  <c r="H92" i="4"/>
  <c r="BA11" i="4"/>
  <c r="W52" i="10"/>
  <c r="Z201" i="20"/>
  <c r="Z212" i="20" s="1"/>
  <c r="W42" i="20"/>
  <c r="Q226" i="4"/>
  <c r="Q58" i="10"/>
  <c r="Q60" i="10" s="1"/>
  <c r="AL142" i="14"/>
  <c r="AL143" i="14" s="1"/>
  <c r="AL86" i="14"/>
  <c r="AC503" i="20"/>
  <c r="Z131" i="20"/>
  <c r="Z150" i="20"/>
  <c r="Z162" i="20"/>
  <c r="H42" i="2"/>
  <c r="H163" i="2"/>
  <c r="AI224" i="4"/>
  <c r="AI225" i="4" s="1"/>
  <c r="AJ230" i="4" s="1"/>
  <c r="AI93" i="4"/>
  <c r="AI92" i="4" s="1"/>
  <c r="AI89" i="7"/>
  <c r="AC32" i="7"/>
  <c r="AB32" i="7" s="1"/>
  <c r="AX570" i="20"/>
  <c r="AX230" i="14"/>
  <c r="BA90" i="14"/>
  <c r="AY90" i="14" s="1"/>
  <c r="AF18" i="2"/>
  <c r="AF16" i="2"/>
  <c r="AF12" i="2"/>
  <c r="AF23" i="2" s="1"/>
  <c r="AF25" i="2" s="1"/>
  <c r="T226" i="4"/>
  <c r="R58" i="10"/>
  <c r="R60" i="10" s="1"/>
  <c r="L54" i="10"/>
  <c r="L52" i="10"/>
  <c r="L10" i="10"/>
  <c r="W202" i="20"/>
  <c r="W213" i="20" s="1"/>
  <c r="Z357" i="20"/>
  <c r="Z368" i="20" s="1"/>
  <c r="AF32" i="7"/>
  <c r="AE32" i="7" s="1"/>
  <c r="AI41" i="4"/>
  <c r="AI52" i="4" s="1"/>
  <c r="H226" i="4"/>
  <c r="H58" i="10"/>
  <c r="H60" i="10" s="1"/>
  <c r="I234" i="4"/>
  <c r="N10" i="10"/>
  <c r="N54" i="10"/>
  <c r="N52" i="10"/>
  <c r="M92" i="4"/>
  <c r="BD167" i="14"/>
  <c r="BB167" i="14" s="1"/>
  <c r="BA168" i="14"/>
  <c r="E3" i="5"/>
  <c r="E3" i="2"/>
  <c r="Z231" i="20"/>
  <c r="H155" i="14"/>
  <c r="I226" i="4"/>
  <c r="I58" i="10"/>
  <c r="I60" i="10" s="1"/>
  <c r="Q297" i="20"/>
  <c r="BD218" i="14"/>
  <c r="H228" i="4"/>
  <c r="H33" i="2"/>
  <c r="H26" i="2"/>
  <c r="H15" i="10"/>
  <c r="T162" i="4"/>
  <c r="T160" i="4"/>
  <c r="T8" i="2"/>
  <c r="T7" i="2"/>
  <c r="R13" i="10"/>
  <c r="T130" i="2"/>
  <c r="T151" i="4"/>
  <c r="T10" i="2"/>
  <c r="T153" i="4"/>
  <c r="T122" i="2"/>
  <c r="T123" i="2"/>
  <c r="T142" i="2"/>
  <c r="T121" i="2"/>
  <c r="Z107" i="20"/>
  <c r="Z35" i="20"/>
  <c r="AL146" i="20"/>
  <c r="AO146" i="20" s="1"/>
  <c r="Z376" i="20"/>
  <c r="Z25" i="20" s="1"/>
  <c r="Z199" i="20"/>
  <c r="Z210" i="20" s="1"/>
  <c r="W100" i="6"/>
  <c r="AL549" i="20"/>
  <c r="AC42" i="7"/>
  <c r="AC41" i="7"/>
  <c r="C115" i="5"/>
  <c r="C21" i="10"/>
  <c r="D3" i="5"/>
  <c r="D3" i="2"/>
  <c r="AF224" i="4"/>
  <c r="AF225" i="4" s="1"/>
  <c r="AG230" i="4" s="1"/>
  <c r="AF81" i="4"/>
  <c r="AF93" i="4"/>
  <c r="AF92" i="4" s="1"/>
  <c r="AI80" i="7"/>
  <c r="AL92" i="7"/>
  <c r="H10" i="10"/>
  <c r="H52" i="10"/>
  <c r="G92" i="4"/>
  <c r="BG152" i="20"/>
  <c r="T360" i="20"/>
  <c r="T362" i="20" s="1"/>
  <c r="T367" i="20"/>
  <c r="T369" i="20" s="1"/>
  <c r="T29" i="20" s="1"/>
  <c r="W328" i="20"/>
  <c r="W164" i="14"/>
  <c r="W161" i="14"/>
  <c r="AF34" i="7"/>
  <c r="AF35" i="7" s="1"/>
  <c r="B42" i="10"/>
  <c r="O234" i="4"/>
  <c r="E226" i="4"/>
  <c r="E58" i="10"/>
  <c r="E60" i="10" s="1"/>
  <c r="F234" i="4"/>
  <c r="Z198" i="20"/>
  <c r="Z209" i="20" s="1"/>
  <c r="BG466" i="20"/>
  <c r="BD9" i="7"/>
  <c r="BB9" i="7" s="1"/>
  <c r="P41" i="7"/>
  <c r="B44" i="2"/>
  <c r="B45" i="2"/>
  <c r="I92" i="4"/>
  <c r="AF191" i="20"/>
  <c r="Z202" i="20"/>
  <c r="Z213" i="20" s="1"/>
  <c r="AL144" i="20"/>
  <c r="AO144" i="20" s="1"/>
  <c r="T124" i="20"/>
  <c r="T197" i="20"/>
  <c r="T195" i="20" s="1"/>
  <c r="AC492" i="20"/>
  <c r="AC459" i="20"/>
  <c r="Q34" i="18"/>
  <c r="Q35" i="18" s="1"/>
  <c r="Q78" i="18"/>
  <c r="C224" i="4"/>
  <c r="C225" i="4" s="1"/>
  <c r="C81" i="4"/>
  <c r="Z226" i="4"/>
  <c r="T58" i="10"/>
  <c r="T60" i="10" s="1"/>
  <c r="AI99" i="4"/>
  <c r="D228" i="4"/>
  <c r="D33" i="2"/>
  <c r="D26" i="2"/>
  <c r="D15" i="10"/>
  <c r="T233" i="6"/>
  <c r="Z203" i="20"/>
  <c r="Z214" i="20" s="1"/>
  <c r="AX212" i="14"/>
  <c r="Z98" i="4"/>
  <c r="Z16" i="2"/>
  <c r="Z12" i="2"/>
  <c r="Z18" i="2"/>
  <c r="H31" i="5"/>
  <c r="H76" i="5" s="1"/>
  <c r="H88" i="5"/>
  <c r="H94" i="5" s="1"/>
  <c r="H111" i="5" s="1"/>
  <c r="Z41" i="4"/>
  <c r="Z52" i="4" s="1"/>
  <c r="U52" i="10"/>
  <c r="U10" i="10"/>
  <c r="W232" i="20"/>
  <c r="W376" i="20"/>
  <c r="W10" i="20" s="1"/>
  <c r="W330" i="20"/>
  <c r="Z330" i="20" s="1"/>
  <c r="W357" i="20"/>
  <c r="W199" i="20"/>
  <c r="W210" i="20" s="1"/>
  <c r="W201" i="20"/>
  <c r="W212" i="20" s="1"/>
  <c r="W198" i="20"/>
  <c r="W209" i="20" s="1"/>
  <c r="BG457" i="20"/>
  <c r="AI79" i="7"/>
  <c r="AF89" i="7"/>
  <c r="K92" i="4"/>
  <c r="I28" i="10"/>
  <c r="Q3" i="4"/>
  <c r="F157" i="2"/>
  <c r="F169" i="2" s="1"/>
  <c r="F37" i="10"/>
  <c r="AO241" i="4"/>
  <c r="AO219" i="4"/>
  <c r="Y59" i="10"/>
  <c r="AF155" i="14"/>
  <c r="Z197" i="20"/>
  <c r="Z208" i="20" s="1"/>
  <c r="M28" i="10"/>
  <c r="M36" i="10"/>
  <c r="M178" i="2" s="1"/>
  <c r="P3" i="4"/>
  <c r="V41" i="10"/>
  <c r="V52" i="10"/>
  <c r="W70" i="6"/>
  <c r="AI145" i="20"/>
  <c r="AC34" i="18"/>
  <c r="AC35" i="18" s="1"/>
  <c r="AI19" i="5"/>
  <c r="O28" i="10"/>
  <c r="Q361" i="20"/>
  <c r="T376" i="20"/>
  <c r="T10" i="20" s="1"/>
  <c r="Q376" i="20"/>
  <c r="Q10" i="20" s="1"/>
  <c r="Q232" i="20"/>
  <c r="Q234" i="20" s="1"/>
  <c r="T235" i="20" s="1"/>
  <c r="Q360" i="20"/>
  <c r="BD464" i="20"/>
  <c r="BB12" i="18"/>
  <c r="I45" i="2"/>
  <c r="I44" i="2"/>
  <c r="B31" i="5"/>
  <c r="B76" i="5" s="1"/>
  <c r="B88" i="5"/>
  <c r="B94" i="5" s="1"/>
  <c r="B111" i="5" s="1"/>
  <c r="AR81" i="18"/>
  <c r="Q96" i="6"/>
  <c r="AF338" i="20" l="1"/>
  <c r="AF110" i="20"/>
  <c r="AC257" i="20"/>
  <c r="AC270" i="20" s="1"/>
  <c r="AC105" i="20"/>
  <c r="AB110" i="20"/>
  <c r="AC41" i="20"/>
  <c r="BA83" i="14"/>
  <c r="BA117" i="14"/>
  <c r="AZ117" i="14" s="1"/>
  <c r="AT549" i="20"/>
  <c r="AT125" i="14"/>
  <c r="AT537" i="20"/>
  <c r="AT123" i="14"/>
  <c r="AX85" i="14"/>
  <c r="AX549" i="20" s="1"/>
  <c r="AX119" i="14"/>
  <c r="AW119" i="14" s="1"/>
  <c r="AX83" i="14"/>
  <c r="AX117" i="14"/>
  <c r="AW117" i="14" s="1"/>
  <c r="Q28" i="10"/>
  <c r="V15" i="7"/>
  <c r="V52" i="14"/>
  <c r="AE48" i="18"/>
  <c r="AR69" i="18"/>
  <c r="AU81" i="18"/>
  <c r="AR256" i="20"/>
  <c r="B44" i="10"/>
  <c r="AE49" i="18"/>
  <c r="AO93" i="14"/>
  <c r="AO95" i="14" s="1"/>
  <c r="AO98" i="14" s="1"/>
  <c r="AO99" i="14" s="1"/>
  <c r="AR89" i="14"/>
  <c r="AR564" i="20" s="1"/>
  <c r="AR565" i="20" s="1"/>
  <c r="AE51" i="18"/>
  <c r="AE53" i="18"/>
  <c r="AE59" i="18" s="1"/>
  <c r="AE50" i="18"/>
  <c r="AE62" i="18"/>
  <c r="AF59" i="18"/>
  <c r="AI59" i="18"/>
  <c r="AL59" i="18"/>
  <c r="AH61" i="18"/>
  <c r="AK61" i="18"/>
  <c r="AH49" i="18"/>
  <c r="AH47" i="18" s="1"/>
  <c r="AH60" i="18"/>
  <c r="AK60" i="18"/>
  <c r="AH62" i="18"/>
  <c r="AK62" i="18"/>
  <c r="AH53" i="18"/>
  <c r="AH63" i="18"/>
  <c r="AK63" i="18"/>
  <c r="Q99" i="4"/>
  <c r="W78" i="18"/>
  <c r="AI337" i="20"/>
  <c r="AE336" i="20"/>
  <c r="AH337" i="20" s="1"/>
  <c r="AK564" i="20"/>
  <c r="AK565" i="20" s="1"/>
  <c r="AF337" i="20"/>
  <c r="AK228" i="14"/>
  <c r="AK233" i="14" s="1"/>
  <c r="AZ189" i="14"/>
  <c r="AY182" i="14"/>
  <c r="AY116" i="14" s="1"/>
  <c r="AY120" i="14" s="1"/>
  <c r="AW189" i="14"/>
  <c r="AK149" i="14"/>
  <c r="AK151" i="14" s="1"/>
  <c r="AK152" i="14" s="1"/>
  <c r="BC208" i="14"/>
  <c r="BC209" i="14" s="1"/>
  <c r="AI63" i="7"/>
  <c r="AI310" i="20"/>
  <c r="AI301" i="20"/>
  <c r="AI300" i="20" s="1"/>
  <c r="AI304" i="20"/>
  <c r="AF301" i="20"/>
  <c r="AF300" i="20" s="1"/>
  <c r="AF304" i="20"/>
  <c r="AL301" i="20"/>
  <c r="AL300" i="20" s="1"/>
  <c r="AL304" i="20"/>
  <c r="AO309" i="20"/>
  <c r="AO303" i="20"/>
  <c r="AC309" i="20"/>
  <c r="AF310" i="20" s="1"/>
  <c r="AC303" i="20"/>
  <c r="AL310" i="20"/>
  <c r="AD80" i="20"/>
  <c r="AD84" i="20" s="1"/>
  <c r="AD306" i="20"/>
  <c r="AF334" i="20"/>
  <c r="AE349" i="20"/>
  <c r="AE326" i="20"/>
  <c r="AH56" i="7"/>
  <c r="AH63" i="7" s="1"/>
  <c r="AF65" i="7"/>
  <c r="Q12" i="2"/>
  <c r="Q23" i="2" s="1"/>
  <c r="Q16" i="2"/>
  <c r="Q18" i="2"/>
  <c r="AH58" i="7"/>
  <c r="AH65" i="7" s="1"/>
  <c r="AI65" i="7"/>
  <c r="AE57" i="7"/>
  <c r="AE50" i="7" s="1"/>
  <c r="AF64" i="7"/>
  <c r="AE55" i="7"/>
  <c r="AH62" i="7" s="1"/>
  <c r="AF62" i="7"/>
  <c r="AH57" i="7"/>
  <c r="AH50" i="7" s="1"/>
  <c r="AI64" i="7"/>
  <c r="AE59" i="7"/>
  <c r="AE52" i="7" s="1"/>
  <c r="AF66" i="7"/>
  <c r="AI62" i="7"/>
  <c r="AF63" i="7"/>
  <c r="AH59" i="7"/>
  <c r="AH52" i="7" s="1"/>
  <c r="AI66" i="7"/>
  <c r="AI54" i="7"/>
  <c r="AF54" i="7"/>
  <c r="BA154" i="20"/>
  <c r="AZ202" i="14"/>
  <c r="AY84" i="14"/>
  <c r="AT202" i="14"/>
  <c r="AW202" i="14"/>
  <c r="AV543" i="20"/>
  <c r="AP531" i="20"/>
  <c r="AV254" i="14"/>
  <c r="AC351" i="20"/>
  <c r="AN367" i="20"/>
  <c r="AN89" i="14"/>
  <c r="AO564" i="20"/>
  <c r="AO565" i="20" s="1"/>
  <c r="AO228" i="14"/>
  <c r="AR5" i="5"/>
  <c r="AR29" i="5" s="1"/>
  <c r="AR32" i="2"/>
  <c r="AR38" i="2" s="1"/>
  <c r="AR42" i="2" s="1"/>
  <c r="AD351" i="20"/>
  <c r="AD298" i="20" s="1"/>
  <c r="AF81" i="7"/>
  <c r="C24" i="10"/>
  <c r="BE208" i="14"/>
  <c r="AC92" i="4"/>
  <c r="P12" i="2"/>
  <c r="P23" i="2" s="1"/>
  <c r="U231" i="4"/>
  <c r="W3" i="2"/>
  <c r="AK158" i="2"/>
  <c r="W3" i="5"/>
  <c r="AE51" i="7"/>
  <c r="Z116" i="20"/>
  <c r="Y116" i="20" s="1"/>
  <c r="Y119" i="20" s="1"/>
  <c r="Y107" i="20"/>
  <c r="Y105" i="20" s="1"/>
  <c r="AE3" i="2"/>
  <c r="AC51" i="14"/>
  <c r="AE9" i="3"/>
  <c r="AE11" i="3"/>
  <c r="P16" i="2"/>
  <c r="P18" i="2"/>
  <c r="U235" i="4"/>
  <c r="U230" i="4"/>
  <c r="AH93" i="4"/>
  <c r="AH92" i="4" s="1"/>
  <c r="AA492" i="20"/>
  <c r="BE182" i="4"/>
  <c r="BF182" i="4" s="1"/>
  <c r="R54" i="2"/>
  <c r="R50" i="2"/>
  <c r="AH224" i="4"/>
  <c r="AH225" i="4" s="1"/>
  <c r="AH226" i="4" s="1"/>
  <c r="U54" i="2"/>
  <c r="U50" i="2"/>
  <c r="BD106" i="2"/>
  <c r="BD109" i="2" s="1"/>
  <c r="BB184" i="4"/>
  <c r="BB106" i="2" s="1"/>
  <c r="BB109" i="2" s="1"/>
  <c r="AA230" i="4"/>
  <c r="AA231" i="4"/>
  <c r="AA54" i="2"/>
  <c r="AA50" i="2"/>
  <c r="R230" i="4"/>
  <c r="R231" i="4"/>
  <c r="R71" i="4"/>
  <c r="R72" i="4" s="1"/>
  <c r="R122" i="2"/>
  <c r="R98" i="4"/>
  <c r="R123" i="2"/>
  <c r="R162" i="4"/>
  <c r="R234" i="4"/>
  <c r="R7" i="2"/>
  <c r="R153" i="4"/>
  <c r="R142" i="2"/>
  <c r="R160" i="4"/>
  <c r="R139" i="4"/>
  <c r="R151" i="4"/>
  <c r="R121" i="2"/>
  <c r="R130" i="2"/>
  <c r="R26" i="2"/>
  <c r="R115" i="5"/>
  <c r="R10" i="2"/>
  <c r="R8" i="2"/>
  <c r="R99" i="4" s="1"/>
  <c r="R233" i="4"/>
  <c r="AA71" i="4"/>
  <c r="AA72" i="4" s="1"/>
  <c r="U69" i="4"/>
  <c r="V69" i="4" s="1"/>
  <c r="U18" i="2"/>
  <c r="U12" i="2"/>
  <c r="U16" i="2"/>
  <c r="AB51" i="7"/>
  <c r="AG24" i="3"/>
  <c r="G44" i="2"/>
  <c r="X130" i="2"/>
  <c r="X122" i="2"/>
  <c r="X121" i="2"/>
  <c r="X7" i="2"/>
  <c r="X123" i="2"/>
  <c r="X142" i="2"/>
  <c r="X10" i="2"/>
  <c r="X8" i="2"/>
  <c r="X26" i="2"/>
  <c r="X115" i="5"/>
  <c r="AI234" i="4"/>
  <c r="AB52" i="7"/>
  <c r="AC234" i="4"/>
  <c r="BH254" i="14"/>
  <c r="AD98" i="4"/>
  <c r="AD142" i="2"/>
  <c r="AD130" i="2"/>
  <c r="AD160" i="4"/>
  <c r="AD234" i="4"/>
  <c r="AD139" i="4"/>
  <c r="AD7" i="2"/>
  <c r="AD121" i="2"/>
  <c r="AD162" i="4"/>
  <c r="AD122" i="2"/>
  <c r="AD123" i="2"/>
  <c r="AD153" i="4"/>
  <c r="AD151" i="4"/>
  <c r="AD10" i="2"/>
  <c r="AD8" i="2"/>
  <c r="AD99" i="4" s="1"/>
  <c r="AD26" i="2"/>
  <c r="AD115" i="5"/>
  <c r="AD233" i="4"/>
  <c r="AB224" i="4"/>
  <c r="AB225" i="4" s="1"/>
  <c r="AB226" i="4" s="1"/>
  <c r="AB81" i="4"/>
  <c r="AE93" i="4"/>
  <c r="AE224" i="4"/>
  <c r="AE225" i="4" s="1"/>
  <c r="AE226" i="4" s="1"/>
  <c r="AE81" i="4"/>
  <c r="AG16" i="2"/>
  <c r="AG18" i="2"/>
  <c r="AG12" i="2"/>
  <c r="AB49" i="7"/>
  <c r="BF254" i="14"/>
  <c r="AE91" i="4"/>
  <c r="AE87" i="4" s="1"/>
  <c r="AD87" i="4"/>
  <c r="AD107" i="4" s="1"/>
  <c r="AC81" i="7"/>
  <c r="AB50" i="7"/>
  <c r="AA98" i="4"/>
  <c r="AA151" i="4"/>
  <c r="AA142" i="2"/>
  <c r="AA130" i="2"/>
  <c r="AA7" i="2"/>
  <c r="AA121" i="2"/>
  <c r="AA160" i="4"/>
  <c r="AA122" i="2"/>
  <c r="AA234" i="4"/>
  <c r="AA139" i="4"/>
  <c r="AA153" i="4"/>
  <c r="AA162" i="4"/>
  <c r="AA123" i="2"/>
  <c r="AA10" i="2"/>
  <c r="AA8" i="2"/>
  <c r="AA99" i="4" s="1"/>
  <c r="AA26" i="2"/>
  <c r="AA115" i="5"/>
  <c r="AA233" i="4"/>
  <c r="AH3" i="2"/>
  <c r="AH3" i="5"/>
  <c r="AG234" i="4"/>
  <c r="AG235" i="4" s="1"/>
  <c r="AH98" i="4"/>
  <c r="AH121" i="2"/>
  <c r="AH160" i="4"/>
  <c r="AH7" i="2"/>
  <c r="AH162" i="4"/>
  <c r="AH122" i="2"/>
  <c r="AH151" i="4"/>
  <c r="AH174" i="4"/>
  <c r="AH172" i="4"/>
  <c r="AH130" i="2"/>
  <c r="AH123" i="2"/>
  <c r="AH142" i="2"/>
  <c r="AH139" i="4"/>
  <c r="AH153" i="4"/>
  <c r="AI81" i="7"/>
  <c r="AJ110" i="4"/>
  <c r="AM110" i="4"/>
  <c r="AJ234" i="4"/>
  <c r="AJ235" i="4" s="1"/>
  <c r="AE49" i="7"/>
  <c r="AJ112" i="4"/>
  <c r="AM112" i="4"/>
  <c r="BG183" i="4"/>
  <c r="BE183" i="4" s="1"/>
  <c r="BF183" i="4" s="1"/>
  <c r="AW24" i="4"/>
  <c r="AW12" i="4"/>
  <c r="AZ11" i="4"/>
  <c r="BB11" i="4"/>
  <c r="BA173" i="4"/>
  <c r="BD173" i="4" s="1"/>
  <c r="BG184" i="4"/>
  <c r="W234" i="4"/>
  <c r="AN3" i="5"/>
  <c r="AN3" i="2"/>
  <c r="AZ21" i="2"/>
  <c r="AW20" i="4"/>
  <c r="AN92" i="2"/>
  <c r="AN100" i="2" s="1"/>
  <c r="BB215" i="4"/>
  <c r="BA17" i="4"/>
  <c r="BD17" i="4" s="1"/>
  <c r="AW17" i="4"/>
  <c r="V48" i="3"/>
  <c r="V9" i="2" s="1"/>
  <c r="BJ181" i="4"/>
  <c r="BH181" i="4" s="1"/>
  <c r="BI181" i="4" s="1"/>
  <c r="BJ182" i="4"/>
  <c r="BE37" i="2"/>
  <c r="BE157" i="2" s="1"/>
  <c r="AW18" i="4"/>
  <c r="AW56" i="4" s="1"/>
  <c r="BA24" i="4"/>
  <c r="BD24" i="4" s="1"/>
  <c r="AW45" i="4"/>
  <c r="AW36" i="4"/>
  <c r="U58" i="10"/>
  <c r="U60" i="10" s="1"/>
  <c r="AF234" i="4"/>
  <c r="S41" i="7"/>
  <c r="AB480" i="20"/>
  <c r="BG59" i="4"/>
  <c r="BC59" i="4"/>
  <c r="BB59" i="4"/>
  <c r="BG190" i="4"/>
  <c r="BE190" i="4" s="1"/>
  <c r="BF190" i="4" s="1"/>
  <c r="BJ185" i="4"/>
  <c r="BH185" i="4" s="1"/>
  <c r="BI185" i="4" s="1"/>
  <c r="AB526" i="20"/>
  <c r="BI254" i="14"/>
  <c r="AB514" i="20"/>
  <c r="AE41" i="7"/>
  <c r="AC199" i="20"/>
  <c r="AC210" i="20" s="1"/>
  <c r="AC198" i="20"/>
  <c r="AC209" i="20" s="1"/>
  <c r="BC167" i="14"/>
  <c r="BB168" i="14"/>
  <c r="AH223" i="20"/>
  <c r="AH60" i="20"/>
  <c r="AH224" i="20"/>
  <c r="AH222" i="20"/>
  <c r="AH112" i="20" s="1"/>
  <c r="AB48" i="7"/>
  <c r="AB54" i="7"/>
  <c r="AZ10" i="6"/>
  <c r="AA73" i="20"/>
  <c r="V12" i="6"/>
  <c r="V9" i="6"/>
  <c r="AD137" i="20"/>
  <c r="AB15" i="6"/>
  <c r="AD369" i="20"/>
  <c r="AD29" i="20" s="1"/>
  <c r="AC36" i="14"/>
  <c r="AB259" i="14"/>
  <c r="AA154" i="14"/>
  <c r="AA61" i="14" s="1"/>
  <c r="AA151" i="14"/>
  <c r="AA41" i="14"/>
  <c r="AA44" i="14" s="1"/>
  <c r="AA95" i="14"/>
  <c r="AA98" i="14" s="1"/>
  <c r="AA99" i="14" s="1"/>
  <c r="AA49" i="14"/>
  <c r="AA96" i="14" s="1"/>
  <c r="AA59" i="14"/>
  <c r="X57" i="14"/>
  <c r="X48" i="14" s="1"/>
  <c r="X61" i="14"/>
  <c r="AA501" i="20"/>
  <c r="AB499" i="20"/>
  <c r="AB503" i="20" s="1"/>
  <c r="AA503" i="20"/>
  <c r="BB254" i="14"/>
  <c r="AH7" i="18"/>
  <c r="AH14" i="18"/>
  <c r="AH5" i="18"/>
  <c r="AH48" i="7"/>
  <c r="BC198" i="14"/>
  <c r="BC199" i="14" s="1"/>
  <c r="AK26" i="3"/>
  <c r="AK25" i="3"/>
  <c r="AJ254" i="14"/>
  <c r="AJ257" i="14" s="1"/>
  <c r="AH15" i="6"/>
  <c r="Y181" i="14"/>
  <c r="Y183" i="14" s="1"/>
  <c r="Y184" i="14" s="1"/>
  <c r="AB21" i="3"/>
  <c r="AB23" i="3" s="1"/>
  <c r="AB5" i="2" s="1"/>
  <c r="AE254" i="14"/>
  <c r="AE257" i="14" s="1"/>
  <c r="AQ81" i="18"/>
  <c r="AP81" i="18"/>
  <c r="AP69" i="18" s="1"/>
  <c r="AP70" i="18" s="1"/>
  <c r="BF457" i="20"/>
  <c r="BE457" i="20"/>
  <c r="AI231" i="20"/>
  <c r="AI250" i="20" s="1"/>
  <c r="AI255" i="20" s="1"/>
  <c r="AH232" i="20"/>
  <c r="AH234" i="20" s="1"/>
  <c r="BC467" i="20"/>
  <c r="BB467" i="20"/>
  <c r="AK60" i="20"/>
  <c r="AK224" i="20"/>
  <c r="AN225" i="20" s="1"/>
  <c r="AK223" i="20"/>
  <c r="AK222" i="20"/>
  <c r="AK112" i="20" s="1"/>
  <c r="AK114" i="20" s="1"/>
  <c r="AB46" i="3"/>
  <c r="AB48" i="3" s="1"/>
  <c r="AL365" i="20"/>
  <c r="AG365" i="20"/>
  <c r="AG368" i="20" s="1"/>
  <c r="AH79" i="7"/>
  <c r="S90" i="7"/>
  <c r="S89" i="7"/>
  <c r="V79" i="7"/>
  <c r="V90" i="7" s="1"/>
  <c r="U174" i="14"/>
  <c r="U171" i="14"/>
  <c r="V171" i="14" s="1"/>
  <c r="V173" i="14" s="1"/>
  <c r="V174" i="14" s="1"/>
  <c r="U164" i="14"/>
  <c r="U161" i="14"/>
  <c r="V161" i="14" s="1"/>
  <c r="V163" i="14" s="1"/>
  <c r="V164" i="14" s="1"/>
  <c r="S15" i="18"/>
  <c r="S77" i="18"/>
  <c r="AN254" i="14"/>
  <c r="S48" i="3"/>
  <c r="S9" i="2" s="1"/>
  <c r="V15" i="18"/>
  <c r="V77" i="18"/>
  <c r="BC254" i="14"/>
  <c r="S9" i="7"/>
  <c r="S12" i="7"/>
  <c r="S23" i="7"/>
  <c r="S5" i="7"/>
  <c r="S7" i="7"/>
  <c r="AE77" i="18"/>
  <c r="AE15" i="18"/>
  <c r="V28" i="7"/>
  <c r="S34" i="7"/>
  <c r="S35" i="7" s="1"/>
  <c r="AA44" i="20"/>
  <c r="AA38" i="20" s="1"/>
  <c r="AD103" i="6" s="1"/>
  <c r="AA360" i="20"/>
  <c r="AA356" i="20" s="1"/>
  <c r="AA367" i="20" s="1"/>
  <c r="AA369" i="20" s="1"/>
  <c r="AA29" i="20" s="1"/>
  <c r="AD116" i="6" s="1"/>
  <c r="AM254" i="14"/>
  <c r="AM257" i="14" s="1"/>
  <c r="AD52" i="14"/>
  <c r="AD43" i="14"/>
  <c r="AD42" i="14"/>
  <c r="AB68" i="18"/>
  <c r="AB79" i="18" s="1"/>
  <c r="Y78" i="18"/>
  <c r="S42" i="18"/>
  <c r="S38" i="18"/>
  <c r="AH41" i="18"/>
  <c r="AK44" i="18"/>
  <c r="V32" i="18"/>
  <c r="AV549" i="20"/>
  <c r="AV550" i="20" s="1"/>
  <c r="AW550" i="20" s="1"/>
  <c r="BF466" i="20"/>
  <c r="BE466" i="20"/>
  <c r="BA212" i="14"/>
  <c r="BC218" i="14"/>
  <c r="V53" i="14"/>
  <c r="Y54" i="14" s="1"/>
  <c r="AE14" i="6"/>
  <c r="AH41" i="7"/>
  <c r="AE351" i="20"/>
  <c r="AB351" i="20"/>
  <c r="AI260" i="14"/>
  <c r="AD260" i="14"/>
  <c r="AD259" i="14" s="1"/>
  <c r="AD36" i="14" s="1"/>
  <c r="AF259" i="14"/>
  <c r="AB34" i="18"/>
  <c r="AB35" i="18" s="1"/>
  <c r="AB40" i="18"/>
  <c r="AE28" i="18"/>
  <c r="AB492" i="20"/>
  <c r="AB508" i="20"/>
  <c r="AB510" i="20"/>
  <c r="X173" i="14"/>
  <c r="X163" i="14"/>
  <c r="AW230" i="14"/>
  <c r="AB44" i="7"/>
  <c r="AB33" i="7"/>
  <c r="AB89" i="7" s="1"/>
  <c r="AA57" i="14"/>
  <c r="X49" i="3"/>
  <c r="X71" i="3"/>
  <c r="Y88" i="7"/>
  <c r="Y15" i="7"/>
  <c r="AG101" i="6"/>
  <c r="AD36" i="20"/>
  <c r="AD37" i="20"/>
  <c r="AD43" i="20" s="1"/>
  <c r="AE21" i="3"/>
  <c r="AE23" i="3" s="1"/>
  <c r="AZ168" i="14"/>
  <c r="AZ169" i="14" s="1"/>
  <c r="AE79" i="7"/>
  <c r="AE90" i="7" s="1"/>
  <c r="AB78" i="18"/>
  <c r="AE68" i="18"/>
  <c r="BE254" i="14"/>
  <c r="V34" i="18"/>
  <c r="V35" i="18" s="1"/>
  <c r="BH571" i="20"/>
  <c r="BI571" i="20" s="1"/>
  <c r="BC464" i="20"/>
  <c r="BB464" i="20"/>
  <c r="AK92" i="7"/>
  <c r="AJ92" i="7"/>
  <c r="AJ80" i="7" s="1"/>
  <c r="AZ90" i="14"/>
  <c r="AY570" i="20"/>
  <c r="AY230" i="14"/>
  <c r="AH69" i="14"/>
  <c r="AH373" i="20"/>
  <c r="BJ208" i="14"/>
  <c r="BG202" i="14" s="1"/>
  <c r="BH207" i="14"/>
  <c r="BH208" i="14" s="1"/>
  <c r="BF197" i="14"/>
  <c r="BE198" i="14"/>
  <c r="BF465" i="20"/>
  <c r="BE465" i="20"/>
  <c r="AB571" i="20"/>
  <c r="AB573" i="20"/>
  <c r="Y21" i="3"/>
  <c r="Y23" i="3" s="1"/>
  <c r="AB520" i="20"/>
  <c r="AB522" i="20"/>
  <c r="AB549" i="20"/>
  <c r="AB550" i="20" s="1"/>
  <c r="AB212" i="14"/>
  <c r="AB142" i="14" s="1"/>
  <c r="AB143" i="14" s="1"/>
  <c r="AB86" i="14"/>
  <c r="AB87" i="14" s="1"/>
  <c r="AB41" i="7"/>
  <c r="S81" i="7"/>
  <c r="AE80" i="7"/>
  <c r="AD81" i="7"/>
  <c r="Y48" i="3"/>
  <c r="Y9" i="2" s="1"/>
  <c r="AA480" i="20"/>
  <c r="AH80" i="7"/>
  <c r="AG81" i="7"/>
  <c r="AA253" i="20"/>
  <c r="AB237" i="20"/>
  <c r="AB368" i="20"/>
  <c r="AB365" i="20" s="1"/>
  <c r="AE49" i="14"/>
  <c r="AE96" i="14" s="1"/>
  <c r="AE59" i="14"/>
  <c r="AE126" i="14" s="1"/>
  <c r="BJ123" i="6"/>
  <c r="BE123" i="6"/>
  <c r="BF123" i="6" s="1"/>
  <c r="AB68" i="20"/>
  <c r="AB66" i="20"/>
  <c r="V42" i="18"/>
  <c r="V38" i="18"/>
  <c r="V41" i="18" s="1"/>
  <c r="AD24" i="3"/>
  <c r="AG25" i="3"/>
  <c r="AD49" i="3"/>
  <c r="AD71" i="3"/>
  <c r="AB565" i="20"/>
  <c r="AA24" i="3"/>
  <c r="AA49" i="3"/>
  <c r="AA71" i="3"/>
  <c r="AD254" i="14"/>
  <c r="AD257" i="14" s="1"/>
  <c r="U57" i="14"/>
  <c r="U48" i="14" s="1"/>
  <c r="U61" i="14"/>
  <c r="AB287" i="20"/>
  <c r="AB330" i="20" s="1"/>
  <c r="AE331" i="20" s="1"/>
  <c r="AB295" i="20"/>
  <c r="AH75" i="6"/>
  <c r="AH80" i="6" s="1"/>
  <c r="AE19" i="20"/>
  <c r="Y21" i="14"/>
  <c r="AB71" i="6"/>
  <c r="AE91" i="6"/>
  <c r="Y19" i="20"/>
  <c r="AB75" i="6"/>
  <c r="Y260" i="14"/>
  <c r="Y36" i="14"/>
  <c r="AF1" i="6"/>
  <c r="AC25" i="6"/>
  <c r="AB328" i="20"/>
  <c r="AE285" i="20"/>
  <c r="Y35" i="14"/>
  <c r="V21" i="14"/>
  <c r="Y71" i="6"/>
  <c r="V35" i="14"/>
  <c r="AB21" i="14"/>
  <c r="AE71" i="6"/>
  <c r="AE80" i="6" s="1"/>
  <c r="V15" i="6"/>
  <c r="AB293" i="20"/>
  <c r="Y75" i="6"/>
  <c r="V19" i="20"/>
  <c r="AB23" i="20"/>
  <c r="AB258" i="20"/>
  <c r="AB103" i="20"/>
  <c r="AB97" i="20"/>
  <c r="T28" i="14"/>
  <c r="T31" i="14" s="1"/>
  <c r="T32" i="14" s="1"/>
  <c r="AF34" i="14"/>
  <c r="E152" i="14"/>
  <c r="T244" i="14"/>
  <c r="Q244" i="14" s="1"/>
  <c r="Q243" i="14" s="1"/>
  <c r="W107" i="6"/>
  <c r="F47" i="2"/>
  <c r="F18" i="10" s="1"/>
  <c r="F20" i="10" s="1"/>
  <c r="F17" i="10"/>
  <c r="F35" i="10" s="1"/>
  <c r="F46" i="2"/>
  <c r="F54" i="2" s="1"/>
  <c r="G54" i="10"/>
  <c r="G24" i="10"/>
  <c r="F54" i="10"/>
  <c r="F24" i="10"/>
  <c r="Q54" i="7"/>
  <c r="P99" i="4"/>
  <c r="O496" i="20"/>
  <c r="W34" i="14"/>
  <c r="F155" i="14"/>
  <c r="Q181" i="14"/>
  <c r="P183" i="14"/>
  <c r="P181" i="14" s="1"/>
  <c r="Q184" i="14"/>
  <c r="F152" i="14"/>
  <c r="Z213" i="14"/>
  <c r="U28" i="10"/>
  <c r="E155" i="14"/>
  <c r="AF3" i="4"/>
  <c r="AF3" i="2" s="1"/>
  <c r="AF52" i="4"/>
  <c r="M58" i="10"/>
  <c r="M60" i="10" s="1"/>
  <c r="M226" i="4"/>
  <c r="Z155" i="14"/>
  <c r="W61" i="14"/>
  <c r="AC203" i="20"/>
  <c r="AC214" i="20" s="1"/>
  <c r="AC202" i="20"/>
  <c r="AC213" i="20" s="1"/>
  <c r="AC200" i="20"/>
  <c r="AC211" i="20" s="1"/>
  <c r="AC201" i="20"/>
  <c r="AC212" i="20" s="1"/>
  <c r="AC16" i="2"/>
  <c r="O152" i="14"/>
  <c r="AC226" i="4"/>
  <c r="AD231" i="4" s="1"/>
  <c r="T3" i="2"/>
  <c r="F233" i="4"/>
  <c r="F235" i="4" s="1"/>
  <c r="O155" i="14"/>
  <c r="P152" i="14"/>
  <c r="AB72" i="10"/>
  <c r="AI25" i="2"/>
  <c r="AI5" i="5"/>
  <c r="AF228" i="4"/>
  <c r="AF33" i="2"/>
  <c r="AF26" i="2"/>
  <c r="V15" i="10"/>
  <c r="AF32" i="2"/>
  <c r="AI32" i="2"/>
  <c r="AF5" i="5"/>
  <c r="G155" i="14"/>
  <c r="C14" i="10"/>
  <c r="C53" i="10" s="1"/>
  <c r="G152" i="14"/>
  <c r="AC18" i="2"/>
  <c r="W65" i="14"/>
  <c r="W155" i="14"/>
  <c r="H152" i="14"/>
  <c r="P155" i="14"/>
  <c r="I496" i="20"/>
  <c r="AE116" i="20"/>
  <c r="AC119" i="20"/>
  <c r="J496" i="20"/>
  <c r="S58" i="10"/>
  <c r="S60" i="10" s="1"/>
  <c r="G34" i="10"/>
  <c r="H496" i="20"/>
  <c r="T496" i="20"/>
  <c r="Q496" i="20"/>
  <c r="N155" i="14"/>
  <c r="I155" i="14"/>
  <c r="AF152" i="14"/>
  <c r="K152" i="14"/>
  <c r="F231" i="4"/>
  <c r="F62" i="10" s="1"/>
  <c r="M234" i="4"/>
  <c r="K496" i="20"/>
  <c r="C34" i="10"/>
  <c r="C43" i="2"/>
  <c r="C37" i="2"/>
  <c r="P54" i="7"/>
  <c r="Z496" i="20"/>
  <c r="E496" i="20"/>
  <c r="L152" i="14"/>
  <c r="J152" i="14"/>
  <c r="AI152" i="14"/>
  <c r="BD10" i="6"/>
  <c r="BB10" i="6" s="1"/>
  <c r="BC10" i="6" s="1"/>
  <c r="P226" i="4"/>
  <c r="O54" i="7"/>
  <c r="T54" i="7"/>
  <c r="W54" i="7"/>
  <c r="C152" i="14"/>
  <c r="P234" i="4"/>
  <c r="G226" i="4"/>
  <c r="BG215" i="4"/>
  <c r="D152" i="14"/>
  <c r="Q234" i="4"/>
  <c r="AC197" i="20"/>
  <c r="AC152" i="14"/>
  <c r="Q152" i="14"/>
  <c r="Q155" i="14"/>
  <c r="Z152" i="14"/>
  <c r="N152" i="14"/>
  <c r="M155" i="14"/>
  <c r="W496" i="20"/>
  <c r="I152" i="14"/>
  <c r="D496" i="20"/>
  <c r="AC54" i="7"/>
  <c r="AZ13" i="7"/>
  <c r="W59" i="6"/>
  <c r="K234" i="4"/>
  <c r="G234" i="4"/>
  <c r="AL62" i="20"/>
  <c r="J58" i="10"/>
  <c r="J60" i="10" s="1"/>
  <c r="J226" i="4"/>
  <c r="H234" i="4"/>
  <c r="G229" i="4"/>
  <c r="G230" i="4" s="1"/>
  <c r="G61" i="10" s="1"/>
  <c r="W152" i="14"/>
  <c r="AF90" i="7"/>
  <c r="AF1" i="3"/>
  <c r="AF51" i="3" s="1"/>
  <c r="AC29" i="3"/>
  <c r="O51" i="3"/>
  <c r="O29" i="3"/>
  <c r="G1" i="3"/>
  <c r="F51" i="3"/>
  <c r="F29" i="3"/>
  <c r="W234" i="20"/>
  <c r="T28" i="20"/>
  <c r="T115" i="6"/>
  <c r="W226" i="20"/>
  <c r="AX182" i="14"/>
  <c r="P496" i="20"/>
  <c r="T327" i="20"/>
  <c r="W119" i="20"/>
  <c r="W41" i="20"/>
  <c r="W45" i="20" s="1"/>
  <c r="T137" i="20"/>
  <c r="BA229" i="14"/>
  <c r="BG467" i="20"/>
  <c r="G14" i="10"/>
  <c r="Q362" i="20"/>
  <c r="Q327" i="20"/>
  <c r="I115" i="5"/>
  <c r="I21" i="10"/>
  <c r="I24" i="10" s="1"/>
  <c r="I14" i="10"/>
  <c r="I34" i="10"/>
  <c r="I43" i="2"/>
  <c r="I37" i="2"/>
  <c r="AE37" i="10"/>
  <c r="BJ37" i="2"/>
  <c r="BG157" i="2"/>
  <c r="BG169" i="2" s="1"/>
  <c r="AI90" i="7"/>
  <c r="T37" i="14"/>
  <c r="T116" i="6"/>
  <c r="AI243" i="14"/>
  <c r="AL87" i="14"/>
  <c r="AL41" i="14"/>
  <c r="AL151" i="14"/>
  <c r="Z328" i="20"/>
  <c r="W329" i="20"/>
  <c r="AX543" i="20"/>
  <c r="BA18" i="4"/>
  <c r="T107" i="20"/>
  <c r="T116" i="20" s="1"/>
  <c r="T35" i="20"/>
  <c r="AI86" i="14"/>
  <c r="O23" i="2"/>
  <c r="O13" i="2"/>
  <c r="AF29" i="18"/>
  <c r="AE29" i="18" s="1"/>
  <c r="AC41" i="18"/>
  <c r="B115" i="5"/>
  <c r="B21" i="10"/>
  <c r="B24" i="10" s="1"/>
  <c r="AF473" i="20"/>
  <c r="AF486" i="20"/>
  <c r="W331" i="20"/>
  <c r="Z3" i="4"/>
  <c r="Z3" i="5" s="1"/>
  <c r="C226" i="4"/>
  <c r="C58" i="10"/>
  <c r="C234" i="4"/>
  <c r="AA257" i="20"/>
  <c r="AA270" i="20" s="1"/>
  <c r="AB270" i="20" s="1"/>
  <c r="R28" i="10"/>
  <c r="S28" i="10"/>
  <c r="BG167" i="14"/>
  <c r="BE167" i="14" s="1"/>
  <c r="BD168" i="14"/>
  <c r="BA162" i="14" s="1"/>
  <c r="AX22" i="2"/>
  <c r="AW22" i="2" s="1"/>
  <c r="L44" i="10"/>
  <c r="L42" i="10"/>
  <c r="BD202" i="14"/>
  <c r="K42" i="2"/>
  <c r="K163" i="2"/>
  <c r="AL34" i="7"/>
  <c r="BA20" i="4"/>
  <c r="AF472" i="20"/>
  <c r="AF485" i="20"/>
  <c r="AL143" i="20"/>
  <c r="AO143" i="20" s="1"/>
  <c r="BA36" i="4"/>
  <c r="Y8" i="10"/>
  <c r="AO171" i="2" s="1"/>
  <c r="W28" i="14"/>
  <c r="W31" i="14" s="1"/>
  <c r="W35" i="14"/>
  <c r="W115" i="6" s="1"/>
  <c r="D115" i="5"/>
  <c r="D21" i="10"/>
  <c r="D24" i="10" s="1"/>
  <c r="Z57" i="14"/>
  <c r="T42" i="10"/>
  <c r="T44" i="10"/>
  <c r="BJ465" i="20"/>
  <c r="AF51" i="14"/>
  <c r="D93" i="4"/>
  <c r="D224" i="4"/>
  <c r="D225" i="4" s="1"/>
  <c r="D81" i="4"/>
  <c r="E93" i="4"/>
  <c r="BA543" i="20"/>
  <c r="L64" i="2"/>
  <c r="L68" i="2" s="1"/>
  <c r="K56" i="2"/>
  <c r="BA12" i="4"/>
  <c r="D29" i="10"/>
  <c r="D14" i="10"/>
  <c r="D34" i="10"/>
  <c r="D46" i="10"/>
  <c r="Q104" i="6"/>
  <c r="BJ457" i="20"/>
  <c r="D43" i="2"/>
  <c r="D116" i="5" s="1"/>
  <c r="D37" i="2"/>
  <c r="D229" i="4" s="1"/>
  <c r="AU141" i="20"/>
  <c r="BJ152" i="20"/>
  <c r="AF226" i="4"/>
  <c r="AG231" i="4" s="1"/>
  <c r="V58" i="10"/>
  <c r="T98" i="4"/>
  <c r="T18" i="2"/>
  <c r="T16" i="2"/>
  <c r="T12" i="2"/>
  <c r="BA570" i="20"/>
  <c r="BA230" i="14"/>
  <c r="BD90" i="14"/>
  <c r="BB90" i="14" s="1"/>
  <c r="H44" i="2"/>
  <c r="H45" i="2"/>
  <c r="K228" i="4"/>
  <c r="K26" i="2"/>
  <c r="K33" i="2"/>
  <c r="K15" i="10"/>
  <c r="K46" i="10" s="1"/>
  <c r="AL36" i="7"/>
  <c r="BA45" i="4"/>
  <c r="AF41" i="18"/>
  <c r="AI29" i="18"/>
  <c r="Q44" i="10"/>
  <c r="Q42" i="10"/>
  <c r="W349" i="20"/>
  <c r="W28" i="20"/>
  <c r="BJ200" i="4"/>
  <c r="BH200" i="4" s="1"/>
  <c r="BI200" i="4" s="1"/>
  <c r="BG198" i="14"/>
  <c r="BD192" i="14" s="1"/>
  <c r="T24" i="20"/>
  <c r="T25" i="20" s="1"/>
  <c r="T75" i="6"/>
  <c r="W24" i="20"/>
  <c r="W25" i="20" s="1"/>
  <c r="Z9" i="10"/>
  <c r="B14" i="10"/>
  <c r="B34" i="10"/>
  <c r="C29" i="10"/>
  <c r="B46" i="10"/>
  <c r="R44" i="10"/>
  <c r="R42" i="10"/>
  <c r="F36" i="10"/>
  <c r="F178" i="2" s="1"/>
  <c r="F23" i="10"/>
  <c r="F47" i="10"/>
  <c r="W104" i="6"/>
  <c r="AL525" i="20"/>
  <c r="E37" i="2"/>
  <c r="E43" i="2"/>
  <c r="E116" i="5" s="1"/>
  <c r="G121" i="5"/>
  <c r="BD461" i="20"/>
  <c r="Z164" i="14"/>
  <c r="Z161" i="14"/>
  <c r="C47" i="10"/>
  <c r="C23" i="10"/>
  <c r="C36" i="10"/>
  <c r="C178" i="2" s="1"/>
  <c r="C54" i="10"/>
  <c r="T99" i="4"/>
  <c r="H14" i="10"/>
  <c r="H29" i="10"/>
  <c r="H34" i="10"/>
  <c r="I29" i="10"/>
  <c r="BG218" i="14"/>
  <c r="BF218" i="14" s="1"/>
  <c r="BJ218" i="14"/>
  <c r="BI218" i="14" s="1"/>
  <c r="N42" i="10"/>
  <c r="N44" i="10"/>
  <c r="AI226" i="4"/>
  <c r="AJ231" i="4" s="1"/>
  <c r="W58" i="10"/>
  <c r="W60" i="10" s="1"/>
  <c r="Z200" i="20"/>
  <c r="Z211" i="20" s="1"/>
  <c r="Z206" i="20" s="1"/>
  <c r="Z124" i="20"/>
  <c r="K31" i="5"/>
  <c r="K76" i="5" s="1"/>
  <c r="K88" i="5"/>
  <c r="K94" i="5" s="1"/>
  <c r="K111" i="5" s="1"/>
  <c r="W200" i="20"/>
  <c r="W211" i="20" s="1"/>
  <c r="W206" i="20" s="1"/>
  <c r="W124" i="20"/>
  <c r="AF474" i="20"/>
  <c r="AF487" i="20"/>
  <c r="L5" i="5"/>
  <c r="L29" i="5" s="1"/>
  <c r="L32" i="2"/>
  <c r="L38" i="2" s="1"/>
  <c r="L25" i="2"/>
  <c r="AI41" i="18"/>
  <c r="AO149" i="14"/>
  <c r="AL373" i="20"/>
  <c r="AL69" i="14"/>
  <c r="J5" i="5"/>
  <c r="J29" i="5" s="1"/>
  <c r="J32" i="2"/>
  <c r="J38" i="2" s="1"/>
  <c r="J25" i="2"/>
  <c r="O42" i="10"/>
  <c r="O44" i="10"/>
  <c r="BE12" i="18"/>
  <c r="P3" i="2"/>
  <c r="P3" i="5"/>
  <c r="H115" i="5"/>
  <c r="H21" i="10"/>
  <c r="H24" i="10" s="1"/>
  <c r="AC94" i="6"/>
  <c r="AC70" i="6"/>
  <c r="BJ466" i="20"/>
  <c r="AF475" i="20"/>
  <c r="AF488" i="20"/>
  <c r="AR142" i="20"/>
  <c r="H42" i="10"/>
  <c r="H46" i="10"/>
  <c r="H44" i="10"/>
  <c r="AI3" i="4"/>
  <c r="BE9" i="18"/>
  <c r="G47" i="2"/>
  <c r="G18" i="10" s="1"/>
  <c r="G46" i="2"/>
  <c r="G17" i="10"/>
  <c r="G25" i="10" s="1"/>
  <c r="G42" i="10"/>
  <c r="G46" i="10"/>
  <c r="G44" i="10"/>
  <c r="AF491" i="20"/>
  <c r="AF478" i="20"/>
  <c r="AI1" i="2"/>
  <c r="N13" i="2"/>
  <c r="N23" i="2"/>
  <c r="M13" i="2"/>
  <c r="M23" i="2"/>
  <c r="E101" i="4"/>
  <c r="E103" i="4"/>
  <c r="E102" i="4"/>
  <c r="AL263" i="4"/>
  <c r="B37" i="2"/>
  <c r="B229" i="4" s="1"/>
  <c r="B43" i="2"/>
  <c r="B116" i="5" s="1"/>
  <c r="BA20" i="3"/>
  <c r="BG189" i="14"/>
  <c r="BE189" i="14" s="1"/>
  <c r="BE188" i="14" s="1"/>
  <c r="BD188" i="14"/>
  <c r="BC188" i="14" s="1"/>
  <c r="BC189" i="14" s="1"/>
  <c r="Z13" i="2"/>
  <c r="Z23" i="2"/>
  <c r="AL80" i="7"/>
  <c r="AL81" i="7" s="1"/>
  <c r="AO92" i="7"/>
  <c r="E10" i="10"/>
  <c r="E52" i="10"/>
  <c r="AC79" i="18"/>
  <c r="AL233" i="14"/>
  <c r="AL227" i="14"/>
  <c r="W5" i="5"/>
  <c r="W29" i="5" s="1"/>
  <c r="W25" i="2"/>
  <c r="W32" i="2"/>
  <c r="W38" i="2" s="1"/>
  <c r="K44" i="10"/>
  <c r="K42" i="10"/>
  <c r="BG464" i="20"/>
  <c r="AO222" i="4"/>
  <c r="F38" i="10"/>
  <c r="F16" i="10"/>
  <c r="Z59" i="10"/>
  <c r="U44" i="10"/>
  <c r="H82" i="5"/>
  <c r="I78" i="5" s="1"/>
  <c r="AL145" i="20"/>
  <c r="AO145" i="20" s="1"/>
  <c r="T174" i="14"/>
  <c r="T171" i="14"/>
  <c r="Q173" i="14"/>
  <c r="AC23" i="2"/>
  <c r="AC25" i="2" s="1"/>
  <c r="AC13" i="2"/>
  <c r="Q3" i="5"/>
  <c r="Q3" i="2"/>
  <c r="W368" i="20"/>
  <c r="W356" i="20"/>
  <c r="W60" i="6"/>
  <c r="T208" i="20"/>
  <c r="T206" i="20" s="1"/>
  <c r="BG9" i="7"/>
  <c r="BE9" i="7" s="1"/>
  <c r="AC101" i="6"/>
  <c r="H37" i="2"/>
  <c r="H43" i="2"/>
  <c r="H116" i="5" s="1"/>
  <c r="AF13" i="2"/>
  <c r="AF499" i="20"/>
  <c r="AF501" i="20" s="1"/>
  <c r="BD11" i="4"/>
  <c r="E115" i="5"/>
  <c r="E21" i="10"/>
  <c r="E24" i="10" s="1"/>
  <c r="G157" i="2"/>
  <c r="G169" i="2" s="1"/>
  <c r="G37" i="10"/>
  <c r="G47" i="10"/>
  <c r="G23" i="10"/>
  <c r="G36" i="10"/>
  <c r="G178" i="2" s="1"/>
  <c r="AI13" i="2"/>
  <c r="AU164" i="2"/>
  <c r="AI375" i="20"/>
  <c r="AO99" i="6"/>
  <c r="E34" i="10"/>
  <c r="E29" i="10"/>
  <c r="E14" i="10"/>
  <c r="E53" i="10" s="1"/>
  <c r="F29" i="10"/>
  <c r="AR140" i="20"/>
  <c r="F96" i="4"/>
  <c r="G95" i="4"/>
  <c r="AO69" i="14"/>
  <c r="AC29" i="18"/>
  <c r="AB29" i="18" s="1"/>
  <c r="AB44" i="18" s="1"/>
  <c r="Z41" i="18"/>
  <c r="AC3" i="4"/>
  <c r="BA25" i="5"/>
  <c r="I46" i="10"/>
  <c r="I44" i="10"/>
  <c r="I42" i="10"/>
  <c r="P42" i="10"/>
  <c r="P44" i="10"/>
  <c r="F46" i="10"/>
  <c r="F44" i="10"/>
  <c r="F42" i="10"/>
  <c r="F45" i="10"/>
  <c r="AC35" i="20" l="1"/>
  <c r="AF101" i="6" s="1"/>
  <c r="AC104" i="20"/>
  <c r="AF111" i="20"/>
  <c r="AF114" i="20" s="1"/>
  <c r="AE110" i="20"/>
  <c r="AF105" i="20"/>
  <c r="AI111" i="20"/>
  <c r="AI114" i="20" s="1"/>
  <c r="AF257" i="20"/>
  <c r="AF270" i="20" s="1"/>
  <c r="AE270" i="20" s="1"/>
  <c r="BA85" i="14"/>
  <c r="BA119" i="14"/>
  <c r="AZ119" i="14" s="1"/>
  <c r="AX82" i="14"/>
  <c r="AX116" i="14"/>
  <c r="BD83" i="14"/>
  <c r="BD117" i="14"/>
  <c r="BD84" i="14"/>
  <c r="BD118" i="14"/>
  <c r="BG84" i="14"/>
  <c r="BG118" i="14"/>
  <c r="AK227" i="14"/>
  <c r="AE25" i="20"/>
  <c r="AB99" i="20"/>
  <c r="U42" i="10"/>
  <c r="X50" i="14"/>
  <c r="X51" i="14" s="1"/>
  <c r="X55" i="14"/>
  <c r="U50" i="14"/>
  <c r="U51" i="14" s="1"/>
  <c r="U55" i="14"/>
  <c r="AE52" i="14"/>
  <c r="AE53" i="14" s="1"/>
  <c r="AH234" i="4"/>
  <c r="AZ106" i="2"/>
  <c r="AZ109" i="2" s="1"/>
  <c r="AU69" i="18"/>
  <c r="AU70" i="18" s="1"/>
  <c r="AT81" i="18"/>
  <c r="AE47" i="18"/>
  <c r="AR228" i="14"/>
  <c r="AR93" i="14"/>
  <c r="AR95" i="14" s="1"/>
  <c r="AR98" i="14" s="1"/>
  <c r="AR99" i="14" s="1"/>
  <c r="AQ89" i="14"/>
  <c r="AQ564" i="20" s="1"/>
  <c r="Q13" i="2"/>
  <c r="AH66" i="7"/>
  <c r="AH59" i="18"/>
  <c r="AK59" i="18"/>
  <c r="AT114" i="2"/>
  <c r="AS114" i="2"/>
  <c r="AH49" i="7"/>
  <c r="AY162" i="14"/>
  <c r="BI219" i="14"/>
  <c r="BH212" i="14"/>
  <c r="BH119" i="14" s="1"/>
  <c r="BF219" i="14"/>
  <c r="BE212" i="14"/>
  <c r="BE119" i="14" s="1"/>
  <c r="BC219" i="14"/>
  <c r="BB212" i="14"/>
  <c r="BB119" i="14" s="1"/>
  <c r="BF208" i="14"/>
  <c r="BF209" i="14" s="1"/>
  <c r="BB192" i="14"/>
  <c r="BB117" i="14" s="1"/>
  <c r="AE48" i="7"/>
  <c r="AE47" i="7" s="1"/>
  <c r="BB202" i="14"/>
  <c r="BB118" i="14" s="1"/>
  <c r="BB182" i="14"/>
  <c r="BB116" i="14" s="1"/>
  <c r="P13" i="2"/>
  <c r="AN149" i="14"/>
  <c r="AN93" i="14"/>
  <c r="AN95" i="14" s="1"/>
  <c r="AN98" i="14" s="1"/>
  <c r="AN99" i="14" s="1"/>
  <c r="AO301" i="20"/>
  <c r="AO300" i="20" s="1"/>
  <c r="AO304" i="20"/>
  <c r="AC301" i="20"/>
  <c r="AC300" i="20" s="1"/>
  <c r="AC304" i="20"/>
  <c r="AO310" i="20"/>
  <c r="AC297" i="20"/>
  <c r="AC298" i="20"/>
  <c r="AE333" i="20"/>
  <c r="AE298" i="20"/>
  <c r="AH51" i="7"/>
  <c r="AE54" i="7"/>
  <c r="AH64" i="7"/>
  <c r="AH54" i="7"/>
  <c r="AF61" i="7"/>
  <c r="AI61" i="7"/>
  <c r="AF171" i="20"/>
  <c r="AF135" i="20" s="1"/>
  <c r="AF204" i="20" s="1"/>
  <c r="AF166" i="20"/>
  <c r="AF130" i="20" s="1"/>
  <c r="AF199" i="20" s="1"/>
  <c r="AF167" i="20"/>
  <c r="AF131" i="20" s="1"/>
  <c r="AF200" i="20" s="1"/>
  <c r="AF168" i="20"/>
  <c r="AF132" i="20" s="1"/>
  <c r="AF201" i="20" s="1"/>
  <c r="AF165" i="20"/>
  <c r="AF129" i="20" s="1"/>
  <c r="AF198" i="20" s="1"/>
  <c r="BD154" i="20"/>
  <c r="AZ192" i="14"/>
  <c r="AY83" i="14"/>
  <c r="AV537" i="20"/>
  <c r="AD297" i="20"/>
  <c r="AN564" i="20"/>
  <c r="AN228" i="14"/>
  <c r="AQ69" i="18"/>
  <c r="AJ365" i="20"/>
  <c r="AJ368" i="20" s="1"/>
  <c r="AJ369" i="20" s="1"/>
  <c r="AJ29" i="20" s="1"/>
  <c r="AO365" i="20"/>
  <c r="AR365" i="20" s="1"/>
  <c r="AR368" i="20" s="1"/>
  <c r="AO227" i="14"/>
  <c r="AO240" i="14" s="1"/>
  <c r="AO233" i="14"/>
  <c r="AO241" i="14" s="1"/>
  <c r="AP44" i="20"/>
  <c r="AP38" i="20" s="1"/>
  <c r="AR44" i="2"/>
  <c r="AR45" i="2"/>
  <c r="AR116" i="5"/>
  <c r="AR31" i="5"/>
  <c r="AR88" i="5"/>
  <c r="F43" i="10"/>
  <c r="V81" i="7"/>
  <c r="AW192" i="14"/>
  <c r="V23" i="20"/>
  <c r="Y25" i="20" s="1"/>
  <c r="V103" i="20"/>
  <c r="Y23" i="20"/>
  <c r="AB25" i="20" s="1"/>
  <c r="Y103" i="20"/>
  <c r="T80" i="6"/>
  <c r="T92" i="6" s="1"/>
  <c r="S75" i="6"/>
  <c r="AH25" i="3"/>
  <c r="U71" i="4"/>
  <c r="U72" i="4" s="1"/>
  <c r="BC184" i="4"/>
  <c r="BE184" i="4"/>
  <c r="BF184" i="4" s="1"/>
  <c r="R235" i="4"/>
  <c r="BH182" i="4"/>
  <c r="BI182" i="4" s="1"/>
  <c r="AD235" i="4"/>
  <c r="AC164" i="14"/>
  <c r="AC183" i="14"/>
  <c r="U23" i="2"/>
  <c r="U13" i="2"/>
  <c r="R16" i="2"/>
  <c r="R18" i="2"/>
  <c r="R12" i="2"/>
  <c r="AB25" i="3"/>
  <c r="Y5" i="2"/>
  <c r="Y10" i="2" s="1"/>
  <c r="X12" i="2"/>
  <c r="X18" i="2"/>
  <c r="X16" i="2"/>
  <c r="BA15" i="5"/>
  <c r="V70" i="3"/>
  <c r="V25" i="2" s="1"/>
  <c r="S23" i="3"/>
  <c r="AG116" i="6"/>
  <c r="AB47" i="7"/>
  <c r="AA235" i="4"/>
  <c r="AE25" i="3"/>
  <c r="AB98" i="4"/>
  <c r="AB121" i="2"/>
  <c r="AB130" i="2"/>
  <c r="AB234" i="4"/>
  <c r="AB122" i="2"/>
  <c r="AB151" i="4"/>
  <c r="AB123" i="2"/>
  <c r="AB142" i="2"/>
  <c r="AB7" i="2"/>
  <c r="AB153" i="4"/>
  <c r="AB139" i="4"/>
  <c r="AB162" i="4"/>
  <c r="AB160" i="4"/>
  <c r="AA18" i="2"/>
  <c r="AA12" i="2"/>
  <c r="AA16" i="2"/>
  <c r="AE24" i="3"/>
  <c r="AE5" i="2"/>
  <c r="AB49" i="3"/>
  <c r="AB9" i="2"/>
  <c r="AD18" i="2"/>
  <c r="AD12" i="2"/>
  <c r="AD16" i="2"/>
  <c r="AE92" i="4"/>
  <c r="AG108" i="4"/>
  <c r="AG13" i="2"/>
  <c r="AG23" i="2"/>
  <c r="AD92" i="4"/>
  <c r="AD111" i="4" s="1"/>
  <c r="AH16" i="2"/>
  <c r="AH12" i="2"/>
  <c r="AH18" i="2"/>
  <c r="AE297" i="20"/>
  <c r="S70" i="3"/>
  <c r="S25" i="2" s="1"/>
  <c r="BI208" i="14"/>
  <c r="BH202" i="14" s="1"/>
  <c r="BH118" i="14" s="1"/>
  <c r="AD39" i="20"/>
  <c r="BB173" i="4"/>
  <c r="AW43" i="4"/>
  <c r="AW27" i="4"/>
  <c r="AW29" i="4"/>
  <c r="AZ20" i="4"/>
  <c r="BB20" i="4"/>
  <c r="AW44" i="4"/>
  <c r="AW16" i="4"/>
  <c r="AW46" i="4"/>
  <c r="AH48" i="3"/>
  <c r="BM185" i="4"/>
  <c r="AW32" i="4"/>
  <c r="BJ184" i="4"/>
  <c r="BJ106" i="2" s="1"/>
  <c r="AZ173" i="4"/>
  <c r="BC11" i="4"/>
  <c r="BE11" i="4"/>
  <c r="BB21" i="2"/>
  <c r="BC21" i="2" s="1"/>
  <c r="F25" i="10"/>
  <c r="AZ12" i="4"/>
  <c r="BB12" i="4"/>
  <c r="AZ36" i="4"/>
  <c r="BB36" i="4"/>
  <c r="AB501" i="20"/>
  <c r="BJ190" i="4"/>
  <c r="BH190" i="4" s="1"/>
  <c r="BI190" i="4" s="1"/>
  <c r="BJ59" i="4"/>
  <c r="BF59" i="4"/>
  <c r="BE59" i="4"/>
  <c r="AZ24" i="4"/>
  <c r="BB24" i="4"/>
  <c r="AZ17" i="4"/>
  <c r="BB17" i="4"/>
  <c r="BJ183" i="4"/>
  <c r="BH183" i="4" s="1"/>
  <c r="BI183" i="4" s="1"/>
  <c r="AW10" i="4"/>
  <c r="BC24" i="4"/>
  <c r="BE24" i="4"/>
  <c r="BA114" i="2"/>
  <c r="BG106" i="2"/>
  <c r="AZ45" i="4"/>
  <c r="BB45" i="4"/>
  <c r="AZ18" i="4"/>
  <c r="AZ56" i="4" s="1"/>
  <c r="BB18" i="4"/>
  <c r="BB56" i="4" s="1"/>
  <c r="BH37" i="2"/>
  <c r="BH157" i="2" s="1"/>
  <c r="BE215" i="4"/>
  <c r="BC17" i="4"/>
  <c r="BE17" i="4"/>
  <c r="AB285" i="20"/>
  <c r="AB326" i="20" s="1"/>
  <c r="AE327" i="20" s="1"/>
  <c r="BM182" i="4"/>
  <c r="BM181" i="4"/>
  <c r="AN24" i="2"/>
  <c r="AN158" i="2"/>
  <c r="BC106" i="2"/>
  <c r="BC109" i="2" s="1"/>
  <c r="BD61" i="2"/>
  <c r="AZ61" i="2"/>
  <c r="AH81" i="6"/>
  <c r="Y49" i="3"/>
  <c r="AH92" i="6"/>
  <c r="AN69" i="14"/>
  <c r="AN67" i="14"/>
  <c r="AN373" i="20" s="1"/>
  <c r="AN256" i="14"/>
  <c r="AN257" i="14" s="1"/>
  <c r="BC461" i="20"/>
  <c r="BB461" i="20"/>
  <c r="BJ198" i="14"/>
  <c r="BG192" i="14" s="1"/>
  <c r="BH197" i="14"/>
  <c r="BH198" i="14" s="1"/>
  <c r="BI457" i="20"/>
  <c r="BH457" i="20"/>
  <c r="BI465" i="20"/>
  <c r="BH465" i="20"/>
  <c r="BF167" i="14"/>
  <c r="BE168" i="14"/>
  <c r="AZ463" i="20"/>
  <c r="AY463" i="20"/>
  <c r="AF41" i="20"/>
  <c r="AE41" i="20" s="1"/>
  <c r="AE119" i="20"/>
  <c r="Y80" i="6"/>
  <c r="Y81" i="6" s="1"/>
  <c r="AK80" i="7"/>
  <c r="AJ81" i="7"/>
  <c r="Y89" i="7"/>
  <c r="AB79" i="7"/>
  <c r="AA48" i="14"/>
  <c r="AA50" i="14" s="1"/>
  <c r="AA51" i="14" s="1"/>
  <c r="AB57" i="14"/>
  <c r="V78" i="18"/>
  <c r="X65" i="14"/>
  <c r="X64" i="14"/>
  <c r="X62" i="14"/>
  <c r="AE81" i="7"/>
  <c r="U65" i="14"/>
  <c r="U62" i="14"/>
  <c r="AH24" i="3"/>
  <c r="AH77" i="18"/>
  <c r="AH15" i="18"/>
  <c r="AB36" i="14"/>
  <c r="AB260" i="14"/>
  <c r="V23" i="3"/>
  <c r="V5" i="2" s="1"/>
  <c r="V10" i="2" s="1"/>
  <c r="AA74" i="20"/>
  <c r="AA80" i="20" s="1"/>
  <c r="AA84" i="20" s="1"/>
  <c r="AA79" i="20"/>
  <c r="AA83" i="20" s="1"/>
  <c r="BC168" i="14"/>
  <c r="BC169" i="14" s="1"/>
  <c r="AZ13" i="6"/>
  <c r="AB49" i="14"/>
  <c r="AB96" i="14" s="1"/>
  <c r="AB59" i="14"/>
  <c r="AB95" i="14"/>
  <c r="AB98" i="14" s="1"/>
  <c r="AB99" i="14" s="1"/>
  <c r="BI207" i="14"/>
  <c r="AH375" i="20"/>
  <c r="AZ570" i="20"/>
  <c r="AZ230" i="14"/>
  <c r="AG102" i="6"/>
  <c r="AG100" i="6" s="1"/>
  <c r="AG104" i="6" s="1"/>
  <c r="AD42" i="20"/>
  <c r="AD45" i="20" s="1"/>
  <c r="Y68" i="3"/>
  <c r="Y70" i="3" s="1"/>
  <c r="X174" i="14"/>
  <c r="X171" i="14"/>
  <c r="AB32" i="18"/>
  <c r="AL260" i="14"/>
  <c r="AG260" i="14"/>
  <c r="AG259" i="14" s="1"/>
  <c r="AG36" i="14" s="1"/>
  <c r="AI259" i="14"/>
  <c r="V44" i="18"/>
  <c r="S41" i="18"/>
  <c r="V33" i="7"/>
  <c r="V36" i="7"/>
  <c r="AZ84" i="14"/>
  <c r="AZ124" i="14" s="1"/>
  <c r="AY543" i="20"/>
  <c r="S78" i="18"/>
  <c r="S79" i="18"/>
  <c r="S70" i="18"/>
  <c r="V68" i="18"/>
  <c r="V70" i="18" s="1"/>
  <c r="AH90" i="7"/>
  <c r="AH81" i="7"/>
  <c r="AP543" i="20"/>
  <c r="AK61" i="20"/>
  <c r="AK62" i="20" s="1"/>
  <c r="AK59" i="20" s="1"/>
  <c r="AK226" i="20"/>
  <c r="AK225" i="20"/>
  <c r="AK240" i="20"/>
  <c r="AN241" i="20" s="1"/>
  <c r="AH233" i="20"/>
  <c r="AB24" i="3"/>
  <c r="AA152" i="14"/>
  <c r="AD152" i="14"/>
  <c r="AB68" i="3"/>
  <c r="AB70" i="3" s="1"/>
  <c r="AA105" i="20"/>
  <c r="AH61" i="20"/>
  <c r="AH226" i="20"/>
  <c r="AH240" i="20"/>
  <c r="AH225" i="20"/>
  <c r="BF464" i="20"/>
  <c r="BE464" i="20"/>
  <c r="AN92" i="7"/>
  <c r="AM92" i="7"/>
  <c r="AM80" i="7" s="1"/>
  <c r="Z48" i="14"/>
  <c r="Y57" i="14"/>
  <c r="AL59" i="14"/>
  <c r="AL126" i="14" s="1"/>
  <c r="AL49" i="14"/>
  <c r="AL96" i="14" s="1"/>
  <c r="BF467" i="20"/>
  <c r="BE467" i="20"/>
  <c r="AA65" i="14"/>
  <c r="AA62" i="14"/>
  <c r="AA64" i="14"/>
  <c r="AB154" i="14"/>
  <c r="AB41" i="14"/>
  <c r="AB44" i="14" s="1"/>
  <c r="AB151" i="14"/>
  <c r="AW84" i="14"/>
  <c r="AW124" i="14" s="1"/>
  <c r="AB34" i="7"/>
  <c r="AB35" i="7" s="1"/>
  <c r="AE28" i="7"/>
  <c r="AE32" i="18"/>
  <c r="AE36" i="18"/>
  <c r="AE34" i="18"/>
  <c r="AE15" i="6"/>
  <c r="AA52" i="14"/>
  <c r="AA42" i="14"/>
  <c r="AA43" i="14"/>
  <c r="AA155" i="14"/>
  <c r="AD155" i="14"/>
  <c r="AA124" i="20"/>
  <c r="AA41" i="20"/>
  <c r="AD120" i="20"/>
  <c r="AB119" i="20"/>
  <c r="AB120" i="20" s="1"/>
  <c r="BI466" i="20"/>
  <c r="BH466" i="20"/>
  <c r="AK373" i="20"/>
  <c r="AK69" i="14"/>
  <c r="BC90" i="14"/>
  <c r="BB570" i="20"/>
  <c r="BB230" i="14"/>
  <c r="AS81" i="18"/>
  <c r="AS69" i="18" s="1"/>
  <c r="AV531" i="20"/>
  <c r="BM123" i="6"/>
  <c r="BK123" i="6" s="1"/>
  <c r="BL123" i="6" s="1"/>
  <c r="BH123" i="6"/>
  <c r="BI123" i="6" s="1"/>
  <c r="AE43" i="14"/>
  <c r="AE42" i="14"/>
  <c r="AB253" i="20"/>
  <c r="BF198" i="14"/>
  <c r="BF199" i="14" s="1"/>
  <c r="X164" i="14"/>
  <c r="X161" i="14"/>
  <c r="Y161" i="14" s="1"/>
  <c r="Y163" i="14" s="1"/>
  <c r="Y164" i="14" s="1"/>
  <c r="AB38" i="18"/>
  <c r="AB42" i="18"/>
  <c r="AB49" i="18"/>
  <c r="AB48" i="18"/>
  <c r="AB51" i="18"/>
  <c r="AB50" i="18"/>
  <c r="AF36" i="14"/>
  <c r="AE259" i="14"/>
  <c r="AE46" i="3"/>
  <c r="AE48" i="3" s="1"/>
  <c r="AW212" i="14"/>
  <c r="AE78" i="18"/>
  <c r="AE79" i="18"/>
  <c r="AG369" i="20"/>
  <c r="AG29" i="20" s="1"/>
  <c r="AT84" i="14"/>
  <c r="AT124" i="14" s="1"/>
  <c r="AI35" i="14"/>
  <c r="AH243" i="14"/>
  <c r="AE292" i="20"/>
  <c r="AB92" i="20"/>
  <c r="AB239" i="14"/>
  <c r="AB23" i="14"/>
  <c r="AE25" i="14" s="1"/>
  <c r="AI1" i="6"/>
  <c r="AF25" i="6"/>
  <c r="AE23" i="20"/>
  <c r="AE258" i="20"/>
  <c r="AE103" i="20"/>
  <c r="AE97" i="20"/>
  <c r="AA213" i="14"/>
  <c r="AA211" i="14" s="1"/>
  <c r="X213" i="14"/>
  <c r="X211" i="14" s="1"/>
  <c r="V23" i="14"/>
  <c r="V239" i="14"/>
  <c r="AE329" i="20"/>
  <c r="AB80" i="6"/>
  <c r="AE81" i="6" s="1"/>
  <c r="AB297" i="20"/>
  <c r="AB349" i="20"/>
  <c r="AE92" i="6"/>
  <c r="Y23" i="14"/>
  <c r="AB25" i="14" s="1"/>
  <c r="Y239" i="14"/>
  <c r="AB73" i="20"/>
  <c r="AX537" i="20"/>
  <c r="Z211" i="14"/>
  <c r="P244" i="14"/>
  <c r="P243" i="14" s="1"/>
  <c r="P35" i="14" s="1"/>
  <c r="F63" i="10"/>
  <c r="AF3" i="5"/>
  <c r="F50" i="2"/>
  <c r="AI243" i="20"/>
  <c r="M42" i="10"/>
  <c r="AL154" i="14"/>
  <c r="AL61" i="14" s="1"/>
  <c r="AF38" i="2"/>
  <c r="AF29" i="5"/>
  <c r="AF31" i="5" s="1"/>
  <c r="T60" i="14"/>
  <c r="T61" i="14" s="1"/>
  <c r="AI29" i="5"/>
  <c r="AC72" i="10"/>
  <c r="S42" i="10"/>
  <c r="H53" i="10"/>
  <c r="H170" i="2"/>
  <c r="I53" i="10"/>
  <c r="I170" i="2"/>
  <c r="G53" i="10"/>
  <c r="G170" i="2"/>
  <c r="W15" i="10"/>
  <c r="AI33" i="2"/>
  <c r="AI26" i="2"/>
  <c r="AI228" i="4"/>
  <c r="AI100" i="5"/>
  <c r="AI108" i="5" s="1"/>
  <c r="AI38" i="2"/>
  <c r="AF43" i="2"/>
  <c r="AF37" i="2"/>
  <c r="AF98" i="5"/>
  <c r="V14" i="10"/>
  <c r="V34" i="10"/>
  <c r="V46" i="10"/>
  <c r="W57" i="14"/>
  <c r="C45" i="10"/>
  <c r="BA537" i="20"/>
  <c r="AL59" i="20"/>
  <c r="AL66" i="20" s="1"/>
  <c r="W235" i="20"/>
  <c r="BA549" i="20"/>
  <c r="BA10" i="5"/>
  <c r="BD45" i="4"/>
  <c r="BD12" i="4"/>
  <c r="BD20" i="4"/>
  <c r="BG17" i="4"/>
  <c r="BD36" i="4"/>
  <c r="C17" i="10"/>
  <c r="C116" i="5"/>
  <c r="C46" i="2"/>
  <c r="C47" i="2"/>
  <c r="C18" i="10" s="1"/>
  <c r="C20" i="10" s="1"/>
  <c r="C229" i="4"/>
  <c r="C157" i="2"/>
  <c r="C37" i="10"/>
  <c r="J42" i="10"/>
  <c r="BG10" i="6"/>
  <c r="BE10" i="6" s="1"/>
  <c r="BF10" i="6" s="1"/>
  <c r="BJ215" i="4"/>
  <c r="BD13" i="7"/>
  <c r="BB13" i="7" s="1"/>
  <c r="BC13" i="7" s="1"/>
  <c r="BD20" i="3"/>
  <c r="BJ202" i="14"/>
  <c r="T63" i="6"/>
  <c r="T83" i="6" s="1"/>
  <c r="T106" i="6" s="1"/>
  <c r="Z235" i="20"/>
  <c r="G54" i="2"/>
  <c r="G50" i="2"/>
  <c r="I45" i="10"/>
  <c r="G231" i="4"/>
  <c r="G62" i="10" s="1"/>
  <c r="AI334" i="20"/>
  <c r="G233" i="4"/>
  <c r="G235" i="4" s="1"/>
  <c r="BG212" i="14"/>
  <c r="H1" i="3"/>
  <c r="G29" i="3"/>
  <c r="G51" i="3"/>
  <c r="AI1" i="3"/>
  <c r="AI51" i="3" s="1"/>
  <c r="AF29" i="3"/>
  <c r="T184" i="20"/>
  <c r="BA182" i="14"/>
  <c r="Z286" i="20"/>
  <c r="T217" i="20"/>
  <c r="W195" i="20"/>
  <c r="W184" i="20" s="1"/>
  <c r="AI331" i="20"/>
  <c r="AL559" i="20"/>
  <c r="Z287" i="20"/>
  <c r="BD229" i="14"/>
  <c r="AO36" i="7"/>
  <c r="AX164" i="2"/>
  <c r="BJ467" i="20"/>
  <c r="BD13" i="6"/>
  <c r="BB13" i="6" s="1"/>
  <c r="BC13" i="6" s="1"/>
  <c r="H45" i="10"/>
  <c r="G45" i="10"/>
  <c r="I46" i="2"/>
  <c r="I47" i="2"/>
  <c r="I18" i="10" s="1"/>
  <c r="I20" i="10" s="1"/>
  <c r="I17" i="10"/>
  <c r="I116" i="5"/>
  <c r="I229" i="4"/>
  <c r="I157" i="2"/>
  <c r="I169" i="2" s="1"/>
  <c r="I37" i="10"/>
  <c r="I47" i="10"/>
  <c r="I36" i="10"/>
  <c r="I178" i="2" s="1"/>
  <c r="I23" i="10"/>
  <c r="I54" i="10"/>
  <c r="AF37" i="10"/>
  <c r="BJ157" i="2"/>
  <c r="BJ169" i="2" s="1"/>
  <c r="BM37" i="2"/>
  <c r="AL524" i="20"/>
  <c r="AL526" i="20" s="1"/>
  <c r="H157" i="2"/>
  <c r="H169" i="2" s="1"/>
  <c r="H37" i="10"/>
  <c r="AC5" i="5"/>
  <c r="AC32" i="2"/>
  <c r="K34" i="10"/>
  <c r="K14" i="10"/>
  <c r="K170" i="2" s="1"/>
  <c r="W37" i="14"/>
  <c r="Z83" i="6" s="1"/>
  <c r="W106" i="6" s="1"/>
  <c r="W111" i="6"/>
  <c r="Z195" i="20"/>
  <c r="Z217" i="20" s="1"/>
  <c r="BA26" i="5"/>
  <c r="Z8" i="10"/>
  <c r="AR171" i="2" s="1"/>
  <c r="B36" i="10"/>
  <c r="B178" i="2" s="1"/>
  <c r="B47" i="10"/>
  <c r="B23" i="10"/>
  <c r="B54" i="10"/>
  <c r="AF69" i="18"/>
  <c r="AF32" i="18"/>
  <c r="P5" i="5"/>
  <c r="P32" i="2"/>
  <c r="P25" i="2"/>
  <c r="I82" i="5"/>
  <c r="J78" i="5" s="1"/>
  <c r="W31" i="5"/>
  <c r="W76" i="5" s="1"/>
  <c r="W88" i="5"/>
  <c r="W94" i="5" s="1"/>
  <c r="B37" i="10"/>
  <c r="B157" i="2"/>
  <c r="G35" i="10"/>
  <c r="G63" i="10"/>
  <c r="G43" i="10"/>
  <c r="AR147" i="20"/>
  <c r="AL575" i="20"/>
  <c r="AL577" i="20" s="1"/>
  <c r="H36" i="10"/>
  <c r="H178" i="2" s="1"/>
  <c r="H47" i="10"/>
  <c r="H23" i="10"/>
  <c r="H54" i="10"/>
  <c r="J228" i="4"/>
  <c r="J33" i="2"/>
  <c r="J26" i="2"/>
  <c r="J15" i="10"/>
  <c r="K29" i="10" s="1"/>
  <c r="AL69" i="18"/>
  <c r="AK69" i="18" s="1"/>
  <c r="AL548" i="20"/>
  <c r="AL550" i="20" s="1"/>
  <c r="E47" i="2"/>
  <c r="E18" i="10" s="1"/>
  <c r="E17" i="10"/>
  <c r="E25" i="10" s="1"/>
  <c r="E46" i="2"/>
  <c r="BA27" i="4"/>
  <c r="K37" i="2"/>
  <c r="K229" i="4" s="1"/>
  <c r="K43" i="2"/>
  <c r="K116" i="5" s="1"/>
  <c r="D23" i="10"/>
  <c r="D47" i="10"/>
  <c r="D36" i="10"/>
  <c r="D178" i="2" s="1"/>
  <c r="D54" i="10"/>
  <c r="AL35" i="7"/>
  <c r="AI190" i="20"/>
  <c r="AL190" i="20" s="1"/>
  <c r="AO190" i="20" s="1"/>
  <c r="BA46" i="4"/>
  <c r="C60" i="10"/>
  <c r="C42" i="10"/>
  <c r="BD18" i="4"/>
  <c r="BA56" i="4"/>
  <c r="AL152" i="14"/>
  <c r="BG461" i="20"/>
  <c r="AA9" i="10"/>
  <c r="AL512" i="20"/>
  <c r="AL514" i="20" s="1"/>
  <c r="BA29" i="4"/>
  <c r="AI87" i="14"/>
  <c r="AL557" i="20"/>
  <c r="B230" i="4"/>
  <c r="B61" i="10" s="1"/>
  <c r="B233" i="4"/>
  <c r="B235" i="4" s="1"/>
  <c r="B231" i="4"/>
  <c r="B62" i="10" s="1"/>
  <c r="AU140" i="20"/>
  <c r="AC394" i="20"/>
  <c r="AC402" i="20" s="1"/>
  <c r="AC457" i="20"/>
  <c r="AC470" i="20" s="1"/>
  <c r="AC438" i="20"/>
  <c r="AA438" i="20" s="1"/>
  <c r="BA51" i="5"/>
  <c r="H229" i="4"/>
  <c r="N25" i="2"/>
  <c r="N32" i="2"/>
  <c r="N38" i="2" s="1"/>
  <c r="N5" i="5"/>
  <c r="N29" i="5" s="1"/>
  <c r="BG24" i="4"/>
  <c r="BH9" i="18"/>
  <c r="BD212" i="14"/>
  <c r="AI191" i="20"/>
  <c r="AL191" i="20" s="1"/>
  <c r="AO191" i="20" s="1"/>
  <c r="BH12" i="18"/>
  <c r="J42" i="2"/>
  <c r="J163" i="2"/>
  <c r="AR149" i="14"/>
  <c r="AU89" i="14"/>
  <c r="AU564" i="20" s="1"/>
  <c r="AU565" i="20" s="1"/>
  <c r="L228" i="4"/>
  <c r="L26" i="2"/>
  <c r="L33" i="2"/>
  <c r="L15" i="10"/>
  <c r="L24" i="10" s="1"/>
  <c r="E157" i="2"/>
  <c r="E37" i="10"/>
  <c r="AO1" i="4"/>
  <c r="AR1" i="4" s="1"/>
  <c r="AU1" i="4" s="1"/>
  <c r="AX1" i="4" s="1"/>
  <c r="BA1" i="4" s="1"/>
  <c r="BD1" i="4" s="1"/>
  <c r="BG1" i="4" s="1"/>
  <c r="BJ1" i="4" s="1"/>
  <c r="BM1" i="4" s="1"/>
  <c r="E229" i="4"/>
  <c r="AI69" i="18"/>
  <c r="AI70" i="18" s="1"/>
  <c r="AI32" i="18"/>
  <c r="V60" i="10"/>
  <c r="V42" i="10"/>
  <c r="M64" i="2"/>
  <c r="M68" i="2" s="1"/>
  <c r="L56" i="2"/>
  <c r="D92" i="4"/>
  <c r="E92" i="4"/>
  <c r="BA16" i="4"/>
  <c r="Q35" i="14"/>
  <c r="Q37" i="14" s="1"/>
  <c r="Q28" i="14"/>
  <c r="Q31" i="14" s="1"/>
  <c r="Z119" i="20"/>
  <c r="Z120" i="20" s="1"/>
  <c r="Z41" i="20"/>
  <c r="AL95" i="14"/>
  <c r="AL98" i="14" s="1"/>
  <c r="AO174" i="2"/>
  <c r="G96" i="4"/>
  <c r="H95" i="4"/>
  <c r="G38" i="10"/>
  <c r="G16" i="10"/>
  <c r="E23" i="10"/>
  <c r="E47" i="10"/>
  <c r="E36" i="10"/>
  <c r="E178" i="2" s="1"/>
  <c r="W163" i="2"/>
  <c r="W42" i="2"/>
  <c r="E54" i="10"/>
  <c r="AC3" i="5"/>
  <c r="AC3" i="2"/>
  <c r="F103" i="4"/>
  <c r="F102" i="4"/>
  <c r="F101" i="4"/>
  <c r="AF119" i="20"/>
  <c r="AF120" i="20" s="1"/>
  <c r="BG11" i="4"/>
  <c r="BA206" i="4"/>
  <c r="AZ206" i="4" s="1"/>
  <c r="AL530" i="20"/>
  <c r="AL532" i="20" s="1"/>
  <c r="W33" i="2"/>
  <c r="W228" i="4"/>
  <c r="W26" i="2"/>
  <c r="S15" i="10"/>
  <c r="E45" i="10"/>
  <c r="E46" i="10"/>
  <c r="E42" i="10"/>
  <c r="E44" i="10"/>
  <c r="B47" i="2"/>
  <c r="B18" i="10" s="1"/>
  <c r="B46" i="2"/>
  <c r="B17" i="10"/>
  <c r="B25" i="10" s="1"/>
  <c r="M5" i="5"/>
  <c r="M29" i="5" s="1"/>
  <c r="M25" i="2"/>
  <c r="M32" i="2"/>
  <c r="M38" i="2" s="1"/>
  <c r="AL1" i="2"/>
  <c r="AI3" i="5"/>
  <c r="AI3" i="2"/>
  <c r="AF94" i="6"/>
  <c r="AF70" i="6"/>
  <c r="Z174" i="14"/>
  <c r="Z171" i="14"/>
  <c r="AL375" i="20"/>
  <c r="AX74" i="18"/>
  <c r="AW74" i="18" s="1"/>
  <c r="BD25" i="5"/>
  <c r="AC69" i="18"/>
  <c r="AC32" i="18"/>
  <c r="AF484" i="20"/>
  <c r="AF471" i="20"/>
  <c r="BA43" i="4"/>
  <c r="AF503" i="20"/>
  <c r="Q5" i="5"/>
  <c r="Q25" i="2"/>
  <c r="Q32" i="2"/>
  <c r="BJ9" i="7"/>
  <c r="BH9" i="7" s="1"/>
  <c r="AR187" i="20"/>
  <c r="AU187" i="20" s="1"/>
  <c r="BJ464" i="20"/>
  <c r="AX20" i="2"/>
  <c r="Z25" i="2"/>
  <c r="Z32" i="2"/>
  <c r="Z5" i="5"/>
  <c r="G30" i="10"/>
  <c r="G20" i="10"/>
  <c r="AU142" i="20"/>
  <c r="BA59" i="5"/>
  <c r="J31" i="5"/>
  <c r="J76" i="5" s="1"/>
  <c r="J88" i="5"/>
  <c r="J94" i="5" s="1"/>
  <c r="J111" i="5" s="1"/>
  <c r="L42" i="2"/>
  <c r="L163" i="2"/>
  <c r="D233" i="4"/>
  <c r="D230" i="4"/>
  <c r="D61" i="10" s="1"/>
  <c r="T23" i="2"/>
  <c r="T13" i="2"/>
  <c r="AR146" i="20"/>
  <c r="AX141" i="20"/>
  <c r="D226" i="4"/>
  <c r="D231" i="4" s="1"/>
  <c r="D62" i="10" s="1"/>
  <c r="D58" i="10"/>
  <c r="E234" i="4"/>
  <c r="AD213" i="14"/>
  <c r="AD211" i="14" s="1"/>
  <c r="AC211" i="14"/>
  <c r="AO373" i="20"/>
  <c r="H47" i="2"/>
  <c r="H18" i="10" s="1"/>
  <c r="H46" i="2"/>
  <c r="H17" i="10"/>
  <c r="W360" i="20"/>
  <c r="W367" i="20"/>
  <c r="W369" i="20" s="1"/>
  <c r="Q174" i="14"/>
  <c r="Q171" i="14"/>
  <c r="Q211" i="14" s="1"/>
  <c r="AA59" i="10"/>
  <c r="L31" i="5"/>
  <c r="L76" i="5" s="1"/>
  <c r="L88" i="5"/>
  <c r="L94" i="5" s="1"/>
  <c r="L95" i="5" s="1"/>
  <c r="K115" i="5"/>
  <c r="K21" i="10"/>
  <c r="K24" i="10" s="1"/>
  <c r="BG173" i="4"/>
  <c r="BD15" i="5"/>
  <c r="BD114" i="2"/>
  <c r="BM200" i="4"/>
  <c r="BK200" i="4" s="1"/>
  <c r="BL200" i="4" s="1"/>
  <c r="AL40" i="7"/>
  <c r="BD570" i="20"/>
  <c r="BD230" i="14"/>
  <c r="BG90" i="14"/>
  <c r="BE90" i="14" s="1"/>
  <c r="D157" i="2"/>
  <c r="D37" i="10"/>
  <c r="BA63" i="5"/>
  <c r="U193" i="14"/>
  <c r="U191" i="14" s="1"/>
  <c r="BA10" i="4"/>
  <c r="BD19" i="2"/>
  <c r="AR144" i="20"/>
  <c r="AX81" i="18"/>
  <c r="T39" i="20"/>
  <c r="T101" i="6"/>
  <c r="H121" i="5"/>
  <c r="AR92" i="7"/>
  <c r="AU92" i="7" s="1"/>
  <c r="AX92" i="7" s="1"/>
  <c r="AX80" i="7" s="1"/>
  <c r="BG188" i="14"/>
  <c r="BF188" i="14" s="1"/>
  <c r="BF189" i="14" s="1"/>
  <c r="BJ189" i="14"/>
  <c r="AI189" i="20"/>
  <c r="AL189" i="20" s="1"/>
  <c r="AO189" i="20" s="1"/>
  <c r="W137" i="20"/>
  <c r="W125" i="20"/>
  <c r="Z137" i="20"/>
  <c r="Z125" i="20"/>
  <c r="B53" i="10"/>
  <c r="B45" i="10"/>
  <c r="D46" i="2"/>
  <c r="D47" i="2"/>
  <c r="D18" i="10" s="1"/>
  <c r="D17" i="10"/>
  <c r="AL518" i="20"/>
  <c r="AL520" i="20" s="1"/>
  <c r="D53" i="10"/>
  <c r="D45" i="10"/>
  <c r="W32" i="14"/>
  <c r="W63" i="6"/>
  <c r="W65" i="6" s="1"/>
  <c r="W66" i="6" s="1"/>
  <c r="BA44" i="4"/>
  <c r="K45" i="2"/>
  <c r="K44" i="2"/>
  <c r="BG168" i="14"/>
  <c r="BJ167" i="14"/>
  <c r="D234" i="4"/>
  <c r="O5" i="5"/>
  <c r="O29" i="5" s="1"/>
  <c r="O32" i="2"/>
  <c r="O38" i="2" s="1"/>
  <c r="O25" i="2"/>
  <c r="T41" i="20"/>
  <c r="T45" i="20" s="1"/>
  <c r="T119" i="20"/>
  <c r="W120" i="20" s="1"/>
  <c r="AH111" i="20" l="1"/>
  <c r="AH114" i="20" s="1"/>
  <c r="AE257" i="20"/>
  <c r="AE269" i="20" s="1"/>
  <c r="AF104" i="20"/>
  <c r="AF35" i="20"/>
  <c r="AI101" i="6" s="1"/>
  <c r="BC117" i="14"/>
  <c r="BD85" i="14"/>
  <c r="BD119" i="14"/>
  <c r="BJ84" i="14"/>
  <c r="BJ118" i="14"/>
  <c r="BI118" i="14" s="1"/>
  <c r="BG85" i="14"/>
  <c r="BG119" i="14"/>
  <c r="BF119" i="14" s="1"/>
  <c r="BC119" i="14"/>
  <c r="AW116" i="14"/>
  <c r="AX120" i="14"/>
  <c r="AW120" i="14" s="1"/>
  <c r="BG83" i="14"/>
  <c r="BG117" i="14"/>
  <c r="BC118" i="14"/>
  <c r="BA82" i="14"/>
  <c r="BA116" i="14"/>
  <c r="BB120" i="14"/>
  <c r="AH25" i="20"/>
  <c r="AE99" i="20"/>
  <c r="AT543" i="20"/>
  <c r="AZ20" i="3"/>
  <c r="AV81" i="18"/>
  <c r="AV69" i="18" s="1"/>
  <c r="AV70" i="18" s="1"/>
  <c r="AW81" i="18"/>
  <c r="AX92" i="2"/>
  <c r="AW92" i="2" s="1"/>
  <c r="AW100" i="2" s="1"/>
  <c r="AW20" i="2"/>
  <c r="AW23" i="2" s="1"/>
  <c r="Z55" i="14"/>
  <c r="AA55" i="14"/>
  <c r="AH47" i="7"/>
  <c r="AT92" i="7"/>
  <c r="AU80" i="7"/>
  <c r="AR69" i="14"/>
  <c r="AR373" i="20"/>
  <c r="AS70" i="18"/>
  <c r="AT69" i="18"/>
  <c r="AT70" i="18" s="1"/>
  <c r="AQ228" i="14"/>
  <c r="AQ93" i="14"/>
  <c r="AQ95" i="14" s="1"/>
  <c r="AQ98" i="14" s="1"/>
  <c r="AQ99" i="14" s="1"/>
  <c r="AR227" i="14"/>
  <c r="AR240" i="14" s="1"/>
  <c r="AR233" i="14"/>
  <c r="AR241" i="14" s="1"/>
  <c r="AH61" i="7"/>
  <c r="BB20" i="3"/>
  <c r="BC20" i="3" s="1"/>
  <c r="BE182" i="14"/>
  <c r="BE116" i="14" s="1"/>
  <c r="BE192" i="14"/>
  <c r="BE117" i="14" s="1"/>
  <c r="BB162" i="14"/>
  <c r="AI59" i="14"/>
  <c r="AI126" i="14" s="1"/>
  <c r="BE202" i="14"/>
  <c r="AU93" i="14"/>
  <c r="AF164" i="20"/>
  <c r="AC163" i="20"/>
  <c r="AC150" i="20" s="1"/>
  <c r="AC480" i="20"/>
  <c r="BG154" i="20"/>
  <c r="BC192" i="14"/>
  <c r="BB83" i="14"/>
  <c r="BC202" i="14"/>
  <c r="BB84" i="14"/>
  <c r="AZ212" i="14"/>
  <c r="AY85" i="14"/>
  <c r="AY549" i="20" s="1"/>
  <c r="AB24" i="20"/>
  <c r="BE106" i="2"/>
  <c r="BE109" i="2" s="1"/>
  <c r="AS103" i="6"/>
  <c r="AN227" i="14"/>
  <c r="AN240" i="14" s="1"/>
  <c r="AN233" i="14"/>
  <c r="AN241" i="14" s="1"/>
  <c r="AM365" i="20"/>
  <c r="AM368" i="20" s="1"/>
  <c r="AM369" i="20" s="1"/>
  <c r="AM29" i="20" s="1"/>
  <c r="AO368" i="20"/>
  <c r="AQ92" i="7"/>
  <c r="AR80" i="7"/>
  <c r="W81" i="6"/>
  <c r="Y24" i="20"/>
  <c r="V24" i="14"/>
  <c r="Y25" i="14"/>
  <c r="Y48" i="14"/>
  <c r="Y60" i="14"/>
  <c r="AB48" i="14"/>
  <c r="AB50" i="14" s="1"/>
  <c r="AB51" i="14" s="1"/>
  <c r="AB60" i="14"/>
  <c r="AB61" i="14" s="1"/>
  <c r="S23" i="20"/>
  <c r="V24" i="20" s="1"/>
  <c r="S80" i="6"/>
  <c r="S71" i="3"/>
  <c r="Y92" i="6"/>
  <c r="S49" i="3"/>
  <c r="BK181" i="4"/>
  <c r="BL181" i="4" s="1"/>
  <c r="BH184" i="4"/>
  <c r="BI184" i="4" s="1"/>
  <c r="BK182" i="4"/>
  <c r="BL182" i="4" s="1"/>
  <c r="BK185" i="4"/>
  <c r="BL185" i="4" s="1"/>
  <c r="Z50" i="14"/>
  <c r="AA183" i="14"/>
  <c r="AC181" i="14"/>
  <c r="AF183" i="14"/>
  <c r="AF164" i="14"/>
  <c r="AC163" i="14"/>
  <c r="AC174" i="14"/>
  <c r="V8" i="2"/>
  <c r="V99" i="4" s="1"/>
  <c r="V26" i="2"/>
  <c r="V228" i="4"/>
  <c r="V33" i="2"/>
  <c r="R13" i="2"/>
  <c r="R23" i="2"/>
  <c r="U32" i="2"/>
  <c r="U38" i="2" s="1"/>
  <c r="U42" i="2" s="1"/>
  <c r="U5" i="5"/>
  <c r="U29" i="5" s="1"/>
  <c r="V98" i="4"/>
  <c r="V151" i="4"/>
  <c r="V234" i="4"/>
  <c r="V130" i="2"/>
  <c r="V122" i="2"/>
  <c r="V142" i="2"/>
  <c r="V121" i="2"/>
  <c r="V7" i="2"/>
  <c r="V162" i="4"/>
  <c r="V153" i="4"/>
  <c r="V123" i="2"/>
  <c r="V160" i="4"/>
  <c r="V139" i="4"/>
  <c r="V25" i="3"/>
  <c r="S5" i="2"/>
  <c r="S26" i="2" s="1"/>
  <c r="S228" i="4"/>
  <c r="S33" i="2"/>
  <c r="X13" i="2"/>
  <c r="X23" i="2"/>
  <c r="Y130" i="2"/>
  <c r="Y7" i="2"/>
  <c r="Y122" i="2"/>
  <c r="Y121" i="2"/>
  <c r="Y123" i="2"/>
  <c r="Y142" i="2"/>
  <c r="Y71" i="3"/>
  <c r="Y25" i="2"/>
  <c r="Y8" i="2"/>
  <c r="AG112" i="4"/>
  <c r="AD109" i="4"/>
  <c r="AA23" i="2"/>
  <c r="AA13" i="2"/>
  <c r="AB71" i="3"/>
  <c r="AB25" i="2"/>
  <c r="AG32" i="2"/>
  <c r="AG38" i="2" s="1"/>
  <c r="AG42" i="2" s="1"/>
  <c r="AG5" i="5"/>
  <c r="AG29" i="5" s="1"/>
  <c r="AE98" i="4"/>
  <c r="AE151" i="4"/>
  <c r="AE234" i="4"/>
  <c r="AE122" i="2"/>
  <c r="AE121" i="2"/>
  <c r="AE7" i="2"/>
  <c r="AE153" i="4"/>
  <c r="AE123" i="2"/>
  <c r="AE139" i="4"/>
  <c r="AE162" i="4"/>
  <c r="AE160" i="4"/>
  <c r="AE130" i="2"/>
  <c r="AE142" i="2"/>
  <c r="AH70" i="3"/>
  <c r="AH71" i="3" s="1"/>
  <c r="AH49" i="3"/>
  <c r="AH9" i="2"/>
  <c r="AD23" i="2"/>
  <c r="AD13" i="2"/>
  <c r="AB12" i="2"/>
  <c r="AB18" i="2"/>
  <c r="AB16" i="2"/>
  <c r="AE49" i="3"/>
  <c r="AE9" i="2"/>
  <c r="BI209" i="14"/>
  <c r="AB10" i="2"/>
  <c r="AB8" i="2"/>
  <c r="AB99" i="4" s="1"/>
  <c r="AH13" i="2"/>
  <c r="AH23" i="2"/>
  <c r="Y24" i="14"/>
  <c r="BI198" i="14"/>
  <c r="BH192" i="14" s="1"/>
  <c r="BH117" i="14" s="1"/>
  <c r="AZ10" i="4"/>
  <c r="BB10" i="4"/>
  <c r="BJ109" i="2"/>
  <c r="BH215" i="4"/>
  <c r="BF17" i="4"/>
  <c r="BH17" i="4"/>
  <c r="AZ114" i="2"/>
  <c r="AZ63" i="5"/>
  <c r="BB25" i="5"/>
  <c r="BC25" i="5" s="1"/>
  <c r="BF24" i="4"/>
  <c r="BH24" i="4"/>
  <c r="AZ29" i="4"/>
  <c r="BB29" i="4"/>
  <c r="BK37" i="2"/>
  <c r="BK157" i="2" s="1"/>
  <c r="BC12" i="4"/>
  <c r="BE12" i="4"/>
  <c r="AZ40" i="2"/>
  <c r="AB292" i="20"/>
  <c r="BG109" i="2"/>
  <c r="BM190" i="4"/>
  <c r="AZ19" i="2"/>
  <c r="AZ10" i="5" s="1"/>
  <c r="AZ9" i="5" s="1"/>
  <c r="AZ22" i="2"/>
  <c r="BE173" i="4"/>
  <c r="AZ16" i="4"/>
  <c r="BB16" i="4"/>
  <c r="AW34" i="4"/>
  <c r="AW50" i="4"/>
  <c r="AW238" i="4" s="1"/>
  <c r="AZ46" i="4"/>
  <c r="BB46" i="4"/>
  <c r="AZ41" i="2"/>
  <c r="AZ27" i="4"/>
  <c r="BB27" i="4"/>
  <c r="AA8" i="10"/>
  <c r="AU171" i="2" s="1"/>
  <c r="BC36" i="4"/>
  <c r="BE36" i="4"/>
  <c r="BC20" i="4"/>
  <c r="BE20" i="4"/>
  <c r="BG61" i="2"/>
  <c r="BC61" i="2"/>
  <c r="BB61" i="2"/>
  <c r="BM183" i="4"/>
  <c r="BM59" i="4"/>
  <c r="BI59" i="4"/>
  <c r="BH59" i="4"/>
  <c r="BB15" i="5"/>
  <c r="BC15" i="5" s="1"/>
  <c r="BB114" i="2"/>
  <c r="AZ44" i="4"/>
  <c r="BB44" i="4"/>
  <c r="BB19" i="2"/>
  <c r="BB10" i="5" s="1"/>
  <c r="BB9" i="5" s="1"/>
  <c r="BF11" i="4"/>
  <c r="BH11" i="4"/>
  <c r="BE21" i="2"/>
  <c r="BF21" i="2" s="1"/>
  <c r="AZ59" i="5"/>
  <c r="AZ43" i="4"/>
  <c r="BB43" i="4"/>
  <c r="BC18" i="4"/>
  <c r="BC56" i="4" s="1"/>
  <c r="BE18" i="4"/>
  <c r="BE56" i="4" s="1"/>
  <c r="BC45" i="4"/>
  <c r="BE45" i="4"/>
  <c r="AZ25" i="5"/>
  <c r="BM184" i="4"/>
  <c r="BC173" i="4"/>
  <c r="AK67" i="20"/>
  <c r="AK68" i="20"/>
  <c r="AK66" i="20"/>
  <c r="BJ188" i="14"/>
  <c r="BG182" i="14" s="1"/>
  <c r="BH189" i="14"/>
  <c r="BH188" i="14" s="1"/>
  <c r="BJ168" i="14"/>
  <c r="BJ162" i="14" s="1"/>
  <c r="BH167" i="14"/>
  <c r="BI464" i="20"/>
  <c r="BH464" i="20"/>
  <c r="AJ559" i="20"/>
  <c r="AJ560" i="20" s="1"/>
  <c r="AB74" i="20"/>
  <c r="AB80" i="20" s="1"/>
  <c r="AB84" i="20" s="1"/>
  <c r="AB79" i="20"/>
  <c r="AB83" i="20" s="1"/>
  <c r="Y211" i="14"/>
  <c r="Y213" i="14" s="1"/>
  <c r="AW82" i="14"/>
  <c r="AW85" i="7"/>
  <c r="AA34" i="14"/>
  <c r="AB52" i="14"/>
  <c r="AE33" i="7"/>
  <c r="AE36" i="7"/>
  <c r="V34" i="7"/>
  <c r="V35" i="7" s="1"/>
  <c r="V89" i="7"/>
  <c r="AH259" i="14"/>
  <c r="AH36" i="14" s="1"/>
  <c r="AI36" i="14"/>
  <c r="BI197" i="14"/>
  <c r="AN375" i="20"/>
  <c r="BF461" i="20"/>
  <c r="BE461" i="20"/>
  <c r="AF70" i="18"/>
  <c r="AE69" i="18"/>
  <c r="AE70" i="18" s="1"/>
  <c r="BI467" i="20"/>
  <c r="BH467" i="20"/>
  <c r="AM87" i="7"/>
  <c r="AM81" i="7" s="1"/>
  <c r="W48" i="14"/>
  <c r="V57" i="14"/>
  <c r="AW83" i="14"/>
  <c r="AW123" i="14" s="1"/>
  <c r="AB152" i="14"/>
  <c r="AE152" i="14"/>
  <c r="AB62" i="14"/>
  <c r="AD113" i="6"/>
  <c r="AA35" i="20"/>
  <c r="AA104" i="20"/>
  <c r="AJ116" i="6"/>
  <c r="AG37" i="14"/>
  <c r="AJ83" i="6" s="1"/>
  <c r="Y171" i="14"/>
  <c r="Y173" i="14" s="1"/>
  <c r="Y174" i="14" s="1"/>
  <c r="V24" i="3"/>
  <c r="V49" i="3"/>
  <c r="AT82" i="14"/>
  <c r="AT122" i="14" s="1"/>
  <c r="AW85" i="14"/>
  <c r="AW125" i="14" s="1"/>
  <c r="AB90" i="7"/>
  <c r="AB81" i="7"/>
  <c r="AE120" i="20"/>
  <c r="AC70" i="18"/>
  <c r="AB69" i="18"/>
  <c r="AB70" i="18" s="1"/>
  <c r="BF90" i="14"/>
  <c r="BE570" i="20"/>
  <c r="BE230" i="14"/>
  <c r="AE73" i="20"/>
  <c r="AE105" i="20"/>
  <c r="AE35" i="20" s="1"/>
  <c r="AH101" i="6" s="1"/>
  <c r="AY82" i="14"/>
  <c r="BE85" i="14"/>
  <c r="AE44" i="18"/>
  <c r="AB41" i="18"/>
  <c r="BC570" i="20"/>
  <c r="BC230" i="14"/>
  <c r="AK375" i="20"/>
  <c r="AB41" i="20"/>
  <c r="AE68" i="3"/>
  <c r="AE70" i="3" s="1"/>
  <c r="AW543" i="20"/>
  <c r="AZ83" i="14"/>
  <c r="AY537" i="20"/>
  <c r="AH239" i="20"/>
  <c r="AH252" i="20" s="1"/>
  <c r="AH241" i="20"/>
  <c r="AK239" i="20"/>
  <c r="AK252" i="20" s="1"/>
  <c r="AK241" i="20"/>
  <c r="AZ543" i="20"/>
  <c r="AO260" i="14"/>
  <c r="AR260" i="14" s="1"/>
  <c r="AR259" i="14" s="1"/>
  <c r="AJ260" i="14"/>
  <c r="AJ259" i="14" s="1"/>
  <c r="AJ36" i="14" s="1"/>
  <c r="AL259" i="14"/>
  <c r="V62" i="14"/>
  <c r="U34" i="14"/>
  <c r="U37" i="14" s="1"/>
  <c r="V79" i="18"/>
  <c r="BF168" i="14"/>
  <c r="BF169" i="14" s="1"/>
  <c r="AP92" i="7"/>
  <c r="AP80" i="7" s="1"/>
  <c r="AT89" i="14"/>
  <c r="AA448" i="20"/>
  <c r="AA455" i="20" s="1"/>
  <c r="AA483" i="20"/>
  <c r="AA493" i="20" s="1"/>
  <c r="AA495" i="20" s="1"/>
  <c r="AE36" i="14"/>
  <c r="AE260" i="14"/>
  <c r="AB47" i="18"/>
  <c r="AW182" i="14"/>
  <c r="AW10" i="7"/>
  <c r="AH62" i="20"/>
  <c r="AH59" i="20" s="1"/>
  <c r="AA137" i="20"/>
  <c r="AD125" i="20"/>
  <c r="AE35" i="18"/>
  <c r="AB155" i="14"/>
  <c r="AE155" i="14"/>
  <c r="AP564" i="20"/>
  <c r="AB43" i="14"/>
  <c r="AB42" i="14"/>
  <c r="AK68" i="18"/>
  <c r="AH78" i="18"/>
  <c r="Y62" i="14"/>
  <c r="X34" i="14"/>
  <c r="X37" i="14" s="1"/>
  <c r="V71" i="3"/>
  <c r="AL1" i="6"/>
  <c r="AL25" i="6" s="1"/>
  <c r="AI25" i="6"/>
  <c r="V241" i="14"/>
  <c r="V240" i="14"/>
  <c r="V244" i="14"/>
  <c r="AB24" i="14"/>
  <c r="AE24" i="14"/>
  <c r="AB257" i="20"/>
  <c r="AB105" i="20"/>
  <c r="Y241" i="14"/>
  <c r="Y240" i="14"/>
  <c r="Y244" i="14"/>
  <c r="AB211" i="14"/>
  <c r="AB213" i="14" s="1"/>
  <c r="AE92" i="20"/>
  <c r="AE24" i="20"/>
  <c r="AB241" i="14"/>
  <c r="AB240" i="14"/>
  <c r="AB244" i="14"/>
  <c r="AH35" i="14"/>
  <c r="AI244" i="20"/>
  <c r="AB81" i="6"/>
  <c r="AB92" i="6"/>
  <c r="P28" i="14"/>
  <c r="P31" i="14" s="1"/>
  <c r="P32" i="14" s="1"/>
  <c r="AF170" i="2"/>
  <c r="AL52" i="14"/>
  <c r="AI88" i="5"/>
  <c r="AI94" i="5" s="1"/>
  <c r="AI31" i="5"/>
  <c r="AF88" i="5"/>
  <c r="AF94" i="5" s="1"/>
  <c r="AF163" i="2"/>
  <c r="AF42" i="2"/>
  <c r="AF44" i="2" s="1"/>
  <c r="Q60" i="14"/>
  <c r="Q57" i="14" s="1"/>
  <c r="Q48" i="14" s="1"/>
  <c r="Q50" i="14" s="1"/>
  <c r="Q51" i="14" s="1"/>
  <c r="BD162" i="14"/>
  <c r="T57" i="14"/>
  <c r="T48" i="14" s="1"/>
  <c r="T50" i="14" s="1"/>
  <c r="T51" i="14" s="1"/>
  <c r="AD72" i="10"/>
  <c r="BD537" i="20"/>
  <c r="AF100" i="5"/>
  <c r="AF108" i="5" s="1"/>
  <c r="AI42" i="2"/>
  <c r="AI44" i="2" s="1"/>
  <c r="AI163" i="2"/>
  <c r="AI98" i="5"/>
  <c r="AI43" i="2"/>
  <c r="AI37" i="2"/>
  <c r="AI229" i="4" s="1"/>
  <c r="AF229" i="4"/>
  <c r="AF157" i="2"/>
  <c r="AF169" i="2" s="1"/>
  <c r="AI169" i="2" s="1"/>
  <c r="V37" i="10"/>
  <c r="AI111" i="5"/>
  <c r="W14" i="10"/>
  <c r="W34" i="10"/>
  <c r="W29" i="10"/>
  <c r="V53" i="10"/>
  <c r="V45" i="10"/>
  <c r="AF46" i="2"/>
  <c r="V17" i="10"/>
  <c r="AL99" i="14"/>
  <c r="AI49" i="14"/>
  <c r="AI96" i="14" s="1"/>
  <c r="AL68" i="20"/>
  <c r="AC208" i="20"/>
  <c r="AC206" i="20" s="1"/>
  <c r="AL67" i="20"/>
  <c r="BG543" i="20"/>
  <c r="BG20" i="4"/>
  <c r="BG45" i="4"/>
  <c r="BD10" i="5"/>
  <c r="BD10" i="4"/>
  <c r="BD46" i="4"/>
  <c r="BJ17" i="4"/>
  <c r="BD16" i="4"/>
  <c r="BG12" i="4"/>
  <c r="BD26" i="5"/>
  <c r="BD44" i="4"/>
  <c r="BD29" i="4"/>
  <c r="BD27" i="4"/>
  <c r="BG36" i="4"/>
  <c r="C54" i="2"/>
  <c r="C50" i="2"/>
  <c r="C38" i="10"/>
  <c r="C16" i="10"/>
  <c r="C35" i="10"/>
  <c r="C43" i="10"/>
  <c r="C63" i="10"/>
  <c r="C25" i="10"/>
  <c r="C233" i="4"/>
  <c r="C235" i="4" s="1"/>
  <c r="C230" i="4"/>
  <c r="C61" i="10" s="1"/>
  <c r="C231" i="4"/>
  <c r="C62" i="10" s="1"/>
  <c r="BD22" i="2"/>
  <c r="BJ10" i="6"/>
  <c r="BH10" i="6" s="1"/>
  <c r="BI10" i="6" s="1"/>
  <c r="T65" i="6"/>
  <c r="T66" i="6" s="1"/>
  <c r="AX531" i="20"/>
  <c r="BM215" i="4"/>
  <c r="AL65" i="14"/>
  <c r="BG20" i="3"/>
  <c r="BG13" i="7"/>
  <c r="BE13" i="7" s="1"/>
  <c r="BF13" i="7" s="1"/>
  <c r="BJ212" i="14"/>
  <c r="AO334" i="20"/>
  <c r="AL42" i="7"/>
  <c r="AL58" i="7"/>
  <c r="AL56" i="7"/>
  <c r="AL57" i="7"/>
  <c r="AL59" i="7"/>
  <c r="AL55" i="7"/>
  <c r="H54" i="2"/>
  <c r="H50" i="2"/>
  <c r="B54" i="2"/>
  <c r="B50" i="2"/>
  <c r="D54" i="2"/>
  <c r="D50" i="2"/>
  <c r="E54" i="2"/>
  <c r="E50" i="2"/>
  <c r="I54" i="2"/>
  <c r="I50" i="2"/>
  <c r="J82" i="5"/>
  <c r="K78" i="5" s="1"/>
  <c r="K82" i="5" s="1"/>
  <c r="L78" i="5" s="1"/>
  <c r="L82" i="5" s="1"/>
  <c r="M78" i="5" s="1"/>
  <c r="AL1" i="3"/>
  <c r="AL51" i="3" s="1"/>
  <c r="AI29" i="3"/>
  <c r="AI329" i="20"/>
  <c r="I1" i="3"/>
  <c r="H29" i="3"/>
  <c r="H51" i="3"/>
  <c r="W108" i="6"/>
  <c r="W109" i="6" s="1"/>
  <c r="BD182" i="14"/>
  <c r="T108" i="6"/>
  <c r="Z285" i="20"/>
  <c r="Z326" i="20" s="1"/>
  <c r="W217" i="20"/>
  <c r="AC120" i="20"/>
  <c r="BJ229" i="14"/>
  <c r="BG229" i="14"/>
  <c r="BA24" i="5"/>
  <c r="BG13" i="6"/>
  <c r="BE13" i="6" s="1"/>
  <c r="BF13" i="6" s="1"/>
  <c r="AO80" i="7"/>
  <c r="BA186" i="4"/>
  <c r="AL41" i="7"/>
  <c r="I233" i="4"/>
  <c r="I235" i="4" s="1"/>
  <c r="I230" i="4"/>
  <c r="I61" i="10" s="1"/>
  <c r="I231" i="4"/>
  <c r="I62" i="10" s="1"/>
  <c r="BM157" i="2"/>
  <c r="BM169" i="2" s="1"/>
  <c r="AG37" i="10"/>
  <c r="I25" i="10"/>
  <c r="I43" i="10"/>
  <c r="I35" i="10"/>
  <c r="I63" i="10"/>
  <c r="I38" i="10"/>
  <c r="I16" i="10"/>
  <c r="D30" i="10"/>
  <c r="D20" i="10"/>
  <c r="T100" i="6"/>
  <c r="Z360" i="20"/>
  <c r="W362" i="20"/>
  <c r="K231" i="4"/>
  <c r="K62" i="10" s="1"/>
  <c r="K230" i="4"/>
  <c r="K61" i="10" s="1"/>
  <c r="K233" i="4"/>
  <c r="K235" i="4" s="1"/>
  <c r="O42" i="2"/>
  <c r="O163" i="2"/>
  <c r="O88" i="5"/>
  <c r="O94" i="5" s="1"/>
  <c r="O31" i="5"/>
  <c r="O76" i="5" s="1"/>
  <c r="AI473" i="20"/>
  <c r="AI486" i="20"/>
  <c r="T85" i="6"/>
  <c r="T88" i="6" s="1"/>
  <c r="D38" i="10"/>
  <c r="D16" i="10"/>
  <c r="BG570" i="20"/>
  <c r="BG230" i="14"/>
  <c r="BJ90" i="14"/>
  <c r="BH90" i="14" s="1"/>
  <c r="H63" i="10"/>
  <c r="H35" i="10"/>
  <c r="H43" i="10"/>
  <c r="AL506" i="20"/>
  <c r="AL508" i="20" s="1"/>
  <c r="AL57" i="14"/>
  <c r="Z38" i="2"/>
  <c r="AF212" i="20"/>
  <c r="BA164" i="2"/>
  <c r="M163" i="2"/>
  <c r="M42" i="2"/>
  <c r="S34" i="10"/>
  <c r="S14" i="10"/>
  <c r="W170" i="2" s="1"/>
  <c r="S46" i="10"/>
  <c r="AO33" i="7"/>
  <c r="AR28" i="7" s="1"/>
  <c r="BJ192" i="14"/>
  <c r="BJ543" i="20"/>
  <c r="AO208" i="4"/>
  <c r="AO211" i="4" s="1"/>
  <c r="AO203" i="4"/>
  <c r="AL560" i="20"/>
  <c r="BA50" i="4"/>
  <c r="AB9" i="10"/>
  <c r="BD56" i="4"/>
  <c r="BG18" i="4"/>
  <c r="K157" i="2"/>
  <c r="K169" i="2" s="1"/>
  <c r="K37" i="10"/>
  <c r="AR193" i="20"/>
  <c r="AU193" i="20" s="1"/>
  <c r="AL579" i="20"/>
  <c r="Z184" i="20"/>
  <c r="H38" i="10"/>
  <c r="H16" i="10"/>
  <c r="AI474" i="20"/>
  <c r="AI487" i="20"/>
  <c r="K47" i="10"/>
  <c r="K23" i="10"/>
  <c r="K36" i="10"/>
  <c r="K178" i="2" s="1"/>
  <c r="K54" i="10"/>
  <c r="AF210" i="20"/>
  <c r="D63" i="10"/>
  <c r="D43" i="10"/>
  <c r="D35" i="10"/>
  <c r="BA81" i="18"/>
  <c r="AY81" i="18" s="1"/>
  <c r="AY69" i="18" s="1"/>
  <c r="AY70" i="18" s="1"/>
  <c r="W203" i="14"/>
  <c r="U203" i="14" s="1"/>
  <c r="U201" i="14" s="1"/>
  <c r="W191" i="14"/>
  <c r="W211" i="14" s="1"/>
  <c r="V211" i="14" s="1"/>
  <c r="V213" i="14" s="1"/>
  <c r="W194" i="14"/>
  <c r="Z193" i="14"/>
  <c r="X193" i="14" s="1"/>
  <c r="X191" i="14" s="1"/>
  <c r="T193" i="14"/>
  <c r="BA85" i="7"/>
  <c r="BD10" i="7"/>
  <c r="BD543" i="20"/>
  <c r="T5" i="5"/>
  <c r="T32" i="2"/>
  <c r="T25" i="2"/>
  <c r="D235" i="4"/>
  <c r="Z228" i="4"/>
  <c r="Z33" i="2"/>
  <c r="Z26" i="2"/>
  <c r="T15" i="10"/>
  <c r="Q38" i="2"/>
  <c r="M33" i="2"/>
  <c r="M228" i="4"/>
  <c r="M15" i="10"/>
  <c r="M24" i="10" s="1"/>
  <c r="M26" i="2"/>
  <c r="B20" i="10"/>
  <c r="C30" i="10"/>
  <c r="BD206" i="4"/>
  <c r="BC206" i="4" s="1"/>
  <c r="BK9" i="18"/>
  <c r="N31" i="5"/>
  <c r="N76" i="5" s="1"/>
  <c r="N88" i="5"/>
  <c r="N94" i="5" s="1"/>
  <c r="N95" i="5" s="1"/>
  <c r="AC483" i="20"/>
  <c r="AC493" i="20" s="1"/>
  <c r="AC448" i="20"/>
  <c r="AC455" i="20" s="1"/>
  <c r="D25" i="10"/>
  <c r="AI478" i="20"/>
  <c r="AI491" i="20"/>
  <c r="J43" i="2"/>
  <c r="J116" i="5" s="1"/>
  <c r="J37" i="2"/>
  <c r="J229" i="4" s="1"/>
  <c r="Z138" i="20"/>
  <c r="W138" i="20"/>
  <c r="BG15" i="5"/>
  <c r="BJ173" i="4"/>
  <c r="BG114" i="2"/>
  <c r="AF211" i="20"/>
  <c r="H30" i="10"/>
  <c r="H20" i="10"/>
  <c r="I30" i="10"/>
  <c r="L45" i="2"/>
  <c r="L44" i="2"/>
  <c r="Q228" i="4"/>
  <c r="Q26" i="2"/>
  <c r="Q33" i="2"/>
  <c r="Q15" i="10"/>
  <c r="AO1" i="2"/>
  <c r="M31" i="5"/>
  <c r="M76" i="5" s="1"/>
  <c r="M88" i="5"/>
  <c r="M94" i="5" s="1"/>
  <c r="M95" i="5" s="1"/>
  <c r="AI475" i="20"/>
  <c r="AI488" i="20"/>
  <c r="AR188" i="20"/>
  <c r="AU188" i="20" s="1"/>
  <c r="M56" i="2"/>
  <c r="N64" i="2"/>
  <c r="N68" i="2" s="1"/>
  <c r="L34" i="10"/>
  <c r="L29" i="10"/>
  <c r="L14" i="10"/>
  <c r="L170" i="2" s="1"/>
  <c r="L46" i="10"/>
  <c r="AU228" i="14"/>
  <c r="AU149" i="14"/>
  <c r="AX89" i="14"/>
  <c r="J45" i="2"/>
  <c r="J44" i="2"/>
  <c r="BJ24" i="4"/>
  <c r="N42" i="2"/>
  <c r="N163" i="2"/>
  <c r="AR145" i="20"/>
  <c r="AI472" i="20"/>
  <c r="AI485" i="20"/>
  <c r="E63" i="10"/>
  <c r="E35" i="10"/>
  <c r="E43" i="10"/>
  <c r="H25" i="10"/>
  <c r="B38" i="10"/>
  <c r="B16" i="10"/>
  <c r="AC228" i="4"/>
  <c r="AC26" i="2"/>
  <c r="AC33" i="2"/>
  <c r="U15" i="10"/>
  <c r="AU144" i="20"/>
  <c r="AF76" i="5"/>
  <c r="W29" i="20"/>
  <c r="W116" i="6" s="1"/>
  <c r="AO375" i="20"/>
  <c r="AL144" i="2"/>
  <c r="BA141" i="20"/>
  <c r="J115" i="5"/>
  <c r="J21" i="10"/>
  <c r="J24" i="10" s="1"/>
  <c r="BA171" i="4"/>
  <c r="BA106" i="5"/>
  <c r="BD59" i="5"/>
  <c r="BA92" i="5"/>
  <c r="BA56" i="5"/>
  <c r="AX513" i="20"/>
  <c r="AX142" i="20"/>
  <c r="Q29" i="5"/>
  <c r="AI499" i="20"/>
  <c r="AI501" i="20" s="1"/>
  <c r="AF438" i="20"/>
  <c r="AD438" i="20" s="1"/>
  <c r="AL368" i="20"/>
  <c r="AK368" i="20" s="1"/>
  <c r="AK365" i="20" s="1"/>
  <c r="AI94" i="6"/>
  <c r="AI70" i="6"/>
  <c r="W37" i="2"/>
  <c r="W43" i="2"/>
  <c r="W98" i="5"/>
  <c r="AL475" i="20"/>
  <c r="AO168" i="20" s="1"/>
  <c r="BJ11" i="4"/>
  <c r="E38" i="10"/>
  <c r="E16" i="10"/>
  <c r="L37" i="2"/>
  <c r="L229" i="4" s="1"/>
  <c r="L43" i="2"/>
  <c r="N228" i="4"/>
  <c r="N33" i="2"/>
  <c r="N26" i="2"/>
  <c r="N15" i="10"/>
  <c r="N24" i="10" s="1"/>
  <c r="BA93" i="5"/>
  <c r="BA49" i="5"/>
  <c r="BD51" i="5"/>
  <c r="BA34" i="4"/>
  <c r="AF209" i="20"/>
  <c r="E20" i="10"/>
  <c r="E30" i="10"/>
  <c r="F30" i="10"/>
  <c r="AL34" i="18"/>
  <c r="AL35" i="18" s="1"/>
  <c r="AO28" i="18"/>
  <c r="AO32" i="18" s="1"/>
  <c r="AU147" i="20"/>
  <c r="P228" i="4"/>
  <c r="P33" i="2"/>
  <c r="P26" i="2"/>
  <c r="P15" i="10"/>
  <c r="AC38" i="2"/>
  <c r="AR143" i="20"/>
  <c r="AL9" i="3"/>
  <c r="BG25" i="5"/>
  <c r="W10" i="10"/>
  <c r="W41" i="10"/>
  <c r="W44" i="2"/>
  <c r="W45" i="2"/>
  <c r="I95" i="4"/>
  <c r="H96" i="4"/>
  <c r="BK12" i="18"/>
  <c r="H230" i="4"/>
  <c r="H61" i="10" s="1"/>
  <c r="H233" i="4"/>
  <c r="H235" i="4" s="1"/>
  <c r="H231" i="4"/>
  <c r="H62" i="10" s="1"/>
  <c r="AI95" i="14"/>
  <c r="AI98" i="14" s="1"/>
  <c r="AI99" i="14" s="1"/>
  <c r="AL174" i="2"/>
  <c r="AI154" i="14"/>
  <c r="AI61" i="14" s="1"/>
  <c r="BJ461" i="20"/>
  <c r="I121" i="5"/>
  <c r="P38" i="2"/>
  <c r="K53" i="10"/>
  <c r="K45" i="10"/>
  <c r="AC29" i="5"/>
  <c r="O228" i="4"/>
  <c r="O26" i="2"/>
  <c r="O33" i="2"/>
  <c r="O15" i="10"/>
  <c r="Z37" i="14"/>
  <c r="AC83" i="6" s="1"/>
  <c r="AC106" i="6" s="1"/>
  <c r="AC111" i="6"/>
  <c r="BG19" i="2"/>
  <c r="BD63" i="5"/>
  <c r="AL522" i="20"/>
  <c r="BE7" i="7"/>
  <c r="BA207" i="4"/>
  <c r="AZ207" i="4" s="1"/>
  <c r="AL21" i="14"/>
  <c r="AO98" i="6"/>
  <c r="BA125" i="4"/>
  <c r="AB59" i="10"/>
  <c r="AG213" i="14"/>
  <c r="AG211" i="14" s="1"/>
  <c r="AF211" i="14"/>
  <c r="AE211" i="14" s="1"/>
  <c r="AE213" i="14" s="1"/>
  <c r="AL14" i="7"/>
  <c r="AL19" i="7" s="1"/>
  <c r="AL34" i="3"/>
  <c r="D60" i="10"/>
  <c r="D42" i="10"/>
  <c r="AU146" i="20"/>
  <c r="Z29" i="5"/>
  <c r="BM9" i="7"/>
  <c r="BK9" i="7" s="1"/>
  <c r="BD43" i="4"/>
  <c r="BA74" i="18"/>
  <c r="BD10" i="18"/>
  <c r="B43" i="10"/>
  <c r="B63" i="10"/>
  <c r="B35" i="10"/>
  <c r="G102" i="4"/>
  <c r="G101" i="4"/>
  <c r="G103" i="4"/>
  <c r="Q32" i="14"/>
  <c r="Q63" i="6"/>
  <c r="Q65" i="6" s="1"/>
  <c r="Q66" i="6" s="1"/>
  <c r="E231" i="4"/>
  <c r="E62" i="10" s="1"/>
  <c r="E230" i="4"/>
  <c r="E61" i="10" s="1"/>
  <c r="E233" i="4"/>
  <c r="E235" i="4" s="1"/>
  <c r="AF215" i="20"/>
  <c r="AX140" i="20"/>
  <c r="AX128" i="20" s="1"/>
  <c r="K47" i="2"/>
  <c r="K18" i="10" s="1"/>
  <c r="K46" i="2"/>
  <c r="K17" i="10"/>
  <c r="J29" i="10"/>
  <c r="J14" i="10"/>
  <c r="J170" i="2" s="1"/>
  <c r="J34" i="10"/>
  <c r="J46" i="10"/>
  <c r="P29" i="5"/>
  <c r="BF117" i="14" l="1"/>
  <c r="BE84" i="14"/>
  <c r="BE118" i="14"/>
  <c r="BF118" i="14" s="1"/>
  <c r="BA120" i="14"/>
  <c r="AZ120" i="14" s="1"/>
  <c r="AZ116" i="14"/>
  <c r="BD82" i="14"/>
  <c r="BD116" i="14"/>
  <c r="BI117" i="14"/>
  <c r="BJ83" i="14"/>
  <c r="BJ117" i="14"/>
  <c r="BJ85" i="14"/>
  <c r="BJ119" i="14"/>
  <c r="BI119" i="14" s="1"/>
  <c r="BG82" i="14"/>
  <c r="BG116" i="14"/>
  <c r="AW122" i="14"/>
  <c r="AZ15" i="5"/>
  <c r="AY114" i="2"/>
  <c r="AU81" i="7"/>
  <c r="AT531" i="20"/>
  <c r="AT182" i="14"/>
  <c r="AT93" i="14"/>
  <c r="AT564" i="20"/>
  <c r="AB55" i="14"/>
  <c r="AW32" i="2"/>
  <c r="AW38" i="2" s="1"/>
  <c r="AW42" i="2" s="1"/>
  <c r="AW5" i="5"/>
  <c r="AW29" i="5" s="1"/>
  <c r="AW24" i="2"/>
  <c r="AW158" i="2"/>
  <c r="BE20" i="3"/>
  <c r="BF20" i="3" s="1"/>
  <c r="E12" i="54"/>
  <c r="F12" i="54" s="1"/>
  <c r="F13" i="54" s="1"/>
  <c r="W55" i="14"/>
  <c r="AK52" i="14"/>
  <c r="AK53" i="14" s="1"/>
  <c r="Y50" i="14"/>
  <c r="Y51" i="14" s="1"/>
  <c r="Y55" i="14"/>
  <c r="AQ69" i="14"/>
  <c r="AQ375" i="20" s="1"/>
  <c r="AR375" i="20"/>
  <c r="AQ227" i="14"/>
  <c r="AQ240" i="14" s="1"/>
  <c r="AQ233" i="14"/>
  <c r="AQ241" i="14" s="1"/>
  <c r="BA65" i="4"/>
  <c r="BA31" i="4"/>
  <c r="BF202" i="14"/>
  <c r="AQ149" i="14"/>
  <c r="BE162" i="14"/>
  <c r="BG40" i="2"/>
  <c r="BE40" i="2" s="1"/>
  <c r="BF40" i="2" s="1"/>
  <c r="AV93" i="14"/>
  <c r="AX93" i="14"/>
  <c r="AZ85" i="14"/>
  <c r="AZ549" i="20" s="1"/>
  <c r="BH106" i="2"/>
  <c r="BH109" i="2" s="1"/>
  <c r="AC495" i="20"/>
  <c r="AC496" i="20" s="1"/>
  <c r="BF106" i="2"/>
  <c r="BF109" i="2" s="1"/>
  <c r="AK58" i="7"/>
  <c r="AL65" i="7"/>
  <c r="AK59" i="7"/>
  <c r="AL66" i="7"/>
  <c r="AK55" i="7"/>
  <c r="AL62" i="7"/>
  <c r="AK57" i="7"/>
  <c r="AL64" i="7"/>
  <c r="AK56" i="7"/>
  <c r="AK63" i="7" s="1"/>
  <c r="AL63" i="7"/>
  <c r="AO1" i="6"/>
  <c r="AR1" i="6" s="1"/>
  <c r="AU1" i="6" s="1"/>
  <c r="AI171" i="20"/>
  <c r="AI135" i="20" s="1"/>
  <c r="AI204" i="20" s="1"/>
  <c r="AL168" i="20"/>
  <c r="AI168" i="20"/>
  <c r="AI132" i="20" s="1"/>
  <c r="AI201" i="20" s="1"/>
  <c r="AI166" i="20"/>
  <c r="AI130" i="20" s="1"/>
  <c r="AI199" i="20" s="1"/>
  <c r="AI165" i="20"/>
  <c r="AI129" i="20" s="1"/>
  <c r="AI198" i="20" s="1"/>
  <c r="AI167" i="20"/>
  <c r="AI131" i="20" s="1"/>
  <c r="AI200" i="20" s="1"/>
  <c r="AC127" i="20"/>
  <c r="BJ154" i="20"/>
  <c r="AC162" i="20"/>
  <c r="BF192" i="14"/>
  <c r="BE83" i="14"/>
  <c r="AW531" i="20"/>
  <c r="AZ537" i="20"/>
  <c r="AZ123" i="14"/>
  <c r="AW549" i="20"/>
  <c r="AW537" i="20"/>
  <c r="Z51" i="14"/>
  <c r="BI202" i="14"/>
  <c r="BH84" i="14"/>
  <c r="BC212" i="14"/>
  <c r="BB85" i="14"/>
  <c r="Y61" i="14"/>
  <c r="AP365" i="20"/>
  <c r="AU365" i="20"/>
  <c r="AS365" i="20" s="1"/>
  <c r="AS368" i="20" s="1"/>
  <c r="AM557" i="20"/>
  <c r="AM560" i="20" s="1"/>
  <c r="AN557" i="20" s="1"/>
  <c r="AO557" i="20"/>
  <c r="AN368" i="20"/>
  <c r="AN369" i="20" s="1"/>
  <c r="AO369" i="20"/>
  <c r="AO559" i="20"/>
  <c r="AQ80" i="7"/>
  <c r="AR36" i="7"/>
  <c r="AR33" i="7"/>
  <c r="AU28" i="7" s="1"/>
  <c r="BG162" i="14"/>
  <c r="V34" i="14"/>
  <c r="V37" i="14" s="1"/>
  <c r="V63" i="14"/>
  <c r="AE113" i="6"/>
  <c r="AB63" i="14"/>
  <c r="Y34" i="14"/>
  <c r="Y37" i="14" s="1"/>
  <c r="Y63" i="14"/>
  <c r="S92" i="6"/>
  <c r="V81" i="6"/>
  <c r="V48" i="14"/>
  <c r="V60" i="14"/>
  <c r="V61" i="14" s="1"/>
  <c r="BK184" i="4"/>
  <c r="BL184" i="4" s="1"/>
  <c r="BK183" i="4"/>
  <c r="BL183" i="4" s="1"/>
  <c r="AZ186" i="4"/>
  <c r="BK190" i="4"/>
  <c r="BL190" i="4" s="1"/>
  <c r="BI199" i="14"/>
  <c r="AC173" i="14"/>
  <c r="AF174" i="14"/>
  <c r="AI183" i="14"/>
  <c r="AD183" i="14"/>
  <c r="AF181" i="14"/>
  <c r="AA163" i="14"/>
  <c r="AC161" i="14"/>
  <c r="AF163" i="14"/>
  <c r="AI164" i="14"/>
  <c r="AA181" i="14"/>
  <c r="AB181" i="14" s="1"/>
  <c r="AB183" i="14" s="1"/>
  <c r="V12" i="2"/>
  <c r="V18" i="2"/>
  <c r="V16" i="2"/>
  <c r="U31" i="5"/>
  <c r="U76" i="5" s="1"/>
  <c r="U82" i="5" s="1"/>
  <c r="V78" i="5" s="1"/>
  <c r="U88" i="5"/>
  <c r="U94" i="5" s="1"/>
  <c r="U95" i="5" s="1"/>
  <c r="V43" i="2"/>
  <c r="V98" i="5"/>
  <c r="V108" i="5" s="1"/>
  <c r="V111" i="5" s="1"/>
  <c r="V37" i="2"/>
  <c r="V157" i="2" s="1"/>
  <c r="S130" i="2"/>
  <c r="S98" i="4"/>
  <c r="S151" i="4"/>
  <c r="S122" i="2"/>
  <c r="S162" i="4"/>
  <c r="S7" i="2"/>
  <c r="S234" i="4"/>
  <c r="S160" i="4"/>
  <c r="S123" i="2"/>
  <c r="S153" i="4"/>
  <c r="S121" i="2"/>
  <c r="S142" i="2"/>
  <c r="S139" i="4"/>
  <c r="S10" i="2"/>
  <c r="S8" i="2"/>
  <c r="S99" i="4" s="1"/>
  <c r="U44" i="2"/>
  <c r="U45" i="2"/>
  <c r="U116" i="5"/>
  <c r="AH25" i="2"/>
  <c r="AH228" i="4" s="1"/>
  <c r="R32" i="2"/>
  <c r="R38" i="2" s="1"/>
  <c r="R42" i="2" s="1"/>
  <c r="R5" i="5"/>
  <c r="R29" i="5" s="1"/>
  <c r="S43" i="2"/>
  <c r="S98" i="5"/>
  <c r="S108" i="5" s="1"/>
  <c r="S111" i="5" s="1"/>
  <c r="S37" i="2"/>
  <c r="S157" i="2" s="1"/>
  <c r="Y12" i="2"/>
  <c r="Y18" i="2"/>
  <c r="Y16" i="2"/>
  <c r="W50" i="14"/>
  <c r="W51" i="14" s="1"/>
  <c r="Y26" i="2"/>
  <c r="Y33" i="2"/>
  <c r="X32" i="2"/>
  <c r="X38" i="2" s="1"/>
  <c r="X42" i="2" s="1"/>
  <c r="X5" i="5"/>
  <c r="X29" i="5" s="1"/>
  <c r="AE16" i="2"/>
  <c r="AE12" i="2"/>
  <c r="AE18" i="2"/>
  <c r="AA32" i="2"/>
  <c r="AA38" i="2" s="1"/>
  <c r="AA42" i="2" s="1"/>
  <c r="AA5" i="5"/>
  <c r="AA29" i="5" s="1"/>
  <c r="AD32" i="2"/>
  <c r="AD38" i="2" s="1"/>
  <c r="AD42" i="2" s="1"/>
  <c r="AD5" i="5"/>
  <c r="AD29" i="5" s="1"/>
  <c r="AB26" i="2"/>
  <c r="AB228" i="4"/>
  <c r="AB100" i="5"/>
  <c r="AB108" i="5" s="1"/>
  <c r="AB111" i="5" s="1"/>
  <c r="AB105" i="4" s="1"/>
  <c r="AB33" i="2"/>
  <c r="AG110" i="4"/>
  <c r="AE104" i="20"/>
  <c r="AH10" i="2"/>
  <c r="AH8" i="2"/>
  <c r="AH99" i="4" s="1"/>
  <c r="AG31" i="5"/>
  <c r="AG76" i="5" s="1"/>
  <c r="AG88" i="5"/>
  <c r="AG94" i="5" s="1"/>
  <c r="AG95" i="5" s="1"/>
  <c r="AZ10" i="7"/>
  <c r="BC19" i="2"/>
  <c r="BC10" i="5" s="1"/>
  <c r="BC9" i="5" s="1"/>
  <c r="AE10" i="2"/>
  <c r="AE8" i="2"/>
  <c r="AE99" i="4" s="1"/>
  <c r="AB13" i="2"/>
  <c r="AB23" i="2"/>
  <c r="AG44" i="2"/>
  <c r="AG45" i="2"/>
  <c r="AG116" i="5"/>
  <c r="AE71" i="3"/>
  <c r="AE25" i="2"/>
  <c r="AH32" i="2"/>
  <c r="AH38" i="2" s="1"/>
  <c r="AH42" i="2" s="1"/>
  <c r="AH5" i="5"/>
  <c r="AH29" i="5" s="1"/>
  <c r="AZ26" i="5"/>
  <c r="AZ24" i="5" s="1"/>
  <c r="BI11" i="4"/>
  <c r="BK11" i="4"/>
  <c r="BH173" i="4"/>
  <c r="BI173" i="4" s="1"/>
  <c r="BF18" i="4"/>
  <c r="BF56" i="4" s="1"/>
  <c r="BH18" i="4"/>
  <c r="BH56" i="4" s="1"/>
  <c r="BK215" i="4"/>
  <c r="BF36" i="4"/>
  <c r="BH36" i="4"/>
  <c r="BC29" i="4"/>
  <c r="BE29" i="4"/>
  <c r="BD24" i="5"/>
  <c r="BD109" i="5" s="1"/>
  <c r="BB26" i="5"/>
  <c r="BB24" i="5" s="1"/>
  <c r="BB109" i="5" s="1"/>
  <c r="AZ92" i="5"/>
  <c r="AZ56" i="5"/>
  <c r="BJ61" i="2"/>
  <c r="BF61" i="2"/>
  <c r="BE61" i="2"/>
  <c r="BE25" i="5"/>
  <c r="BB51" i="5"/>
  <c r="BA255" i="4"/>
  <c r="AZ255" i="4" s="1"/>
  <c r="AW28" i="4"/>
  <c r="BD164" i="2"/>
  <c r="BB41" i="2"/>
  <c r="BC41" i="2" s="1"/>
  <c r="BC16" i="4"/>
  <c r="BE16" i="4"/>
  <c r="BC46" i="4"/>
  <c r="BE46" i="4"/>
  <c r="BF20" i="4"/>
  <c r="BH20" i="4"/>
  <c r="AF231" i="4"/>
  <c r="V62" i="10" s="1"/>
  <c r="AF230" i="4"/>
  <c r="V61" i="10" s="1"/>
  <c r="BB40" i="2"/>
  <c r="BC40" i="2" s="1"/>
  <c r="BC114" i="2"/>
  <c r="BL59" i="4"/>
  <c r="BK59" i="4"/>
  <c r="BH21" i="2"/>
  <c r="BI21" i="2" s="1"/>
  <c r="BC27" i="4"/>
  <c r="BE27" i="4"/>
  <c r="BC44" i="4"/>
  <c r="BE44" i="4"/>
  <c r="AI231" i="4"/>
  <c r="W62" i="10" s="1"/>
  <c r="AI230" i="4"/>
  <c r="W61" i="10" s="1"/>
  <c r="BE15" i="5"/>
  <c r="BF15" i="5" s="1"/>
  <c r="BE114" i="2"/>
  <c r="BM106" i="2"/>
  <c r="BB63" i="5"/>
  <c r="BC63" i="5" s="1"/>
  <c r="BC43" i="4"/>
  <c r="BE43" i="4"/>
  <c r="AC59" i="10"/>
  <c r="AZ125" i="4"/>
  <c r="BB125" i="4"/>
  <c r="BE19" i="2"/>
  <c r="BE10" i="5" s="1"/>
  <c r="BE9" i="5" s="1"/>
  <c r="AZ34" i="4"/>
  <c r="BB34" i="4"/>
  <c r="BB59" i="5"/>
  <c r="BC59" i="5" s="1"/>
  <c r="BI24" i="4"/>
  <c r="BK24" i="4"/>
  <c r="AW37" i="4"/>
  <c r="AZ50" i="4"/>
  <c r="AZ238" i="4" s="1"/>
  <c r="BB22" i="2"/>
  <c r="BC22" i="2" s="1"/>
  <c r="BF12" i="4"/>
  <c r="BH12" i="4"/>
  <c r="BI17" i="4"/>
  <c r="BK17" i="4"/>
  <c r="BC10" i="4"/>
  <c r="BE10" i="4"/>
  <c r="BF45" i="4"/>
  <c r="BH45" i="4"/>
  <c r="AZ106" i="5"/>
  <c r="AZ171" i="4"/>
  <c r="AZ51" i="5"/>
  <c r="BF173" i="4"/>
  <c r="AZ81" i="18"/>
  <c r="AK57" i="14"/>
  <c r="AK60" i="14" s="1"/>
  <c r="AL48" i="14"/>
  <c r="AL55" i="14" s="1"/>
  <c r="AS92" i="7"/>
  <c r="AS80" i="7" s="1"/>
  <c r="AO81" i="7"/>
  <c r="AN80" i="7"/>
  <c r="AP87" i="7"/>
  <c r="AT228" i="14"/>
  <c r="AT149" i="14"/>
  <c r="AZ10" i="18"/>
  <c r="AZ74" i="18"/>
  <c r="AM116" i="6"/>
  <c r="AJ37" i="14"/>
  <c r="AM83" i="6" s="1"/>
  <c r="BF85" i="14"/>
  <c r="BE549" i="20"/>
  <c r="AD101" i="6"/>
  <c r="AA37" i="20"/>
  <c r="AA43" i="20" s="1"/>
  <c r="AA36" i="20"/>
  <c r="AB53" i="14"/>
  <c r="AB34" i="14"/>
  <c r="AB438" i="20"/>
  <c r="AD483" i="20"/>
  <c r="AH231" i="20"/>
  <c r="AG250" i="20"/>
  <c r="BB10" i="7"/>
  <c r="AH68" i="20"/>
  <c r="AH66" i="20"/>
  <c r="AP260" i="14"/>
  <c r="AP259" i="14" s="1"/>
  <c r="AQ259" i="14" s="1"/>
  <c r="AQ260" i="14" s="1"/>
  <c r="AM260" i="14"/>
  <c r="AM259" i="14" s="1"/>
  <c r="AM36" i="14" s="1"/>
  <c r="AP116" i="6" s="1"/>
  <c r="AO259" i="14"/>
  <c r="AO36" i="14" s="1"/>
  <c r="BF84" i="14"/>
  <c r="BE543" i="20"/>
  <c r="AE79" i="20"/>
  <c r="AE83" i="20" s="1"/>
  <c r="AE74" i="20"/>
  <c r="AJ106" i="6"/>
  <c r="BC84" i="14"/>
  <c r="BC124" i="14" s="1"/>
  <c r="BB543" i="20"/>
  <c r="AH67" i="20"/>
  <c r="AD111" i="6"/>
  <c r="AA37" i="14"/>
  <c r="AD83" i="6" s="1"/>
  <c r="AK557" i="20"/>
  <c r="AJ561" i="20"/>
  <c r="BI167" i="14"/>
  <c r="BH168" i="14"/>
  <c r="BI90" i="14"/>
  <c r="BH570" i="20"/>
  <c r="BH230" i="14"/>
  <c r="BB82" i="14"/>
  <c r="AZ182" i="14"/>
  <c r="BF570" i="20"/>
  <c r="BF230" i="14"/>
  <c r="AN87" i="7"/>
  <c r="AK559" i="20"/>
  <c r="BB10" i="18"/>
  <c r="BB74" i="18" s="1"/>
  <c r="BI461" i="20"/>
  <c r="BH461" i="20"/>
  <c r="BE82" i="14"/>
  <c r="AL36" i="14"/>
  <c r="AK259" i="14"/>
  <c r="BF212" i="14"/>
  <c r="AZ82" i="14"/>
  <c r="AY531" i="20"/>
  <c r="AQ67" i="14"/>
  <c r="AQ373" i="20" s="1"/>
  <c r="BC83" i="14"/>
  <c r="BB537" i="20"/>
  <c r="AE34" i="7"/>
  <c r="AE35" i="7" s="1"/>
  <c r="AH28" i="7"/>
  <c r="AE89" i="7"/>
  <c r="AZ85" i="7"/>
  <c r="BI188" i="14"/>
  <c r="BI189" i="14" s="1"/>
  <c r="AB269" i="20"/>
  <c r="V191" i="14"/>
  <c r="V193" i="14" s="1"/>
  <c r="AD57" i="14"/>
  <c r="AD61" i="14"/>
  <c r="V194" i="14"/>
  <c r="U194" i="14"/>
  <c r="AI245" i="20"/>
  <c r="AB35" i="20"/>
  <c r="AE101" i="6" s="1"/>
  <c r="AB104" i="20"/>
  <c r="AK34" i="14"/>
  <c r="AN111" i="6" s="1"/>
  <c r="AL34" i="14"/>
  <c r="AI52" i="14"/>
  <c r="AI76" i="5"/>
  <c r="P60" i="14"/>
  <c r="P61" i="14" s="1"/>
  <c r="BG537" i="20"/>
  <c r="Q61" i="14"/>
  <c r="AL334" i="20"/>
  <c r="AE72" i="10"/>
  <c r="W53" i="10"/>
  <c r="AI170" i="2"/>
  <c r="AI233" i="4"/>
  <c r="AI235" i="4" s="1"/>
  <c r="AF50" i="2"/>
  <c r="AF54" i="2"/>
  <c r="AI112" i="5"/>
  <c r="AI115" i="5"/>
  <c r="AI105" i="4"/>
  <c r="W21" i="10"/>
  <c r="AI62" i="4"/>
  <c r="AI71" i="4" s="1"/>
  <c r="AI72" i="4" s="1"/>
  <c r="AI116" i="5"/>
  <c r="AF233" i="4"/>
  <c r="AF235" i="4" s="1"/>
  <c r="AI99" i="5"/>
  <c r="V43" i="10"/>
  <c r="V63" i="10"/>
  <c r="V35" i="10"/>
  <c r="V38" i="10"/>
  <c r="V16" i="10"/>
  <c r="AI157" i="2"/>
  <c r="W37" i="10"/>
  <c r="AF111" i="5"/>
  <c r="W17" i="10"/>
  <c r="AI46" i="2"/>
  <c r="AI95" i="5"/>
  <c r="BD549" i="20"/>
  <c r="AU69" i="14"/>
  <c r="BJ12" i="4"/>
  <c r="BM17" i="4"/>
  <c r="BG10" i="4"/>
  <c r="BJ45" i="4"/>
  <c r="BG10" i="5"/>
  <c r="BG16" i="4"/>
  <c r="BG46" i="4"/>
  <c r="BJ20" i="4"/>
  <c r="BA109" i="5"/>
  <c r="BG27" i="4"/>
  <c r="BG44" i="4"/>
  <c r="BJ36" i="4"/>
  <c r="BG29" i="4"/>
  <c r="BG26" i="5"/>
  <c r="J121" i="5"/>
  <c r="BG41" i="2"/>
  <c r="BD34" i="4"/>
  <c r="AC9" i="10"/>
  <c r="BG22" i="2"/>
  <c r="BM10" i="6"/>
  <c r="BK10" i="6" s="1"/>
  <c r="BL10" i="6" s="1"/>
  <c r="BA531" i="20"/>
  <c r="BJ20" i="3"/>
  <c r="AL54" i="7"/>
  <c r="AL61" i="7" s="1"/>
  <c r="BG549" i="20"/>
  <c r="BJ13" i="7"/>
  <c r="BH13" i="7" s="1"/>
  <c r="BI13" i="7" s="1"/>
  <c r="K121" i="5"/>
  <c r="BJ182" i="14"/>
  <c r="K54" i="2"/>
  <c r="K50" i="2"/>
  <c r="AL239" i="14"/>
  <c r="J1" i="3"/>
  <c r="I51" i="3"/>
  <c r="I29" i="3"/>
  <c r="AO1" i="3"/>
  <c r="AO51" i="3" s="1"/>
  <c r="AL29" i="3"/>
  <c r="Z289" i="20"/>
  <c r="AL516" i="20"/>
  <c r="Z16" i="20"/>
  <c r="Z17" i="20" s="1"/>
  <c r="Z42" i="20"/>
  <c r="Z36" i="20" s="1"/>
  <c r="Z292" i="20"/>
  <c r="AO40" i="7"/>
  <c r="BJ13" i="6"/>
  <c r="BH13" i="6" s="1"/>
  <c r="BI13" i="6" s="1"/>
  <c r="BD186" i="4"/>
  <c r="BA28" i="4"/>
  <c r="AL561" i="20"/>
  <c r="AF128" i="20"/>
  <c r="BG63" i="5"/>
  <c r="O14" i="10"/>
  <c r="O170" i="2" s="1"/>
  <c r="O29" i="10"/>
  <c r="O34" i="10"/>
  <c r="O46" i="10"/>
  <c r="I96" i="4"/>
  <c r="J95" i="4"/>
  <c r="N37" i="2"/>
  <c r="N229" i="4" s="1"/>
  <c r="N43" i="2"/>
  <c r="W157" i="2"/>
  <c r="W169" i="2" s="1"/>
  <c r="S37" i="10"/>
  <c r="Q31" i="5"/>
  <c r="Q88" i="5"/>
  <c r="Q94" i="5" s="1"/>
  <c r="J233" i="4"/>
  <c r="J235" i="4" s="1"/>
  <c r="J231" i="4"/>
  <c r="J62" i="10" s="1"/>
  <c r="J230" i="4"/>
  <c r="J61" i="10" s="1"/>
  <c r="BA140" i="20"/>
  <c r="L231" i="4"/>
  <c r="L62" i="10" s="1"/>
  <c r="L230" i="4"/>
  <c r="L61" i="10" s="1"/>
  <c r="L233" i="4"/>
  <c r="L235" i="4" s="1"/>
  <c r="AJ213" i="14"/>
  <c r="AJ211" i="14" s="1"/>
  <c r="AI211" i="14"/>
  <c r="AH211" i="14" s="1"/>
  <c r="AH213" i="14" s="1"/>
  <c r="BH7" i="7"/>
  <c r="O98" i="5"/>
  <c r="O108" i="5" s="1"/>
  <c r="O111" i="5" s="1"/>
  <c r="O37" i="2"/>
  <c r="O229" i="4" s="1"/>
  <c r="O43" i="2"/>
  <c r="BD20" i="2"/>
  <c r="BA92" i="2"/>
  <c r="AX147" i="20"/>
  <c r="BD93" i="5"/>
  <c r="BD49" i="5"/>
  <c r="BG51" i="5"/>
  <c r="L157" i="2"/>
  <c r="L169" i="2" s="1"/>
  <c r="L37" i="10"/>
  <c r="AL94" i="6"/>
  <c r="AL70" i="6"/>
  <c r="J23" i="10"/>
  <c r="J36" i="10"/>
  <c r="J178" i="2" s="1"/>
  <c r="J47" i="10"/>
  <c r="J54" i="10"/>
  <c r="AU145" i="20"/>
  <c r="BM24" i="4"/>
  <c r="AX564" i="20"/>
  <c r="AX149" i="14"/>
  <c r="AX228" i="14"/>
  <c r="BA89" i="14"/>
  <c r="L53" i="10"/>
  <c r="L45" i="10"/>
  <c r="AR1" i="2"/>
  <c r="Q34" i="10"/>
  <c r="Q29" i="10"/>
  <c r="Q14" i="10"/>
  <c r="Q170" i="2" s="1"/>
  <c r="Q46" i="10"/>
  <c r="BG206" i="4"/>
  <c r="BF206" i="4" s="1"/>
  <c r="T228" i="4"/>
  <c r="T26" i="2"/>
  <c r="T33" i="2"/>
  <c r="R15" i="10"/>
  <c r="BD85" i="7"/>
  <c r="BG10" i="7"/>
  <c r="Z362" i="20"/>
  <c r="Z44" i="20" s="1"/>
  <c r="Z356" i="20"/>
  <c r="P31" i="5"/>
  <c r="P88" i="5"/>
  <c r="P94" i="5" s="1"/>
  <c r="K43" i="10"/>
  <c r="K35" i="10"/>
  <c r="K63" i="10"/>
  <c r="AX146" i="20"/>
  <c r="BJ19" i="2"/>
  <c r="AU143" i="20"/>
  <c r="P29" i="10"/>
  <c r="P14" i="10"/>
  <c r="P170" i="2" s="1"/>
  <c r="P34" i="10"/>
  <c r="P46" i="10"/>
  <c r="AX187" i="20"/>
  <c r="AX144" i="20"/>
  <c r="Q98" i="5"/>
  <c r="Q108" i="5" s="1"/>
  <c r="Q111" i="5" s="1"/>
  <c r="Q37" i="2"/>
  <c r="Q43" i="2"/>
  <c r="M34" i="10"/>
  <c r="M29" i="10"/>
  <c r="M14" i="10"/>
  <c r="M170" i="2" s="1"/>
  <c r="M46" i="10"/>
  <c r="Q42" i="2"/>
  <c r="Q163" i="2"/>
  <c r="T38" i="2"/>
  <c r="AI471" i="20"/>
  <c r="AI418" i="20"/>
  <c r="AI430" i="20" s="1"/>
  <c r="AI431" i="20" s="1"/>
  <c r="BJ570" i="20"/>
  <c r="BJ230" i="14"/>
  <c r="T104" i="6"/>
  <c r="T109" i="6" s="1"/>
  <c r="L121" i="5"/>
  <c r="BG43" i="4"/>
  <c r="AI155" i="14"/>
  <c r="AI65" i="14"/>
  <c r="AL155" i="14"/>
  <c r="AU373" i="20"/>
  <c r="AO36" i="18"/>
  <c r="AL534" i="20"/>
  <c r="BD141" i="20"/>
  <c r="U29" i="10"/>
  <c r="U14" i="10"/>
  <c r="U34" i="10"/>
  <c r="V29" i="10"/>
  <c r="U46" i="10"/>
  <c r="BD12" i="7"/>
  <c r="BB12" i="7" s="1"/>
  <c r="BJ15" i="5"/>
  <c r="BM173" i="4"/>
  <c r="BJ114" i="2"/>
  <c r="AL528" i="20"/>
  <c r="J157" i="2"/>
  <c r="J169" i="2" s="1"/>
  <c r="J37" i="10"/>
  <c r="T29" i="5"/>
  <c r="T203" i="14"/>
  <c r="W201" i="14"/>
  <c r="V201" i="14" s="1"/>
  <c r="V203" i="14" s="1"/>
  <c r="BG56" i="4"/>
  <c r="BJ18" i="4"/>
  <c r="AO210" i="4"/>
  <c r="M44" i="2"/>
  <c r="M45" i="2"/>
  <c r="Z42" i="2"/>
  <c r="Z163" i="2"/>
  <c r="AL510" i="20"/>
  <c r="O45" i="2"/>
  <c r="O44" i="2"/>
  <c r="K20" i="10"/>
  <c r="BD74" i="18"/>
  <c r="BG10" i="18"/>
  <c r="Z31" i="5"/>
  <c r="Z88" i="5"/>
  <c r="Z94" i="5" s="1"/>
  <c r="AL88" i="7"/>
  <c r="AL86" i="7" s="1"/>
  <c r="AL15" i="7"/>
  <c r="P42" i="2"/>
  <c r="P163" i="2"/>
  <c r="AC42" i="2"/>
  <c r="AC163" i="2"/>
  <c r="T114" i="6"/>
  <c r="P98" i="5"/>
  <c r="P108" i="5" s="1"/>
  <c r="P111" i="5" s="1"/>
  <c r="P43" i="2"/>
  <c r="P37" i="2"/>
  <c r="P229" i="4" s="1"/>
  <c r="AR186" i="20"/>
  <c r="AU186" i="20" s="1"/>
  <c r="N29" i="10"/>
  <c r="N14" i="10"/>
  <c r="N170" i="2" s="1"/>
  <c r="N34" i="10"/>
  <c r="N46" i="10"/>
  <c r="W108" i="5"/>
  <c r="AF470" i="20"/>
  <c r="BD106" i="5"/>
  <c r="BG59" i="5"/>
  <c r="BD92" i="5"/>
  <c r="BD56" i="5"/>
  <c r="BD171" i="4"/>
  <c r="AC98" i="5"/>
  <c r="AC37" i="2"/>
  <c r="AC229" i="4" s="1"/>
  <c r="AC43" i="2"/>
  <c r="AU233" i="14"/>
  <c r="AU227" i="14"/>
  <c r="AU240" i="14" s="1"/>
  <c r="N56" i="2"/>
  <c r="O64" i="2"/>
  <c r="O68" i="2" s="1"/>
  <c r="W229" i="4"/>
  <c r="BA37" i="4"/>
  <c r="AB8" i="10"/>
  <c r="AX171" i="2" s="1"/>
  <c r="J46" i="2"/>
  <c r="J47" i="2"/>
  <c r="J18" i="10" s="1"/>
  <c r="K30" i="10" s="1"/>
  <c r="J17" i="10"/>
  <c r="M37" i="2"/>
  <c r="M43" i="2"/>
  <c r="T34" i="10"/>
  <c r="T14" i="10"/>
  <c r="Z170" i="2" s="1"/>
  <c r="T46" i="10"/>
  <c r="K25" i="10"/>
  <c r="K38" i="10"/>
  <c r="K16" i="10"/>
  <c r="AO89" i="5"/>
  <c r="AO60" i="5"/>
  <c r="J53" i="10"/>
  <c r="J45" i="10"/>
  <c r="BA241" i="4"/>
  <c r="BD125" i="4"/>
  <c r="BA219" i="4"/>
  <c r="BD207" i="4"/>
  <c r="BC207" i="4" s="1"/>
  <c r="H101" i="4"/>
  <c r="H102" i="4"/>
  <c r="H103" i="4"/>
  <c r="W44" i="10"/>
  <c r="W46" i="10"/>
  <c r="W42" i="10"/>
  <c r="W45" i="10"/>
  <c r="BJ25" i="5"/>
  <c r="W47" i="2"/>
  <c r="S18" i="10" s="1"/>
  <c r="W46" i="2"/>
  <c r="W50" i="2" s="1"/>
  <c r="S17" i="10"/>
  <c r="AI503" i="20"/>
  <c r="BA142" i="20"/>
  <c r="AL552" i="20"/>
  <c r="T191" i="14"/>
  <c r="T211" i="14" s="1"/>
  <c r="T194" i="14"/>
  <c r="AO34" i="7"/>
  <c r="AO35" i="7" s="1"/>
  <c r="S53" i="10"/>
  <c r="S45" i="10"/>
  <c r="AV92" i="7"/>
  <c r="AV80" i="7" s="1"/>
  <c r="AV81" i="7" s="1"/>
  <c r="AC88" i="5"/>
  <c r="AC94" i="5" s="1"/>
  <c r="AC31" i="5"/>
  <c r="L116" i="5"/>
  <c r="L47" i="2"/>
  <c r="L18" i="10" s="1"/>
  <c r="L46" i="2"/>
  <c r="L17" i="10"/>
  <c r="BM11" i="4"/>
  <c r="N44" i="2"/>
  <c r="N45" i="2"/>
  <c r="M82" i="5"/>
  <c r="N78" i="5" s="1"/>
  <c r="N121" i="5" s="1"/>
  <c r="Z98" i="5"/>
  <c r="Z37" i="2"/>
  <c r="Z229" i="4" s="1"/>
  <c r="Z43" i="2"/>
  <c r="BA513" i="20"/>
  <c r="Z194" i="14"/>
  <c r="Z203" i="14"/>
  <c r="X203" i="14" s="1"/>
  <c r="X201" i="14" s="1"/>
  <c r="Z191" i="14"/>
  <c r="Y191" i="14" s="1"/>
  <c r="Y193" i="14" s="1"/>
  <c r="BD81" i="18"/>
  <c r="BA238" i="4"/>
  <c r="BD50" i="4"/>
  <c r="AC37" i="14"/>
  <c r="AF83" i="6" s="1"/>
  <c r="AF106" i="6" s="1"/>
  <c r="AF111" i="6"/>
  <c r="BE120" i="14" l="1"/>
  <c r="BF116" i="14"/>
  <c r="BG120" i="14"/>
  <c r="BD120" i="14"/>
  <c r="BC120" i="14" s="1"/>
  <c r="BC116" i="14"/>
  <c r="BJ82" i="14"/>
  <c r="BJ116" i="14"/>
  <c r="AW31" i="5"/>
  <c r="AW88" i="5"/>
  <c r="E13" i="54"/>
  <c r="AW44" i="2"/>
  <c r="BH20" i="3"/>
  <c r="BI20" i="3" s="1"/>
  <c r="D12" i="54"/>
  <c r="D13" i="54" s="1"/>
  <c r="AH52" i="14"/>
  <c r="AH53" i="14" s="1"/>
  <c r="AH54" i="14" s="1"/>
  <c r="V50" i="14"/>
  <c r="V51" i="14" s="1"/>
  <c r="V55" i="14"/>
  <c r="BF124" i="14"/>
  <c r="BI106" i="2"/>
  <c r="BI109" i="2" s="1"/>
  <c r="AU33" i="7"/>
  <c r="AU36" i="7"/>
  <c r="AS81" i="7"/>
  <c r="AT80" i="7"/>
  <c r="AV228" i="14"/>
  <c r="AV233" i="14" s="1"/>
  <c r="AZ65" i="4"/>
  <c r="AZ31" i="4"/>
  <c r="BD31" i="4"/>
  <c r="BD65" i="4"/>
  <c r="AW89" i="14"/>
  <c r="AN559" i="20"/>
  <c r="AN560" i="20" s="1"/>
  <c r="AN561" i="20" s="1"/>
  <c r="AP368" i="20"/>
  <c r="BJ40" i="2"/>
  <c r="BM40" i="2" s="1"/>
  <c r="AZ125" i="14"/>
  <c r="BI168" i="14"/>
  <c r="BH162" i="14" s="1"/>
  <c r="AV149" i="14"/>
  <c r="BH182" i="14"/>
  <c r="BH116" i="14" s="1"/>
  <c r="BH120" i="14" s="1"/>
  <c r="AY89" i="14"/>
  <c r="AY93" i="14" s="1"/>
  <c r="BA93" i="14"/>
  <c r="AK49" i="7"/>
  <c r="AE80" i="20"/>
  <c r="AE84" i="20" s="1"/>
  <c r="AE306" i="20"/>
  <c r="AN365" i="20"/>
  <c r="AK54" i="7"/>
  <c r="AK61" i="7" s="1"/>
  <c r="AO25" i="6"/>
  <c r="AK50" i="7"/>
  <c r="AK64" i="7"/>
  <c r="AK52" i="7"/>
  <c r="AK66" i="7"/>
  <c r="AK48" i="7"/>
  <c r="AK62" i="7"/>
  <c r="AK51" i="7"/>
  <c r="AK65" i="7"/>
  <c r="AC196" i="20"/>
  <c r="AC195" i="20" s="1"/>
  <c r="AC124" i="20"/>
  <c r="AC126" i="20" s="1"/>
  <c r="AL164" i="20"/>
  <c r="AL128" i="20" s="1"/>
  <c r="AL197" i="20" s="1"/>
  <c r="AI164" i="20"/>
  <c r="AF163" i="20"/>
  <c r="AB150" i="20"/>
  <c r="AZ531" i="20"/>
  <c r="AZ122" i="14"/>
  <c r="BH83" i="14"/>
  <c r="BC537" i="20"/>
  <c r="BC123" i="14"/>
  <c r="BH85" i="14"/>
  <c r="BH549" i="20" s="1"/>
  <c r="BF549" i="20"/>
  <c r="BF125" i="14"/>
  <c r="AO560" i="20"/>
  <c r="AX365" i="20"/>
  <c r="AR34" i="7"/>
  <c r="AR35" i="7" s="1"/>
  <c r="AR89" i="7"/>
  <c r="AZ92" i="2"/>
  <c r="AP81" i="7"/>
  <c r="AQ87" i="7"/>
  <c r="BK106" i="2"/>
  <c r="BK109" i="2" s="1"/>
  <c r="P57" i="14"/>
  <c r="P48" i="14" s="1"/>
  <c r="P50" i="14" s="1"/>
  <c r="P51" i="14" s="1"/>
  <c r="BC109" i="5"/>
  <c r="AH26" i="2"/>
  <c r="AH100" i="5"/>
  <c r="AH108" i="5" s="1"/>
  <c r="AH111" i="5" s="1"/>
  <c r="AH105" i="4" s="1"/>
  <c r="BB186" i="4"/>
  <c r="BC186" i="4" s="1"/>
  <c r="AH33" i="2"/>
  <c r="AH37" i="2" s="1"/>
  <c r="AH157" i="2" s="1"/>
  <c r="V229" i="4"/>
  <c r="V233" i="4" s="1"/>
  <c r="V235" i="4" s="1"/>
  <c r="AC203" i="14"/>
  <c r="AA203" i="14" s="1"/>
  <c r="AA201" i="14" s="1"/>
  <c r="AG183" i="14"/>
  <c r="AI181" i="14"/>
  <c r="AL164" i="14"/>
  <c r="AI163" i="14"/>
  <c r="AA164" i="14"/>
  <c r="AA161" i="14"/>
  <c r="AB161" i="14" s="1"/>
  <c r="AB163" i="14" s="1"/>
  <c r="AB164" i="14" s="1"/>
  <c r="AL183" i="14"/>
  <c r="AD163" i="14"/>
  <c r="AF161" i="14"/>
  <c r="AF173" i="14"/>
  <c r="AD173" i="14" s="1"/>
  <c r="AI174" i="14"/>
  <c r="AC193" i="14"/>
  <c r="AA193" i="14" s="1"/>
  <c r="AA191" i="14" s="1"/>
  <c r="AD181" i="14"/>
  <c r="AE181" i="14" s="1"/>
  <c r="AE183" i="14" s="1"/>
  <c r="AA173" i="14"/>
  <c r="AC171" i="14"/>
  <c r="S229" i="4"/>
  <c r="S233" i="4" s="1"/>
  <c r="S235" i="4" s="1"/>
  <c r="V115" i="5"/>
  <c r="V62" i="4"/>
  <c r="V71" i="4" s="1"/>
  <c r="V72" i="4" s="1"/>
  <c r="V105" i="4"/>
  <c r="S115" i="5"/>
  <c r="R31" i="5"/>
  <c r="R76" i="5" s="1"/>
  <c r="R82" i="5" s="1"/>
  <c r="S78" i="5" s="1"/>
  <c r="R88" i="5"/>
  <c r="R94" i="5" s="1"/>
  <c r="R95" i="5" s="1"/>
  <c r="S18" i="2"/>
  <c r="S16" i="2"/>
  <c r="S12" i="2"/>
  <c r="V46" i="2"/>
  <c r="V47" i="2"/>
  <c r="R44" i="2"/>
  <c r="R45" i="2"/>
  <c r="R116" i="5"/>
  <c r="V23" i="2"/>
  <c r="V13" i="2"/>
  <c r="S62" i="4"/>
  <c r="S71" i="4" s="1"/>
  <c r="S72" i="4" s="1"/>
  <c r="S105" i="4"/>
  <c r="S46" i="2"/>
  <c r="S47" i="2"/>
  <c r="X44" i="2"/>
  <c r="X45" i="2"/>
  <c r="X116" i="5"/>
  <c r="Y98" i="5"/>
  <c r="Y108" i="5" s="1"/>
  <c r="Y111" i="5" s="1"/>
  <c r="Y43" i="2"/>
  <c r="Y37" i="2"/>
  <c r="Y157" i="2" s="1"/>
  <c r="X31" i="5"/>
  <c r="X76" i="5" s="1"/>
  <c r="X82" i="5" s="1"/>
  <c r="Y78" i="5" s="1"/>
  <c r="X88" i="5"/>
  <c r="X94" i="5" s="1"/>
  <c r="X95" i="5" s="1"/>
  <c r="Y23" i="2"/>
  <c r="Y13" i="2"/>
  <c r="AB115" i="5"/>
  <c r="AB62" i="4"/>
  <c r="AB71" i="4" s="1"/>
  <c r="AB72" i="4" s="1"/>
  <c r="AD44" i="2"/>
  <c r="AD45" i="2"/>
  <c r="AD116" i="5"/>
  <c r="AE13" i="2"/>
  <c r="AE23" i="2"/>
  <c r="BC26" i="5"/>
  <c r="BC24" i="5" s="1"/>
  <c r="AA31" i="5"/>
  <c r="AA76" i="5" s="1"/>
  <c r="AA88" i="5"/>
  <c r="AA94" i="5" s="1"/>
  <c r="AA95" i="5" s="1"/>
  <c r="AB32" i="2"/>
  <c r="AB38" i="2" s="1"/>
  <c r="AB42" i="2" s="1"/>
  <c r="AB116" i="5" s="1"/>
  <c r="AB5" i="5"/>
  <c r="AB29" i="5" s="1"/>
  <c r="AA45" i="2"/>
  <c r="AA44" i="2"/>
  <c r="AA116" i="5"/>
  <c r="AH112" i="5"/>
  <c r="AH31" i="5"/>
  <c r="AH76" i="5" s="1"/>
  <c r="AH88" i="5"/>
  <c r="AH94" i="5" s="1"/>
  <c r="AB98" i="5"/>
  <c r="AB99" i="5" s="1"/>
  <c r="AB43" i="2"/>
  <c r="AB37" i="2"/>
  <c r="AB157" i="2" s="1"/>
  <c r="AD31" i="5"/>
  <c r="AD76" i="5" s="1"/>
  <c r="AD88" i="5"/>
  <c r="AD94" i="5" s="1"/>
  <c r="AD95" i="5" s="1"/>
  <c r="AE26" i="2"/>
  <c r="AE228" i="4"/>
  <c r="AE100" i="5"/>
  <c r="AE108" i="5" s="1"/>
  <c r="AE111" i="5" s="1"/>
  <c r="AE33" i="2"/>
  <c r="AH45" i="2"/>
  <c r="AH44" i="2"/>
  <c r="BF19" i="2"/>
  <c r="BF10" i="5" s="1"/>
  <c r="BF9" i="5" s="1"/>
  <c r="BL11" i="4"/>
  <c r="BE59" i="5"/>
  <c r="BF59" i="5" s="1"/>
  <c r="BE51" i="5"/>
  <c r="BF51" i="5" s="1"/>
  <c r="BK21" i="2"/>
  <c r="BL21" i="2" s="1"/>
  <c r="BE63" i="5"/>
  <c r="BF63" i="5" s="1"/>
  <c r="BG24" i="5"/>
  <c r="BG109" i="5" s="1"/>
  <c r="BE26" i="5"/>
  <c r="BF26" i="5" s="1"/>
  <c r="BI36" i="4"/>
  <c r="BK36" i="4"/>
  <c r="BF27" i="4"/>
  <c r="BH27" i="4"/>
  <c r="AZ109" i="5"/>
  <c r="BF46" i="4"/>
  <c r="BH46" i="4"/>
  <c r="BF10" i="4"/>
  <c r="BH10" i="4"/>
  <c r="BB50" i="4"/>
  <c r="BB238" i="4" s="1"/>
  <c r="BB106" i="5"/>
  <c r="BC106" i="5" s="1"/>
  <c r="BB92" i="5"/>
  <c r="BB171" i="4"/>
  <c r="BC171" i="4" s="1"/>
  <c r="BB56" i="5"/>
  <c r="BM109" i="2"/>
  <c r="BC50" i="4"/>
  <c r="BC238" i="4" s="1"/>
  <c r="BE50" i="4"/>
  <c r="BE238" i="4" s="1"/>
  <c r="AZ37" i="4"/>
  <c r="BB37" i="4"/>
  <c r="AC231" i="4"/>
  <c r="U62" i="10" s="1"/>
  <c r="AC230" i="4"/>
  <c r="U61" i="10" s="1"/>
  <c r="BD255" i="4"/>
  <c r="BC255" i="4" s="1"/>
  <c r="BF43" i="4"/>
  <c r="BH43" i="4"/>
  <c r="BB20" i="2"/>
  <c r="BB92" i="2" s="1"/>
  <c r="BG164" i="2"/>
  <c r="BE41" i="2"/>
  <c r="BF41" i="2" s="1"/>
  <c r="BI12" i="4"/>
  <c r="BK12" i="4"/>
  <c r="AA39" i="20"/>
  <c r="BC92" i="5"/>
  <c r="BC56" i="5"/>
  <c r="BF25" i="5"/>
  <c r="BH15" i="5"/>
  <c r="BI15" i="5" s="1"/>
  <c r="BH114" i="2"/>
  <c r="BI18" i="4"/>
  <c r="BI56" i="4" s="1"/>
  <c r="BK18" i="4"/>
  <c r="BK56" i="4" s="1"/>
  <c r="BH19" i="2"/>
  <c r="BH10" i="5" s="1"/>
  <c r="BH9" i="5" s="1"/>
  <c r="AZ28" i="4"/>
  <c r="BB28" i="4"/>
  <c r="BF29" i="4"/>
  <c r="BH29" i="4"/>
  <c r="BF44" i="4"/>
  <c r="BH44" i="4"/>
  <c r="BI20" i="4"/>
  <c r="BK20" i="4"/>
  <c r="BF16" i="4"/>
  <c r="BH16" i="4"/>
  <c r="BI45" i="4"/>
  <c r="BK45" i="4"/>
  <c r="BL17" i="4"/>
  <c r="BF114" i="2"/>
  <c r="BB219" i="4"/>
  <c r="BB241" i="4"/>
  <c r="BB49" i="5"/>
  <c r="BB65" i="4" s="1"/>
  <c r="BB93" i="5"/>
  <c r="BM61" i="2"/>
  <c r="BI61" i="2"/>
  <c r="BH61" i="2"/>
  <c r="BI114" i="2"/>
  <c r="W230" i="4"/>
  <c r="S61" i="10" s="1"/>
  <c r="W231" i="4"/>
  <c r="S62" i="10" s="1"/>
  <c r="BH25" i="5"/>
  <c r="BI25" i="5" s="1"/>
  <c r="AD59" i="10"/>
  <c r="BC125" i="4"/>
  <c r="BE125" i="4"/>
  <c r="BK173" i="4"/>
  <c r="BL24" i="4"/>
  <c r="BE22" i="2"/>
  <c r="BF22" i="2" s="1"/>
  <c r="BC34" i="4"/>
  <c r="BE34" i="4"/>
  <c r="AZ49" i="5"/>
  <c r="AZ93" i="5"/>
  <c r="AZ219" i="4"/>
  <c r="AZ241" i="4"/>
  <c r="AZ20" i="2"/>
  <c r="BC51" i="5"/>
  <c r="BI212" i="14"/>
  <c r="BI192" i="14"/>
  <c r="AM561" i="20"/>
  <c r="BE10" i="7"/>
  <c r="BE85" i="7" s="1"/>
  <c r="AK12" i="7"/>
  <c r="AK23" i="7"/>
  <c r="AK9" i="7"/>
  <c r="AW162" i="14"/>
  <c r="AW513" i="20"/>
  <c r="BF82" i="14"/>
  <c r="BE531" i="20"/>
  <c r="BC74" i="18"/>
  <c r="BI570" i="20"/>
  <c r="BI230" i="14"/>
  <c r="BC543" i="20"/>
  <c r="AE111" i="6"/>
  <c r="AB37" i="14"/>
  <c r="AE83" i="6" s="1"/>
  <c r="AM106" i="6"/>
  <c r="BC81" i="18"/>
  <c r="BB81" i="18"/>
  <c r="AK260" i="14"/>
  <c r="AK36" i="14"/>
  <c r="BC182" i="14"/>
  <c r="AN259" i="14"/>
  <c r="AN36" i="14" s="1"/>
  <c r="AH250" i="20"/>
  <c r="AH248" i="20" s="1"/>
  <c r="AH249" i="20" s="1"/>
  <c r="AG255" i="20"/>
  <c r="AB54" i="14"/>
  <c r="AE54" i="14"/>
  <c r="AK7" i="7"/>
  <c r="AK14" i="7"/>
  <c r="AK5" i="7"/>
  <c r="AT87" i="7"/>
  <c r="BF83" i="14"/>
  <c r="BE537" i="20"/>
  <c r="BC82" i="14"/>
  <c r="BB531" i="20"/>
  <c r="AK560" i="20"/>
  <c r="AK561" i="20" s="1"/>
  <c r="BF543" i="20"/>
  <c r="BI84" i="14"/>
  <c r="BI124" i="14" s="1"/>
  <c r="BH543" i="20"/>
  <c r="AB448" i="20"/>
  <c r="AB455" i="20" s="1"/>
  <c r="AB483" i="20"/>
  <c r="AB493" i="20" s="1"/>
  <c r="AB495" i="20" s="1"/>
  <c r="AD102" i="6"/>
  <c r="AD100" i="6" s="1"/>
  <c r="AD104" i="6" s="1"/>
  <c r="AA42" i="20"/>
  <c r="AA45" i="20" s="1"/>
  <c r="AY513" i="20"/>
  <c r="AT67" i="14"/>
  <c r="AT373" i="20" s="1"/>
  <c r="AW92" i="7"/>
  <c r="AX22" i="14"/>
  <c r="BE10" i="18"/>
  <c r="BE74" i="18" s="1"/>
  <c r="AH33" i="7"/>
  <c r="AH36" i="7"/>
  <c r="BC85" i="14"/>
  <c r="BB549" i="20"/>
  <c r="BF182" i="14"/>
  <c r="BC10" i="18"/>
  <c r="AD106" i="6"/>
  <c r="AR36" i="14"/>
  <c r="BC10" i="7"/>
  <c r="BB85" i="7"/>
  <c r="BC85" i="7" s="1"/>
  <c r="AT233" i="14"/>
  <c r="AT227" i="14"/>
  <c r="AT240" i="14" s="1"/>
  <c r="Y194" i="14"/>
  <c r="X194" i="14"/>
  <c r="AE57" i="14"/>
  <c r="AD48" i="14"/>
  <c r="AX1" i="6"/>
  <c r="AU25" i="6"/>
  <c r="AU94" i="6"/>
  <c r="AU70" i="6"/>
  <c r="AD65" i="14"/>
  <c r="AD64" i="14"/>
  <c r="AG64" i="14"/>
  <c r="AD62" i="14"/>
  <c r="AG113" i="6" s="1"/>
  <c r="AC170" i="2"/>
  <c r="W24" i="10"/>
  <c r="Z347" i="20"/>
  <c r="AC115" i="6" s="1"/>
  <c r="AI34" i="14"/>
  <c r="AF197" i="20"/>
  <c r="AF208" i="20" s="1"/>
  <c r="BJ537" i="20"/>
  <c r="AF72" i="10"/>
  <c r="W16" i="10"/>
  <c r="W38" i="10"/>
  <c r="W36" i="10"/>
  <c r="AI178" i="2" s="1"/>
  <c r="W64" i="10"/>
  <c r="W25" i="10"/>
  <c r="W54" i="10"/>
  <c r="W23" i="10"/>
  <c r="W47" i="10"/>
  <c r="AI50" i="2"/>
  <c r="AI54" i="2"/>
  <c r="AI107" i="4"/>
  <c r="AI111" i="4"/>
  <c r="W63" i="10"/>
  <c r="W35" i="10"/>
  <c r="W43" i="10"/>
  <c r="AF105" i="4"/>
  <c r="AF95" i="5"/>
  <c r="AF116" i="5"/>
  <c r="AF115" i="5"/>
  <c r="AF62" i="4"/>
  <c r="V21" i="10"/>
  <c r="AF112" i="5"/>
  <c r="Z38" i="20"/>
  <c r="AC103" i="6" s="1"/>
  <c r="AX69" i="14"/>
  <c r="BJ46" i="4"/>
  <c r="BM45" i="4"/>
  <c r="BJ10" i="5"/>
  <c r="BM20" i="4"/>
  <c r="BJ16" i="4"/>
  <c r="BJ10" i="4"/>
  <c r="BM12" i="4"/>
  <c r="BL12" i="4" s="1"/>
  <c r="BD28" i="4"/>
  <c r="BJ29" i="4"/>
  <c r="BJ44" i="4"/>
  <c r="BJ26" i="5"/>
  <c r="BJ24" i="5" s="1"/>
  <c r="BM36" i="4"/>
  <c r="BJ27" i="4"/>
  <c r="AD9" i="10"/>
  <c r="BJ22" i="2"/>
  <c r="BG34" i="4"/>
  <c r="BJ41" i="2"/>
  <c r="BD531" i="20"/>
  <c r="BJ549" i="20"/>
  <c r="BM13" i="7"/>
  <c r="BG531" i="20"/>
  <c r="BM20" i="3"/>
  <c r="AO42" i="7"/>
  <c r="AO59" i="7"/>
  <c r="AO57" i="7"/>
  <c r="AO56" i="7"/>
  <c r="AO55" i="7"/>
  <c r="AO58" i="7"/>
  <c r="J54" i="2"/>
  <c r="J50" i="2"/>
  <c r="L54" i="2"/>
  <c r="L50" i="2"/>
  <c r="AL240" i="14"/>
  <c r="AL243" i="14"/>
  <c r="AL241" i="14"/>
  <c r="AR1" i="3"/>
  <c r="AR51" i="3" s="1"/>
  <c r="AO29" i="3"/>
  <c r="J29" i="3"/>
  <c r="J51" i="3"/>
  <c r="AL331" i="20"/>
  <c r="AL285" i="20"/>
  <c r="AO327" i="20" s="1"/>
  <c r="AW76" i="18"/>
  <c r="Z43" i="20"/>
  <c r="Z37" i="20" s="1"/>
  <c r="Z327" i="20"/>
  <c r="AO41" i="7"/>
  <c r="BM13" i="6"/>
  <c r="BK13" i="6" s="1"/>
  <c r="BL13" i="6" s="1"/>
  <c r="BG186" i="4"/>
  <c r="BD37" i="4"/>
  <c r="AC8" i="10"/>
  <c r="BA171" i="2" s="1"/>
  <c r="M121" i="5"/>
  <c r="Q95" i="5"/>
  <c r="AH22" i="20"/>
  <c r="AH358" i="20" s="1"/>
  <c r="AH362" i="20" s="1"/>
  <c r="AH360" i="20" s="1"/>
  <c r="AH356" i="20" s="1"/>
  <c r="Z230" i="4"/>
  <c r="T61" i="10" s="1"/>
  <c r="Z233" i="4"/>
  <c r="Z235" i="4" s="1"/>
  <c r="Z231" i="4"/>
  <c r="T62" i="10" s="1"/>
  <c r="AC233" i="4"/>
  <c r="AC235" i="4" s="1"/>
  <c r="BM25" i="5"/>
  <c r="BD241" i="4"/>
  <c r="BD219" i="4"/>
  <c r="BG125" i="4"/>
  <c r="AO30" i="2"/>
  <c r="BD142" i="20"/>
  <c r="BJ202" i="4"/>
  <c r="BH202" i="4" s="1"/>
  <c r="BG207" i="4"/>
  <c r="BF207" i="4" s="1"/>
  <c r="W233" i="4"/>
  <c r="W235" i="4" s="1"/>
  <c r="BJ56" i="4"/>
  <c r="BM18" i="4"/>
  <c r="BL18" i="4" s="1"/>
  <c r="BL56" i="4" s="1"/>
  <c r="AL486" i="20"/>
  <c r="AL473" i="20"/>
  <c r="BA92" i="7"/>
  <c r="AY92" i="7" s="1"/>
  <c r="AY80" i="7" s="1"/>
  <c r="AY81" i="7" s="1"/>
  <c r="AL499" i="20"/>
  <c r="S35" i="10"/>
  <c r="S43" i="10"/>
  <c r="S63" i="10"/>
  <c r="BG106" i="5"/>
  <c r="BJ59" i="5"/>
  <c r="BG92" i="5"/>
  <c r="BG56" i="5"/>
  <c r="BG171" i="4"/>
  <c r="AL14" i="18"/>
  <c r="AL36" i="3"/>
  <c r="AO263" i="4"/>
  <c r="T31" i="5"/>
  <c r="T88" i="5"/>
  <c r="T94" i="5" s="1"/>
  <c r="BD513" i="20"/>
  <c r="AI57" i="14"/>
  <c r="AI484" i="20"/>
  <c r="Q45" i="2"/>
  <c r="Q44" i="2"/>
  <c r="AL488" i="20"/>
  <c r="BA146" i="20"/>
  <c r="Z367" i="20"/>
  <c r="Z369" i="20" s="1"/>
  <c r="AC107" i="6" s="1"/>
  <c r="Z358" i="20"/>
  <c r="AU1" i="2"/>
  <c r="O157" i="2"/>
  <c r="O169" i="2" s="1"/>
  <c r="O37" i="10"/>
  <c r="BD140" i="20"/>
  <c r="AL485" i="20"/>
  <c r="AL472" i="20"/>
  <c r="Z76" i="5"/>
  <c r="J38" i="10"/>
  <c r="J16" i="10"/>
  <c r="AI212" i="20"/>
  <c r="AR190" i="20"/>
  <c r="AU190" i="20" s="1"/>
  <c r="T42" i="2"/>
  <c r="T163" i="2"/>
  <c r="Q47" i="2"/>
  <c r="Q46" i="2"/>
  <c r="Q50" i="2" s="1"/>
  <c r="Q17" i="10"/>
  <c r="AP530" i="20"/>
  <c r="AP532" i="20" s="1"/>
  <c r="AX143" i="20"/>
  <c r="P76" i="5"/>
  <c r="AI215" i="20"/>
  <c r="L38" i="10"/>
  <c r="L16" i="10"/>
  <c r="O116" i="5"/>
  <c r="O115" i="5"/>
  <c r="O21" i="10"/>
  <c r="O62" i="4"/>
  <c r="O71" i="4" s="1"/>
  <c r="O72" i="4" s="1"/>
  <c r="S38" i="10"/>
  <c r="S16" i="10"/>
  <c r="BJ63" i="5"/>
  <c r="W114" i="6"/>
  <c r="BA74" i="6"/>
  <c r="T53" i="10"/>
  <c r="T45" i="10"/>
  <c r="T120" i="6"/>
  <c r="J30" i="10"/>
  <c r="J20" i="10"/>
  <c r="AL56" i="3"/>
  <c r="Q157" i="2"/>
  <c r="Q169" i="2" s="1"/>
  <c r="Q37" i="10"/>
  <c r="BM19" i="2"/>
  <c r="O95" i="5"/>
  <c r="AR189" i="20"/>
  <c r="AU189" i="20" s="1"/>
  <c r="R34" i="10"/>
  <c r="R29" i="10"/>
  <c r="R14" i="10"/>
  <c r="T170" i="2" s="1"/>
  <c r="R46" i="10"/>
  <c r="S29" i="10"/>
  <c r="Q53" i="10"/>
  <c r="Q45" i="10"/>
  <c r="BA564" i="20"/>
  <c r="BA228" i="14"/>
  <c r="BD89" i="14"/>
  <c r="BA149" i="14"/>
  <c r="BA147" i="20"/>
  <c r="AX373" i="20"/>
  <c r="S30" i="10"/>
  <c r="S20" i="10"/>
  <c r="P233" i="4"/>
  <c r="P235" i="4" s="1"/>
  <c r="P231" i="4"/>
  <c r="P62" i="10" s="1"/>
  <c r="P230" i="4"/>
  <c r="P61" i="10" s="1"/>
  <c r="AC157" i="2"/>
  <c r="AC169" i="2" s="1"/>
  <c r="U37" i="10"/>
  <c r="AL145" i="2"/>
  <c r="AY67" i="14"/>
  <c r="BD238" i="4"/>
  <c r="BG50" i="4"/>
  <c r="Z47" i="2"/>
  <c r="Z46" i="2"/>
  <c r="Z50" i="2" s="1"/>
  <c r="T17" i="10"/>
  <c r="T65" i="10" s="1"/>
  <c r="N82" i="5"/>
  <c r="O78" i="5" s="1"/>
  <c r="O82" i="5" s="1"/>
  <c r="P78" i="5" s="1"/>
  <c r="AI209" i="20"/>
  <c r="BA39" i="2"/>
  <c r="AO212" i="4"/>
  <c r="Q229" i="4"/>
  <c r="AL478" i="20"/>
  <c r="AL491" i="20"/>
  <c r="AC100" i="5"/>
  <c r="AC108" i="5" s="1"/>
  <c r="P157" i="2"/>
  <c r="P169" i="2" s="1"/>
  <c r="P37" i="10"/>
  <c r="BG74" i="18"/>
  <c r="BJ10" i="18"/>
  <c r="Z44" i="2"/>
  <c r="Z45" i="2"/>
  <c r="T201" i="14"/>
  <c r="BG141" i="20"/>
  <c r="AU375" i="20"/>
  <c r="AL487" i="20"/>
  <c r="AL474" i="20"/>
  <c r="Q116" i="5"/>
  <c r="Q62" i="4"/>
  <c r="Q71" i="4" s="1"/>
  <c r="Q72" i="4" s="1"/>
  <c r="Q115" i="5"/>
  <c r="Q21" i="10"/>
  <c r="AX193" i="20"/>
  <c r="T98" i="5"/>
  <c r="T37" i="2"/>
  <c r="T229" i="4" s="1"/>
  <c r="T43" i="2"/>
  <c r="AX233" i="14"/>
  <c r="AX227" i="14"/>
  <c r="AX145" i="20"/>
  <c r="N230" i="4"/>
  <c r="N61" i="10" s="1"/>
  <c r="N233" i="4"/>
  <c r="N235" i="4" s="1"/>
  <c r="N231" i="4"/>
  <c r="N62" i="10" s="1"/>
  <c r="O53" i="10"/>
  <c r="O45" i="10"/>
  <c r="J63" i="10"/>
  <c r="J43" i="10"/>
  <c r="J35" i="10"/>
  <c r="AC47" i="2"/>
  <c r="AC46" i="2"/>
  <c r="AC50" i="2" s="1"/>
  <c r="U17" i="10"/>
  <c r="N53" i="10"/>
  <c r="N45" i="10"/>
  <c r="Z201" i="14"/>
  <c r="Y201" i="14" s="1"/>
  <c r="Y203" i="14" s="1"/>
  <c r="W111" i="5"/>
  <c r="W105" i="4" s="1"/>
  <c r="P46" i="2"/>
  <c r="P50" i="2" s="1"/>
  <c r="P47" i="2"/>
  <c r="P17" i="10"/>
  <c r="AL90" i="7"/>
  <c r="AL89" i="7"/>
  <c r="AO79" i="7"/>
  <c r="BG12" i="7"/>
  <c r="BE12" i="7" s="1"/>
  <c r="BJ43" i="4"/>
  <c r="BA144" i="20"/>
  <c r="BA187" i="20"/>
  <c r="P53" i="10"/>
  <c r="P45" i="10"/>
  <c r="BJ10" i="7"/>
  <c r="BG85" i="7"/>
  <c r="AO70" i="6"/>
  <c r="AO94" i="6"/>
  <c r="BJ51" i="5"/>
  <c r="BG93" i="5"/>
  <c r="BG49" i="5"/>
  <c r="AL211" i="14"/>
  <c r="AK211" i="14" s="1"/>
  <c r="AK213" i="14" s="1"/>
  <c r="N116" i="5"/>
  <c r="N47" i="2"/>
  <c r="N18" i="10" s="1"/>
  <c r="N46" i="2"/>
  <c r="N17" i="10"/>
  <c r="J96" i="4"/>
  <c r="K95" i="4"/>
  <c r="L20" i="10"/>
  <c r="L30" i="10"/>
  <c r="W54" i="2"/>
  <c r="AC76" i="5"/>
  <c r="Z157" i="2"/>
  <c r="Z169" i="2" s="1"/>
  <c r="T37" i="10"/>
  <c r="M116" i="5"/>
  <c r="M47" i="2"/>
  <c r="M18" i="10" s="1"/>
  <c r="M46" i="2"/>
  <c r="M17" i="10"/>
  <c r="AP548" i="20"/>
  <c r="AP550" i="20" s="1"/>
  <c r="BM15" i="5"/>
  <c r="BM114" i="2"/>
  <c r="O233" i="4"/>
  <c r="O235" i="4" s="1"/>
  <c r="O231" i="4"/>
  <c r="O62" i="10" s="1"/>
  <c r="O230" i="4"/>
  <c r="O61" i="10" s="1"/>
  <c r="AR192" i="20"/>
  <c r="AU192" i="20" s="1"/>
  <c r="BG81" i="18"/>
  <c r="Z108" i="5"/>
  <c r="L63" i="10"/>
  <c r="L35" i="10"/>
  <c r="L25" i="10"/>
  <c r="L43" i="10"/>
  <c r="AI211" i="20"/>
  <c r="M157" i="2"/>
  <c r="M169" i="2" s="1"/>
  <c r="M37" i="10"/>
  <c r="O56" i="2"/>
  <c r="P64" i="2"/>
  <c r="P68" i="2" s="1"/>
  <c r="AL11" i="3"/>
  <c r="P62" i="4"/>
  <c r="P71" i="4" s="1"/>
  <c r="P72" i="4" s="1"/>
  <c r="P116" i="5"/>
  <c r="P21" i="10"/>
  <c r="P115" i="5"/>
  <c r="AC45" i="2"/>
  <c r="AC44" i="2"/>
  <c r="P45" i="2"/>
  <c r="P44" i="2"/>
  <c r="AI210" i="20"/>
  <c r="M229" i="4"/>
  <c r="U53" i="10"/>
  <c r="U45" i="10"/>
  <c r="AF285" i="20"/>
  <c r="AR191" i="20"/>
  <c r="AU191" i="20" s="1"/>
  <c r="M53" i="10"/>
  <c r="M45" i="10"/>
  <c r="AX188" i="20"/>
  <c r="AC44" i="20"/>
  <c r="AB44" i="20" s="1"/>
  <c r="BJ206" i="4"/>
  <c r="BI206" i="4" s="1"/>
  <c r="J25" i="10"/>
  <c r="BG20" i="2"/>
  <c r="BD92" i="2"/>
  <c r="O46" i="2"/>
  <c r="O47" i="2"/>
  <c r="O18" i="10" s="1"/>
  <c r="O17" i="10"/>
  <c r="BK7" i="7"/>
  <c r="Q76" i="5"/>
  <c r="N37" i="10"/>
  <c r="N157" i="2"/>
  <c r="N169" i="2" s="1"/>
  <c r="I103" i="4"/>
  <c r="I102" i="4"/>
  <c r="I101" i="4"/>
  <c r="AT81" i="7" l="1"/>
  <c r="BF120" i="14"/>
  <c r="BJ120" i="14"/>
  <c r="BI120" i="14" s="1"/>
  <c r="BI116" i="14"/>
  <c r="V65" i="14"/>
  <c r="AV227" i="14"/>
  <c r="AV240" i="14" s="1"/>
  <c r="AW93" i="14"/>
  <c r="AW564" i="20"/>
  <c r="AW566" i="20" s="1"/>
  <c r="AW567" i="20" s="1"/>
  <c r="AH34" i="14"/>
  <c r="AK111" i="6" s="1"/>
  <c r="AX70" i="6"/>
  <c r="AX25" i="6"/>
  <c r="AX94" i="6"/>
  <c r="AW228" i="14"/>
  <c r="AW233" i="14" s="1"/>
  <c r="AY149" i="14"/>
  <c r="AD50" i="14"/>
  <c r="AD51" i="14" s="1"/>
  <c r="AD55" i="14"/>
  <c r="BH40" i="2"/>
  <c r="BI40" i="2" s="1"/>
  <c r="BC65" i="4"/>
  <c r="AO561" i="20"/>
  <c r="AR557" i="20"/>
  <c r="AP369" i="20"/>
  <c r="AP29" i="20" s="1"/>
  <c r="AQ368" i="20"/>
  <c r="AQ365" i="20" s="1"/>
  <c r="AU34" i="7"/>
  <c r="AU35" i="7" s="1"/>
  <c r="AU89" i="7"/>
  <c r="AR559" i="20"/>
  <c r="AR183" i="14"/>
  <c r="AR181" i="14" s="1"/>
  <c r="AW149" i="14"/>
  <c r="BB31" i="4"/>
  <c r="BG65" i="4"/>
  <c r="BC31" i="4"/>
  <c r="BG31" i="4"/>
  <c r="AP36" i="14"/>
  <c r="BI169" i="14"/>
  <c r="AY564" i="20"/>
  <c r="BI85" i="14"/>
  <c r="BI125" i="14" s="1"/>
  <c r="AZ89" i="14"/>
  <c r="AZ93" i="14" s="1"/>
  <c r="AY228" i="14"/>
  <c r="AY227" i="14" s="1"/>
  <c r="BB89" i="14"/>
  <c r="BB93" i="14" s="1"/>
  <c r="BD93" i="14"/>
  <c r="AK47" i="7"/>
  <c r="AN55" i="7"/>
  <c r="AN48" i="7" s="1"/>
  <c r="AO62" i="7"/>
  <c r="AR62" i="7"/>
  <c r="AN58" i="7"/>
  <c r="AO65" i="7"/>
  <c r="AR65" i="7"/>
  <c r="AN56" i="7"/>
  <c r="AO63" i="7"/>
  <c r="AR63" i="7"/>
  <c r="AN59" i="7"/>
  <c r="AO66" i="7"/>
  <c r="AR66" i="7"/>
  <c r="AN57" i="7"/>
  <c r="AO64" i="7"/>
  <c r="AR64" i="7"/>
  <c r="AC207" i="20"/>
  <c r="AC217" i="20" s="1"/>
  <c r="AF127" i="20"/>
  <c r="AB124" i="20"/>
  <c r="AB137" i="20" s="1"/>
  <c r="AC125" i="20"/>
  <c r="AC137" i="20"/>
  <c r="AC138" i="20" s="1"/>
  <c r="AC184" i="20"/>
  <c r="AC263" i="20" s="1"/>
  <c r="AA195" i="20"/>
  <c r="AO167" i="20"/>
  <c r="AL167" i="20"/>
  <c r="AL131" i="20" s="1"/>
  <c r="AL200" i="20" s="1"/>
  <c r="AO165" i="20"/>
  <c r="AL165" i="20"/>
  <c r="AL129" i="20" s="1"/>
  <c r="AL198" i="20" s="1"/>
  <c r="AO166" i="20"/>
  <c r="AL166" i="20"/>
  <c r="AO171" i="20"/>
  <c r="AL171" i="20"/>
  <c r="BC531" i="20"/>
  <c r="BC122" i="14"/>
  <c r="BF537" i="20"/>
  <c r="BF123" i="14"/>
  <c r="BH82" i="14"/>
  <c r="BC549" i="20"/>
  <c r="BC125" i="14"/>
  <c r="BF531" i="20"/>
  <c r="BF122" i="14"/>
  <c r="AP557" i="20"/>
  <c r="AO183" i="14"/>
  <c r="AO181" i="14" s="1"/>
  <c r="AO164" i="14"/>
  <c r="AR164" i="14" s="1"/>
  <c r="BA365" i="20"/>
  <c r="AV365" i="20"/>
  <c r="AV368" i="20" s="1"/>
  <c r="BL106" i="2"/>
  <c r="BL109" i="2" s="1"/>
  <c r="BI182" i="14"/>
  <c r="BC92" i="2"/>
  <c r="AC191" i="14"/>
  <c r="AB191" i="14" s="1"/>
  <c r="AB193" i="14" s="1"/>
  <c r="AH116" i="5"/>
  <c r="AE48" i="14"/>
  <c r="AE60" i="14"/>
  <c r="AE61" i="14" s="1"/>
  <c r="AH98" i="5"/>
  <c r="AH99" i="5" s="1"/>
  <c r="V106" i="4"/>
  <c r="AH115" i="5"/>
  <c r="AH43" i="2"/>
  <c r="AH46" i="2" s="1"/>
  <c r="AH62" i="4"/>
  <c r="AH71" i="4" s="1"/>
  <c r="AH72" i="4" s="1"/>
  <c r="AH95" i="5"/>
  <c r="AH229" i="4"/>
  <c r="AH231" i="4" s="1"/>
  <c r="V54" i="2"/>
  <c r="V50" i="2"/>
  <c r="V230" i="4"/>
  <c r="V231" i="4"/>
  <c r="BI202" i="4"/>
  <c r="BH207" i="4"/>
  <c r="S231" i="4"/>
  <c r="S230" i="4"/>
  <c r="BE186" i="4"/>
  <c r="BF186" i="4" s="1"/>
  <c r="S50" i="2"/>
  <c r="S54" i="2"/>
  <c r="AF203" i="14"/>
  <c r="AD203" i="14" s="1"/>
  <c r="AD201" i="14" s="1"/>
  <c r="AD174" i="14"/>
  <c r="AD171" i="14"/>
  <c r="AG163" i="14"/>
  <c r="AI161" i="14"/>
  <c r="AF193" i="14"/>
  <c r="AD193" i="14" s="1"/>
  <c r="AD191" i="14" s="1"/>
  <c r="AJ183" i="14"/>
  <c r="AL181" i="14"/>
  <c r="AL163" i="14"/>
  <c r="AA174" i="14"/>
  <c r="AA171" i="14"/>
  <c r="AB171" i="14" s="1"/>
  <c r="AB173" i="14" s="1"/>
  <c r="AB174" i="14" s="1"/>
  <c r="AI173" i="14"/>
  <c r="AG173" i="14" s="1"/>
  <c r="AL174" i="14"/>
  <c r="AO174" i="14" s="1"/>
  <c r="AR174" i="14" s="1"/>
  <c r="AD164" i="14"/>
  <c r="AD161" i="14"/>
  <c r="AG181" i="14"/>
  <c r="AH181" i="14" s="1"/>
  <c r="AH183" i="14" s="1"/>
  <c r="V32" i="2"/>
  <c r="V38" i="2" s="1"/>
  <c r="V42" i="2" s="1"/>
  <c r="V5" i="5"/>
  <c r="V29" i="5" s="1"/>
  <c r="S23" i="2"/>
  <c r="S13" i="2"/>
  <c r="Y115" i="5"/>
  <c r="Y105" i="4"/>
  <c r="AB106" i="4" s="1"/>
  <c r="Y32" i="2"/>
  <c r="Y38" i="2" s="1"/>
  <c r="Y42" i="2" s="1"/>
  <c r="Y5" i="5"/>
  <c r="Y29" i="5" s="1"/>
  <c r="Y46" i="2"/>
  <c r="Y47" i="2"/>
  <c r="AE112" i="5"/>
  <c r="AE32" i="2"/>
  <c r="AE38" i="2" s="1"/>
  <c r="AE42" i="2" s="1"/>
  <c r="AE116" i="5" s="1"/>
  <c r="AE5" i="5"/>
  <c r="AE29" i="5" s="1"/>
  <c r="AB31" i="5"/>
  <c r="AB76" i="5" s="1"/>
  <c r="AB88" i="5"/>
  <c r="AB94" i="5" s="1"/>
  <c r="AB95" i="5" s="1"/>
  <c r="AB229" i="4"/>
  <c r="AF69" i="4"/>
  <c r="AE69" i="4" s="1"/>
  <c r="BI19" i="2"/>
  <c r="BI10" i="5" s="1"/>
  <c r="BI9" i="5" s="1"/>
  <c r="AB47" i="2"/>
  <c r="AB46" i="2"/>
  <c r="AB44" i="2"/>
  <c r="AB45" i="2"/>
  <c r="AE62" i="4"/>
  <c r="AE115" i="5"/>
  <c r="AE105" i="4"/>
  <c r="AE98" i="5"/>
  <c r="AE99" i="5" s="1"/>
  <c r="AE43" i="2"/>
  <c r="AE37" i="2"/>
  <c r="AE157" i="2" s="1"/>
  <c r="AH111" i="4"/>
  <c r="AH107" i="4"/>
  <c r="BC20" i="2"/>
  <c r="BF24" i="5"/>
  <c r="BE24" i="5"/>
  <c r="BE109" i="5" s="1"/>
  <c r="BF109" i="5" s="1"/>
  <c r="BI43" i="4"/>
  <c r="BK43" i="4"/>
  <c r="BF50" i="4"/>
  <c r="BF238" i="4" s="1"/>
  <c r="BK40" i="2"/>
  <c r="BL40" i="2" s="1"/>
  <c r="BH63" i="5"/>
  <c r="BI63" i="5" s="1"/>
  <c r="BG255" i="4"/>
  <c r="AE59" i="10"/>
  <c r="BF125" i="4"/>
  <c r="BH125" i="4"/>
  <c r="BF34" i="4"/>
  <c r="BH34" i="4"/>
  <c r="BL36" i="4"/>
  <c r="BI29" i="4"/>
  <c r="BK29" i="4"/>
  <c r="BI16" i="4"/>
  <c r="BK16" i="4"/>
  <c r="BI46" i="4"/>
  <c r="BK46" i="4"/>
  <c r="BF10" i="18"/>
  <c r="BE219" i="4"/>
  <c r="BE241" i="4"/>
  <c r="BE49" i="5"/>
  <c r="BE65" i="4" s="1"/>
  <c r="BE93" i="5"/>
  <c r="BF92" i="5"/>
  <c r="BF56" i="5"/>
  <c r="BE20" i="2"/>
  <c r="BE92" i="2" s="1"/>
  <c r="T231" i="4"/>
  <c r="R62" i="10" s="1"/>
  <c r="T230" i="4"/>
  <c r="R61" i="10" s="1"/>
  <c r="BC28" i="4"/>
  <c r="BE28" i="4"/>
  <c r="BC219" i="4"/>
  <c r="BC241" i="4"/>
  <c r="BF49" i="5"/>
  <c r="BF93" i="5"/>
  <c r="BM51" i="5"/>
  <c r="BH51" i="5"/>
  <c r="BI51" i="5" s="1"/>
  <c r="BM10" i="5"/>
  <c r="BK19" i="2"/>
  <c r="BK10" i="5" s="1"/>
  <c r="BK9" i="5" s="1"/>
  <c r="BC37" i="4"/>
  <c r="BJ164" i="2"/>
  <c r="BH41" i="2"/>
  <c r="BI41" i="2" s="1"/>
  <c r="BH22" i="2"/>
  <c r="BI22" i="2" s="1"/>
  <c r="BI27" i="4"/>
  <c r="BK27" i="4"/>
  <c r="BH26" i="5"/>
  <c r="BI26" i="5" s="1"/>
  <c r="BI24" i="5" s="1"/>
  <c r="BI44" i="4"/>
  <c r="BK44" i="4"/>
  <c r="BI10" i="4"/>
  <c r="BK10" i="4"/>
  <c r="BL20" i="4"/>
  <c r="BL45" i="4"/>
  <c r="BC49" i="5"/>
  <c r="BC93" i="5"/>
  <c r="BK15" i="5"/>
  <c r="BL15" i="5" s="1"/>
  <c r="BK114" i="2"/>
  <c r="BL61" i="2"/>
  <c r="BK61" i="2"/>
  <c r="BH59" i="5"/>
  <c r="BK25" i="5"/>
  <c r="BL25" i="5" s="1"/>
  <c r="BL173" i="4"/>
  <c r="BB255" i="4"/>
  <c r="BE106" i="5"/>
  <c r="BF106" i="5" s="1"/>
  <c r="BE171" i="4"/>
  <c r="BE56" i="5"/>
  <c r="BE92" i="5"/>
  <c r="AG72" i="10"/>
  <c r="BK20" i="3"/>
  <c r="BL20" i="3" s="1"/>
  <c r="AK54" i="14"/>
  <c r="AL77" i="18"/>
  <c r="AL19" i="18"/>
  <c r="AQ36" i="14"/>
  <c r="BI83" i="14"/>
  <c r="BH537" i="20"/>
  <c r="BB513" i="20"/>
  <c r="AP575" i="20"/>
  <c r="AP577" i="20" s="1"/>
  <c r="BA22" i="14"/>
  <c r="AY256" i="14"/>
  <c r="AI48" i="14"/>
  <c r="AI55" i="14" s="1"/>
  <c r="AH57" i="14"/>
  <c r="AH60" i="14" s="1"/>
  <c r="AZ31" i="18"/>
  <c r="BK13" i="7"/>
  <c r="BL13" i="7" s="1"/>
  <c r="AW256" i="14"/>
  <c r="AN260" i="14"/>
  <c r="AE106" i="6"/>
  <c r="BF85" i="7"/>
  <c r="AP518" i="20"/>
  <c r="AP520" i="20" s="1"/>
  <c r="BH10" i="18"/>
  <c r="BH74" i="18" s="1"/>
  <c r="AZ67" i="14"/>
  <c r="AZ373" i="20" s="1"/>
  <c r="AY373" i="20"/>
  <c r="AY69" i="14"/>
  <c r="AZ92" i="7"/>
  <c r="AZ162" i="14"/>
  <c r="AZ513" i="20"/>
  <c r="BI543" i="20"/>
  <c r="AW67" i="14"/>
  <c r="AW373" i="20" s="1"/>
  <c r="AV373" i="20"/>
  <c r="AT69" i="14"/>
  <c r="BF10" i="7"/>
  <c r="BE81" i="18"/>
  <c r="BF81" i="18"/>
  <c r="BH10" i="7"/>
  <c r="AZ31" i="7"/>
  <c r="AK14" i="18"/>
  <c r="AK21" i="14"/>
  <c r="AK239" i="14" s="1"/>
  <c r="AN98" i="6"/>
  <c r="AX260" i="14"/>
  <c r="AT260" i="14"/>
  <c r="AS259" i="14"/>
  <c r="AS36" i="14" s="1"/>
  <c r="AU259" i="14"/>
  <c r="AU36" i="14" s="1"/>
  <c r="AH34" i="7"/>
  <c r="AH35" i="7" s="1"/>
  <c r="AK28" i="7"/>
  <c r="AH89" i="7"/>
  <c r="BF74" i="18"/>
  <c r="AK15" i="7"/>
  <c r="AK19" i="7"/>
  <c r="AK88" i="7"/>
  <c r="AW31" i="7"/>
  <c r="AG243" i="20"/>
  <c r="AG256" i="20"/>
  <c r="AB194" i="14"/>
  <c r="AA194" i="14"/>
  <c r="AM211" i="14"/>
  <c r="AN211" i="14" s="1"/>
  <c r="AN213" i="14" s="1"/>
  <c r="AE62" i="14"/>
  <c r="AE63" i="14" s="1"/>
  <c r="AD34" i="14"/>
  <c r="BA1" i="6"/>
  <c r="AL35" i="14"/>
  <c r="AK243" i="14"/>
  <c r="P24" i="10"/>
  <c r="O24" i="10"/>
  <c r="V24" i="10"/>
  <c r="Q24" i="10"/>
  <c r="AC108" i="6"/>
  <c r="T30" i="20"/>
  <c r="V64" i="10"/>
  <c r="V25" i="10"/>
  <c r="V47" i="10"/>
  <c r="V36" i="10"/>
  <c r="AF178" i="2" s="1"/>
  <c r="V23" i="10"/>
  <c r="V54" i="10"/>
  <c r="AI106" i="4"/>
  <c r="AF111" i="4"/>
  <c r="AI112" i="4" s="1"/>
  <c r="AF107" i="4"/>
  <c r="W22" i="10"/>
  <c r="AI109" i="4"/>
  <c r="AC38" i="20"/>
  <c r="AB38" i="20" s="1"/>
  <c r="AE103" i="6" s="1"/>
  <c r="BJ531" i="20"/>
  <c r="BG28" i="4"/>
  <c r="BA69" i="14"/>
  <c r="BM10" i="4"/>
  <c r="BM16" i="4"/>
  <c r="BM46" i="4"/>
  <c r="BM56" i="4"/>
  <c r="AD8" i="10"/>
  <c r="BD171" i="2" s="1"/>
  <c r="BM27" i="4"/>
  <c r="BM26" i="5"/>
  <c r="BM44" i="4"/>
  <c r="BJ109" i="5"/>
  <c r="BM29" i="4"/>
  <c r="BM41" i="2"/>
  <c r="BM22" i="2"/>
  <c r="AE9" i="10"/>
  <c r="BJ34" i="4"/>
  <c r="AL289" i="20"/>
  <c r="AL292" i="20"/>
  <c r="BG37" i="4"/>
  <c r="BA99" i="6"/>
  <c r="AO54" i="7"/>
  <c r="M54" i="2"/>
  <c r="M50" i="2"/>
  <c r="N54" i="2"/>
  <c r="N50" i="2"/>
  <c r="O54" i="2"/>
  <c r="O50" i="2"/>
  <c r="AO31" i="2"/>
  <c r="AN31" i="2" s="1"/>
  <c r="BB31" i="18"/>
  <c r="BC31" i="18" s="1"/>
  <c r="AZ76" i="18"/>
  <c r="AZ87" i="7"/>
  <c r="AU1" i="3"/>
  <c r="AU51" i="3" s="1"/>
  <c r="AR29" i="3"/>
  <c r="Z45" i="20"/>
  <c r="BJ186" i="4"/>
  <c r="AK7" i="18"/>
  <c r="J101" i="4"/>
  <c r="J103" i="4"/>
  <c r="J102" i="4"/>
  <c r="P18" i="10"/>
  <c r="AO84" i="7"/>
  <c r="AN84" i="7" s="1"/>
  <c r="AO144" i="2"/>
  <c r="AC201" i="14"/>
  <c r="AB201" i="14" s="1"/>
  <c r="AB203" i="14" s="1"/>
  <c r="BD187" i="20"/>
  <c r="BM43" i="4"/>
  <c r="U43" i="10"/>
  <c r="U35" i="10"/>
  <c r="U63" i="10"/>
  <c r="AC367" i="20"/>
  <c r="M230" i="4"/>
  <c r="M61" i="10" s="1"/>
  <c r="M233" i="4"/>
  <c r="M235" i="4" s="1"/>
  <c r="M231" i="4"/>
  <c r="M62" i="10" s="1"/>
  <c r="N30" i="10"/>
  <c r="N20" i="10"/>
  <c r="AI348" i="20"/>
  <c r="AH348" i="20" s="1"/>
  <c r="AO24" i="7"/>
  <c r="M35" i="10"/>
  <c r="M63" i="10"/>
  <c r="M43" i="10"/>
  <c r="M25" i="10"/>
  <c r="T38" i="10"/>
  <c r="T16" i="10"/>
  <c r="BJ93" i="5"/>
  <c r="BJ49" i="5"/>
  <c r="BM10" i="7"/>
  <c r="BK10" i="7" s="1"/>
  <c r="BJ85" i="7"/>
  <c r="BD144" i="20"/>
  <c r="BJ12" i="7"/>
  <c r="BH12" i="7" s="1"/>
  <c r="U18" i="10"/>
  <c r="BA193" i="20"/>
  <c r="AU368" i="20"/>
  <c r="AT368" i="20" s="1"/>
  <c r="AT365" i="20" s="1"/>
  <c r="AC114" i="6"/>
  <c r="BG238" i="4"/>
  <c r="BJ50" i="4"/>
  <c r="BD256" i="14"/>
  <c r="BM63" i="5"/>
  <c r="P82" i="5"/>
  <c r="Q63" i="10"/>
  <c r="Q43" i="10"/>
  <c r="Q35" i="10"/>
  <c r="BD146" i="20"/>
  <c r="BJ92" i="5"/>
  <c r="BJ56" i="5"/>
  <c r="BJ171" i="4"/>
  <c r="BJ106" i="5"/>
  <c r="BM59" i="5"/>
  <c r="BM202" i="4"/>
  <c r="BK202" i="4" s="1"/>
  <c r="BJ207" i="4"/>
  <c r="K96" i="4"/>
  <c r="L95" i="4"/>
  <c r="P63" i="10"/>
  <c r="P43" i="10"/>
  <c r="P35" i="10"/>
  <c r="BJ74" i="18"/>
  <c r="BM10" i="18"/>
  <c r="BA7" i="5"/>
  <c r="BD39" i="2"/>
  <c r="T35" i="10"/>
  <c r="T43" i="10"/>
  <c r="T63" i="10"/>
  <c r="BD74" i="6"/>
  <c r="Q38" i="10"/>
  <c r="Q16" i="10"/>
  <c r="Q54" i="2"/>
  <c r="Z82" i="5"/>
  <c r="AL484" i="20"/>
  <c r="AL15" i="18"/>
  <c r="AI470" i="20"/>
  <c r="AI419" i="20"/>
  <c r="AI427" i="20" s="1"/>
  <c r="AI438" i="20"/>
  <c r="AG438" i="20" s="1"/>
  <c r="BG142" i="20"/>
  <c r="O30" i="10"/>
  <c r="O20" i="10"/>
  <c r="BJ81" i="18"/>
  <c r="T46" i="2"/>
  <c r="T50" i="2" s="1"/>
  <c r="R17" i="10"/>
  <c r="Q47" i="10"/>
  <c r="Q23" i="10"/>
  <c r="Q25" i="10"/>
  <c r="Q36" i="10"/>
  <c r="Q178" i="2" s="1"/>
  <c r="Q54" i="10"/>
  <c r="AX375" i="20"/>
  <c r="BG513" i="20"/>
  <c r="BA143" i="20"/>
  <c r="Q18" i="10"/>
  <c r="O43" i="10"/>
  <c r="O35" i="10"/>
  <c r="O63" i="10"/>
  <c r="BA188" i="20"/>
  <c r="BJ141" i="20"/>
  <c r="P38" i="10"/>
  <c r="P16" i="10"/>
  <c r="Z54" i="2"/>
  <c r="BD564" i="20"/>
  <c r="BD228" i="14"/>
  <c r="BD149" i="14"/>
  <c r="BG89" i="14"/>
  <c r="AF289" i="20"/>
  <c r="AF16" i="20"/>
  <c r="AF17" i="20" s="1"/>
  <c r="AF292" i="20"/>
  <c r="Q64" i="2"/>
  <c r="Q68" i="2" s="1"/>
  <c r="R64" i="2" s="1"/>
  <c r="R68" i="2" s="1"/>
  <c r="P56" i="2"/>
  <c r="M38" i="10"/>
  <c r="M16" i="10"/>
  <c r="N35" i="10"/>
  <c r="N63" i="10"/>
  <c r="N43" i="10"/>
  <c r="N25" i="10"/>
  <c r="AR25" i="6"/>
  <c r="AR94" i="6"/>
  <c r="AR70" i="6"/>
  <c r="AI292" i="20"/>
  <c r="P54" i="2"/>
  <c r="BA145" i="20"/>
  <c r="T157" i="2"/>
  <c r="T169" i="2" s="1"/>
  <c r="R37" i="10"/>
  <c r="Q231" i="4"/>
  <c r="Q62" i="10" s="1"/>
  <c r="Q230" i="4"/>
  <c r="Q61" i="10" s="1"/>
  <c r="Q233" i="4"/>
  <c r="Q235" i="4" s="1"/>
  <c r="AO14" i="7"/>
  <c r="AO34" i="3"/>
  <c r="T18" i="10"/>
  <c r="T20" i="10" s="1"/>
  <c r="BA233" i="14"/>
  <c r="BA227" i="14"/>
  <c r="R53" i="10"/>
  <c r="R45" i="10"/>
  <c r="T125" i="6"/>
  <c r="W120" i="6"/>
  <c r="O47" i="10"/>
  <c r="O25" i="10"/>
  <c r="O36" i="10"/>
  <c r="O178" i="2" s="1"/>
  <c r="O23" i="10"/>
  <c r="O54" i="10"/>
  <c r="T45" i="2"/>
  <c r="T44" i="2"/>
  <c r="AX1" i="2"/>
  <c r="T76" i="5"/>
  <c r="BG241" i="4"/>
  <c r="BJ125" i="4"/>
  <c r="BG219" i="4"/>
  <c r="P23" i="10"/>
  <c r="P36" i="10"/>
  <c r="P178" i="2" s="1"/>
  <c r="P25" i="10"/>
  <c r="P47" i="10"/>
  <c r="P54" i="10"/>
  <c r="T233" i="4"/>
  <c r="T235" i="4" s="1"/>
  <c r="M30" i="10"/>
  <c r="M20" i="10"/>
  <c r="T108" i="5"/>
  <c r="AO9" i="3"/>
  <c r="BA373" i="20"/>
  <c r="U38" i="10"/>
  <c r="U16" i="10"/>
  <c r="O38" i="10"/>
  <c r="O16" i="10"/>
  <c r="Z29" i="20"/>
  <c r="AC116" i="6" s="1"/>
  <c r="BM206" i="4"/>
  <c r="BL206" i="4" s="1"/>
  <c r="N38" i="10"/>
  <c r="N16" i="10"/>
  <c r="AC111" i="5"/>
  <c r="BG92" i="2"/>
  <c r="BJ20" i="2"/>
  <c r="Z111" i="5"/>
  <c r="Z105" i="4" s="1"/>
  <c r="W116" i="5"/>
  <c r="W115" i="5"/>
  <c r="W62" i="4"/>
  <c r="W71" i="4" s="1"/>
  <c r="W72" i="4" s="1"/>
  <c r="S21" i="10"/>
  <c r="W95" i="5"/>
  <c r="AC54" i="2"/>
  <c r="AI128" i="20"/>
  <c r="AI197" i="20" s="1"/>
  <c r="AO83" i="7"/>
  <c r="AN83" i="7" s="1"/>
  <c r="BB67" i="14"/>
  <c r="BD147" i="20"/>
  <c r="BG140" i="20"/>
  <c r="AC102" i="6"/>
  <c r="Z39" i="20"/>
  <c r="BD92" i="7"/>
  <c r="AX186" i="20"/>
  <c r="AH37" i="14" l="1"/>
  <c r="AK83" i="6" s="1"/>
  <c r="AK106" i="6" s="1"/>
  <c r="AE161" i="14"/>
  <c r="AD221" i="14"/>
  <c r="AD222" i="14" s="1"/>
  <c r="AD223" i="14" s="1"/>
  <c r="AC221" i="14"/>
  <c r="AC222" i="14" s="1"/>
  <c r="AC223" i="14" s="1"/>
  <c r="AQ559" i="20"/>
  <c r="AW227" i="14"/>
  <c r="BH50" i="4"/>
  <c r="BH238" i="4" s="1"/>
  <c r="AY233" i="14"/>
  <c r="BF65" i="4"/>
  <c r="AE50" i="14"/>
  <c r="AE51" i="14" s="1"/>
  <c r="AE55" i="14"/>
  <c r="AZ564" i="20"/>
  <c r="AH47" i="2"/>
  <c r="AS116" i="6"/>
  <c r="AR560" i="20"/>
  <c r="AU557" i="20" s="1"/>
  <c r="AR163" i="14"/>
  <c r="AR173" i="14"/>
  <c r="BE31" i="4"/>
  <c r="BI549" i="20"/>
  <c r="BJ65" i="4"/>
  <c r="BF31" i="4"/>
  <c r="BJ31" i="4"/>
  <c r="AP560" i="20"/>
  <c r="AQ557" i="20" s="1"/>
  <c r="AZ228" i="14"/>
  <c r="AZ233" i="14" s="1"/>
  <c r="BB228" i="14"/>
  <c r="BB227" i="14" s="1"/>
  <c r="AZ149" i="14"/>
  <c r="BC89" i="14"/>
  <c r="BC93" i="14" s="1"/>
  <c r="BB149" i="14"/>
  <c r="BB564" i="20"/>
  <c r="BE89" i="14"/>
  <c r="BE93" i="14" s="1"/>
  <c r="BG93" i="14"/>
  <c r="AF191" i="14"/>
  <c r="AE191" i="14" s="1"/>
  <c r="AE193" i="14" s="1"/>
  <c r="AN54" i="7"/>
  <c r="AN61" i="7" s="1"/>
  <c r="AO61" i="7"/>
  <c r="AR61" i="7"/>
  <c r="AN49" i="7"/>
  <c r="AN63" i="7"/>
  <c r="AQ63" i="7"/>
  <c r="AN51" i="7"/>
  <c r="AN65" i="7"/>
  <c r="AQ65" i="7"/>
  <c r="AN52" i="7"/>
  <c r="AN66" i="7"/>
  <c r="AQ66" i="7"/>
  <c r="AN50" i="7"/>
  <c r="AN64" i="7"/>
  <c r="AQ64" i="7"/>
  <c r="AN62" i="7"/>
  <c r="AQ62" i="7"/>
  <c r="AA206" i="20"/>
  <c r="AB206" i="20" s="1"/>
  <c r="AF196" i="20"/>
  <c r="AF207" i="20" s="1"/>
  <c r="AA184" i="20"/>
  <c r="AA263" i="20" s="1"/>
  <c r="AB263" i="20" s="1"/>
  <c r="AB195" i="20"/>
  <c r="AB184" i="20" s="1"/>
  <c r="AI163" i="20"/>
  <c r="AI127" i="20" s="1"/>
  <c r="BI537" i="20"/>
  <c r="BI123" i="14"/>
  <c r="AO173" i="14"/>
  <c r="BD365" i="20"/>
  <c r="AY365" i="20"/>
  <c r="AY368" i="20" s="1"/>
  <c r="AO163" i="14"/>
  <c r="AH233" i="4"/>
  <c r="AH235" i="4" s="1"/>
  <c r="AH230" i="4"/>
  <c r="BH186" i="4"/>
  <c r="BI186" i="4" s="1"/>
  <c r="S64" i="2"/>
  <c r="S68" i="2" s="1"/>
  <c r="S56" i="2" s="1"/>
  <c r="R56" i="2"/>
  <c r="AH50" i="2"/>
  <c r="AH54" i="2"/>
  <c r="AB54" i="2"/>
  <c r="AB50" i="2"/>
  <c r="AB231" i="4"/>
  <c r="AB230" i="4"/>
  <c r="Y54" i="2"/>
  <c r="Y50" i="2"/>
  <c r="BL202" i="4"/>
  <c r="BK207" i="4"/>
  <c r="BL19" i="2"/>
  <c r="BL10" i="5" s="1"/>
  <c r="BL9" i="5" s="1"/>
  <c r="BI207" i="4"/>
  <c r="AI203" i="14"/>
  <c r="AG203" i="14" s="1"/>
  <c r="AG201" i="14" s="1"/>
  <c r="AM183" i="14"/>
  <c r="AL173" i="14"/>
  <c r="AJ173" i="14" s="1"/>
  <c r="AJ181" i="14"/>
  <c r="AK181" i="14" s="1"/>
  <c r="AK183" i="14" s="1"/>
  <c r="AG174" i="14"/>
  <c r="AG171" i="14"/>
  <c r="AJ163" i="14"/>
  <c r="AL161" i="14"/>
  <c r="AI193" i="14"/>
  <c r="AG193" i="14" s="1"/>
  <c r="AG191" i="14" s="1"/>
  <c r="AG161" i="14"/>
  <c r="AG164" i="14"/>
  <c r="S32" i="2"/>
  <c r="S38" i="2" s="1"/>
  <c r="S42" i="2" s="1"/>
  <c r="S5" i="5"/>
  <c r="S29" i="5" s="1"/>
  <c r="V31" i="5"/>
  <c r="V76" i="5" s="1"/>
  <c r="V82" i="5" s="1"/>
  <c r="V88" i="5"/>
  <c r="V94" i="5" s="1"/>
  <c r="V95" i="5" s="1"/>
  <c r="V44" i="2"/>
  <c r="V45" i="2"/>
  <c r="V116" i="5"/>
  <c r="Y88" i="5"/>
  <c r="Y94" i="5" s="1"/>
  <c r="Y95" i="5" s="1"/>
  <c r="Y31" i="5"/>
  <c r="Y76" i="5" s="1"/>
  <c r="Y82" i="5" s="1"/>
  <c r="AH106" i="4"/>
  <c r="AE106" i="4"/>
  <c r="Y116" i="5"/>
  <c r="Y45" i="2"/>
  <c r="Y44" i="2"/>
  <c r="BF92" i="2"/>
  <c r="AF71" i="4"/>
  <c r="AF72" i="4" s="1"/>
  <c r="Z121" i="5"/>
  <c r="AA78" i="5"/>
  <c r="AB233" i="4"/>
  <c r="AB235" i="4" s="1"/>
  <c r="AE31" i="5"/>
  <c r="AE76" i="5" s="1"/>
  <c r="AE88" i="5"/>
  <c r="AE94" i="5" s="1"/>
  <c r="AE95" i="5" s="1"/>
  <c r="AE71" i="4"/>
  <c r="AE72" i="4" s="1"/>
  <c r="AE45" i="2"/>
  <c r="AE44" i="2"/>
  <c r="AE107" i="4"/>
  <c r="AH108" i="4" s="1"/>
  <c r="AE111" i="4"/>
  <c r="AE46" i="2"/>
  <c r="AE47" i="2"/>
  <c r="AE229" i="4"/>
  <c r="AH109" i="4"/>
  <c r="BE37" i="4"/>
  <c r="BF20" i="2"/>
  <c r="BH20" i="2"/>
  <c r="BH92" i="2" s="1"/>
  <c r="BM207" i="4"/>
  <c r="BI34" i="4"/>
  <c r="BK34" i="4"/>
  <c r="BK22" i="2"/>
  <c r="BL22" i="2" s="1"/>
  <c r="BK41" i="2"/>
  <c r="BL41" i="2" s="1"/>
  <c r="BL16" i="4"/>
  <c r="BE255" i="4"/>
  <c r="BI49" i="5"/>
  <c r="BI93" i="5"/>
  <c r="AF59" i="10"/>
  <c r="BI125" i="4"/>
  <c r="BK125" i="4"/>
  <c r="BK59" i="5"/>
  <c r="BL59" i="5" s="1"/>
  <c r="BK63" i="5"/>
  <c r="BL63" i="5" s="1"/>
  <c r="BI50" i="4"/>
  <c r="BI238" i="4" s="1"/>
  <c r="BK50" i="4"/>
  <c r="BK238" i="4" s="1"/>
  <c r="BL43" i="4"/>
  <c r="BF37" i="4"/>
  <c r="BK26" i="5"/>
  <c r="BK24" i="5" s="1"/>
  <c r="BK109" i="5" s="1"/>
  <c r="BK51" i="5"/>
  <c r="BL51" i="5" s="1"/>
  <c r="BH219" i="4"/>
  <c r="BH241" i="4"/>
  <c r="BF171" i="4"/>
  <c r="BL29" i="4"/>
  <c r="BL46" i="4"/>
  <c r="BL10" i="4"/>
  <c r="BH24" i="5"/>
  <c r="BH109" i="5" s="1"/>
  <c r="BI109" i="5" s="1"/>
  <c r="BH106" i="5"/>
  <c r="BI106" i="5" s="1"/>
  <c r="BH171" i="4"/>
  <c r="BI171" i="4" s="1"/>
  <c r="BH92" i="5"/>
  <c r="BH56" i="5"/>
  <c r="BF219" i="4"/>
  <c r="BF241" i="4"/>
  <c r="BF255" i="4"/>
  <c r="BB39" i="2"/>
  <c r="BB7" i="5" s="1"/>
  <c r="BJ255" i="4"/>
  <c r="BL44" i="4"/>
  <c r="BL27" i="4"/>
  <c r="BF28" i="4"/>
  <c r="BH28" i="4"/>
  <c r="BL114" i="2"/>
  <c r="BI59" i="5"/>
  <c r="BH49" i="5"/>
  <c r="BH65" i="4" s="1"/>
  <c r="BH93" i="5"/>
  <c r="AZ39" i="2"/>
  <c r="AZ7" i="5" s="1"/>
  <c r="BI10" i="18"/>
  <c r="AG244" i="20"/>
  <c r="AH243" i="20"/>
  <c r="AT259" i="14"/>
  <c r="AT36" i="14" s="1"/>
  <c r="BE513" i="20"/>
  <c r="AW22" i="14"/>
  <c r="AZ74" i="6"/>
  <c r="AZ99" i="6" s="1"/>
  <c r="BC67" i="14"/>
  <c r="BC373" i="20" s="1"/>
  <c r="BB373" i="20"/>
  <c r="BB69" i="14"/>
  <c r="AN14" i="7"/>
  <c r="AN395" i="20"/>
  <c r="AN386" i="20"/>
  <c r="AN515" i="20" s="1"/>
  <c r="BI81" i="18"/>
  <c r="BH81" i="18"/>
  <c r="AE438" i="20"/>
  <c r="AE483" i="20" s="1"/>
  <c r="AG483" i="20"/>
  <c r="AG493" i="20" s="1"/>
  <c r="AG495" i="20" s="1"/>
  <c r="AG448" i="20"/>
  <c r="AG455" i="20" s="1"/>
  <c r="BD22" i="14"/>
  <c r="BB256" i="14"/>
  <c r="AD37" i="14"/>
  <c r="AG83" i="6" s="1"/>
  <c r="AG111" i="6"/>
  <c r="AV375" i="20"/>
  <c r="BI82" i="14"/>
  <c r="BH531" i="20"/>
  <c r="AN392" i="20"/>
  <c r="AN551" i="20" s="1"/>
  <c r="AN389" i="20"/>
  <c r="AN533" i="20" s="1"/>
  <c r="AN398" i="20"/>
  <c r="BK10" i="18"/>
  <c r="BK74" i="18" s="1"/>
  <c r="BB31" i="7"/>
  <c r="BC31" i="7" s="1"/>
  <c r="BL10" i="7"/>
  <c r="BK85" i="7"/>
  <c r="AK33" i="18"/>
  <c r="AK12" i="18"/>
  <c r="AK9" i="18"/>
  <c r="AK23" i="18"/>
  <c r="AZ69" i="14"/>
  <c r="AE34" i="14"/>
  <c r="AH113" i="6"/>
  <c r="AK36" i="7"/>
  <c r="AK33" i="7"/>
  <c r="AK5" i="18"/>
  <c r="BI10" i="7"/>
  <c r="BH85" i="7"/>
  <c r="BI85" i="7" s="1"/>
  <c r="AY375" i="20"/>
  <c r="AP552" i="20"/>
  <c r="BC162" i="14"/>
  <c r="BC513" i="20"/>
  <c r="BC92" i="7"/>
  <c r="BB92" i="7"/>
  <c r="AN387" i="20"/>
  <c r="AN521" i="20" s="1"/>
  <c r="AN79" i="7"/>
  <c r="AK90" i="7"/>
  <c r="AK81" i="7"/>
  <c r="BA260" i="14"/>
  <c r="AV260" i="14"/>
  <c r="AV259" i="14" s="1"/>
  <c r="AV36" i="14" s="1"/>
  <c r="AW260" i="14"/>
  <c r="AX259" i="14"/>
  <c r="AK77" i="18"/>
  <c r="AK19" i="18"/>
  <c r="AK15" i="18"/>
  <c r="AT375" i="20"/>
  <c r="AW69" i="14"/>
  <c r="BI74" i="18"/>
  <c r="AP522" i="20"/>
  <c r="AZ256" i="14"/>
  <c r="BB74" i="6"/>
  <c r="BB99" i="6" s="1"/>
  <c r="AY22" i="14"/>
  <c r="AP534" i="20"/>
  <c r="AH28" i="20"/>
  <c r="Y65" i="14"/>
  <c r="Y64" i="14"/>
  <c r="AE194" i="14"/>
  <c r="AD194" i="14"/>
  <c r="AC369" i="20"/>
  <c r="AB367" i="20"/>
  <c r="AP35" i="14"/>
  <c r="BD1" i="6"/>
  <c r="BA70" i="6"/>
  <c r="BA25" i="6"/>
  <c r="BA94" i="6"/>
  <c r="AF347" i="20"/>
  <c r="AI115" i="6" s="1"/>
  <c r="AE289" i="20"/>
  <c r="BK20" i="20"/>
  <c r="AL347" i="20"/>
  <c r="AK289" i="20"/>
  <c r="AK35" i="14"/>
  <c r="AK244" i="14"/>
  <c r="AK241" i="14"/>
  <c r="AK240" i="14"/>
  <c r="AX240" i="14"/>
  <c r="BM24" i="5"/>
  <c r="S24" i="10"/>
  <c r="AF103" i="6"/>
  <c r="AC37" i="20"/>
  <c r="AC36" i="20"/>
  <c r="W65" i="10"/>
  <c r="W48" i="10"/>
  <c r="V22" i="10"/>
  <c r="V65" i="10" s="1"/>
  <c r="AF109" i="4"/>
  <c r="AI110" i="4" s="1"/>
  <c r="AI108" i="4"/>
  <c r="BM164" i="2"/>
  <c r="BD69" i="14"/>
  <c r="AE8" i="10"/>
  <c r="BG171" i="2" s="1"/>
  <c r="BJ28" i="4"/>
  <c r="AF9" i="10"/>
  <c r="BM34" i="4"/>
  <c r="U20" i="10"/>
  <c r="U30" i="10"/>
  <c r="W30" i="20"/>
  <c r="BJ37" i="4"/>
  <c r="AL327" i="20"/>
  <c r="BM74" i="18"/>
  <c r="BM85" i="7"/>
  <c r="BD99" i="6"/>
  <c r="AO19" i="7"/>
  <c r="AL132" i="20"/>
  <c r="AL201" i="20" s="1"/>
  <c r="AL135" i="20"/>
  <c r="AL204" i="20" s="1"/>
  <c r="AL130" i="20"/>
  <c r="AL199" i="20" s="1"/>
  <c r="BE31" i="18"/>
  <c r="AX1" i="3"/>
  <c r="AU29" i="3"/>
  <c r="AX328" i="20"/>
  <c r="AX294" i="20" s="1"/>
  <c r="BB87" i="7"/>
  <c r="BC87" i="7" s="1"/>
  <c r="BB76" i="18"/>
  <c r="BC76" i="18" s="1"/>
  <c r="BM186" i="4"/>
  <c r="AH20" i="20"/>
  <c r="BG564" i="20"/>
  <c r="BG228" i="14"/>
  <c r="BG149" i="14"/>
  <c r="BJ89" i="14"/>
  <c r="W125" i="6"/>
  <c r="R63" i="10"/>
  <c r="R35" i="10"/>
  <c r="R43" i="10"/>
  <c r="BA186" i="20"/>
  <c r="BG92" i="7"/>
  <c r="BA375" i="20"/>
  <c r="BD145" i="20"/>
  <c r="AX368" i="20"/>
  <c r="AW368" i="20" s="1"/>
  <c r="AW365" i="20" s="1"/>
  <c r="AL78" i="18"/>
  <c r="AO68" i="18"/>
  <c r="AL79" i="18"/>
  <c r="AX192" i="20"/>
  <c r="Q78" i="5"/>
  <c r="BJ513" i="20"/>
  <c r="BJ238" i="4"/>
  <c r="BM50" i="4"/>
  <c r="BD193" i="20"/>
  <c r="Q30" i="10"/>
  <c r="Q20" i="10"/>
  <c r="R30" i="10"/>
  <c r="AX190" i="20"/>
  <c r="BM12" i="7"/>
  <c r="BK12" i="7" s="1"/>
  <c r="AF201" i="14"/>
  <c r="AE201" i="14" s="1"/>
  <c r="AE203" i="14" s="1"/>
  <c r="AI16" i="20"/>
  <c r="AI17" i="20" s="1"/>
  <c r="BD7" i="5"/>
  <c r="BG39" i="2"/>
  <c r="AC120" i="6"/>
  <c r="BM93" i="5"/>
  <c r="BM49" i="5"/>
  <c r="BG187" i="20"/>
  <c r="BJ142" i="20"/>
  <c r="BJ140" i="20"/>
  <c r="AI118" i="20"/>
  <c r="AI121" i="20"/>
  <c r="Z116" i="5"/>
  <c r="Z115" i="5"/>
  <c r="Z113" i="5"/>
  <c r="Z62" i="4"/>
  <c r="Z71" i="4" s="1"/>
  <c r="T21" i="10"/>
  <c r="Z95" i="5"/>
  <c r="T111" i="5"/>
  <c r="T105" i="4" s="1"/>
  <c r="W106" i="4" s="1"/>
  <c r="R38" i="10"/>
  <c r="R16" i="10"/>
  <c r="T54" i="2"/>
  <c r="L96" i="4"/>
  <c r="M95" i="4"/>
  <c r="P30" i="10"/>
  <c r="P20" i="10"/>
  <c r="BD373" i="20"/>
  <c r="AI208" i="20"/>
  <c r="AI327" i="20"/>
  <c r="AI289" i="20"/>
  <c r="T64" i="2"/>
  <c r="T68" i="2" s="1"/>
  <c r="U64" i="2" s="1"/>
  <c r="U68" i="2" s="1"/>
  <c r="Q56" i="2"/>
  <c r="BM20" i="2"/>
  <c r="BJ92" i="2"/>
  <c r="BA1" i="2"/>
  <c r="BD1" i="2" s="1"/>
  <c r="BG1" i="2" s="1"/>
  <c r="BJ1" i="2" s="1"/>
  <c r="BM1" i="2" s="1"/>
  <c r="AO88" i="7"/>
  <c r="AR79" i="7" s="1"/>
  <c r="AO15" i="7"/>
  <c r="BD233" i="14"/>
  <c r="BD227" i="14"/>
  <c r="BD143" i="20"/>
  <c r="BM81" i="18"/>
  <c r="AI483" i="20"/>
  <c r="AL58" i="3"/>
  <c r="K101" i="4"/>
  <c r="K102" i="4"/>
  <c r="K103" i="4"/>
  <c r="BM56" i="5"/>
  <c r="BM171" i="4"/>
  <c r="BM106" i="5"/>
  <c r="BM92" i="5"/>
  <c r="BG146" i="20"/>
  <c r="BG256" i="14"/>
  <c r="BJ256" i="14"/>
  <c r="AX191" i="20"/>
  <c r="AC116" i="5"/>
  <c r="AC115" i="5"/>
  <c r="AC105" i="4"/>
  <c r="AC106" i="4" s="1"/>
  <c r="AC112" i="5"/>
  <c r="AC62" i="4"/>
  <c r="AC71" i="4" s="1"/>
  <c r="AC72" i="4" s="1"/>
  <c r="U21" i="10"/>
  <c r="AC95" i="5"/>
  <c r="BJ241" i="4"/>
  <c r="BM125" i="4"/>
  <c r="BJ219" i="4"/>
  <c r="T126" i="6"/>
  <c r="AC100" i="6"/>
  <c r="BG147" i="20"/>
  <c r="AC78" i="5"/>
  <c r="S47" i="10"/>
  <c r="S25" i="10"/>
  <c r="S23" i="10"/>
  <c r="S36" i="10"/>
  <c r="W178" i="2" s="1"/>
  <c r="S54" i="10"/>
  <c r="BD188" i="20"/>
  <c r="AL438" i="20"/>
  <c r="AJ438" i="20" s="1"/>
  <c r="AX189" i="20"/>
  <c r="BG74" i="6"/>
  <c r="BG144" i="20"/>
  <c r="AI28" i="20"/>
  <c r="AX286" i="20" l="1"/>
  <c r="AH161" i="14"/>
  <c r="AG221" i="14"/>
  <c r="AG222" i="14" s="1"/>
  <c r="AG223" i="14" s="1"/>
  <c r="AE163" i="14"/>
  <c r="AE164" i="14" s="1"/>
  <c r="AU559" i="20"/>
  <c r="AS559" i="20" s="1"/>
  <c r="AT559" i="20" s="1"/>
  <c r="AX81" i="7"/>
  <c r="AW87" i="7"/>
  <c r="AX51" i="3"/>
  <c r="AX29" i="3"/>
  <c r="AZ227" i="14"/>
  <c r="BI65" i="4"/>
  <c r="AR561" i="20"/>
  <c r="AS557" i="20"/>
  <c r="BE149" i="14"/>
  <c r="AQ560" i="20"/>
  <c r="AQ561" i="20" s="1"/>
  <c r="BH31" i="4"/>
  <c r="AQ173" i="14"/>
  <c r="AQ174" i="14" s="1"/>
  <c r="AR171" i="14"/>
  <c r="AQ163" i="14"/>
  <c r="AQ164" i="14" s="1"/>
  <c r="AR161" i="14"/>
  <c r="BE564" i="20"/>
  <c r="BF89" i="14"/>
  <c r="BF93" i="14" s="1"/>
  <c r="BE228" i="14"/>
  <c r="BE227" i="14" s="1"/>
  <c r="BM65" i="4"/>
  <c r="BI31" i="4"/>
  <c r="BM31" i="4"/>
  <c r="BL31" i="4" s="1"/>
  <c r="BB233" i="14"/>
  <c r="AP561" i="20"/>
  <c r="BC149" i="14"/>
  <c r="BC228" i="14"/>
  <c r="BC233" i="14" s="1"/>
  <c r="BC564" i="20"/>
  <c r="BH89" i="14"/>
  <c r="BH93" i="14" s="1"/>
  <c r="BJ93" i="14"/>
  <c r="BK93" i="14" s="1"/>
  <c r="AQ61" i="7"/>
  <c r="AI191" i="14"/>
  <c r="AH191" i="14" s="1"/>
  <c r="AH193" i="14" s="1"/>
  <c r="AN47" i="7"/>
  <c r="AI196" i="20"/>
  <c r="AI207" i="20" s="1"/>
  <c r="BI531" i="20"/>
  <c r="BI122" i="14"/>
  <c r="BI92" i="2"/>
  <c r="AC29" i="20"/>
  <c r="AF116" i="6" s="1"/>
  <c r="AN578" i="20"/>
  <c r="BB365" i="20"/>
  <c r="BB368" i="20" s="1"/>
  <c r="BG365" i="20"/>
  <c r="AO161" i="14"/>
  <c r="AN163" i="14"/>
  <c r="AO171" i="14"/>
  <c r="AN173" i="14"/>
  <c r="AR90" i="7"/>
  <c r="AR81" i="7"/>
  <c r="AN464" i="20"/>
  <c r="AN475" i="20" s="1"/>
  <c r="AN467" i="20"/>
  <c r="AN478" i="20" s="1"/>
  <c r="AN462" i="20"/>
  <c r="AN473" i="20" s="1"/>
  <c r="AN461" i="20"/>
  <c r="AN472" i="20" s="1"/>
  <c r="AN35" i="14"/>
  <c r="AO35" i="14"/>
  <c r="BM109" i="5"/>
  <c r="BL109" i="5" s="1"/>
  <c r="Z69" i="10"/>
  <c r="BC39" i="2"/>
  <c r="BC7" i="5" s="1"/>
  <c r="AE54" i="2"/>
  <c r="AE50" i="2"/>
  <c r="AE231" i="4"/>
  <c r="AE230" i="4"/>
  <c r="BL207" i="4"/>
  <c r="V64" i="2"/>
  <c r="V68" i="2" s="1"/>
  <c r="V56" i="2" s="1"/>
  <c r="U56" i="2"/>
  <c r="BK186" i="4"/>
  <c r="BL186" i="4" s="1"/>
  <c r="AL193" i="14"/>
  <c r="AJ193" i="14" s="1"/>
  <c r="AJ191" i="14" s="1"/>
  <c r="AJ174" i="14"/>
  <c r="AJ171" i="14"/>
  <c r="AU183" i="14"/>
  <c r="AU181" i="14" s="1"/>
  <c r="AM181" i="14"/>
  <c r="AN181" i="14" s="1"/>
  <c r="AN183" i="14" s="1"/>
  <c r="AJ161" i="14"/>
  <c r="AJ164" i="14"/>
  <c r="AU164" i="14"/>
  <c r="S31" i="5"/>
  <c r="S76" i="5" s="1"/>
  <c r="S82" i="5" s="1"/>
  <c r="S88" i="5"/>
  <c r="S94" i="5" s="1"/>
  <c r="S95" i="5" s="1"/>
  <c r="S44" i="2"/>
  <c r="S45" i="2"/>
  <c r="S116" i="5"/>
  <c r="Y113" i="5"/>
  <c r="AB112" i="5"/>
  <c r="AH112" i="4"/>
  <c r="AA82" i="5"/>
  <c r="AB78" i="5" s="1"/>
  <c r="AE233" i="4"/>
  <c r="AE235" i="4" s="1"/>
  <c r="AE109" i="4"/>
  <c r="BL26" i="5"/>
  <c r="BL24" i="5" s="1"/>
  <c r="BH37" i="4"/>
  <c r="BE39" i="2"/>
  <c r="BE7" i="5" s="1"/>
  <c r="BK93" i="5"/>
  <c r="BK49" i="5"/>
  <c r="BK65" i="4" s="1"/>
  <c r="BL92" i="5"/>
  <c r="BL56" i="5"/>
  <c r="AG59" i="10"/>
  <c r="BL125" i="4"/>
  <c r="BM255" i="4"/>
  <c r="BL255" i="4" s="1"/>
  <c r="AF8" i="10"/>
  <c r="BJ171" i="2" s="1"/>
  <c r="BI37" i="4"/>
  <c r="BK37" i="4"/>
  <c r="BI92" i="5"/>
  <c r="BI56" i="5"/>
  <c r="BL49" i="5"/>
  <c r="BL93" i="5"/>
  <c r="BK219" i="4"/>
  <c r="BK241" i="4"/>
  <c r="BK20" i="2"/>
  <c r="BK92" i="2" s="1"/>
  <c r="BL50" i="4"/>
  <c r="BL238" i="4" s="1"/>
  <c r="BL34" i="4"/>
  <c r="BI28" i="4"/>
  <c r="BK28" i="4"/>
  <c r="BI255" i="4"/>
  <c r="BI219" i="4"/>
  <c r="BI241" i="4"/>
  <c r="BI20" i="2"/>
  <c r="BH255" i="4"/>
  <c r="BK106" i="5"/>
  <c r="BL106" i="5" s="1"/>
  <c r="BK56" i="5"/>
  <c r="BK171" i="4"/>
  <c r="BL171" i="4" s="1"/>
  <c r="BK92" i="5"/>
  <c r="AP579" i="20"/>
  <c r="AJ448" i="20"/>
  <c r="AJ455" i="20" s="1"/>
  <c r="AJ483" i="20"/>
  <c r="AJ493" i="20" s="1"/>
  <c r="AJ495" i="20" s="1"/>
  <c r="AJ496" i="20" s="1"/>
  <c r="AH438" i="20"/>
  <c r="BJ22" i="14"/>
  <c r="BH256" i="14"/>
  <c r="BH513" i="20"/>
  <c r="AK34" i="7"/>
  <c r="AK35" i="7" s="1"/>
  <c r="AN28" i="7"/>
  <c r="AE37" i="14"/>
  <c r="AH83" i="6" s="1"/>
  <c r="AH111" i="6"/>
  <c r="AZ375" i="20"/>
  <c r="BL85" i="7"/>
  <c r="BL10" i="18"/>
  <c r="BC256" i="14"/>
  <c r="BE74" i="6"/>
  <c r="BE99" i="6" s="1"/>
  <c r="BB22" i="14"/>
  <c r="AG245" i="20"/>
  <c r="AH244" i="20"/>
  <c r="AH245" i="20" s="1"/>
  <c r="BG22" i="14"/>
  <c r="BE256" i="14"/>
  <c r="AO135" i="20"/>
  <c r="AO129" i="20"/>
  <c r="BE92" i="7"/>
  <c r="BF92" i="7"/>
  <c r="AN15" i="7"/>
  <c r="AZ22" i="14"/>
  <c r="BC74" i="6"/>
  <c r="BC99" i="6" s="1"/>
  <c r="AK78" i="18"/>
  <c r="AN68" i="18"/>
  <c r="AK79" i="18"/>
  <c r="AK70" i="18"/>
  <c r="AO130" i="20"/>
  <c r="BL74" i="18"/>
  <c r="AM533" i="20"/>
  <c r="AN530" i="20" s="1"/>
  <c r="AN534" i="20" s="1"/>
  <c r="AM464" i="20"/>
  <c r="AM475" i="20" s="1"/>
  <c r="BK81" i="18"/>
  <c r="BL81" i="18"/>
  <c r="AM578" i="20"/>
  <c r="AN575" i="20" s="1"/>
  <c r="BB375" i="20"/>
  <c r="BE67" i="14"/>
  <c r="BF67" i="14" s="1"/>
  <c r="BF373" i="20" s="1"/>
  <c r="BF31" i="18"/>
  <c r="BD260" i="14"/>
  <c r="AZ260" i="14"/>
  <c r="AY260" i="14"/>
  <c r="AY259" i="14" s="1"/>
  <c r="AY36" i="14" s="1"/>
  <c r="BA259" i="14"/>
  <c r="AK40" i="18"/>
  <c r="AK34" i="18"/>
  <c r="AK35" i="18" s="1"/>
  <c r="AN28" i="18"/>
  <c r="AN36" i="18" s="1"/>
  <c r="AK32" i="18"/>
  <c r="BE31" i="7"/>
  <c r="BF31" i="7" s="1"/>
  <c r="AO132" i="20"/>
  <c r="BC69" i="14"/>
  <c r="AK37" i="14"/>
  <c r="AN83" i="6" s="1"/>
  <c r="AW375" i="20"/>
  <c r="AX36" i="14"/>
  <c r="AW259" i="14"/>
  <c r="AW36" i="14" s="1"/>
  <c r="AK89" i="7"/>
  <c r="AM462" i="20"/>
  <c r="AM473" i="20" s="1"/>
  <c r="AM521" i="20"/>
  <c r="AN518" i="20" s="1"/>
  <c r="AN522" i="20" s="1"/>
  <c r="AM551" i="20"/>
  <c r="AN548" i="20" s="1"/>
  <c r="AN552" i="20" s="1"/>
  <c r="AM467" i="20"/>
  <c r="AM478" i="20" s="1"/>
  <c r="AG106" i="6"/>
  <c r="AM515" i="20"/>
  <c r="AN512" i="20" s="1"/>
  <c r="AN516" i="20" s="1"/>
  <c r="AM461" i="20"/>
  <c r="AM472" i="20" s="1"/>
  <c r="AN88" i="7"/>
  <c r="AQ79" i="7" s="1"/>
  <c r="AN19" i="7"/>
  <c r="BF162" i="14"/>
  <c r="BF513" i="20"/>
  <c r="AH294" i="20"/>
  <c r="AH328" i="20" s="1"/>
  <c r="AH286" i="20"/>
  <c r="AX20" i="20"/>
  <c r="AW328" i="20"/>
  <c r="AW294" i="20" s="1"/>
  <c r="AC42" i="20"/>
  <c r="AB42" i="20" s="1"/>
  <c r="AB36" i="20"/>
  <c r="AS243" i="14"/>
  <c r="AS35" i="14" s="1"/>
  <c r="AK347" i="20"/>
  <c r="AN115" i="6" s="1"/>
  <c r="AC43" i="20"/>
  <c r="AB43" i="20" s="1"/>
  <c r="AB37" i="20"/>
  <c r="BA240" i="14"/>
  <c r="AH194" i="14"/>
  <c r="AG194" i="14"/>
  <c r="AI347" i="20"/>
  <c r="AL115" i="6" s="1"/>
  <c r="AH289" i="20"/>
  <c r="AN244" i="14"/>
  <c r="AE290" i="20"/>
  <c r="AE347" i="20"/>
  <c r="AH115" i="6" s="1"/>
  <c r="AB65" i="14"/>
  <c r="AB64" i="14"/>
  <c r="AN290" i="20"/>
  <c r="BG1" i="6"/>
  <c r="BD70" i="6"/>
  <c r="BD94" i="6"/>
  <c r="BD25" i="6"/>
  <c r="AB364" i="20"/>
  <c r="AB369" i="20"/>
  <c r="AB29" i="20" s="1"/>
  <c r="AE116" i="6" s="1"/>
  <c r="AL177" i="2"/>
  <c r="T64" i="10"/>
  <c r="T24" i="10"/>
  <c r="U64" i="10"/>
  <c r="U24" i="10"/>
  <c r="BM37" i="4"/>
  <c r="AL215" i="20"/>
  <c r="Z84" i="6"/>
  <c r="Z85" i="6" s="1"/>
  <c r="W31" i="20"/>
  <c r="BG69" i="14"/>
  <c r="BM28" i="4"/>
  <c r="BM92" i="2"/>
  <c r="AU65" i="14"/>
  <c r="BG99" i="6"/>
  <c r="AL210" i="20"/>
  <c r="AL212" i="20"/>
  <c r="AL209" i="20"/>
  <c r="AL211" i="20"/>
  <c r="AR243" i="14"/>
  <c r="AR35" i="14" s="1"/>
  <c r="BA328" i="20"/>
  <c r="BA294" i="20" s="1"/>
  <c r="BH31" i="18"/>
  <c r="BE76" i="18"/>
  <c r="BF76" i="18" s="1"/>
  <c r="BA1" i="3"/>
  <c r="BA51" i="3" s="1"/>
  <c r="BK31" i="18"/>
  <c r="BL31" i="18" s="1"/>
  <c r="Z30" i="20"/>
  <c r="BM238" i="4"/>
  <c r="AG9" i="10"/>
  <c r="AL483" i="20"/>
  <c r="T116" i="5"/>
  <c r="T115" i="5"/>
  <c r="T62" i="4"/>
  <c r="T71" i="4" s="1"/>
  <c r="T72" i="4" s="1"/>
  <c r="R21" i="10"/>
  <c r="T95" i="5"/>
  <c r="BA189" i="20"/>
  <c r="AC111" i="4"/>
  <c r="AC107" i="4"/>
  <c r="U22" i="10" s="1"/>
  <c r="U65" i="10" s="1"/>
  <c r="AF106" i="4"/>
  <c r="W64" i="2"/>
  <c r="X64" i="2" s="1"/>
  <c r="T56" i="2"/>
  <c r="BJ144" i="20"/>
  <c r="BM74" i="6"/>
  <c r="T23" i="10"/>
  <c r="T25" i="10"/>
  <c r="T47" i="10"/>
  <c r="T36" i="10"/>
  <c r="T54" i="10"/>
  <c r="BG373" i="20"/>
  <c r="BG193" i="20"/>
  <c r="Q82" i="5"/>
  <c r="AO56" i="3"/>
  <c r="BD375" i="20"/>
  <c r="BH31" i="7"/>
  <c r="AC125" i="6"/>
  <c r="BA190" i="20"/>
  <c r="BA192" i="20"/>
  <c r="U47" i="10"/>
  <c r="U25" i="10"/>
  <c r="U36" i="10"/>
  <c r="AC178" i="2" s="1"/>
  <c r="U23" i="10"/>
  <c r="U54" i="10"/>
  <c r="W126" i="6"/>
  <c r="BG227" i="14"/>
  <c r="BG233" i="14"/>
  <c r="M96" i="4"/>
  <c r="N95" i="4"/>
  <c r="BJ187" i="20"/>
  <c r="AU211" i="14"/>
  <c r="BM219" i="4"/>
  <c r="BM241" i="4"/>
  <c r="AO90" i="7"/>
  <c r="AO89" i="7"/>
  <c r="L103" i="4"/>
  <c r="L101" i="4"/>
  <c r="L102" i="4"/>
  <c r="AI201" i="14"/>
  <c r="AH201" i="14" s="1"/>
  <c r="AH203" i="14" s="1"/>
  <c r="BG7" i="5"/>
  <c r="BJ39" i="2"/>
  <c r="BG145" i="20"/>
  <c r="BA368" i="20"/>
  <c r="AZ368" i="20" s="1"/>
  <c r="AZ365" i="20" s="1"/>
  <c r="BJ92" i="7"/>
  <c r="BG188" i="20"/>
  <c r="BJ147" i="20"/>
  <c r="AC104" i="6"/>
  <c r="AC109" i="6" s="1"/>
  <c r="BG143" i="20"/>
  <c r="BJ74" i="6"/>
  <c r="BA191" i="20"/>
  <c r="BH67" i="14"/>
  <c r="AC82" i="5"/>
  <c r="BJ146" i="20"/>
  <c r="AL470" i="20"/>
  <c r="BD186" i="20"/>
  <c r="BJ564" i="20"/>
  <c r="BJ228" i="14"/>
  <c r="BJ149" i="14"/>
  <c r="BE233" i="14" l="1"/>
  <c r="BF228" i="14"/>
  <c r="BF233" i="14" s="1"/>
  <c r="AS560" i="20"/>
  <c r="AT557" i="20" s="1"/>
  <c r="AK161" i="14"/>
  <c r="AH163" i="14"/>
  <c r="AH164" i="14" s="1"/>
  <c r="AU560" i="20"/>
  <c r="AT560" i="20"/>
  <c r="AT561" i="20" s="1"/>
  <c r="AS561" i="20"/>
  <c r="BF564" i="20"/>
  <c r="BF149" i="14"/>
  <c r="BL65" i="4"/>
  <c r="AR193" i="14"/>
  <c r="AR191" i="14" s="1"/>
  <c r="BH228" i="14"/>
  <c r="BH227" i="14" s="1"/>
  <c r="BH149" i="14"/>
  <c r="BC227" i="14"/>
  <c r="BK31" i="4"/>
  <c r="BH564" i="20"/>
  <c r="BI89" i="14"/>
  <c r="BI93" i="14" s="1"/>
  <c r="AV183" i="14"/>
  <c r="AX28" i="7"/>
  <c r="AX36" i="7" s="1"/>
  <c r="AR24" i="7"/>
  <c r="AL163" i="20"/>
  <c r="AL127" i="20" s="1"/>
  <c r="AN579" i="20"/>
  <c r="AN485" i="20"/>
  <c r="AL203" i="14"/>
  <c r="AJ203" i="14" s="1"/>
  <c r="AJ201" i="14" s="1"/>
  <c r="AJ221" i="14" s="1"/>
  <c r="AJ222" i="14" s="1"/>
  <c r="AJ223" i="14" s="1"/>
  <c r="AN491" i="20"/>
  <c r="AN520" i="20"/>
  <c r="AN577" i="20"/>
  <c r="AN514" i="20"/>
  <c r="AN532" i="20"/>
  <c r="BJ365" i="20"/>
  <c r="BH365" i="20" s="1"/>
  <c r="BH368" i="20" s="1"/>
  <c r="BE365" i="20"/>
  <c r="BE368" i="20" s="1"/>
  <c r="AN194" i="14"/>
  <c r="AO193" i="14"/>
  <c r="AO191" i="14" s="1"/>
  <c r="AN550" i="20"/>
  <c r="AQ90" i="7"/>
  <c r="AQ81" i="7"/>
  <c r="AN488" i="20"/>
  <c r="AN486" i="20"/>
  <c r="AL191" i="14"/>
  <c r="AK191" i="14" s="1"/>
  <c r="AK193" i="14" s="1"/>
  <c r="BL92" i="2"/>
  <c r="AA121" i="5"/>
  <c r="AU174" i="14"/>
  <c r="AX183" i="14"/>
  <c r="AX181" i="14" s="1"/>
  <c r="AX164" i="14"/>
  <c r="AU163" i="14"/>
  <c r="AM164" i="14"/>
  <c r="AM161" i="14"/>
  <c r="AH110" i="4"/>
  <c r="AB82" i="5"/>
  <c r="AB121" i="5" s="1"/>
  <c r="AC121" i="5"/>
  <c r="AD78" i="5"/>
  <c r="BK255" i="4"/>
  <c r="BF39" i="2"/>
  <c r="BF7" i="5" s="1"/>
  <c r="BL28" i="4"/>
  <c r="BL37" i="4"/>
  <c r="BH39" i="2"/>
  <c r="BH7" i="5" s="1"/>
  <c r="BL219" i="4"/>
  <c r="BL241" i="4"/>
  <c r="AB39" i="20"/>
  <c r="BL20" i="2"/>
  <c r="AM486" i="20"/>
  <c r="BC375" i="20"/>
  <c r="AK38" i="18"/>
  <c r="AK42" i="18"/>
  <c r="AK51" i="18"/>
  <c r="AK49" i="18"/>
  <c r="AK48" i="18"/>
  <c r="AK50" i="18"/>
  <c r="AH106" i="6"/>
  <c r="BK74" i="6"/>
  <c r="BK99" i="6" s="1"/>
  <c r="BH22" i="14"/>
  <c r="BI31" i="18"/>
  <c r="AE102" i="6"/>
  <c r="AE100" i="6" s="1"/>
  <c r="AE104" i="6" s="1"/>
  <c r="AM514" i="20"/>
  <c r="AM516" i="20"/>
  <c r="AM491" i="20"/>
  <c r="AN106" i="6"/>
  <c r="BG260" i="14"/>
  <c r="BC260" i="14"/>
  <c r="BB260" i="14"/>
  <c r="BB259" i="14" s="1"/>
  <c r="BB36" i="14" s="1"/>
  <c r="BD259" i="14"/>
  <c r="AM532" i="20"/>
  <c r="AM534" i="20"/>
  <c r="BF256" i="14"/>
  <c r="BH74" i="6"/>
  <c r="BH99" i="6" s="1"/>
  <c r="BE22" i="14"/>
  <c r="BC22" i="14"/>
  <c r="BF74" i="6"/>
  <c r="BF99" i="6" s="1"/>
  <c r="AN36" i="7"/>
  <c r="AN33" i="7"/>
  <c r="BI92" i="7"/>
  <c r="BH92" i="7"/>
  <c r="BI31" i="7"/>
  <c r="AQ387" i="20"/>
  <c r="BE87" i="7"/>
  <c r="BF87" i="7" s="1"/>
  <c r="AM550" i="20"/>
  <c r="AM552" i="20"/>
  <c r="AM520" i="20"/>
  <c r="AM522" i="20"/>
  <c r="BA36" i="14"/>
  <c r="AZ259" i="14"/>
  <c r="AZ36" i="14" s="1"/>
  <c r="AM577" i="20"/>
  <c r="AM579" i="20"/>
  <c r="BI162" i="14"/>
  <c r="BI513" i="20"/>
  <c r="AQ398" i="20"/>
  <c r="AQ392" i="20"/>
  <c r="BI67" i="14"/>
  <c r="BI373" i="20" s="1"/>
  <c r="BH373" i="20"/>
  <c r="BH69" i="14"/>
  <c r="AQ395" i="20"/>
  <c r="AQ389" i="20"/>
  <c r="AQ386" i="20"/>
  <c r="AN90" i="7"/>
  <c r="AN81" i="7"/>
  <c r="AM485" i="20"/>
  <c r="BE69" i="14"/>
  <c r="BE373" i="20"/>
  <c r="AM488" i="20"/>
  <c r="AN23" i="7"/>
  <c r="AN12" i="7"/>
  <c r="AN9" i="7"/>
  <c r="AN5" i="7"/>
  <c r="AN7" i="7"/>
  <c r="BI256" i="14"/>
  <c r="AH448" i="20"/>
  <c r="AH455" i="20" s="1"/>
  <c r="AH483" i="20"/>
  <c r="AH493" i="20" s="1"/>
  <c r="AH495" i="20" s="1"/>
  <c r="AQ243" i="14"/>
  <c r="AQ35" i="14" s="1"/>
  <c r="AT211" i="14"/>
  <c r="AT213" i="14" s="1"/>
  <c r="BJ1" i="6"/>
  <c r="BG25" i="6"/>
  <c r="BG94" i="6"/>
  <c r="BG70" i="6"/>
  <c r="AH21" i="20"/>
  <c r="AH329" i="20"/>
  <c r="AH347" i="20"/>
  <c r="AK115" i="6" s="1"/>
  <c r="AV243" i="14"/>
  <c r="AV35" i="14" s="1"/>
  <c r="AV241" i="14"/>
  <c r="AW286" i="20"/>
  <c r="AK194" i="14"/>
  <c r="AJ194" i="14"/>
  <c r="BA286" i="20"/>
  <c r="BA20" i="20" s="1"/>
  <c r="BL20" i="20" s="1"/>
  <c r="AZ328" i="20"/>
  <c r="AZ294" i="20" s="1"/>
  <c r="AV211" i="14"/>
  <c r="AY213" i="14"/>
  <c r="BD240" i="14"/>
  <c r="AY240" i="14"/>
  <c r="AY239" i="14" s="1"/>
  <c r="BB73" i="6" s="1"/>
  <c r="BB98" i="6" s="1"/>
  <c r="AB45" i="20"/>
  <c r="AO204" i="20"/>
  <c r="AO215" i="20" s="1"/>
  <c r="AO199" i="20"/>
  <c r="AO210" i="20" s="1"/>
  <c r="R24" i="10"/>
  <c r="AC127" i="6"/>
  <c r="AC128" i="6"/>
  <c r="AG8" i="10"/>
  <c r="BM171" i="2" s="1"/>
  <c r="Z90" i="6"/>
  <c r="Z86" i="6"/>
  <c r="AC84" i="6"/>
  <c r="AC85" i="6" s="1"/>
  <c r="Z31" i="20"/>
  <c r="BJ69" i="14"/>
  <c r="BG65" i="14"/>
  <c r="AX65" i="14"/>
  <c r="BM99" i="6"/>
  <c r="BJ99" i="6"/>
  <c r="AU241" i="14"/>
  <c r="AU243" i="14"/>
  <c r="AX239" i="14"/>
  <c r="AX21" i="14" s="1"/>
  <c r="BH76" i="18"/>
  <c r="BI76" i="18" s="1"/>
  <c r="BH87" i="7"/>
  <c r="BI87" i="7" s="1"/>
  <c r="BK76" i="18"/>
  <c r="BL76" i="18" s="1"/>
  <c r="BD1" i="3"/>
  <c r="BD51" i="3" s="1"/>
  <c r="BA29" i="3"/>
  <c r="BD328" i="20"/>
  <c r="BD294" i="20" s="1"/>
  <c r="BK87" i="7"/>
  <c r="BL87" i="7" s="1"/>
  <c r="BJ7" i="5"/>
  <c r="BM39" i="2"/>
  <c r="BJ193" i="20"/>
  <c r="BG375" i="20"/>
  <c r="AR168" i="20"/>
  <c r="AC126" i="6"/>
  <c r="AR166" i="20"/>
  <c r="BJ227" i="14"/>
  <c r="BJ233" i="14"/>
  <c r="AR171" i="20"/>
  <c r="BJ145" i="20"/>
  <c r="AF78" i="5"/>
  <c r="BD191" i="20"/>
  <c r="BJ143" i="20"/>
  <c r="BD192" i="20"/>
  <c r="BD190" i="20"/>
  <c r="AL208" i="20"/>
  <c r="W68" i="2"/>
  <c r="X68" i="2" s="1"/>
  <c r="Y64" i="2" s="1"/>
  <c r="Y68" i="2" s="1"/>
  <c r="Z64" i="2"/>
  <c r="Z68" i="2" s="1"/>
  <c r="AA64" i="2" s="1"/>
  <c r="AA68" i="2" s="1"/>
  <c r="AB64" i="2" s="1"/>
  <c r="AC109" i="4"/>
  <c r="AF110" i="4" s="1"/>
  <c r="AF108" i="4"/>
  <c r="BM92" i="7"/>
  <c r="AX211" i="14"/>
  <c r="N96" i="4"/>
  <c r="O95" i="4"/>
  <c r="BD368" i="20"/>
  <c r="BC368" i="20" s="1"/>
  <c r="BC365" i="20" s="1"/>
  <c r="AF112" i="4"/>
  <c r="BD189" i="20"/>
  <c r="BG186" i="20"/>
  <c r="BJ373" i="20"/>
  <c r="BJ188" i="20"/>
  <c r="M101" i="4"/>
  <c r="M103" i="4"/>
  <c r="M102" i="4"/>
  <c r="R36" i="10"/>
  <c r="T178" i="2" s="1"/>
  <c r="R23" i="10"/>
  <c r="R47" i="10"/>
  <c r="R25" i="10"/>
  <c r="R54" i="10"/>
  <c r="BF227" i="14" l="1"/>
  <c r="AV164" i="14"/>
  <c r="AL201" i="14"/>
  <c r="AK201" i="14" s="1"/>
  <c r="AK203" i="14" s="1"/>
  <c r="AK163" i="14"/>
  <c r="AK164" i="14" s="1"/>
  <c r="AV557" i="20"/>
  <c r="AU561" i="20"/>
  <c r="AS183" i="14"/>
  <c r="AS181" i="14" s="1"/>
  <c r="BH233" i="14"/>
  <c r="BI228" i="14"/>
  <c r="BI233" i="14" s="1"/>
  <c r="BI149" i="14"/>
  <c r="BI564" i="20"/>
  <c r="AQ578" i="20"/>
  <c r="AQ521" i="20"/>
  <c r="AQ462" i="20"/>
  <c r="AQ473" i="20" s="1"/>
  <c r="AQ515" i="20"/>
  <c r="AQ461" i="20"/>
  <c r="AQ472" i="20" s="1"/>
  <c r="AQ533" i="20"/>
  <c r="AQ464" i="20"/>
  <c r="AQ475" i="20" s="1"/>
  <c r="AQ551" i="20"/>
  <c r="AQ467" i="20"/>
  <c r="AQ478" i="20" s="1"/>
  <c r="AR203" i="14"/>
  <c r="AR201" i="14" s="1"/>
  <c r="AR221" i="14" s="1"/>
  <c r="AP164" i="14"/>
  <c r="AS164" i="14" s="1"/>
  <c r="AV163" i="14" s="1"/>
  <c r="AP183" i="14"/>
  <c r="AM193" i="14"/>
  <c r="AL196" i="20"/>
  <c r="AL207" i="20" s="1"/>
  <c r="AR132" i="20"/>
  <c r="AR201" i="20" s="1"/>
  <c r="AR135" i="20"/>
  <c r="AR204" i="20" s="1"/>
  <c r="AR129" i="20"/>
  <c r="AR130" i="20"/>
  <c r="AR199" i="20" s="1"/>
  <c r="AO203" i="14"/>
  <c r="AN89" i="7"/>
  <c r="AQ28" i="7"/>
  <c r="AN161" i="14"/>
  <c r="BI39" i="2"/>
  <c r="BI7" i="5" s="1"/>
  <c r="BA183" i="14"/>
  <c r="BA181" i="14" s="1"/>
  <c r="AT163" i="14"/>
  <c r="AT164" i="14" s="1"/>
  <c r="AU161" i="14"/>
  <c r="AU173" i="14"/>
  <c r="AX174" i="14"/>
  <c r="AV174" i="14" s="1"/>
  <c r="BA164" i="14"/>
  <c r="AX163" i="14"/>
  <c r="AW163" i="14" s="1"/>
  <c r="AW164" i="14" s="1"/>
  <c r="AD82" i="5"/>
  <c r="AE78" i="5" s="1"/>
  <c r="BK39" i="2"/>
  <c r="BK7" i="5" s="1"/>
  <c r="BK92" i="7"/>
  <c r="BL92" i="7"/>
  <c r="AW20" i="20"/>
  <c r="AZ77" i="6"/>
  <c r="BI69" i="14"/>
  <c r="BA29" i="7"/>
  <c r="AN9" i="3"/>
  <c r="AN34" i="3"/>
  <c r="BE375" i="20"/>
  <c r="AN56" i="3"/>
  <c r="AN34" i="7"/>
  <c r="AN35" i="7" s="1"/>
  <c r="BF69" i="14"/>
  <c r="BK31" i="7"/>
  <c r="BL74" i="6"/>
  <c r="BL99" i="6" s="1"/>
  <c r="BI22" i="14"/>
  <c r="BH375" i="20"/>
  <c r="AH52" i="20"/>
  <c r="AH54" i="20" s="1"/>
  <c r="AH118" i="20"/>
  <c r="AH49" i="20"/>
  <c r="AH51" i="20" s="1"/>
  <c r="BJ260" i="14"/>
  <c r="BF260" i="14"/>
  <c r="BE260" i="14"/>
  <c r="BE259" i="14" s="1"/>
  <c r="BE36" i="14" s="1"/>
  <c r="BG259" i="14"/>
  <c r="BF22" i="14"/>
  <c r="BI74" i="6"/>
  <c r="BI99" i="6" s="1"/>
  <c r="BD36" i="14"/>
  <c r="BC259" i="14"/>
  <c r="BC36" i="14" s="1"/>
  <c r="AK47" i="18"/>
  <c r="AK41" i="18"/>
  <c r="AN44" i="18"/>
  <c r="AY241" i="14"/>
  <c r="AY21" i="14"/>
  <c r="AY243" i="14"/>
  <c r="AY35" i="14" s="1"/>
  <c r="AW211" i="14"/>
  <c r="AW213" i="14" s="1"/>
  <c r="AT241" i="14"/>
  <c r="BG240" i="14"/>
  <c r="BB240" i="14"/>
  <c r="BB239" i="14" s="1"/>
  <c r="BE73" i="6" s="1"/>
  <c r="BE98" i="6" s="1"/>
  <c r="BD286" i="20"/>
  <c r="BD20" i="20" s="1"/>
  <c r="BC328" i="20"/>
  <c r="BC294" i="20" s="1"/>
  <c r="AU35" i="14"/>
  <c r="AT243" i="14"/>
  <c r="BJ94" i="6"/>
  <c r="BJ25" i="6"/>
  <c r="BJ70" i="6"/>
  <c r="AQ244" i="14"/>
  <c r="AM194" i="14"/>
  <c r="AW239" i="14"/>
  <c r="AZ73" i="6" s="1"/>
  <c r="AZ98" i="6" s="1"/>
  <c r="BB213" i="14"/>
  <c r="AY211" i="14"/>
  <c r="AZ329" i="20"/>
  <c r="AZ286" i="20"/>
  <c r="AH295" i="20"/>
  <c r="AH287" i="20"/>
  <c r="AH293" i="20"/>
  <c r="AH326" i="20" s="1"/>
  <c r="AH98" i="20"/>
  <c r="AO201" i="20"/>
  <c r="AO212" i="20" s="1"/>
  <c r="AO198" i="20"/>
  <c r="AO209" i="20" s="1"/>
  <c r="AA69" i="10"/>
  <c r="Z77" i="10"/>
  <c r="Z85" i="10" s="1"/>
  <c r="AC90" i="6"/>
  <c r="AC86" i="6"/>
  <c r="BM7" i="5"/>
  <c r="BA65" i="14"/>
  <c r="AL50" i="14"/>
  <c r="BJ65" i="14"/>
  <c r="AX241" i="14"/>
  <c r="AX243" i="14"/>
  <c r="BA73" i="6"/>
  <c r="BA239" i="14"/>
  <c r="BD29" i="3"/>
  <c r="BG1" i="3"/>
  <c r="BG51" i="3" s="1"/>
  <c r="BG328" i="20"/>
  <c r="BG294" i="20" s="1"/>
  <c r="BG189" i="20"/>
  <c r="O96" i="4"/>
  <c r="P95" i="4"/>
  <c r="BA211" i="14"/>
  <c r="N101" i="4"/>
  <c r="N103" i="4"/>
  <c r="N102" i="4"/>
  <c r="BG368" i="20"/>
  <c r="BF368" i="20" s="1"/>
  <c r="BF365" i="20" s="1"/>
  <c r="AX557" i="20"/>
  <c r="W56" i="2"/>
  <c r="AC64" i="2"/>
  <c r="AC67" i="2" s="1"/>
  <c r="AB67" i="2" s="1"/>
  <c r="AB68" i="2" s="1"/>
  <c r="BG190" i="20"/>
  <c r="BJ186" i="20"/>
  <c r="T82" i="5"/>
  <c r="BG192" i="20"/>
  <c r="BG191" i="20"/>
  <c r="AX575" i="20"/>
  <c r="BJ375" i="20"/>
  <c r="AF82" i="5"/>
  <c r="AV193" i="14" l="1"/>
  <c r="AV203" i="14"/>
  <c r="AN164" i="14"/>
  <c r="AV560" i="20"/>
  <c r="AW557" i="20" s="1"/>
  <c r="BI227" i="14"/>
  <c r="AS163" i="14"/>
  <c r="AS161" i="14" s="1"/>
  <c r="AS193" i="14"/>
  <c r="AS191" i="14" s="1"/>
  <c r="AQ550" i="20"/>
  <c r="AQ552" i="20"/>
  <c r="AQ532" i="20"/>
  <c r="AQ534" i="20"/>
  <c r="AQ514" i="20"/>
  <c r="AQ516" i="20"/>
  <c r="AQ520" i="20"/>
  <c r="AQ522" i="20"/>
  <c r="AQ491" i="20"/>
  <c r="AQ577" i="20"/>
  <c r="AQ579" i="20"/>
  <c r="AQ488" i="20"/>
  <c r="AQ485" i="20"/>
  <c r="AQ486" i="20"/>
  <c r="AR198" i="20"/>
  <c r="AR209" i="20" s="1"/>
  <c r="AP181" i="14"/>
  <c r="AQ181" i="14" s="1"/>
  <c r="AQ183" i="14" s="1"/>
  <c r="AP163" i="14"/>
  <c r="AP193" i="14"/>
  <c r="AH298" i="20"/>
  <c r="AH333" i="20"/>
  <c r="AH334" i="20" s="1"/>
  <c r="AM191" i="14"/>
  <c r="AN191" i="14" s="1"/>
  <c r="AN193" i="14" s="1"/>
  <c r="AX33" i="7"/>
  <c r="AX89" i="7" s="1"/>
  <c r="AO201" i="14"/>
  <c r="AO221" i="14" s="1"/>
  <c r="AO222" i="14" s="1"/>
  <c r="AO223" i="14" s="1"/>
  <c r="AM203" i="14"/>
  <c r="AM201" i="14" s="1"/>
  <c r="AQ36" i="7"/>
  <c r="AQ33" i="7"/>
  <c r="AT28" i="7" s="1"/>
  <c r="AD121" i="5"/>
  <c r="AU203" i="14"/>
  <c r="AX161" i="14"/>
  <c r="BA163" i="14"/>
  <c r="BD164" i="14"/>
  <c r="AU193" i="14"/>
  <c r="AU191" i="14" s="1"/>
  <c r="BA174" i="14"/>
  <c r="AX173" i="14"/>
  <c r="BD183" i="14"/>
  <c r="BD181" i="14" s="1"/>
  <c r="AE82" i="5"/>
  <c r="AE121" i="5" s="1"/>
  <c r="AF121" i="5"/>
  <c r="AG78" i="5"/>
  <c r="BL39" i="2"/>
  <c r="BL7" i="5" s="1"/>
  <c r="BF375" i="20"/>
  <c r="AH50" i="20"/>
  <c r="AH82" i="20"/>
  <c r="BI260" i="14"/>
  <c r="BH260" i="14"/>
  <c r="BH259" i="14" s="1"/>
  <c r="BH36" i="14" s="1"/>
  <c r="BJ259" i="14"/>
  <c r="AT395" i="20"/>
  <c r="BG36" i="14"/>
  <c r="BF259" i="14"/>
  <c r="BF36" i="14" s="1"/>
  <c r="AT398" i="20"/>
  <c r="AH108" i="20"/>
  <c r="AH53" i="20"/>
  <c r="BL31" i="7"/>
  <c r="BI375" i="20"/>
  <c r="BA21" i="14"/>
  <c r="AZ239" i="14"/>
  <c r="BC73" i="6" s="1"/>
  <c r="BC98" i="6" s="1"/>
  <c r="AX35" i="14"/>
  <c r="AW243" i="14"/>
  <c r="BC329" i="20"/>
  <c r="BC286" i="20"/>
  <c r="BB243" i="14"/>
  <c r="BB35" i="14" s="1"/>
  <c r="BB21" i="14"/>
  <c r="BB241" i="14"/>
  <c r="AH297" i="20"/>
  <c r="AH349" i="20"/>
  <c r="BJ240" i="14"/>
  <c r="BH240" i="14" s="1"/>
  <c r="BH239" i="14" s="1"/>
  <c r="BK73" i="6" s="1"/>
  <c r="BK98" i="6" s="1"/>
  <c r="BE240" i="14"/>
  <c r="BE239" i="14" s="1"/>
  <c r="BH73" i="6" s="1"/>
  <c r="BH98" i="6" s="1"/>
  <c r="AH330" i="20"/>
  <c r="AH331" i="20" s="1"/>
  <c r="AH285" i="20"/>
  <c r="AH292" i="20" s="1"/>
  <c r="AZ211" i="14"/>
  <c r="AZ213" i="14" s="1"/>
  <c r="AT244" i="14"/>
  <c r="AT35" i="14"/>
  <c r="BG286" i="20"/>
  <c r="BG20" i="20" s="1"/>
  <c r="BF328" i="20"/>
  <c r="BF294" i="20" s="1"/>
  <c r="BB211" i="14"/>
  <c r="BE213" i="14"/>
  <c r="AW21" i="14"/>
  <c r="AW240" i="14"/>
  <c r="AW241" i="14"/>
  <c r="BA38" i="7"/>
  <c r="BD65" i="14"/>
  <c r="BD239" i="14"/>
  <c r="BA241" i="14"/>
  <c r="BA243" i="14"/>
  <c r="BD73" i="6"/>
  <c r="BA98" i="6"/>
  <c r="BJ328" i="20"/>
  <c r="BJ294" i="20" s="1"/>
  <c r="BJ1" i="3"/>
  <c r="BJ51" i="3" s="1"/>
  <c r="BG29" i="3"/>
  <c r="AT412" i="20"/>
  <c r="W82" i="5"/>
  <c r="AR212" i="20"/>
  <c r="BD211" i="14"/>
  <c r="BJ190" i="20"/>
  <c r="AI78" i="5"/>
  <c r="AT414" i="20"/>
  <c r="AR215" i="20"/>
  <c r="P96" i="4"/>
  <c r="Q95" i="4"/>
  <c r="R95" i="4" s="1"/>
  <c r="BJ191" i="20"/>
  <c r="AR210" i="20"/>
  <c r="O103" i="4"/>
  <c r="O101" i="4"/>
  <c r="O102" i="4"/>
  <c r="AL43" i="14"/>
  <c r="AL42" i="14"/>
  <c r="AL44" i="14"/>
  <c r="AT411" i="20"/>
  <c r="AX578" i="20"/>
  <c r="AX560" i="20"/>
  <c r="BJ189" i="20"/>
  <c r="BJ368" i="20"/>
  <c r="BI368" i="20" s="1"/>
  <c r="BI365" i="20" s="1"/>
  <c r="BJ192" i="20"/>
  <c r="AK19" i="20"/>
  <c r="AT417" i="20"/>
  <c r="AL51" i="14"/>
  <c r="AV561" i="20" l="1"/>
  <c r="AT578" i="20"/>
  <c r="AW560" i="20"/>
  <c r="AW561" i="20" s="1"/>
  <c r="AS203" i="14"/>
  <c r="AS201" i="14" s="1"/>
  <c r="AT36" i="7"/>
  <c r="AT33" i="7"/>
  <c r="AP161" i="14"/>
  <c r="AP191" i="14"/>
  <c r="AQ191" i="14" s="1"/>
  <c r="AQ193" i="14" s="1"/>
  <c r="AP203" i="14"/>
  <c r="AP201" i="14" s="1"/>
  <c r="AQ201" i="14" s="1"/>
  <c r="AQ203" i="14" s="1"/>
  <c r="AT181" i="14"/>
  <c r="AT183" i="14" s="1"/>
  <c r="BJ286" i="20"/>
  <c r="BA28" i="7"/>
  <c r="AX34" i="7"/>
  <c r="AX35" i="7" s="1"/>
  <c r="AU24" i="7"/>
  <c r="AN201" i="14"/>
  <c r="AN203" i="14" s="1"/>
  <c r="AQ34" i="7"/>
  <c r="AQ35" i="7" s="1"/>
  <c r="AQ89" i="7"/>
  <c r="R96" i="4"/>
  <c r="S95" i="4"/>
  <c r="S96" i="4" s="1"/>
  <c r="AX203" i="14"/>
  <c r="AV201" i="14" s="1"/>
  <c r="BG164" i="14"/>
  <c r="BD163" i="14"/>
  <c r="BG183" i="14"/>
  <c r="BG181" i="14" s="1"/>
  <c r="BJ183" i="14"/>
  <c r="BJ181" i="14" s="1"/>
  <c r="BA173" i="14"/>
  <c r="BD174" i="14"/>
  <c r="BA161" i="14"/>
  <c r="AZ163" i="14"/>
  <c r="AZ164" i="14" s="1"/>
  <c r="AX193" i="14"/>
  <c r="AX191" i="14" s="1"/>
  <c r="AG82" i="5"/>
  <c r="AH78" i="5" s="1"/>
  <c r="AX561" i="20"/>
  <c r="AY557" i="20"/>
  <c r="BC211" i="14"/>
  <c r="BC213" i="14" s="1"/>
  <c r="BJ36" i="14"/>
  <c r="BI259" i="14"/>
  <c r="BI36" i="14" s="1"/>
  <c r="AX579" i="20"/>
  <c r="AY575" i="20"/>
  <c r="BD29" i="7"/>
  <c r="AZ20" i="20"/>
  <c r="BC77" i="6"/>
  <c r="BD21" i="14"/>
  <c r="BC239" i="14"/>
  <c r="BF73" i="6" s="1"/>
  <c r="BF98" i="6" s="1"/>
  <c r="AW244" i="14"/>
  <c r="AW35" i="14"/>
  <c r="AH19" i="20"/>
  <c r="AK75" i="6"/>
  <c r="BA35" i="14"/>
  <c r="AZ243" i="14"/>
  <c r="BE243" i="14"/>
  <c r="BE35" i="14" s="1"/>
  <c r="BE241" i="14"/>
  <c r="BE21" i="14"/>
  <c r="BF329" i="20"/>
  <c r="BF286" i="20"/>
  <c r="BH21" i="14"/>
  <c r="BH243" i="14"/>
  <c r="BH35" i="14" s="1"/>
  <c r="BH241" i="14"/>
  <c r="AZ21" i="14"/>
  <c r="AZ240" i="14"/>
  <c r="AZ241" i="14"/>
  <c r="AK97" i="20"/>
  <c r="AK103" i="20"/>
  <c r="AK258" i="20"/>
  <c r="BJ20" i="20"/>
  <c r="BI328" i="20"/>
  <c r="BI294" i="20" s="1"/>
  <c r="BE211" i="14"/>
  <c r="BH213" i="14"/>
  <c r="BH211" i="14" s="1"/>
  <c r="AH327" i="20"/>
  <c r="AH290" i="20"/>
  <c r="AA77" i="10"/>
  <c r="AA85" i="10" s="1"/>
  <c r="BD98" i="6"/>
  <c r="BG73" i="6"/>
  <c r="BD243" i="14"/>
  <c r="BD241" i="14"/>
  <c r="BJ239" i="14"/>
  <c r="BG239" i="14"/>
  <c r="BM1" i="3"/>
  <c r="BM51" i="3" s="1"/>
  <c r="BJ29" i="3"/>
  <c r="AX395" i="20"/>
  <c r="BA557" i="20"/>
  <c r="BM1" i="6"/>
  <c r="T95" i="4"/>
  <c r="U95" i="4" s="1"/>
  <c r="Q96" i="4"/>
  <c r="AL23" i="14"/>
  <c r="AO97" i="6"/>
  <c r="P103" i="4"/>
  <c r="P102" i="4"/>
  <c r="P101" i="4"/>
  <c r="AI82" i="5"/>
  <c r="BG211" i="14"/>
  <c r="BA575" i="20"/>
  <c r="AX398" i="20"/>
  <c r="AU201" i="14"/>
  <c r="AQ161" i="14" l="1"/>
  <c r="AT577" i="20"/>
  <c r="AT579" i="20"/>
  <c r="AT201" i="14"/>
  <c r="AT203" i="14" s="1"/>
  <c r="AT34" i="7"/>
  <c r="AT35" i="7" s="1"/>
  <c r="AT89" i="7"/>
  <c r="AT191" i="14"/>
  <c r="AT193" i="14" s="1"/>
  <c r="AV161" i="14"/>
  <c r="AT161" i="14"/>
  <c r="AY183" i="14"/>
  <c r="AV181" i="14"/>
  <c r="AW181" i="14" s="1"/>
  <c r="AW183" i="14" s="1"/>
  <c r="BA36" i="7"/>
  <c r="AX144" i="2"/>
  <c r="C6" i="54"/>
  <c r="AO24" i="14"/>
  <c r="AG121" i="5"/>
  <c r="S101" i="4"/>
  <c r="S102" i="4"/>
  <c r="S103" i="4"/>
  <c r="V95" i="4"/>
  <c r="V96" i="4" s="1"/>
  <c r="U96" i="4"/>
  <c r="R101" i="4"/>
  <c r="R103" i="4"/>
  <c r="R102" i="4"/>
  <c r="BA203" i="14"/>
  <c r="AY203" i="14" s="1"/>
  <c r="AY201" i="14" s="1"/>
  <c r="BG174" i="14"/>
  <c r="BD173" i="14"/>
  <c r="BC163" i="14"/>
  <c r="BC164" i="14" s="1"/>
  <c r="BD161" i="14"/>
  <c r="BA193" i="14"/>
  <c r="BA191" i="14" s="1"/>
  <c r="BJ164" i="14"/>
  <c r="BJ163" i="14" s="1"/>
  <c r="BI163" i="14" s="1"/>
  <c r="BI164" i="14" s="1"/>
  <c r="BG163" i="14"/>
  <c r="AH82" i="5"/>
  <c r="AH121" i="5" s="1"/>
  <c r="AI121" i="5"/>
  <c r="AJ78" i="5"/>
  <c r="AY578" i="20"/>
  <c r="AZ575" i="20" s="1"/>
  <c r="AW398" i="20"/>
  <c r="AW395" i="20"/>
  <c r="AY560" i="20"/>
  <c r="AZ557" i="20" s="1"/>
  <c r="AZ560" i="20" s="1"/>
  <c r="AZ561" i="20" s="1"/>
  <c r="BC20" i="20"/>
  <c r="BF77" i="6"/>
  <c r="BJ21" i="14"/>
  <c r="BI239" i="14"/>
  <c r="BL73" i="6" s="1"/>
  <c r="BL98" i="6" s="1"/>
  <c r="BC241" i="14"/>
  <c r="BC21" i="14"/>
  <c r="BC240" i="14"/>
  <c r="BD35" i="14"/>
  <c r="BC243" i="14"/>
  <c r="BF211" i="14"/>
  <c r="BF213" i="14" s="1"/>
  <c r="AH23" i="20"/>
  <c r="AH258" i="20"/>
  <c r="AH103" i="20"/>
  <c r="AH97" i="20"/>
  <c r="AW194" i="14"/>
  <c r="BG21" i="14"/>
  <c r="BF239" i="14"/>
  <c r="BI73" i="6" s="1"/>
  <c r="BI98" i="6" s="1"/>
  <c r="BI329" i="20"/>
  <c r="BI286" i="20"/>
  <c r="AZ244" i="14"/>
  <c r="AZ35" i="14"/>
  <c r="BG243" i="14"/>
  <c r="BJ73" i="6"/>
  <c r="BG241" i="14"/>
  <c r="BG98" i="6"/>
  <c r="BM73" i="6"/>
  <c r="BJ241" i="14"/>
  <c r="BJ243" i="14"/>
  <c r="AN97" i="6"/>
  <c r="AN96" i="6" s="1"/>
  <c r="BM29" i="3"/>
  <c r="BM25" i="6"/>
  <c r="BM94" i="6"/>
  <c r="BM70" i="6"/>
  <c r="BA560" i="20"/>
  <c r="BJ211" i="14"/>
  <c r="BI211" i="14" s="1"/>
  <c r="BI213" i="14" s="1"/>
  <c r="AL80" i="6"/>
  <c r="AX201" i="14"/>
  <c r="AW201" i="14" s="1"/>
  <c r="AW203" i="14" s="1"/>
  <c r="BA578" i="20"/>
  <c r="BB575" i="20" s="1"/>
  <c r="Q102" i="4"/>
  <c r="Q101" i="4"/>
  <c r="Q103" i="4"/>
  <c r="AO96" i="6"/>
  <c r="AL78" i="5"/>
  <c r="AL24" i="14"/>
  <c r="T96" i="4"/>
  <c r="W95" i="4"/>
  <c r="AK25" i="20" l="1"/>
  <c r="AH99" i="20"/>
  <c r="AW161" i="14"/>
  <c r="D6" i="54"/>
  <c r="D19" i="54" s="1"/>
  <c r="F6" i="54"/>
  <c r="F19" i="54" s="1"/>
  <c r="AY181" i="14"/>
  <c r="AZ181" i="14" s="1"/>
  <c r="AZ183" i="14" s="1"/>
  <c r="BB183" i="14"/>
  <c r="AY193" i="14"/>
  <c r="AV191" i="14"/>
  <c r="AW191" i="14" s="1"/>
  <c r="AW193" i="14" s="1"/>
  <c r="AY163" i="14"/>
  <c r="AB69" i="10"/>
  <c r="U101" i="4"/>
  <c r="U102" i="4"/>
  <c r="U103" i="4"/>
  <c r="V102" i="4"/>
  <c r="V101" i="4"/>
  <c r="V103" i="4"/>
  <c r="BD203" i="14"/>
  <c r="BJ161" i="14"/>
  <c r="BG173" i="14"/>
  <c r="BJ174" i="14"/>
  <c r="BJ173" i="14" s="1"/>
  <c r="BF163" i="14"/>
  <c r="BF164" i="14" s="1"/>
  <c r="BG161" i="14"/>
  <c r="BD193" i="14"/>
  <c r="BD191" i="14" s="1"/>
  <c r="AJ82" i="5"/>
  <c r="AK78" i="5" s="1"/>
  <c r="AY561" i="20"/>
  <c r="BB578" i="20"/>
  <c r="BC575" i="20" s="1"/>
  <c r="BC578" i="20" s="1"/>
  <c r="BC579" i="20" s="1"/>
  <c r="BF20" i="20"/>
  <c r="BI77" i="6"/>
  <c r="AZ578" i="20"/>
  <c r="AZ579" i="20" s="1"/>
  <c r="BA561" i="20"/>
  <c r="BB557" i="20"/>
  <c r="BB560" i="20" s="1"/>
  <c r="AY579" i="20"/>
  <c r="AK20" i="14"/>
  <c r="AN71" i="6"/>
  <c r="BG35" i="14"/>
  <c r="BF243" i="14"/>
  <c r="BC244" i="14"/>
  <c r="BC35" i="14"/>
  <c r="BI241" i="14"/>
  <c r="BI21" i="14"/>
  <c r="BI240" i="14"/>
  <c r="BF240" i="14"/>
  <c r="BF241" i="14"/>
  <c r="BF21" i="14"/>
  <c r="AH92" i="20"/>
  <c r="AH24" i="20"/>
  <c r="BJ35" i="14"/>
  <c r="BI243" i="14"/>
  <c r="BM98" i="6"/>
  <c r="BJ98" i="6"/>
  <c r="AL81" i="6"/>
  <c r="AL92" i="6"/>
  <c r="BD575" i="20"/>
  <c r="BA398" i="20"/>
  <c r="BA579" i="20"/>
  <c r="AL48" i="3"/>
  <c r="AL9" i="2" s="1"/>
  <c r="W96" i="4"/>
  <c r="Z95" i="4"/>
  <c r="AC95" i="4"/>
  <c r="AD95" i="4" s="1"/>
  <c r="T101" i="4"/>
  <c r="T102" i="4"/>
  <c r="T103" i="4"/>
  <c r="BA201" i="14"/>
  <c r="AZ201" i="14" s="1"/>
  <c r="AZ203" i="14" s="1"/>
  <c r="BD557" i="20"/>
  <c r="BA395" i="20"/>
  <c r="AY191" i="14" l="1"/>
  <c r="AZ191" i="14" s="1"/>
  <c r="AZ193" i="14" s="1"/>
  <c r="BB193" i="14"/>
  <c r="BB181" i="14"/>
  <c r="BC181" i="14" s="1"/>
  <c r="BC183" i="14" s="1"/>
  <c r="BE183" i="14"/>
  <c r="AY164" i="14"/>
  <c r="BB163" i="14"/>
  <c r="AY161" i="14"/>
  <c r="C19" i="54"/>
  <c r="C20" i="54" s="1"/>
  <c r="BB203" i="14"/>
  <c r="BB201" i="14" s="1"/>
  <c r="AJ121" i="5"/>
  <c r="BG203" i="14"/>
  <c r="BE203" i="14" s="1"/>
  <c r="BE201" i="14" s="1"/>
  <c r="BG193" i="14"/>
  <c r="BG191" i="14" s="1"/>
  <c r="AE95" i="4"/>
  <c r="AE96" i="4" s="1"/>
  <c r="AD96" i="4"/>
  <c r="Z96" i="4"/>
  <c r="Z103" i="4" s="1"/>
  <c r="AA95" i="4"/>
  <c r="AZ398" i="20"/>
  <c r="AY398" i="20"/>
  <c r="AK14" i="6"/>
  <c r="BI20" i="20"/>
  <c r="BL77" i="6"/>
  <c r="BB561" i="20"/>
  <c r="BC557" i="20"/>
  <c r="BB579" i="20"/>
  <c r="AZ395" i="20"/>
  <c r="AY395" i="20"/>
  <c r="AK91" i="6"/>
  <c r="BF35" i="14"/>
  <c r="BF244" i="14"/>
  <c r="BI244" i="14"/>
  <c r="BI35" i="14"/>
  <c r="AK40" i="14"/>
  <c r="AK23" i="14"/>
  <c r="AK65" i="14"/>
  <c r="AK61" i="14"/>
  <c r="AL70" i="3"/>
  <c r="AC96" i="4"/>
  <c r="AF95" i="4"/>
  <c r="AG95" i="4" s="1"/>
  <c r="AL9" i="6"/>
  <c r="BD578" i="20"/>
  <c r="W101" i="4"/>
  <c r="W103" i="4"/>
  <c r="W102" i="4"/>
  <c r="BD560" i="20"/>
  <c r="BD201" i="14"/>
  <c r="AZ161" i="14" l="1"/>
  <c r="BC201" i="14"/>
  <c r="BC203" i="14" s="1"/>
  <c r="BH183" i="14"/>
  <c r="BE181" i="14"/>
  <c r="BF181" i="14" s="1"/>
  <c r="BF183" i="14" s="1"/>
  <c r="BB191" i="14"/>
  <c r="BC191" i="14" s="1"/>
  <c r="BC193" i="14" s="1"/>
  <c r="BE193" i="14"/>
  <c r="BB164" i="14"/>
  <c r="BE163" i="14"/>
  <c r="BB161" i="14"/>
  <c r="Z102" i="4"/>
  <c r="BA79" i="7"/>
  <c r="AB77" i="10"/>
  <c r="AB85" i="10" s="1"/>
  <c r="AN24" i="14"/>
  <c r="AN25" i="14"/>
  <c r="Z101" i="4"/>
  <c r="BJ193" i="14"/>
  <c r="BJ191" i="14" s="1"/>
  <c r="AH95" i="4"/>
  <c r="AH96" i="4" s="1"/>
  <c r="AG96" i="4"/>
  <c r="AB95" i="4"/>
  <c r="AB96" i="4" s="1"/>
  <c r="AA96" i="4"/>
  <c r="AD102" i="4"/>
  <c r="AD103" i="4"/>
  <c r="AD101" i="4"/>
  <c r="AE102" i="4"/>
  <c r="AE101" i="4"/>
  <c r="AE103" i="4"/>
  <c r="BD561" i="20"/>
  <c r="BE557" i="20"/>
  <c r="BE560" i="20" s="1"/>
  <c r="BD579" i="20"/>
  <c r="BE575" i="20"/>
  <c r="BE578" i="20" s="1"/>
  <c r="BC560" i="20"/>
  <c r="BC561" i="20" s="1"/>
  <c r="AK128" i="6"/>
  <c r="AK127" i="6"/>
  <c r="AK48" i="3"/>
  <c r="AK9" i="2" s="1"/>
  <c r="AK48" i="14"/>
  <c r="AK43" i="14"/>
  <c r="AK42" i="14"/>
  <c r="AK44" i="14"/>
  <c r="AL54" i="3"/>
  <c r="BG575" i="20"/>
  <c r="BD398" i="20"/>
  <c r="AC102" i="4"/>
  <c r="AC103" i="4"/>
  <c r="AC101" i="4"/>
  <c r="BG201" i="14"/>
  <c r="BF201" i="14" s="1"/>
  <c r="BF203" i="14" s="1"/>
  <c r="BG557" i="20"/>
  <c r="BD395" i="20"/>
  <c r="AL23" i="3"/>
  <c r="AL7" i="3"/>
  <c r="AL32" i="3"/>
  <c r="AF96" i="4"/>
  <c r="AI95" i="4"/>
  <c r="BC161" i="14" l="1"/>
  <c r="AK50" i="14"/>
  <c r="AK51" i="14" s="1"/>
  <c r="AK55" i="14"/>
  <c r="BE161" i="14"/>
  <c r="BE164" i="14"/>
  <c r="BH163" i="14"/>
  <c r="BH193" i="14"/>
  <c r="BE191" i="14"/>
  <c r="BF191" i="14" s="1"/>
  <c r="BF193" i="14" s="1"/>
  <c r="BH181" i="14"/>
  <c r="BI181" i="14" s="1"/>
  <c r="BI183" i="14" s="1"/>
  <c r="BJ203" i="14"/>
  <c r="BH203" i="14" s="1"/>
  <c r="BH201" i="14" s="1"/>
  <c r="AA102" i="4"/>
  <c r="AA101" i="4"/>
  <c r="AA103" i="4"/>
  <c r="AB102" i="4"/>
  <c r="AB101" i="4"/>
  <c r="AB103" i="4"/>
  <c r="AG102" i="4"/>
  <c r="AG103" i="4"/>
  <c r="AG101" i="4"/>
  <c r="AH102" i="4"/>
  <c r="AH103" i="4"/>
  <c r="AH101" i="4"/>
  <c r="AL95" i="4"/>
  <c r="AL96" i="4" s="1"/>
  <c r="AJ95" i="4"/>
  <c r="BC398" i="20"/>
  <c r="BB398" i="20"/>
  <c r="BE579" i="20"/>
  <c r="BF575" i="20"/>
  <c r="BC395" i="20"/>
  <c r="BB395" i="20"/>
  <c r="AK25" i="2"/>
  <c r="AL24" i="3"/>
  <c r="AL27" i="3" s="1"/>
  <c r="BE561" i="20"/>
  <c r="BF557" i="20"/>
  <c r="AL176" i="2"/>
  <c r="AL98" i="3"/>
  <c r="AO26" i="3"/>
  <c r="AL5" i="2"/>
  <c r="AL85" i="3"/>
  <c r="AL71" i="3"/>
  <c r="AL49" i="3"/>
  <c r="BG560" i="20"/>
  <c r="BH557" i="20" s="1"/>
  <c r="BH560" i="20" s="1"/>
  <c r="AI96" i="4"/>
  <c r="AF102" i="4"/>
  <c r="AF103" i="4"/>
  <c r="AF101" i="4"/>
  <c r="BG578" i="20"/>
  <c r="BF161" i="14" l="1"/>
  <c r="BH191" i="14"/>
  <c r="BI191" i="14" s="1"/>
  <c r="BI193" i="14" s="1"/>
  <c r="BH161" i="14"/>
  <c r="BH164" i="14"/>
  <c r="BJ201" i="14"/>
  <c r="BI201" i="14" s="1"/>
  <c r="BI203" i="14" s="1"/>
  <c r="AM95" i="4"/>
  <c r="AN95" i="4" s="1"/>
  <c r="AN96" i="4" s="1"/>
  <c r="AJ96" i="4"/>
  <c r="AK95" i="4"/>
  <c r="AK96" i="4" s="1"/>
  <c r="AK228" i="4"/>
  <c r="AK100" i="5"/>
  <c r="AK33" i="2"/>
  <c r="AL122" i="2"/>
  <c r="AL234" i="4"/>
  <c r="AK12" i="6"/>
  <c r="AK9" i="6"/>
  <c r="AK15" i="6"/>
  <c r="BG579" i="20"/>
  <c r="BH575" i="20"/>
  <c r="BF560" i="20"/>
  <c r="BF561" i="20" s="1"/>
  <c r="BF578" i="20"/>
  <c r="BF579" i="20" s="1"/>
  <c r="BH561" i="20"/>
  <c r="BI557" i="20"/>
  <c r="AL162" i="4"/>
  <c r="AL7" i="2"/>
  <c r="AL18" i="2" s="1"/>
  <c r="AL121" i="2"/>
  <c r="AL10" i="2"/>
  <c r="AL139" i="4"/>
  <c r="AL174" i="4"/>
  <c r="AL172" i="4"/>
  <c r="AL160" i="4"/>
  <c r="AL8" i="2"/>
  <c r="AL99" i="4" s="1"/>
  <c r="AL103" i="4" s="1"/>
  <c r="AL123" i="2"/>
  <c r="AL98" i="4"/>
  <c r="AL102" i="4" s="1"/>
  <c r="BJ575" i="20"/>
  <c r="BG398" i="20"/>
  <c r="AI102" i="4"/>
  <c r="AI101" i="4"/>
  <c r="AI103" i="4"/>
  <c r="X13" i="10"/>
  <c r="X28" i="10" s="1"/>
  <c r="AO95" i="4"/>
  <c r="AP95" i="4" s="1"/>
  <c r="BJ557" i="20"/>
  <c r="BG395" i="20"/>
  <c r="BG561" i="20"/>
  <c r="BI161" i="14" l="1"/>
  <c r="AM96" i="4"/>
  <c r="AM103" i="4" s="1"/>
  <c r="AK43" i="2"/>
  <c r="AK98" i="5"/>
  <c r="AK99" i="5" s="1"/>
  <c r="AK37" i="2"/>
  <c r="AK157" i="2" s="1"/>
  <c r="AJ102" i="4"/>
  <c r="AJ103" i="4"/>
  <c r="AJ101" i="4"/>
  <c r="AQ95" i="4"/>
  <c r="AQ96" i="4" s="1"/>
  <c r="AP96" i="4"/>
  <c r="BI560" i="20"/>
  <c r="BI561" i="20" s="1"/>
  <c r="BF395" i="20"/>
  <c r="BE395" i="20"/>
  <c r="BF398" i="20"/>
  <c r="BE398" i="20"/>
  <c r="BH578" i="20"/>
  <c r="BI575" i="20" s="1"/>
  <c r="AK23" i="3"/>
  <c r="AK5" i="2" s="1"/>
  <c r="AL101" i="4"/>
  <c r="AL12" i="2"/>
  <c r="AL23" i="2" s="1"/>
  <c r="AL16" i="2"/>
  <c r="BJ560" i="20"/>
  <c r="BJ395" i="20" s="1"/>
  <c r="AO96" i="4"/>
  <c r="AR95" i="4"/>
  <c r="AS95" i="4" s="1"/>
  <c r="AL30" i="4"/>
  <c r="BJ578" i="20"/>
  <c r="BJ398" i="20" s="1"/>
  <c r="AL134" i="2"/>
  <c r="AL138" i="2" s="1"/>
  <c r="AL141" i="2" s="1"/>
  <c r="AM102" i="4" l="1"/>
  <c r="AM101" i="4"/>
  <c r="AQ101" i="4"/>
  <c r="AQ103" i="4"/>
  <c r="AQ102" i="4"/>
  <c r="AK46" i="2"/>
  <c r="AK47" i="2"/>
  <c r="AK98" i="4"/>
  <c r="AK102" i="4" s="1"/>
  <c r="AK121" i="2"/>
  <c r="AK234" i="4"/>
  <c r="AK172" i="4"/>
  <c r="AK174" i="4"/>
  <c r="AK122" i="2"/>
  <c r="AK130" i="2"/>
  <c r="AK151" i="4"/>
  <c r="AK142" i="2"/>
  <c r="AK7" i="2"/>
  <c r="AK123" i="2"/>
  <c r="AK153" i="4"/>
  <c r="AK160" i="4"/>
  <c r="AK162" i="4"/>
  <c r="AK139" i="4"/>
  <c r="AK10" i="2"/>
  <c r="AK8" i="2"/>
  <c r="AK99" i="4" s="1"/>
  <c r="AK26" i="2"/>
  <c r="AK229" i="4"/>
  <c r="AT95" i="4"/>
  <c r="AT96" i="4" s="1"/>
  <c r="AS96" i="4"/>
  <c r="AP102" i="4"/>
  <c r="AP103" i="4"/>
  <c r="AP101" i="4"/>
  <c r="BI578" i="20"/>
  <c r="BI579" i="20" s="1"/>
  <c r="BI395" i="20"/>
  <c r="BH395" i="20"/>
  <c r="BH579" i="20"/>
  <c r="BI398" i="20"/>
  <c r="BH398" i="20"/>
  <c r="AK24" i="3"/>
  <c r="AK27" i="3" s="1"/>
  <c r="AN26" i="3"/>
  <c r="AN25" i="3"/>
  <c r="AK49" i="3"/>
  <c r="AK71" i="3"/>
  <c r="AL13" i="2"/>
  <c r="AL5" i="5"/>
  <c r="AL32" i="2"/>
  <c r="AL38" i="2" s="1"/>
  <c r="AL42" i="2" s="1"/>
  <c r="AL34" i="5"/>
  <c r="AU95" i="4"/>
  <c r="AR96" i="4"/>
  <c r="BJ561" i="20"/>
  <c r="BJ579" i="20"/>
  <c r="AL39" i="5"/>
  <c r="AV95" i="4" l="1"/>
  <c r="AW95" i="4" s="1"/>
  <c r="AW96" i="4" s="1"/>
  <c r="AX95" i="4"/>
  <c r="AT101" i="4"/>
  <c r="AT103" i="4"/>
  <c r="AT102" i="4"/>
  <c r="AS102" i="4"/>
  <c r="AS103" i="4"/>
  <c r="AS101" i="4"/>
  <c r="AR102" i="4"/>
  <c r="AR103" i="4"/>
  <c r="AR101" i="4"/>
  <c r="AK231" i="4"/>
  <c r="AK230" i="4"/>
  <c r="AK54" i="2"/>
  <c r="AK50" i="2"/>
  <c r="AK12" i="2"/>
  <c r="AK16" i="2"/>
  <c r="AK18" i="2"/>
  <c r="AK103" i="4"/>
  <c r="AK101" i="4"/>
  <c r="AL37" i="5"/>
  <c r="AL91" i="5" s="1"/>
  <c r="AK39" i="5"/>
  <c r="AK37" i="5" s="1"/>
  <c r="AK233" i="4"/>
  <c r="AK235" i="4" s="1"/>
  <c r="AV96" i="4"/>
  <c r="AL19" i="5"/>
  <c r="AL142" i="2"/>
  <c r="AL148" i="2"/>
  <c r="AU96" i="4"/>
  <c r="AL12" i="5"/>
  <c r="AX96" i="4" l="1"/>
  <c r="AY95" i="4"/>
  <c r="AY96" i="4" s="1"/>
  <c r="AV102" i="4"/>
  <c r="AV103" i="4"/>
  <c r="AV101" i="4"/>
  <c r="AU103" i="4"/>
  <c r="AU101" i="4"/>
  <c r="AU102" i="4"/>
  <c r="AL54" i="5"/>
  <c r="AK54" i="5"/>
  <c r="AK91" i="5"/>
  <c r="AK13" i="2"/>
  <c r="AK23" i="2"/>
  <c r="AZ95" i="4"/>
  <c r="AZ96" i="4" s="1"/>
  <c r="BA95" i="4"/>
  <c r="BB95" i="4" s="1"/>
  <c r="AO158" i="4"/>
  <c r="AK5" i="5" l="1"/>
  <c r="AK29" i="5" s="1"/>
  <c r="AK32" i="2"/>
  <c r="AK38" i="2" s="1"/>
  <c r="AK42" i="2" s="1"/>
  <c r="BB96" i="4"/>
  <c r="BC95" i="4"/>
  <c r="BC96" i="4" s="1"/>
  <c r="BA96" i="4"/>
  <c r="BD95" i="4"/>
  <c r="BE95" i="4" s="1"/>
  <c r="AL13" i="4"/>
  <c r="AK45" i="2" l="1"/>
  <c r="AK44" i="2"/>
  <c r="AK31" i="5"/>
  <c r="AK76" i="5" s="1"/>
  <c r="AK82" i="5" s="1"/>
  <c r="AK121" i="5" s="1"/>
  <c r="AK88" i="5"/>
  <c r="AK94" i="5" s="1"/>
  <c r="BE96" i="4"/>
  <c r="BF95" i="4"/>
  <c r="BF96" i="4" s="1"/>
  <c r="BD96" i="4"/>
  <c r="BG95" i="4"/>
  <c r="BH95" i="4" s="1"/>
  <c r="AL38" i="4"/>
  <c r="BH96" i="4" l="1"/>
  <c r="BI95" i="4"/>
  <c r="BI96" i="4" s="1"/>
  <c r="X58" i="10"/>
  <c r="X60" i="10" s="1"/>
  <c r="AL39" i="4"/>
  <c r="BG96" i="4"/>
  <c r="BJ95" i="4"/>
  <c r="BK95" i="4" s="1"/>
  <c r="BK96" i="4" l="1"/>
  <c r="BL95" i="4"/>
  <c r="BL96" i="4" s="1"/>
  <c r="BJ96" i="4"/>
  <c r="BM95" i="4"/>
  <c r="BM96" i="4" s="1"/>
  <c r="AL60" i="4" l="1"/>
  <c r="AM69" i="4" s="1"/>
  <c r="AM71" i="4" s="1"/>
  <c r="AM72" i="4" s="1"/>
  <c r="AL239" i="4" l="1"/>
  <c r="AL240" i="4" s="1"/>
  <c r="AL242" i="4" s="1"/>
  <c r="X7" i="10"/>
  <c r="AL21" i="4"/>
  <c r="AL51" i="4"/>
  <c r="X57" i="10"/>
  <c r="X41" i="10" l="1"/>
  <c r="AL22" i="4"/>
  <c r="AL41" i="4" l="1"/>
  <c r="AL52" i="4" s="1"/>
  <c r="AL84" i="5"/>
  <c r="X52" i="10" l="1"/>
  <c r="X10" i="10"/>
  <c r="X42" i="10" s="1"/>
  <c r="AL3" i="4"/>
  <c r="X44" i="10" l="1"/>
  <c r="AL3" i="5"/>
  <c r="AL3" i="2"/>
  <c r="AH21" i="14" l="1"/>
  <c r="AH239" i="14" s="1"/>
  <c r="AH240" i="14" s="1"/>
  <c r="AK98" i="6"/>
  <c r="AH244" i="14" l="1"/>
  <c r="AH241" i="14"/>
  <c r="AH20" i="14"/>
  <c r="AH40" i="14" s="1"/>
  <c r="AK97" i="6"/>
  <c r="AK99" i="6"/>
  <c r="AK96" i="6" l="1"/>
  <c r="AH44" i="14"/>
  <c r="AH43" i="14"/>
  <c r="AH48" i="14"/>
  <c r="AH42" i="14"/>
  <c r="AK71" i="6"/>
  <c r="AK80" i="6" s="1"/>
  <c r="AH22" i="14"/>
  <c r="AH50" i="14" l="1"/>
  <c r="AH51" i="14" s="1"/>
  <c r="AH55" i="14"/>
  <c r="AH256" i="14"/>
  <c r="AH23" i="14"/>
  <c r="AK25" i="14" s="1"/>
  <c r="AK81" i="6"/>
  <c r="AK92" i="6"/>
  <c r="AL158" i="2"/>
  <c r="AH24" i="14" l="1"/>
  <c r="AK24" i="14"/>
  <c r="AH257" i="14"/>
  <c r="AH260" i="14"/>
  <c r="AL24" i="2"/>
  <c r="AL25" i="2" s="1"/>
  <c r="AL165" i="2" l="1"/>
  <c r="X15" i="10" l="1"/>
  <c r="AL228" i="4"/>
  <c r="AL26" i="2"/>
  <c r="AL33" i="2"/>
  <c r="AL100" i="5"/>
  <c r="AL108" i="5" s="1"/>
  <c r="AL98" i="5" l="1"/>
  <c r="AL37" i="2"/>
  <c r="AL43" i="2"/>
  <c r="X29" i="10"/>
  <c r="X34" i="10"/>
  <c r="X46" i="10"/>
  <c r="AL29" i="5"/>
  <c r="AL88" i="5" s="1"/>
  <c r="AL94" i="5" s="1"/>
  <c r="X37" i="10" l="1"/>
  <c r="AL157" i="2"/>
  <c r="AL169" i="2" s="1"/>
  <c r="X17" i="10"/>
  <c r="AL229" i="4"/>
  <c r="AL99" i="5"/>
  <c r="AL163" i="2"/>
  <c r="AL31" i="5"/>
  <c r="AL230" i="4" l="1"/>
  <c r="X61" i="10" s="1"/>
  <c r="AL231" i="4"/>
  <c r="X62" i="10" s="1"/>
  <c r="X35" i="10"/>
  <c r="X43" i="10"/>
  <c r="X63" i="10"/>
  <c r="AL233" i="4"/>
  <c r="AL235" i="4" s="1"/>
  <c r="X38" i="10"/>
  <c r="X16" i="10"/>
  <c r="AL44" i="2" l="1"/>
  <c r="AL45" i="2"/>
  <c r="AL46" i="2"/>
  <c r="AL47" i="2"/>
  <c r="X18" i="10" s="1"/>
  <c r="AL56" i="2"/>
  <c r="X5" i="10"/>
  <c r="X4" i="10" s="1"/>
  <c r="AL73" i="2" s="1"/>
  <c r="AJ73" i="2" l="1"/>
  <c r="AJ74" i="2" s="1"/>
  <c r="AJ65" i="2" s="1"/>
  <c r="AJ68" i="2" s="1"/>
  <c r="AK64" i="2" s="1"/>
  <c r="AK73" i="2"/>
  <c r="X20" i="10"/>
  <c r="AL54" i="2"/>
  <c r="AL50" i="2"/>
  <c r="X49" i="10"/>
  <c r="AL74" i="2"/>
  <c r="AL65" i="2" l="1"/>
  <c r="AK74" i="2"/>
  <c r="AL68" i="2" l="1"/>
  <c r="AK65" i="2"/>
  <c r="AK68" i="2" s="1"/>
  <c r="AM64" i="2" l="1"/>
  <c r="AO64" i="2"/>
  <c r="Y5" i="10"/>
  <c r="AO56" i="2"/>
  <c r="AO62" i="2"/>
  <c r="AL71" i="5" l="1"/>
  <c r="AL74" i="5" l="1"/>
  <c r="AO71" i="5"/>
  <c r="AO74" i="5" l="1"/>
  <c r="AL76" i="5"/>
  <c r="AL82" i="5" l="1"/>
  <c r="AL121" i="5" l="1"/>
  <c r="AM78" i="5"/>
  <c r="AO78" i="5"/>
  <c r="AM82" i="5" l="1"/>
  <c r="AN78" i="5" s="1"/>
  <c r="AL102" i="5"/>
  <c r="AL111" i="5"/>
  <c r="AM121" i="5" l="1"/>
  <c r="AK102" i="5"/>
  <c r="AK104" i="5" s="1"/>
  <c r="AL105" i="4"/>
  <c r="AL112" i="5"/>
  <c r="AL115" i="5"/>
  <c r="AL116" i="5"/>
  <c r="AL62" i="4"/>
  <c r="X21" i="10"/>
  <c r="AL95" i="5"/>
  <c r="AK119" i="5" l="1"/>
  <c r="AK108" i="5"/>
  <c r="AK111" i="5" s="1"/>
  <c r="AK112" i="5"/>
  <c r="X24" i="10"/>
  <c r="AL106" i="4"/>
  <c r="AL107" i="4"/>
  <c r="AL111" i="4"/>
  <c r="AL112" i="4" s="1"/>
  <c r="X36" i="10"/>
  <c r="AL178" i="2" s="1"/>
  <c r="X23" i="10"/>
  <c r="X54" i="10"/>
  <c r="X47" i="10"/>
  <c r="X64" i="10"/>
  <c r="X25" i="10"/>
  <c r="AK115" i="5" l="1"/>
  <c r="AK62" i="4"/>
  <c r="AK71" i="4" s="1"/>
  <c r="AK72" i="4" s="1"/>
  <c r="AK116" i="5"/>
  <c r="AK105" i="4"/>
  <c r="AK95" i="5"/>
  <c r="AL108" i="4"/>
  <c r="AL109" i="4"/>
  <c r="AL110" i="4" s="1"/>
  <c r="X22" i="10"/>
  <c r="AK111" i="4" l="1"/>
  <c r="AK112" i="4" s="1"/>
  <c r="AK106" i="4"/>
  <c r="AK107" i="4"/>
  <c r="X48" i="10"/>
  <c r="X65" i="10"/>
  <c r="AL150" i="4"/>
  <c r="AL151" i="4" s="1"/>
  <c r="X14" i="10"/>
  <c r="AK108" i="4" l="1"/>
  <c r="AK109" i="4"/>
  <c r="AK110" i="4" s="1"/>
  <c r="X45" i="10"/>
  <c r="AL170" i="2"/>
  <c r="AL152" i="4"/>
  <c r="AL153" i="4" s="1"/>
  <c r="X53" i="10"/>
  <c r="AL71" i="4" l="1"/>
  <c r="AL72" i="4" s="1"/>
  <c r="AL38" i="18"/>
  <c r="AL41" i="18" l="1"/>
  <c r="AO69" i="18" l="1"/>
  <c r="AN69" i="18" s="1"/>
  <c r="AO34" i="18" l="1"/>
  <c r="AO35" i="18" s="1"/>
  <c r="AO145" i="2" l="1"/>
  <c r="AO5" i="18"/>
  <c r="AO14" i="18"/>
  <c r="AO19" i="18" s="1"/>
  <c r="AO11" i="3"/>
  <c r="AN14" i="18" l="1"/>
  <c r="AO36" i="3"/>
  <c r="AO15" i="18"/>
  <c r="AO77" i="18"/>
  <c r="AO70" i="18" l="1"/>
  <c r="AR68" i="18"/>
  <c r="AN77" i="18"/>
  <c r="AQ68" i="18" s="1"/>
  <c r="AN19" i="18"/>
  <c r="AO58" i="3"/>
  <c r="AO79" i="18"/>
  <c r="AO78" i="18"/>
  <c r="AQ70" i="18" l="1"/>
  <c r="AQ79" i="18"/>
  <c r="AR70" i="18"/>
  <c r="AR79" i="18"/>
  <c r="AN23" i="18"/>
  <c r="AN33" i="18"/>
  <c r="AQ28" i="18" s="1"/>
  <c r="AN12" i="18"/>
  <c r="AN9" i="18"/>
  <c r="AN7" i="18"/>
  <c r="AN5" i="18"/>
  <c r="AN79" i="18"/>
  <c r="AN70" i="18"/>
  <c r="AN15" i="18"/>
  <c r="AN58" i="3"/>
  <c r="AO177" i="2"/>
  <c r="AN78" i="18" l="1"/>
  <c r="AQ36" i="18"/>
  <c r="AQ32" i="18"/>
  <c r="AQ34" i="18"/>
  <c r="AN40" i="18"/>
  <c r="AN32" i="18"/>
  <c r="AN34" i="18"/>
  <c r="AN35" i="18" s="1"/>
  <c r="AN11" i="3"/>
  <c r="AN36" i="3"/>
  <c r="AI42" i="14"/>
  <c r="AI43" i="14"/>
  <c r="AI44" i="14"/>
  <c r="AI50" i="14"/>
  <c r="AQ35" i="18" l="1"/>
  <c r="AN42" i="18"/>
  <c r="AN38" i="18"/>
  <c r="AN50" i="18"/>
  <c r="AN51" i="18"/>
  <c r="AN49" i="18"/>
  <c r="AN48" i="18"/>
  <c r="AH61" i="14"/>
  <c r="AI51" i="14"/>
  <c r="AN41" i="18" l="1"/>
  <c r="AQ44" i="18"/>
  <c r="AN47" i="18"/>
  <c r="AL101" i="6"/>
  <c r="AI368" i="20" l="1"/>
  <c r="AH368" i="20" s="1"/>
  <c r="AH365" i="20" s="1"/>
  <c r="AI44" i="20" l="1"/>
  <c r="AL44" i="20"/>
  <c r="AL38" i="20" l="1"/>
  <c r="AK38" i="20" s="1"/>
  <c r="AN103" i="6" s="1"/>
  <c r="AK44" i="20"/>
  <c r="AI38" i="20"/>
  <c r="AH38" i="20" s="1"/>
  <c r="AK103" i="6" s="1"/>
  <c r="AH44" i="20"/>
  <c r="AL37" i="20" l="1"/>
  <c r="AL43" i="20" s="1"/>
  <c r="AK43" i="20" s="1"/>
  <c r="AI36" i="20"/>
  <c r="AI42" i="20" s="1"/>
  <c r="AH42" i="20" s="1"/>
  <c r="AI37" i="20"/>
  <c r="AI43" i="20" s="1"/>
  <c r="AH43" i="20" s="1"/>
  <c r="AL36" i="20"/>
  <c r="AK36" i="20" s="1"/>
  <c r="AL103" i="6"/>
  <c r="AO103" i="6"/>
  <c r="AQ103" i="6" l="1"/>
  <c r="AR103" i="6"/>
  <c r="AK37" i="20"/>
  <c r="AN102" i="6" s="1"/>
  <c r="AH37" i="20"/>
  <c r="AH36" i="20"/>
  <c r="AL42" i="20"/>
  <c r="AK42" i="20" s="1"/>
  <c r="AN364" i="20"/>
  <c r="AK22" i="20"/>
  <c r="AK358" i="20" s="1"/>
  <c r="AK362" i="20" s="1"/>
  <c r="AK360" i="20" s="1"/>
  <c r="AK356" i="20" s="1"/>
  <c r="AO29" i="20" l="1"/>
  <c r="AR116" i="6" s="1"/>
  <c r="AK102" i="6"/>
  <c r="BK22" i="20"/>
  <c r="AN29" i="20" l="1"/>
  <c r="AQ116" i="6" s="1"/>
  <c r="AF390" i="20" l="1"/>
  <c r="AF466" i="20"/>
  <c r="AF477" i="20" s="1"/>
  <c r="AI542" i="20"/>
  <c r="AF545" i="20"/>
  <c r="AF170" i="20" l="1"/>
  <c r="AF134" i="20" s="1"/>
  <c r="AF203" i="20" s="1"/>
  <c r="AF544" i="20"/>
  <c r="AG542" i="20"/>
  <c r="AF539" i="20"/>
  <c r="AG536" i="20" s="1"/>
  <c r="AE390" i="20"/>
  <c r="AD390" i="20"/>
  <c r="AF490" i="20"/>
  <c r="AI536" i="20"/>
  <c r="AF447" i="20"/>
  <c r="AF448" i="20" s="1"/>
  <c r="AF546" i="20"/>
  <c r="AF465" i="20"/>
  <c r="AF476" i="20" s="1"/>
  <c r="AF393" i="20"/>
  <c r="AF169" i="20" l="1"/>
  <c r="AF150" i="20" s="1"/>
  <c r="AF540" i="20"/>
  <c r="AG546" i="20"/>
  <c r="AG544" i="20"/>
  <c r="AG540" i="20"/>
  <c r="AG538" i="20"/>
  <c r="AF538" i="20"/>
  <c r="AD393" i="20"/>
  <c r="AD465" i="20"/>
  <c r="AD476" i="20" s="1"/>
  <c r="AD479" i="20" s="1"/>
  <c r="AD480" i="20" s="1"/>
  <c r="AD539" i="20"/>
  <c r="AE539" i="20"/>
  <c r="AE465" i="20"/>
  <c r="AE476" i="20" s="1"/>
  <c r="AE479" i="20" s="1"/>
  <c r="AE480" i="20" s="1"/>
  <c r="AE393" i="20"/>
  <c r="AF489" i="20"/>
  <c r="AF492" i="20" s="1"/>
  <c r="AF493" i="20" s="1"/>
  <c r="AF214" i="20"/>
  <c r="AF394" i="20"/>
  <c r="AF459" i="20"/>
  <c r="AF479" i="20"/>
  <c r="AF480" i="20" s="1"/>
  <c r="AF162" i="20" l="1"/>
  <c r="AD489" i="20"/>
  <c r="AD492" i="20" s="1"/>
  <c r="AD493" i="20" s="1"/>
  <c r="AD495" i="20" s="1"/>
  <c r="AD447" i="20"/>
  <c r="AD448" i="20" s="1"/>
  <c r="AD455" i="20" s="1"/>
  <c r="AE394" i="20"/>
  <c r="AE402" i="20" s="1"/>
  <c r="AE459" i="20"/>
  <c r="AD459" i="20"/>
  <c r="AD394" i="20"/>
  <c r="AD402" i="20" s="1"/>
  <c r="AD538" i="20"/>
  <c r="AE536" i="20"/>
  <c r="AE540" i="20" s="1"/>
  <c r="AD540" i="20"/>
  <c r="AE489" i="20"/>
  <c r="AE492" i="20" s="1"/>
  <c r="AE493" i="20" s="1"/>
  <c r="AE495" i="20" s="1"/>
  <c r="AE447" i="20"/>
  <c r="AE448" i="20" s="1"/>
  <c r="AE455" i="20" s="1"/>
  <c r="AF495" i="20"/>
  <c r="AF496" i="20" s="1"/>
  <c r="AF133" i="20"/>
  <c r="AE150" i="20"/>
  <c r="AF202" i="20" l="1"/>
  <c r="AF195" i="20" s="1"/>
  <c r="AF124" i="20"/>
  <c r="AF126" i="20" s="1"/>
  <c r="AE496" i="20"/>
  <c r="AH496" i="20"/>
  <c r="AE538" i="20"/>
  <c r="AD496" i="20"/>
  <c r="AG496" i="20"/>
  <c r="AE124" i="20" l="1"/>
  <c r="AD195" i="20"/>
  <c r="AD184" i="20" s="1"/>
  <c r="AD263" i="20" s="1"/>
  <c r="AF213" i="20"/>
  <c r="AF206" i="20" s="1"/>
  <c r="AF184" i="20"/>
  <c r="AF263" i="20" s="1"/>
  <c r="AF137" i="20"/>
  <c r="AF125" i="20"/>
  <c r="AE195" i="20" l="1"/>
  <c r="AE184" i="20" s="1"/>
  <c r="AE263" i="20"/>
  <c r="AE125" i="20"/>
  <c r="AE137" i="20"/>
  <c r="AF217" i="20"/>
  <c r="AD206" i="20"/>
  <c r="AE206" i="20" s="1"/>
  <c r="AF138" i="20"/>
  <c r="AI466" i="20" l="1"/>
  <c r="AI545" i="20"/>
  <c r="AJ542" i="20" s="1"/>
  <c r="AJ546" i="20" l="1"/>
  <c r="AJ544" i="20"/>
  <c r="AI393" i="20"/>
  <c r="AI539" i="20"/>
  <c r="AJ536" i="20" s="1"/>
  <c r="AI465" i="20"/>
  <c r="AI544" i="20"/>
  <c r="AI546" i="20"/>
  <c r="AL542" i="20"/>
  <c r="AL544" i="20" s="1"/>
  <c r="AI490" i="20"/>
  <c r="AI477" i="20"/>
  <c r="AI170" i="20" l="1"/>
  <c r="AI134" i="20" s="1"/>
  <c r="AI203" i="20" s="1"/>
  <c r="AJ540" i="20"/>
  <c r="AJ538" i="20"/>
  <c r="AI476" i="20"/>
  <c r="AI447" i="20"/>
  <c r="AI448" i="20" s="1"/>
  <c r="AI489" i="20"/>
  <c r="AI492" i="20" s="1"/>
  <c r="AI493" i="20" s="1"/>
  <c r="AI540" i="20"/>
  <c r="AI538" i="20"/>
  <c r="AL536" i="20"/>
  <c r="AL538" i="20" s="1"/>
  <c r="BJ538" i="20" s="1"/>
  <c r="AI459" i="20"/>
  <c r="AI394" i="20"/>
  <c r="AI169" i="20" l="1"/>
  <c r="AI150" i="20" s="1"/>
  <c r="BH538" i="20"/>
  <c r="BI538" i="20" s="1"/>
  <c r="AI479" i="20"/>
  <c r="AI480" i="20" s="1"/>
  <c r="AI495" i="20" s="1"/>
  <c r="AI496" i="20" s="1"/>
  <c r="AL546" i="20"/>
  <c r="AI214" i="20"/>
  <c r="AI162" i="20" l="1"/>
  <c r="AH150" i="20"/>
  <c r="AP542" i="20"/>
  <c r="AP544" i="20" s="1"/>
  <c r="BA544" i="20"/>
  <c r="AI133" i="20"/>
  <c r="AL490" i="20"/>
  <c r="AL477" i="20"/>
  <c r="AI202" i="20" l="1"/>
  <c r="AI195" i="20" s="1"/>
  <c r="AI124" i="20"/>
  <c r="AO170" i="20"/>
  <c r="AL170" i="20"/>
  <c r="AL134" i="20" s="1"/>
  <c r="AL203" i="20" s="1"/>
  <c r="AP546" i="20"/>
  <c r="AN391" i="20"/>
  <c r="AN545" i="20" s="1"/>
  <c r="BD544" i="20"/>
  <c r="AY544" i="20"/>
  <c r="AL418" i="20"/>
  <c r="AL430" i="20" s="1"/>
  <c r="AL431" i="20" s="1"/>
  <c r="AN466" i="20" l="1"/>
  <c r="AN477" i="20" s="1"/>
  <c r="AQ391" i="20"/>
  <c r="BG544" i="20"/>
  <c r="BB544" i="20"/>
  <c r="BC544" i="20" s="1"/>
  <c r="AG195" i="20"/>
  <c r="AM545" i="20"/>
  <c r="AN542" i="20" s="1"/>
  <c r="AM466" i="20"/>
  <c r="AM477" i="20" s="1"/>
  <c r="AZ544" i="20"/>
  <c r="AO134" i="20"/>
  <c r="AI213" i="20"/>
  <c r="AI206" i="20" s="1"/>
  <c r="AI125" i="20"/>
  <c r="AI137" i="20"/>
  <c r="AL214" i="20"/>
  <c r="AR170" i="20"/>
  <c r="AL419" i="20"/>
  <c r="AQ545" i="20" l="1"/>
  <c r="AQ466" i="20"/>
  <c r="AQ477" i="20" s="1"/>
  <c r="AR134" i="20"/>
  <c r="AR203" i="20" s="1"/>
  <c r="AN544" i="20"/>
  <c r="AN546" i="20"/>
  <c r="AN490" i="20"/>
  <c r="AM490" i="20"/>
  <c r="AH195" i="20"/>
  <c r="AG184" i="20"/>
  <c r="AM544" i="20"/>
  <c r="AM546" i="20"/>
  <c r="AI217" i="20"/>
  <c r="AG206" i="20"/>
  <c r="AH206" i="20" s="1"/>
  <c r="BJ544" i="20"/>
  <c r="BE544" i="20"/>
  <c r="BF544" i="20" s="1"/>
  <c r="AO203" i="20"/>
  <c r="AO214" i="20" s="1"/>
  <c r="AL427" i="20"/>
  <c r="AI138" i="20"/>
  <c r="AQ490" i="20" l="1"/>
  <c r="AQ544" i="20"/>
  <c r="AQ546" i="20"/>
  <c r="BH544" i="20"/>
  <c r="BI544" i="20" s="1"/>
  <c r="AG262" i="20"/>
  <c r="AG263" i="20"/>
  <c r="AG264" i="20"/>
  <c r="AH257" i="20"/>
  <c r="AI116" i="20"/>
  <c r="AL82" i="20"/>
  <c r="AL121" i="20"/>
  <c r="AL118" i="20"/>
  <c r="AR214" i="20"/>
  <c r="AI126" i="20" l="1"/>
  <c r="AG265" i="20"/>
  <c r="AG268" i="20" s="1"/>
  <c r="AG271" i="20" s="1"/>
  <c r="AJ107" i="6" s="1"/>
  <c r="AJ108" i="6" s="1"/>
  <c r="AJ109" i="6" s="1"/>
  <c r="AH269" i="20"/>
  <c r="AH255" i="20"/>
  <c r="AH256" i="20" s="1"/>
  <c r="AI41" i="20"/>
  <c r="AL50" i="20"/>
  <c r="AL51" i="20"/>
  <c r="AJ112" i="6" l="1"/>
  <c r="AJ114" i="6" s="1"/>
  <c r="AJ120" i="6" s="1"/>
  <c r="AJ124" i="6" s="1"/>
  <c r="AG27" i="20"/>
  <c r="AG30" i="20" s="1"/>
  <c r="AJ84" i="6" s="1"/>
  <c r="AJ85" i="6" s="1"/>
  <c r="AG272" i="20"/>
  <c r="AG273" i="20"/>
  <c r="AG32" i="20" l="1"/>
  <c r="AK52" i="20"/>
  <c r="AK118" i="20"/>
  <c r="AK49" i="20"/>
  <c r="AJ86" i="6"/>
  <c r="AJ90" i="6"/>
  <c r="AN53" i="20" l="1"/>
  <c r="AK54" i="20"/>
  <c r="AK108" i="20" s="1"/>
  <c r="AN50" i="20"/>
  <c r="AK51" i="20"/>
  <c r="AK50" i="20"/>
  <c r="AK82" i="20"/>
  <c r="AK53" i="20"/>
  <c r="AO87" i="4"/>
  <c r="AO101" i="6" l="1"/>
  <c r="AF232" i="20" l="1"/>
  <c r="AF231" i="20" l="1"/>
  <c r="AF250" i="20" s="1"/>
  <c r="AE232" i="20"/>
  <c r="AE234" i="20" s="1"/>
  <c r="AC231" i="20"/>
  <c r="AE231" i="20" l="1"/>
  <c r="AD250" i="20"/>
  <c r="AE250" i="20" s="1"/>
  <c r="AE255" i="20" s="1"/>
  <c r="AE256" i="20" s="1"/>
  <c r="AE235" i="20"/>
  <c r="AE233" i="20"/>
  <c r="AH235" i="20"/>
  <c r="AF255" i="20"/>
  <c r="AF262" i="20"/>
  <c r="AC250" i="20"/>
  <c r="AE248" i="20" l="1"/>
  <c r="AE249" i="20" s="1"/>
  <c r="AD262" i="20"/>
  <c r="AE262" i="20" s="1"/>
  <c r="AD255" i="20"/>
  <c r="AC262" i="20"/>
  <c r="AF243" i="20"/>
  <c r="AF264" i="20"/>
  <c r="AC255" i="20"/>
  <c r="AF256" i="20"/>
  <c r="AD243" i="20" l="1"/>
  <c r="AD244" i="20" s="1"/>
  <c r="AD245" i="20" s="1"/>
  <c r="AD256" i="20"/>
  <c r="AD264" i="20"/>
  <c r="AE264" i="20" s="1"/>
  <c r="AE265" i="20" s="1"/>
  <c r="AA250" i="20"/>
  <c r="AB231" i="20"/>
  <c r="AF265" i="20"/>
  <c r="AF268" i="20" s="1"/>
  <c r="AF244" i="20"/>
  <c r="AC243" i="20"/>
  <c r="AC264" i="20"/>
  <c r="AC256" i="20"/>
  <c r="AE243" i="20" l="1"/>
  <c r="AD265" i="20"/>
  <c r="AD268" i="20" s="1"/>
  <c r="AD271" i="20" s="1"/>
  <c r="AD272" i="20" s="1"/>
  <c r="AF271" i="20"/>
  <c r="AF273" i="20" s="1"/>
  <c r="AA262" i="20"/>
  <c r="AA255" i="20"/>
  <c r="AB250" i="20"/>
  <c r="AB255" i="20" s="1"/>
  <c r="AB256" i="20" s="1"/>
  <c r="AF245" i="20"/>
  <c r="AE244" i="20"/>
  <c r="AE245" i="20" s="1"/>
  <c r="AC265" i="20"/>
  <c r="AC268" i="20" s="1"/>
  <c r="AC244" i="20"/>
  <c r="AB248" i="20" l="1"/>
  <c r="AB249" i="20" s="1"/>
  <c r="AI112" i="6"/>
  <c r="AG107" i="6"/>
  <c r="AG108" i="6" s="1"/>
  <c r="AG109" i="6" s="1"/>
  <c r="AD27" i="20"/>
  <c r="AD30" i="20" s="1"/>
  <c r="AD32" i="20" s="1"/>
  <c r="AD273" i="20"/>
  <c r="AG112" i="6"/>
  <c r="AG114" i="6" s="1"/>
  <c r="AE268" i="20"/>
  <c r="AF272" i="20"/>
  <c r="AF27" i="20"/>
  <c r="AA243" i="20"/>
  <c r="AA256" i="20"/>
  <c r="AA264" i="20"/>
  <c r="AB264" i="20" s="1"/>
  <c r="AB262" i="20"/>
  <c r="AC271" i="20"/>
  <c r="AC273" i="20" s="1"/>
  <c r="AC245" i="20"/>
  <c r="AG84" i="6" l="1"/>
  <c r="AG85" i="6" s="1"/>
  <c r="AG86" i="6" s="1"/>
  <c r="AG31" i="20"/>
  <c r="AC27" i="20"/>
  <c r="AE267" i="20"/>
  <c r="AE271" i="20"/>
  <c r="AB265" i="20"/>
  <c r="AA265" i="20"/>
  <c r="AA268" i="20" s="1"/>
  <c r="AA244" i="20"/>
  <c r="AB243" i="20"/>
  <c r="AC272" i="20"/>
  <c r="AF112" i="6"/>
  <c r="AF114" i="6" s="1"/>
  <c r="AG90" i="6" l="1"/>
  <c r="AH112" i="6"/>
  <c r="AH114" i="6" s="1"/>
  <c r="AE272" i="20"/>
  <c r="AE273" i="20"/>
  <c r="AE27" i="20"/>
  <c r="AA271" i="20"/>
  <c r="AB268" i="20"/>
  <c r="AA245" i="20"/>
  <c r="AB244" i="20"/>
  <c r="AB245" i="20" s="1"/>
  <c r="AC30" i="20"/>
  <c r="AC32" i="20" s="1"/>
  <c r="AB271" i="20" l="1"/>
  <c r="AB267" i="20"/>
  <c r="AD112" i="6"/>
  <c r="AD114" i="6" s="1"/>
  <c r="AD107" i="6"/>
  <c r="AD108" i="6" s="1"/>
  <c r="AD109" i="6" s="1"/>
  <c r="AA27" i="20"/>
  <c r="AA30" i="20" s="1"/>
  <c r="AA272" i="20"/>
  <c r="AA273" i="20"/>
  <c r="AF84" i="6"/>
  <c r="AF85" i="6" s="1"/>
  <c r="AD84" i="6" l="1"/>
  <c r="AD85" i="6" s="1"/>
  <c r="AD86" i="6" s="1"/>
  <c r="AA32" i="20"/>
  <c r="AD31" i="20"/>
  <c r="AE112" i="6"/>
  <c r="AE114" i="6" s="1"/>
  <c r="AB272" i="20"/>
  <c r="AB27" i="20"/>
  <c r="AB30" i="20" s="1"/>
  <c r="AB273" i="20"/>
  <c r="AF86" i="6"/>
  <c r="AE84" i="6" l="1"/>
  <c r="AE85" i="6" s="1"/>
  <c r="AE86" i="6" s="1"/>
  <c r="AB32" i="20"/>
  <c r="AI184" i="20"/>
  <c r="AH73" i="20" l="1"/>
  <c r="AH105" i="20"/>
  <c r="AH184" i="20"/>
  <c r="AI256" i="20"/>
  <c r="AI263" i="20"/>
  <c r="AH263" i="20" s="1"/>
  <c r="AI262" i="20"/>
  <c r="AH262" i="20" s="1"/>
  <c r="AI264" i="20"/>
  <c r="AH264" i="20" s="1"/>
  <c r="AI119" i="20"/>
  <c r="AH265" i="20" l="1"/>
  <c r="AH104" i="20"/>
  <c r="AH35" i="20"/>
  <c r="AH79" i="20"/>
  <c r="AH83" i="20" s="1"/>
  <c r="AH74" i="20"/>
  <c r="AI265" i="20"/>
  <c r="AI268" i="20" s="1"/>
  <c r="AI120" i="20"/>
  <c r="AH80" i="20" l="1"/>
  <c r="AH84" i="20" s="1"/>
  <c r="AH306" i="20"/>
  <c r="AH39" i="20"/>
  <c r="AK101" i="6"/>
  <c r="AK100" i="6" s="1"/>
  <c r="AK104" i="6" s="1"/>
  <c r="AK126" i="6" s="1"/>
  <c r="AI271" i="20"/>
  <c r="AL112" i="6" s="1"/>
  <c r="AH268" i="20"/>
  <c r="AL16" i="20"/>
  <c r="AL17" i="20" s="1"/>
  <c r="AL28" i="20"/>
  <c r="AO115" i="6"/>
  <c r="AI27" i="20" l="1"/>
  <c r="AI272" i="20"/>
  <c r="AI273" i="20"/>
  <c r="AH271" i="20"/>
  <c r="AH267" i="20"/>
  <c r="AK112" i="6" l="1"/>
  <c r="AK114" i="6" s="1"/>
  <c r="AH272" i="20"/>
  <c r="AH27" i="20"/>
  <c r="AH273" i="20"/>
  <c r="AL23" i="20"/>
  <c r="AL99" i="20" s="1"/>
  <c r="AO24" i="20" l="1"/>
  <c r="AK21" i="20"/>
  <c r="AL92" i="20"/>
  <c r="AK20" i="20"/>
  <c r="AL24" i="20"/>
  <c r="AO14" i="6"/>
  <c r="AN75" i="6" l="1"/>
  <c r="AN80" i="6" s="1"/>
  <c r="AK295" i="20"/>
  <c r="AK287" i="20"/>
  <c r="AK330" i="20" s="1"/>
  <c r="AN331" i="20" s="1"/>
  <c r="AK294" i="20"/>
  <c r="AK328" i="20" s="1"/>
  <c r="AK286" i="20"/>
  <c r="AK98" i="20"/>
  <c r="AK293" i="20"/>
  <c r="AK326" i="20" s="1"/>
  <c r="AK23" i="20"/>
  <c r="AK99" i="20" s="1"/>
  <c r="AO127" i="6"/>
  <c r="AO128" i="6"/>
  <c r="AO48" i="3"/>
  <c r="AO80" i="6"/>
  <c r="AR81" i="6" s="1"/>
  <c r="AK298" i="20" l="1"/>
  <c r="AK333" i="20"/>
  <c r="AN24" i="20"/>
  <c r="AN25" i="20"/>
  <c r="AN81" i="6"/>
  <c r="AQ81" i="6"/>
  <c r="AN48" i="3"/>
  <c r="AN9" i="2" s="1"/>
  <c r="AK285" i="20"/>
  <c r="AK292" i="20" s="1"/>
  <c r="AN329" i="20"/>
  <c r="AK92" i="20"/>
  <c r="AK24" i="20"/>
  <c r="AK331" i="20"/>
  <c r="AK297" i="20"/>
  <c r="AK349" i="20"/>
  <c r="AN14" i="6"/>
  <c r="AN91" i="6"/>
  <c r="AO81" i="6"/>
  <c r="AO92" i="6"/>
  <c r="AO9" i="2"/>
  <c r="AN334" i="20" l="1"/>
  <c r="AK334" i="20"/>
  <c r="AN92" i="6"/>
  <c r="AN128" i="6"/>
  <c r="AN127" i="6"/>
  <c r="AK329" i="20"/>
  <c r="AN327" i="20"/>
  <c r="AK290" i="20"/>
  <c r="AO9" i="6"/>
  <c r="AO12" i="6"/>
  <c r="AO7" i="6"/>
  <c r="AO5" i="6"/>
  <c r="AO15" i="6"/>
  <c r="AK327" i="20" l="1"/>
  <c r="AO23" i="3"/>
  <c r="AO7" i="3"/>
  <c r="AO32" i="3"/>
  <c r="AO54" i="3"/>
  <c r="AR26" i="3" l="1"/>
  <c r="AR24" i="3"/>
  <c r="AO176" i="2"/>
  <c r="AO98" i="3"/>
  <c r="AO85" i="3"/>
  <c r="AO24" i="3"/>
  <c r="AO5" i="2"/>
  <c r="AO49" i="3"/>
  <c r="AR27" i="3" l="1"/>
  <c r="AO27" i="3"/>
  <c r="AO130" i="2"/>
  <c r="AO172" i="4"/>
  <c r="AO174" i="4"/>
  <c r="AO98" i="4"/>
  <c r="AO7" i="2"/>
  <c r="AO134" i="2"/>
  <c r="AO138" i="2" s="1"/>
  <c r="Y13" i="10"/>
  <c r="AO8" i="2"/>
  <c r="AO10" i="2"/>
  <c r="AO154" i="2"/>
  <c r="AN9" i="6" l="1"/>
  <c r="AN12" i="6"/>
  <c r="AN15" i="6"/>
  <c r="AO12" i="2"/>
  <c r="AO23" i="2" s="1"/>
  <c r="AO102" i="4"/>
  <c r="Y28" i="10"/>
  <c r="AO99" i="4"/>
  <c r="AO141" i="2"/>
  <c r="AO30" i="4"/>
  <c r="AN7" i="3" l="1"/>
  <c r="AN23" i="3"/>
  <c r="AN32" i="3"/>
  <c r="AN54" i="3"/>
  <c r="AO18" i="2"/>
  <c r="AO103" i="4"/>
  <c r="AO76" i="4"/>
  <c r="AO148" i="2"/>
  <c r="AO142" i="2"/>
  <c r="AN5" i="2" l="1"/>
  <c r="AN98" i="4" s="1"/>
  <c r="AN102" i="4" s="1"/>
  <c r="AQ24" i="3"/>
  <c r="AQ26" i="3"/>
  <c r="AQ25" i="3"/>
  <c r="AN24" i="3"/>
  <c r="AN27" i="3" s="1"/>
  <c r="AN49" i="3"/>
  <c r="AO79" i="4"/>
  <c r="AR93" i="4" s="1"/>
  <c r="AO101" i="4"/>
  <c r="AO19" i="5"/>
  <c r="AN7" i="2" l="1"/>
  <c r="AN142" i="2"/>
  <c r="AN8" i="2"/>
  <c r="AN99" i="4" s="1"/>
  <c r="AN103" i="4" s="1"/>
  <c r="AN174" i="4"/>
  <c r="AN172" i="4"/>
  <c r="AN10" i="2"/>
  <c r="AN122" i="2"/>
  <c r="AN234" i="4"/>
  <c r="AN130" i="2"/>
  <c r="AN153" i="4"/>
  <c r="AN151" i="4"/>
  <c r="AQ27" i="3"/>
  <c r="AO81" i="4"/>
  <c r="AP93" i="4"/>
  <c r="AP92" i="4" s="1"/>
  <c r="AN12" i="2"/>
  <c r="AN18" i="2"/>
  <c r="AO224" i="4"/>
  <c r="AO93" i="4"/>
  <c r="AO92" i="4" s="1"/>
  <c r="AO220" i="4"/>
  <c r="AO124" i="4"/>
  <c r="AO126" i="4" s="1"/>
  <c r="AN101" i="4" l="1"/>
  <c r="AN13" i="2"/>
  <c r="AN23" i="2"/>
  <c r="AP111" i="4"/>
  <c r="AP112" i="4" s="1"/>
  <c r="AP109" i="4"/>
  <c r="AP110" i="4" s="1"/>
  <c r="AO13" i="2"/>
  <c r="AO221" i="4"/>
  <c r="AO153" i="2"/>
  <c r="AO5" i="5"/>
  <c r="AO32" i="2"/>
  <c r="AO16" i="2" l="1"/>
  <c r="AO38" i="2"/>
  <c r="AO163" i="2" l="1"/>
  <c r="AO42" i="2"/>
  <c r="AO45" i="2" l="1"/>
  <c r="AO44" i="2"/>
  <c r="AO49" i="4" l="1"/>
  <c r="AO51" i="4" l="1"/>
  <c r="AO237" i="4"/>
  <c r="Y57" i="10"/>
  <c r="AO28" i="20" l="1"/>
  <c r="AN28" i="20" l="1"/>
  <c r="AR115" i="6"/>
  <c r="AO16" i="20"/>
  <c r="AO17" i="20" s="1"/>
  <c r="AN349" i="20" l="1"/>
  <c r="AQ115" i="6"/>
  <c r="BA77" i="6" l="1"/>
  <c r="BD77" i="6" l="1"/>
  <c r="BG77" i="6" l="1"/>
  <c r="BJ77" i="6" l="1"/>
  <c r="BM77" i="6" l="1"/>
  <c r="AF62" i="2" l="1"/>
  <c r="AF45" i="2" s="1"/>
  <c r="AF47" i="2" l="1"/>
  <c r="V18" i="10" l="1"/>
  <c r="AI62" i="2"/>
  <c r="AI47" i="2" s="1"/>
  <c r="V20" i="10" l="1"/>
  <c r="V30" i="10"/>
  <c r="W18" i="10"/>
  <c r="AI45" i="2"/>
  <c r="AI569" i="20"/>
  <c r="AF572" i="20"/>
  <c r="AF571" i="20" l="1"/>
  <c r="AG569" i="20"/>
  <c r="W20" i="10"/>
  <c r="W30" i="10"/>
  <c r="X30" i="10"/>
  <c r="AF573" i="20"/>
  <c r="AI566" i="20"/>
  <c r="AL563" i="20" l="1"/>
  <c r="AL565" i="20" s="1"/>
  <c r="AJ563" i="20"/>
  <c r="AG573" i="20"/>
  <c r="AG571" i="20"/>
  <c r="AF44" i="20"/>
  <c r="AJ567" i="20" l="1"/>
  <c r="AJ565" i="20"/>
  <c r="AF38" i="20"/>
  <c r="AE38" i="20" s="1"/>
  <c r="AH103" i="6" s="1"/>
  <c r="AE44" i="20"/>
  <c r="AI103" i="6" l="1"/>
  <c r="AF36" i="20"/>
  <c r="AF42" i="20" s="1"/>
  <c r="AE42" i="20" s="1"/>
  <c r="AF37" i="20"/>
  <c r="AE37" i="20" s="1"/>
  <c r="AF43" i="20" l="1"/>
  <c r="AE43" i="20" s="1"/>
  <c r="AE45" i="20" s="1"/>
  <c r="AE36" i="20"/>
  <c r="AH102" i="6" s="1"/>
  <c r="AH100" i="6" s="1"/>
  <c r="AH104" i="6" s="1"/>
  <c r="AF402" i="20"/>
  <c r="AF453" i="20"/>
  <c r="AF566" i="20"/>
  <c r="AI563" i="20"/>
  <c r="AI567" i="20" s="1"/>
  <c r="AE39" i="20" l="1"/>
  <c r="AF567" i="20"/>
  <c r="AG563" i="20"/>
  <c r="AF565" i="20"/>
  <c r="AF351" i="20"/>
  <c r="AF298" i="20" s="1"/>
  <c r="AF455" i="20"/>
  <c r="AI565" i="20"/>
  <c r="AG567" i="20" l="1"/>
  <c r="AG565" i="20"/>
  <c r="AF297" i="20"/>
  <c r="AL567" i="20" l="1"/>
  <c r="AP563" i="20" l="1"/>
  <c r="AP565" i="20" s="1"/>
  <c r="AN396" i="20" l="1"/>
  <c r="AP567" i="20"/>
  <c r="AN566" i="20" l="1"/>
  <c r="AM566" i="20"/>
  <c r="AN563" i="20" s="1"/>
  <c r="AN565" i="20" l="1"/>
  <c r="AN567" i="20"/>
  <c r="AQ396" i="20"/>
  <c r="AM565" i="20"/>
  <c r="AM567" i="20"/>
  <c r="AQ566" i="20" l="1"/>
  <c r="AX563" i="20"/>
  <c r="AQ565" i="20" l="1"/>
  <c r="AQ567" i="20"/>
  <c r="AT396" i="20"/>
  <c r="AT566" i="20" s="1"/>
  <c r="AX566" i="20"/>
  <c r="AT567" i="20" l="1"/>
  <c r="AT565" i="20"/>
  <c r="AX567" i="20"/>
  <c r="AY563" i="20"/>
  <c r="BA563" i="20"/>
  <c r="AX396" i="20"/>
  <c r="AW396" i="20" l="1"/>
  <c r="AY566" i="20"/>
  <c r="AZ563" i="20" s="1"/>
  <c r="BA566" i="20"/>
  <c r="BB563" i="20" s="1"/>
  <c r="AY567" i="20" l="1"/>
  <c r="BB566" i="20"/>
  <c r="BC563" i="20" s="1"/>
  <c r="AZ566" i="20"/>
  <c r="AZ567" i="20" s="1"/>
  <c r="BA396" i="20"/>
  <c r="BD563" i="20"/>
  <c r="BA567" i="20"/>
  <c r="BC566" i="20" l="1"/>
  <c r="BC567" i="20" s="1"/>
  <c r="AZ396" i="20"/>
  <c r="AY396" i="20"/>
  <c r="BB567" i="20"/>
  <c r="BD566" i="20"/>
  <c r="BE563" i="20" s="1"/>
  <c r="BE566" i="20" l="1"/>
  <c r="BF563" i="20" s="1"/>
  <c r="BG563" i="20"/>
  <c r="BD396" i="20"/>
  <c r="BD567" i="20"/>
  <c r="BC396" i="20" l="1"/>
  <c r="BB396" i="20"/>
  <c r="BF566" i="20"/>
  <c r="BF567" i="20" s="1"/>
  <c r="BE567" i="20"/>
  <c r="BG566" i="20"/>
  <c r="BG567" i="20" l="1"/>
  <c r="BH563" i="20"/>
  <c r="BJ563" i="20"/>
  <c r="BG396" i="20"/>
  <c r="BH566" i="20" l="1"/>
  <c r="BI563" i="20" s="1"/>
  <c r="BF396" i="20"/>
  <c r="BE396" i="20"/>
  <c r="BJ566" i="20"/>
  <c r="BJ396" i="20" s="1"/>
  <c r="BI396" i="20" l="1"/>
  <c r="BH396" i="20"/>
  <c r="BI566" i="20"/>
  <c r="BI567" i="20" s="1"/>
  <c r="BH567" i="20"/>
  <c r="BJ567" i="20"/>
  <c r="AI453" i="20"/>
  <c r="AI572" i="20"/>
  <c r="AI402" i="20"/>
  <c r="AI351" i="20" l="1"/>
  <c r="AI298" i="20" s="1"/>
  <c r="AI573" i="20"/>
  <c r="AJ569" i="20"/>
  <c r="AI571" i="20"/>
  <c r="AL569" i="20"/>
  <c r="AL571" i="20" s="1"/>
  <c r="AI455" i="20"/>
  <c r="AJ573" i="20" l="1"/>
  <c r="AJ571" i="20"/>
  <c r="AI297" i="20"/>
  <c r="AL573" i="20"/>
  <c r="AL453" i="20" l="1"/>
  <c r="AP569" i="20" l="1"/>
  <c r="AP571" i="20" s="1"/>
  <c r="AL351" i="20"/>
  <c r="AL298" i="20" s="1"/>
  <c r="AN397" i="20" l="1"/>
  <c r="AN400" i="20" s="1"/>
  <c r="AN312" i="20" s="1"/>
  <c r="AP573" i="20"/>
  <c r="AL297" i="20"/>
  <c r="AN453" i="20" l="1"/>
  <c r="AN351" i="20" s="1"/>
  <c r="AN298" i="20" s="1"/>
  <c r="AN572" i="20"/>
  <c r="AO351" i="20"/>
  <c r="AO298" i="20" s="1"/>
  <c r="AM572" i="20"/>
  <c r="AN569" i="20" s="1"/>
  <c r="AM453" i="20"/>
  <c r="AM351" i="20" l="1"/>
  <c r="AM298" i="20" s="1"/>
  <c r="AN571" i="20"/>
  <c r="AN573" i="20"/>
  <c r="AN297" i="20"/>
  <c r="AO297" i="20"/>
  <c r="AQ397" i="20"/>
  <c r="AM571" i="20"/>
  <c r="AM573" i="20"/>
  <c r="AR351" i="20"/>
  <c r="AQ572" i="20" l="1"/>
  <c r="AQ453" i="20"/>
  <c r="AM297" i="20"/>
  <c r="AP351" i="20"/>
  <c r="AR297" i="20"/>
  <c r="AX569" i="20"/>
  <c r="AQ571" i="20" l="1"/>
  <c r="AQ573" i="20"/>
  <c r="AQ351" i="20"/>
  <c r="AQ297" i="20" s="1"/>
  <c r="AP297" i="20"/>
  <c r="AP298" i="20"/>
  <c r="AT397" i="20"/>
  <c r="AT572" i="20" s="1"/>
  <c r="AX572" i="20"/>
  <c r="AU453" i="20"/>
  <c r="AT571" i="20" l="1"/>
  <c r="AT573" i="20"/>
  <c r="AT453" i="20"/>
  <c r="AT351" i="20" s="1"/>
  <c r="AX573" i="20"/>
  <c r="AY569" i="20"/>
  <c r="AY572" i="20" s="1"/>
  <c r="AU351" i="20"/>
  <c r="AS351" i="20"/>
  <c r="BA569" i="20"/>
  <c r="AX397" i="20"/>
  <c r="AU297" i="20" l="1"/>
  <c r="AU298" i="20"/>
  <c r="AS298" i="20"/>
  <c r="AS297" i="20"/>
  <c r="AW397" i="20"/>
  <c r="AY573" i="20"/>
  <c r="AZ569" i="20"/>
  <c r="AX453" i="20"/>
  <c r="BA572" i="20"/>
  <c r="BB569" i="20" s="1"/>
  <c r="AX351" i="20" l="1"/>
  <c r="AZ572" i="20"/>
  <c r="AZ573" i="20" s="1"/>
  <c r="AV453" i="20"/>
  <c r="AV351" i="20" s="1"/>
  <c r="BB572" i="20"/>
  <c r="BC569" i="20" s="1"/>
  <c r="BC572" i="20" s="1"/>
  <c r="BC573" i="20" s="1"/>
  <c r="AW453" i="20"/>
  <c r="AW351" i="20" s="1"/>
  <c r="BD569" i="20"/>
  <c r="BA397" i="20"/>
  <c r="BA573" i="20"/>
  <c r="AV297" i="20" l="1"/>
  <c r="AV298" i="20"/>
  <c r="AY397" i="20"/>
  <c r="AZ397" i="20"/>
  <c r="BB573" i="20"/>
  <c r="BA453" i="20"/>
  <c r="BD572" i="20"/>
  <c r="BA351" i="20" l="1"/>
  <c r="AZ453" i="20"/>
  <c r="AZ351" i="20" s="1"/>
  <c r="BD573" i="20"/>
  <c r="BE569" i="20"/>
  <c r="BE572" i="20" s="1"/>
  <c r="AY453" i="20"/>
  <c r="AY351" i="20" s="1"/>
  <c r="BD397" i="20"/>
  <c r="BG569" i="20"/>
  <c r="BE573" i="20" l="1"/>
  <c r="BF569" i="20"/>
  <c r="BF572" i="20" s="1"/>
  <c r="BF573" i="20" s="1"/>
  <c r="BC397" i="20"/>
  <c r="BB397" i="20"/>
  <c r="BG572" i="20"/>
  <c r="BH569" i="20" s="1"/>
  <c r="BH572" i="20" s="1"/>
  <c r="BD453" i="20"/>
  <c r="BD351" i="20" l="1"/>
  <c r="BB453" i="20"/>
  <c r="BB351" i="20" s="1"/>
  <c r="BH573" i="20"/>
  <c r="BI569" i="20"/>
  <c r="BC453" i="20"/>
  <c r="BC351" i="20" s="1"/>
  <c r="BG397" i="20"/>
  <c r="BJ569" i="20"/>
  <c r="BG573" i="20"/>
  <c r="BI572" i="20" l="1"/>
  <c r="BI573" i="20" s="1"/>
  <c r="BF397" i="20"/>
  <c r="BE397" i="20"/>
  <c r="BJ572" i="20"/>
  <c r="BJ397" i="20" s="1"/>
  <c r="BG453" i="20"/>
  <c r="BG351" i="20" l="1"/>
  <c r="BE453" i="20"/>
  <c r="BE351" i="20" s="1"/>
  <c r="BI397" i="20"/>
  <c r="BH397" i="20"/>
  <c r="BF453" i="20"/>
  <c r="BF351" i="20" s="1"/>
  <c r="BJ453" i="20"/>
  <c r="BJ351" i="20" s="1"/>
  <c r="BJ573" i="20"/>
  <c r="BH453" i="20" l="1"/>
  <c r="BH351" i="20" s="1"/>
  <c r="BI453" i="20"/>
  <c r="BI351" i="20" s="1"/>
  <c r="AO13" i="4" l="1"/>
  <c r="AO21" i="4" l="1"/>
  <c r="AO22" i="4" s="1"/>
  <c r="AO55" i="4"/>
  <c r="AR214" i="4" s="1"/>
  <c r="AO260" i="4"/>
  <c r="AP214" i="4" l="1"/>
  <c r="AO214" i="4"/>
  <c r="AO58" i="4"/>
  <c r="AO60" i="4" s="1"/>
  <c r="AP69" i="4" l="1"/>
  <c r="AP71" i="4" s="1"/>
  <c r="AP72" i="4" s="1"/>
  <c r="AO239" i="4"/>
  <c r="AO240" i="4" s="1"/>
  <c r="AO242" i="4" s="1"/>
  <c r="AO84" i="5"/>
  <c r="Y7" i="10"/>
  <c r="AO38" i="4"/>
  <c r="AO39" i="4" s="1"/>
  <c r="AO223" i="4"/>
  <c r="AO225" i="4" s="1"/>
  <c r="AP230" i="4" l="1"/>
  <c r="AR234" i="4"/>
  <c r="AR235" i="4" s="1"/>
  <c r="AR230" i="4"/>
  <c r="Y58" i="10"/>
  <c r="Y60" i="10" s="1"/>
  <c r="AP234" i="4"/>
  <c r="AP235" i="4" s="1"/>
  <c r="AO234" i="4"/>
  <c r="Y52" i="10"/>
  <c r="AO41" i="4"/>
  <c r="AO52" i="4" s="1"/>
  <c r="AO226" i="4"/>
  <c r="AP231" i="4" l="1"/>
  <c r="AR231" i="4"/>
  <c r="AO3" i="4"/>
  <c r="AO3" i="5" l="1"/>
  <c r="AO3" i="2"/>
  <c r="AO138" i="4" l="1"/>
  <c r="AO139" i="4" l="1"/>
  <c r="AN138" i="4"/>
  <c r="AN139" i="4" s="1"/>
  <c r="AO34" i="5"/>
  <c r="AO175" i="4" l="1"/>
  <c r="AN175" i="4" s="1"/>
  <c r="AN176" i="4" s="1"/>
  <c r="AZ170" i="4" l="1"/>
  <c r="AZ176" i="4" s="1"/>
  <c r="AW7" i="4"/>
  <c r="BA170" i="4"/>
  <c r="BA176" i="4" s="1"/>
  <c r="BB170" i="4" s="1"/>
  <c r="BB176" i="4" s="1"/>
  <c r="BB7" i="4" l="1"/>
  <c r="BC170" i="4"/>
  <c r="BC176" i="4" s="1"/>
  <c r="BA7" i="4"/>
  <c r="AZ7" i="4" s="1"/>
  <c r="BD170" i="4"/>
  <c r="BD176" i="4" s="1"/>
  <c r="BE170" i="4" s="1"/>
  <c r="BE176" i="4" s="1"/>
  <c r="BE7" i="4" l="1"/>
  <c r="BF170" i="4"/>
  <c r="BF176" i="4" s="1"/>
  <c r="BD7" i="4"/>
  <c r="BC7" i="4" s="1"/>
  <c r="BG170" i="4"/>
  <c r="BG176" i="4" s="1"/>
  <c r="BH170" i="4" s="1"/>
  <c r="BH176" i="4" s="1"/>
  <c r="BH7" i="4" l="1"/>
  <c r="BI170" i="4"/>
  <c r="BI176" i="4" s="1"/>
  <c r="BJ170" i="4"/>
  <c r="BJ176" i="4" s="1"/>
  <c r="BK170" i="4" s="1"/>
  <c r="BK176" i="4" s="1"/>
  <c r="BG7" i="4"/>
  <c r="BF7" i="4" s="1"/>
  <c r="BK7" i="4" l="1"/>
  <c r="BL170" i="4"/>
  <c r="BL176" i="4" s="1"/>
  <c r="BJ7" i="4"/>
  <c r="BI7" i="4" s="1"/>
  <c r="BM170" i="4"/>
  <c r="BM176" i="4" s="1"/>
  <c r="BM7" i="4" s="1"/>
  <c r="BL7" i="4" s="1"/>
  <c r="AO115" i="2"/>
  <c r="AO161" i="4"/>
  <c r="AO113" i="2"/>
  <c r="AO121" i="2" s="1"/>
  <c r="AO12" i="5"/>
  <c r="AO29" i="5" s="1"/>
  <c r="AO119" i="2"/>
  <c r="AO162" i="4" l="1"/>
  <c r="AN161" i="4"/>
  <c r="AN162" i="4" s="1"/>
  <c r="AO112" i="2"/>
  <c r="AO150" i="2" s="1"/>
  <c r="AO88" i="5"/>
  <c r="AO31" i="5"/>
  <c r="AO90" i="5"/>
  <c r="AO155" i="2"/>
  <c r="AO159" i="4"/>
  <c r="AO39" i="5"/>
  <c r="AR39" i="5" s="1"/>
  <c r="AU39" i="5" s="1"/>
  <c r="AX39" i="5" s="1"/>
  <c r="AX37" i="5" l="1"/>
  <c r="AX54" i="5" s="1"/>
  <c r="AW39" i="5"/>
  <c r="AW37" i="5" s="1"/>
  <c r="AU37" i="5"/>
  <c r="AT39" i="5"/>
  <c r="AT37" i="5" s="1"/>
  <c r="AR37" i="5"/>
  <c r="AQ39" i="5"/>
  <c r="AQ37" i="5" s="1"/>
  <c r="AO37" i="5"/>
  <c r="AO91" i="5" s="1"/>
  <c r="AO94" i="5" s="1"/>
  <c r="AN39" i="5"/>
  <c r="AN37" i="5" s="1"/>
  <c r="AO166" i="4"/>
  <c r="AN159" i="4"/>
  <c r="AO156" i="2"/>
  <c r="AN155" i="2"/>
  <c r="AN156" i="2" s="1"/>
  <c r="AO163" i="4"/>
  <c r="AN163" i="4" s="1"/>
  <c r="AO160" i="4"/>
  <c r="AX91" i="5" l="1"/>
  <c r="AW54" i="5"/>
  <c r="AW76" i="5" s="1"/>
  <c r="AW91" i="5"/>
  <c r="AW94" i="5" s="1"/>
  <c r="AT91" i="5"/>
  <c r="AT94" i="5" s="1"/>
  <c r="AT54" i="5"/>
  <c r="AT76" i="5" s="1"/>
  <c r="AU54" i="5"/>
  <c r="AU76" i="5" s="1"/>
  <c r="AU91" i="5"/>
  <c r="AU94" i="5" s="1"/>
  <c r="AQ54" i="5"/>
  <c r="AQ76" i="5" s="1"/>
  <c r="AQ91" i="5"/>
  <c r="AQ94" i="5" s="1"/>
  <c r="AR91" i="5"/>
  <c r="AR94" i="5" s="1"/>
  <c r="AR54" i="5"/>
  <c r="AR76" i="5" s="1"/>
  <c r="AO54" i="5"/>
  <c r="AO76" i="5" s="1"/>
  <c r="AO82" i="5" s="1"/>
  <c r="AN160" i="4"/>
  <c r="AN166" i="4"/>
  <c r="AN164" i="4"/>
  <c r="AN91" i="5"/>
  <c r="AN54" i="5"/>
  <c r="AP78" i="5" l="1"/>
  <c r="AP82" i="5" s="1"/>
  <c r="AQ78" i="5" s="1"/>
  <c r="AR78" i="5"/>
  <c r="AO121" i="5"/>
  <c r="AQ82" i="5" l="1"/>
  <c r="AQ121" i="5" s="1"/>
  <c r="AR82" i="5"/>
  <c r="AU78" i="5" s="1"/>
  <c r="AP121" i="5"/>
  <c r="AU82" i="5" l="1"/>
  <c r="AR121" i="5"/>
  <c r="AS78" i="5"/>
  <c r="AO102" i="5"/>
  <c r="AN102" i="5" s="1"/>
  <c r="AN104" i="5" s="1"/>
  <c r="AN119" i="5" s="1"/>
  <c r="AU121" i="5" l="1"/>
  <c r="AV78" i="5"/>
  <c r="AS82" i="5"/>
  <c r="AV82" i="5" l="1"/>
  <c r="AS121" i="5"/>
  <c r="AT78" i="5"/>
  <c r="AO38" i="18"/>
  <c r="AO42" i="18"/>
  <c r="AV121" i="5" l="1"/>
  <c r="AW78" i="5"/>
  <c r="AW82" i="5" s="1"/>
  <c r="AT82" i="5"/>
  <c r="AT121" i="5" s="1"/>
  <c r="AO41" i="18"/>
  <c r="AO24" i="18" l="1"/>
  <c r="Z70" i="10" l="1"/>
  <c r="Z78" i="10" l="1"/>
  <c r="Z86" i="10" s="1"/>
  <c r="AR177" i="2"/>
  <c r="Y4" i="10" l="1"/>
  <c r="AO73" i="2" s="1"/>
  <c r="AU73" i="2"/>
  <c r="Y10" i="10"/>
  <c r="Y41" i="10"/>
  <c r="AS73" i="2" l="1"/>
  <c r="AS74" i="2" s="1"/>
  <c r="AS65" i="2" s="1"/>
  <c r="AN73" i="2"/>
  <c r="AM73" i="2"/>
  <c r="AT73" i="2"/>
  <c r="Y49" i="10"/>
  <c r="Y42" i="10"/>
  <c r="AX73" i="2"/>
  <c r="AW73" i="2" s="1"/>
  <c r="Y44" i="10"/>
  <c r="AO74" i="2"/>
  <c r="AV73" i="2" l="1"/>
  <c r="AX74" i="2"/>
  <c r="AW74" i="2" s="1"/>
  <c r="AM74" i="2"/>
  <c r="AM65" i="2" s="1"/>
  <c r="AM68" i="2" s="1"/>
  <c r="AN64" i="2" s="1"/>
  <c r="AO65" i="2"/>
  <c r="AN74" i="2"/>
  <c r="BA73" i="2"/>
  <c r="AY73" i="2" s="1"/>
  <c r="AR74" i="2"/>
  <c r="AR65" i="2" s="1"/>
  <c r="AX65" i="2" l="1"/>
  <c r="AW65" i="2" s="1"/>
  <c r="AQ65" i="2"/>
  <c r="AO68" i="2"/>
  <c r="AR64" i="2" s="1"/>
  <c r="AR68" i="2" s="1"/>
  <c r="AN65" i="2"/>
  <c r="AN68" i="2" s="1"/>
  <c r="AQ74" i="2"/>
  <c r="AZ73" i="2"/>
  <c r="AU74" i="2"/>
  <c r="AU65" i="2" s="1"/>
  <c r="AD4" i="10"/>
  <c r="BD73" i="2" s="1"/>
  <c r="AT65" i="2" l="1"/>
  <c r="AS64" i="2"/>
  <c r="AS68" i="2" s="1"/>
  <c r="AT64" i="2" s="1"/>
  <c r="AU64" i="2"/>
  <c r="AU68" i="2" s="1"/>
  <c r="AP64" i="2"/>
  <c r="AP68" i="2" s="1"/>
  <c r="AQ64" i="2" s="1"/>
  <c r="AQ68" i="2" s="1"/>
  <c r="AT74" i="2"/>
  <c r="BB73" i="2"/>
  <c r="BB74" i="2" s="1"/>
  <c r="BB65" i="2" s="1"/>
  <c r="BC73" i="2"/>
  <c r="AE4" i="10"/>
  <c r="BG73" i="2" s="1"/>
  <c r="AV64" i="2" l="1"/>
  <c r="AV68" i="2" s="1"/>
  <c r="AW64" i="2" s="1"/>
  <c r="AW68" i="2" s="1"/>
  <c r="AX64" i="2"/>
  <c r="AX68" i="2" s="1"/>
  <c r="AY64" i="2" s="1"/>
  <c r="AY68" i="2" s="1"/>
  <c r="AT68" i="2"/>
  <c r="BE73" i="2"/>
  <c r="BE74" i="2" s="1"/>
  <c r="BE65" i="2" s="1"/>
  <c r="BF73" i="2"/>
  <c r="BA74" i="2"/>
  <c r="AF4" i="10"/>
  <c r="BJ73" i="2" s="1"/>
  <c r="Z5" i="10" l="1"/>
  <c r="Z6" i="10" s="1"/>
  <c r="Z31" i="10" s="1"/>
  <c r="BA65" i="2"/>
  <c r="AZ65" i="2" s="1"/>
  <c r="AZ74" i="2"/>
  <c r="BH73" i="2"/>
  <c r="BH74" i="2" s="1"/>
  <c r="BH65" i="2" s="1"/>
  <c r="BI73" i="2"/>
  <c r="AG4" i="10"/>
  <c r="BM73" i="2" s="1"/>
  <c r="BD74" i="2"/>
  <c r="AA5" i="10" l="1"/>
  <c r="AA6" i="10" s="1"/>
  <c r="AA31" i="10" s="1"/>
  <c r="BA64" i="2"/>
  <c r="BA68" i="2" s="1"/>
  <c r="BD64" i="2" s="1"/>
  <c r="BK73" i="2"/>
  <c r="BK74" i="2" s="1"/>
  <c r="BK65" i="2" s="1"/>
  <c r="BL73" i="2"/>
  <c r="AZ64" i="2"/>
  <c r="AZ68" i="2" s="1"/>
  <c r="AZ60" i="2" s="1"/>
  <c r="AZ62" i="2" s="1"/>
  <c r="BD65" i="2"/>
  <c r="BC65" i="2" s="1"/>
  <c r="BC74" i="2"/>
  <c r="BG74" i="2"/>
  <c r="AX62" i="2" l="1"/>
  <c r="AW62" i="2" s="1"/>
  <c r="AB5" i="10"/>
  <c r="AB6" i="10" s="1"/>
  <c r="AB31" i="10" s="1"/>
  <c r="BA60" i="2"/>
  <c r="BB64" i="2"/>
  <c r="BB68" i="2" s="1"/>
  <c r="BB60" i="2" s="1"/>
  <c r="BB62" i="2" s="1"/>
  <c r="BD68" i="2"/>
  <c r="BE64" i="2" s="1"/>
  <c r="BE68" i="2" s="1"/>
  <c r="BG65" i="2"/>
  <c r="BF65" i="2" s="1"/>
  <c r="BF74" i="2"/>
  <c r="BJ74" i="2"/>
  <c r="BA62" i="2" l="1"/>
  <c r="E42" i="54"/>
  <c r="D42" i="54" s="1"/>
  <c r="AW61" i="2"/>
  <c r="AW47" i="2"/>
  <c r="AW45" i="2"/>
  <c r="C42" i="54"/>
  <c r="BG64" i="2"/>
  <c r="BG68" i="2" s="1"/>
  <c r="BH64" i="2" s="1"/>
  <c r="BH68" i="2" s="1"/>
  <c r="AC5" i="10"/>
  <c r="AC6" i="10" s="1"/>
  <c r="AC31" i="10" s="1"/>
  <c r="BC64" i="2"/>
  <c r="BC68" i="2" s="1"/>
  <c r="BC60" i="2" s="1"/>
  <c r="BC62" i="2" s="1"/>
  <c r="BD60" i="2"/>
  <c r="AD5" i="10" s="1"/>
  <c r="AD6" i="10" s="1"/>
  <c r="BJ65" i="2"/>
  <c r="BI65" i="2" s="1"/>
  <c r="BI74" i="2"/>
  <c r="BE60" i="2"/>
  <c r="BE62" i="2" s="1"/>
  <c r="BF64" i="2"/>
  <c r="BF68" i="2" s="1"/>
  <c r="BF60" i="2" s="1"/>
  <c r="BF62" i="2" s="1"/>
  <c r="BM74" i="2"/>
  <c r="F42" i="54" l="1"/>
  <c r="AD31" i="10"/>
  <c r="BG60" i="2"/>
  <c r="BG62" i="2" s="1"/>
  <c r="BJ64" i="2"/>
  <c r="BJ68" i="2" s="1"/>
  <c r="BM64" i="2" s="1"/>
  <c r="BD62" i="2"/>
  <c r="BM65" i="2"/>
  <c r="BL65" i="2" s="1"/>
  <c r="BL74" i="2"/>
  <c r="BH60" i="2"/>
  <c r="BH62" i="2" s="1"/>
  <c r="BI64" i="2"/>
  <c r="BI68" i="2" s="1"/>
  <c r="BI60" i="2" s="1"/>
  <c r="BI62" i="2" s="1"/>
  <c r="AE5" i="10" l="1"/>
  <c r="AE6" i="10" s="1"/>
  <c r="AE31" i="10" s="1"/>
  <c r="BK64" i="2"/>
  <c r="BK68" i="2" s="1"/>
  <c r="BL64" i="2" s="1"/>
  <c r="BL68" i="2" s="1"/>
  <c r="BL60" i="2" s="1"/>
  <c r="BL62" i="2" s="1"/>
  <c r="BJ60" i="2"/>
  <c r="AF5" i="10" s="1"/>
  <c r="AF6" i="10" s="1"/>
  <c r="BM68" i="2"/>
  <c r="BM60" i="2" s="1"/>
  <c r="BM62" i="2" s="1"/>
  <c r="BK60" i="2" l="1"/>
  <c r="BK62" i="2" s="1"/>
  <c r="AF31" i="10"/>
  <c r="BJ62" i="2"/>
  <c r="AG5" i="10"/>
  <c r="AG6" i="10" s="1"/>
  <c r="AG31" i="10" s="1"/>
  <c r="AL232" i="20"/>
  <c r="AL235" i="20"/>
  <c r="AL231" i="20" l="1"/>
  <c r="AK232" i="20"/>
  <c r="AK234" i="20" s="1"/>
  <c r="AN235" i="20" s="1"/>
  <c r="AK233" i="20" l="1"/>
  <c r="AK235" i="20"/>
  <c r="AL250" i="20"/>
  <c r="AL255" i="20" l="1"/>
  <c r="AL243" i="20" s="1"/>
  <c r="AL244" i="20" s="1"/>
  <c r="AJ250" i="20" l="1"/>
  <c r="AK231" i="20"/>
  <c r="AL245" i="20"/>
  <c r="BA234" i="20"/>
  <c r="BA240" i="20" s="1"/>
  <c r="AJ255" i="20" l="1"/>
  <c r="AK250" i="20"/>
  <c r="AK248" i="20" s="1"/>
  <c r="AK249" i="20" s="1"/>
  <c r="BA239" i="20"/>
  <c r="BA252" i="20" s="1"/>
  <c r="BA241" i="20"/>
  <c r="BA233" i="20"/>
  <c r="BA249" i="20" s="1"/>
  <c r="BD234" i="20"/>
  <c r="BD240" i="20" s="1"/>
  <c r="AJ243" i="20" l="1"/>
  <c r="AJ256" i="20"/>
  <c r="BD241" i="20"/>
  <c r="BD239" i="20"/>
  <c r="BD252" i="20" s="1"/>
  <c r="BD233" i="20"/>
  <c r="BD249" i="20" s="1"/>
  <c r="BG234" i="20"/>
  <c r="BG240" i="20" s="1"/>
  <c r="AJ244" i="20" l="1"/>
  <c r="AK243" i="20"/>
  <c r="BG241" i="20"/>
  <c r="BG239" i="20"/>
  <c r="BG252" i="20" s="1"/>
  <c r="BG233" i="20"/>
  <c r="BG249" i="20" s="1"/>
  <c r="BJ234" i="20"/>
  <c r="AJ245" i="20" l="1"/>
  <c r="AK244" i="20"/>
  <c r="AK245" i="20" s="1"/>
  <c r="BJ233" i="20"/>
  <c r="BJ249" i="20" s="1"/>
  <c r="BJ240" i="20"/>
  <c r="BJ241" i="20" l="1"/>
  <c r="BJ239" i="20"/>
  <c r="BJ252" i="20" s="1"/>
  <c r="AO24" i="2"/>
  <c r="AO116" i="2"/>
  <c r="AO150" i="4" s="1"/>
  <c r="AO152" i="4" s="1"/>
  <c r="AO153" i="4" s="1"/>
  <c r="AO118" i="2" l="1"/>
  <c r="AO123" i="2" s="1"/>
  <c r="AO122" i="2"/>
  <c r="AO151" i="4"/>
  <c r="AO158" i="2"/>
  <c r="AO165" i="2"/>
  <c r="AO70" i="3" l="1"/>
  <c r="AN70" i="3" l="1"/>
  <c r="AO25" i="2"/>
  <c r="AO71" i="3"/>
  <c r="AN71" i="3" l="1"/>
  <c r="AN25" i="2"/>
  <c r="AO228" i="4"/>
  <c r="Y15" i="10"/>
  <c r="AO26" i="2"/>
  <c r="AO100" i="5"/>
  <c r="AO108" i="5" s="1"/>
  <c r="AO33" i="2"/>
  <c r="AO43" i="2" l="1"/>
  <c r="AN26" i="2"/>
  <c r="AN100" i="5"/>
  <c r="AN108" i="5" s="1"/>
  <c r="AN111" i="5" s="1"/>
  <c r="AN228" i="4"/>
  <c r="AN33" i="2"/>
  <c r="AO37" i="2"/>
  <c r="Y37" i="10" s="1"/>
  <c r="AO98" i="5"/>
  <c r="Y14" i="10"/>
  <c r="Y34" i="10"/>
  <c r="Y29" i="10"/>
  <c r="Y46" i="10"/>
  <c r="AO111" i="5"/>
  <c r="AO95" i="5" l="1"/>
  <c r="AN43" i="2"/>
  <c r="AN98" i="5"/>
  <c r="AN99" i="5" s="1"/>
  <c r="AN37" i="2"/>
  <c r="AN157" i="2" s="1"/>
  <c r="AN115" i="5"/>
  <c r="AN105" i="4"/>
  <c r="AN62" i="4"/>
  <c r="AN5" i="5"/>
  <c r="AN32" i="2"/>
  <c r="AN38" i="2" s="1"/>
  <c r="AN42" i="2" s="1"/>
  <c r="AN16" i="2"/>
  <c r="AO170" i="2"/>
  <c r="Y53" i="10"/>
  <c r="AO157" i="2"/>
  <c r="AO169" i="2" s="1"/>
  <c r="AO229" i="4"/>
  <c r="Y38" i="10"/>
  <c r="Y16" i="10"/>
  <c r="AO99" i="5"/>
  <c r="Y21" i="10"/>
  <c r="AO105" i="4"/>
  <c r="AO115" i="5"/>
  <c r="AO62" i="4"/>
  <c r="AO116" i="5"/>
  <c r="AO112" i="5"/>
  <c r="AO46" i="2"/>
  <c r="Y17" i="10"/>
  <c r="AO47" i="2"/>
  <c r="Y45" i="10"/>
  <c r="AN229" i="4" l="1"/>
  <c r="AN233" i="4" s="1"/>
  <c r="AN235" i="4" s="1"/>
  <c r="AN112" i="5"/>
  <c r="AN106" i="4"/>
  <c r="AN111" i="4"/>
  <c r="AN112" i="4" s="1"/>
  <c r="AN107" i="4"/>
  <c r="AN44" i="2"/>
  <c r="AN45" i="2"/>
  <c r="AN116" i="5"/>
  <c r="AO233" i="4"/>
  <c r="AO235" i="4" s="1"/>
  <c r="AO231" i="4"/>
  <c r="Y62" i="10" s="1"/>
  <c r="AO230" i="4"/>
  <c r="Y61" i="10" s="1"/>
  <c r="AN47" i="2"/>
  <c r="AN46" i="2"/>
  <c r="Y24" i="10"/>
  <c r="Y25" i="10"/>
  <c r="Y64" i="10"/>
  <c r="Y23" i="10"/>
  <c r="Y36" i="10"/>
  <c r="AO178" i="2" s="1"/>
  <c r="Y47" i="10"/>
  <c r="Y54" i="10"/>
  <c r="Y35" i="10"/>
  <c r="Y63" i="10"/>
  <c r="Y43" i="10"/>
  <c r="AO69" i="4"/>
  <c r="Y18" i="10"/>
  <c r="AO54" i="2"/>
  <c r="AO50" i="2"/>
  <c r="AO106" i="4"/>
  <c r="AO107" i="4"/>
  <c r="AO111" i="4"/>
  <c r="AO112" i="4" s="1"/>
  <c r="AN54" i="2" l="1"/>
  <c r="AN50" i="2"/>
  <c r="AN230" i="4"/>
  <c r="AN231" i="4"/>
  <c r="AO71" i="4"/>
  <c r="AO72" i="4" s="1"/>
  <c r="AN69" i="4"/>
  <c r="AN71" i="4" s="1"/>
  <c r="AN72" i="4" s="1"/>
  <c r="AN108" i="4"/>
  <c r="AN109" i="4"/>
  <c r="AN110" i="4" s="1"/>
  <c r="Y20" i="10"/>
  <c r="Y30" i="10"/>
  <c r="Y22" i="10"/>
  <c r="AO108" i="4"/>
  <c r="AO109" i="4"/>
  <c r="AO110" i="4" s="1"/>
  <c r="Y65" i="10" l="1"/>
  <c r="Y48" i="10"/>
  <c r="BD158" i="2" l="1"/>
  <c r="BB158" i="2" l="1"/>
  <c r="BG158" i="2"/>
  <c r="BE158" i="2" l="1"/>
  <c r="BJ158" i="2"/>
  <c r="BH158" i="2" l="1"/>
  <c r="BM158" i="2"/>
  <c r="BK158" i="2" l="1"/>
  <c r="AL70" i="18"/>
  <c r="AP536" i="20"/>
  <c r="AP538" i="20" s="1"/>
  <c r="AL540" i="20"/>
  <c r="AP540" i="20" l="1"/>
  <c r="AL447" i="20"/>
  <c r="AL448" i="20" s="1"/>
  <c r="AL455" i="20" s="1"/>
  <c r="AL489" i="20"/>
  <c r="AL492" i="20" s="1"/>
  <c r="AL493" i="20" s="1"/>
  <c r="AL393" i="20"/>
  <c r="AL459" i="20" s="1"/>
  <c r="AL476" i="20"/>
  <c r="AO169" i="20" l="1"/>
  <c r="AO133" i="20" s="1"/>
  <c r="AL169" i="20"/>
  <c r="AL150" i="20" s="1"/>
  <c r="AN390" i="20"/>
  <c r="AN539" i="20" s="1"/>
  <c r="AL394" i="20"/>
  <c r="AL402" i="20" s="1"/>
  <c r="AL479" i="20"/>
  <c r="AL480" i="20" s="1"/>
  <c r="AL495" i="20" s="1"/>
  <c r="AL496" i="20" s="1"/>
  <c r="AL162" i="20" l="1"/>
  <c r="AN465" i="20"/>
  <c r="AN476" i="20" s="1"/>
  <c r="AO202" i="20"/>
  <c r="AQ390" i="20"/>
  <c r="AM539" i="20"/>
  <c r="AN536" i="20" s="1"/>
  <c r="AN540" i="20" s="1"/>
  <c r="AM465" i="20"/>
  <c r="AM476" i="20" s="1"/>
  <c r="AK150" i="20"/>
  <c r="AL133" i="20"/>
  <c r="AR169" i="20"/>
  <c r="AQ539" i="20" l="1"/>
  <c r="AQ465" i="20"/>
  <c r="AQ476" i="20" s="1"/>
  <c r="AL202" i="20"/>
  <c r="AL195" i="20" s="1"/>
  <c r="AL124" i="20"/>
  <c r="AK124" i="20" s="1"/>
  <c r="AN489" i="20"/>
  <c r="AN538" i="20"/>
  <c r="AM538" i="20"/>
  <c r="AM540" i="20"/>
  <c r="AM489" i="20"/>
  <c r="AO213" i="20"/>
  <c r="AQ489" i="20" l="1"/>
  <c r="AQ538" i="20"/>
  <c r="AQ540" i="20"/>
  <c r="AJ195" i="20"/>
  <c r="AJ184" i="20" s="1"/>
  <c r="AK137" i="20"/>
  <c r="AL213" i="20"/>
  <c r="AL206" i="20" s="1"/>
  <c r="AT415" i="20"/>
  <c r="AR133" i="20"/>
  <c r="AR202" i="20" s="1"/>
  <c r="AL125" i="20"/>
  <c r="AL137" i="20"/>
  <c r="AL217" i="20" l="1"/>
  <c r="AJ206" i="20"/>
  <c r="AK206" i="20" s="1"/>
  <c r="AJ263" i="20"/>
  <c r="AJ262" i="20"/>
  <c r="AJ264" i="20"/>
  <c r="AK195" i="20"/>
  <c r="AL138" i="20"/>
  <c r="AR213" i="20"/>
  <c r="AJ265" i="20" l="1"/>
  <c r="AJ268" i="20" s="1"/>
  <c r="AJ271" i="20" s="1"/>
  <c r="AM112" i="6" l="1"/>
  <c r="AM114" i="6" s="1"/>
  <c r="AM120" i="6" s="1"/>
  <c r="AM124" i="6" s="1"/>
  <c r="AM107" i="6"/>
  <c r="AM108" i="6" s="1"/>
  <c r="AM109" i="6" s="1"/>
  <c r="AJ27" i="20"/>
  <c r="AJ30" i="20" s="1"/>
  <c r="AJ273" i="20"/>
  <c r="AJ272" i="20"/>
  <c r="AJ32" i="20" l="1"/>
  <c r="AM84" i="6"/>
  <c r="AM85" i="6" s="1"/>
  <c r="AJ31" i="20"/>
  <c r="AM86" i="6" l="1"/>
  <c r="AM90" i="6"/>
  <c r="AL501" i="20" l="1"/>
  <c r="AL503" i="20"/>
  <c r="AL116" i="20" l="1"/>
  <c r="AL184" i="20"/>
  <c r="AL126" i="20" l="1"/>
  <c r="AK116" i="20"/>
  <c r="AK119" i="20" s="1"/>
  <c r="AK257" i="20"/>
  <c r="AL256" i="20"/>
  <c r="AL263" i="20"/>
  <c r="AK263" i="20" s="1"/>
  <c r="AL262" i="20"/>
  <c r="AK262" i="20" s="1"/>
  <c r="AL264" i="20"/>
  <c r="AK264" i="20" s="1"/>
  <c r="AL41" i="20"/>
  <c r="AK41" i="20" s="1"/>
  <c r="AK45" i="20" s="1"/>
  <c r="AL119" i="20"/>
  <c r="AO120" i="20" s="1"/>
  <c r="AK265" i="20" l="1"/>
  <c r="AK269" i="20"/>
  <c r="AK255" i="20"/>
  <c r="AK256" i="20" s="1"/>
  <c r="AL265" i="20"/>
  <c r="AL268" i="20" s="1"/>
  <c r="AL120" i="20"/>
  <c r="AK73" i="20" l="1"/>
  <c r="AK184" i="20"/>
  <c r="AK105" i="20"/>
  <c r="AL271" i="20"/>
  <c r="AO112" i="6" s="1"/>
  <c r="AK268" i="20"/>
  <c r="AL27" i="20" l="1"/>
  <c r="AL273" i="20"/>
  <c r="AK104" i="20"/>
  <c r="AK35" i="20"/>
  <c r="AL272" i="20"/>
  <c r="AK74" i="20"/>
  <c r="AK79" i="20"/>
  <c r="AK83" i="20" s="1"/>
  <c r="AK267" i="20"/>
  <c r="AK271" i="20"/>
  <c r="AF37" i="14"/>
  <c r="AI83" i="6" s="1"/>
  <c r="AK80" i="20" l="1"/>
  <c r="AK84" i="20" s="1"/>
  <c r="AK306" i="20"/>
  <c r="AN112" i="6"/>
  <c r="AN114" i="6" s="1"/>
  <c r="AK39" i="20"/>
  <c r="AN101" i="6"/>
  <c r="AN100" i="6" s="1"/>
  <c r="AN104" i="6" s="1"/>
  <c r="AN126" i="6" s="1"/>
  <c r="AK273" i="20"/>
  <c r="AK272" i="20"/>
  <c r="AK27" i="20"/>
  <c r="AI171" i="14"/>
  <c r="AI106" i="6"/>
  <c r="AF171" i="14"/>
  <c r="AI111" i="6"/>
  <c r="AE171" i="14" l="1"/>
  <c r="AF221" i="14"/>
  <c r="AF222" i="14" s="1"/>
  <c r="AF223" i="14" s="1"/>
  <c r="AH171" i="14"/>
  <c r="AI221" i="14"/>
  <c r="AI222" i="14" s="1"/>
  <c r="AI223" i="14" s="1"/>
  <c r="AI114" i="6"/>
  <c r="AL171" i="14"/>
  <c r="AK171" i="14" l="1"/>
  <c r="AL221" i="14"/>
  <c r="AL222" i="14" s="1"/>
  <c r="AL223" i="14" s="1"/>
  <c r="AH173" i="14"/>
  <c r="AH174" i="14" s="1"/>
  <c r="AH221" i="14"/>
  <c r="AH222" i="14" s="1"/>
  <c r="AH223" i="14" s="1"/>
  <c r="AE173" i="14"/>
  <c r="AE174" i="14" s="1"/>
  <c r="AE221" i="14"/>
  <c r="AE222" i="14" s="1"/>
  <c r="AE223" i="14" s="1"/>
  <c r="AI37" i="14"/>
  <c r="AL83" i="6" s="1"/>
  <c r="AL111" i="6"/>
  <c r="AK173" i="14" l="1"/>
  <c r="AK174" i="14" s="1"/>
  <c r="AK221" i="14"/>
  <c r="AK222" i="14" s="1"/>
  <c r="AK223" i="14" s="1"/>
  <c r="AM174" i="14"/>
  <c r="AM171" i="14"/>
  <c r="AO111" i="6"/>
  <c r="AL37" i="14"/>
  <c r="AO83" i="6" s="1"/>
  <c r="AL114" i="6"/>
  <c r="AT173" i="14"/>
  <c r="AT174" i="14" s="1"/>
  <c r="AL106" i="6"/>
  <c r="AN171" i="14" l="1"/>
  <c r="AM221" i="14"/>
  <c r="AP174" i="14"/>
  <c r="AS174" i="14" s="1"/>
  <c r="AV173" i="14" s="1"/>
  <c r="AE65" i="14"/>
  <c r="AE64" i="14"/>
  <c r="AW173" i="14"/>
  <c r="AW174" i="14" s="1"/>
  <c r="AO106" i="6"/>
  <c r="AO114" i="6"/>
  <c r="AN174" i="14" l="1"/>
  <c r="AN221" i="14"/>
  <c r="AS173" i="14"/>
  <c r="AP173" i="14"/>
  <c r="AM52" i="14"/>
  <c r="AM54" i="14"/>
  <c r="AZ173" i="14"/>
  <c r="AZ174" i="14" s="1"/>
  <c r="AY173" i="14" l="1"/>
  <c r="AM34" i="14"/>
  <c r="AP111" i="6" s="1"/>
  <c r="AH65" i="14"/>
  <c r="AK64" i="14"/>
  <c r="AH64" i="14"/>
  <c r="BC173" i="14"/>
  <c r="BC174" i="14" s="1"/>
  <c r="AM37" i="14" l="1"/>
  <c r="AP83" i="6" s="1"/>
  <c r="AY174" i="14"/>
  <c r="BB173" i="14"/>
  <c r="BF173" i="14"/>
  <c r="BF174" i="14" s="1"/>
  <c r="BB174" i="14" l="1"/>
  <c r="BE173" i="14"/>
  <c r="AP106" i="6"/>
  <c r="BI173" i="14"/>
  <c r="BI174" i="14" s="1"/>
  <c r="BE174" i="14" l="1"/>
  <c r="BH173" i="14"/>
  <c r="BH174" i="14" l="1"/>
  <c r="AO65" i="14"/>
  <c r="AL178" i="14"/>
  <c r="AK178" i="14" s="1"/>
  <c r="AM179" i="14" l="1"/>
  <c r="AM178" i="14" s="1"/>
  <c r="AN178" i="14" s="1"/>
  <c r="AU179" i="14" l="1"/>
  <c r="AP179" i="14"/>
  <c r="AP178" i="14" s="1"/>
  <c r="AQ178" i="14" s="1"/>
  <c r="AT179" i="14" l="1"/>
  <c r="AS179" i="14"/>
  <c r="AS178" i="14" s="1"/>
  <c r="AU178" i="14"/>
  <c r="AX179" i="14"/>
  <c r="AW179" i="14" s="1"/>
  <c r="AP142" i="14"/>
  <c r="AP143" i="14" s="1"/>
  <c r="AT178" i="14" l="1"/>
  <c r="BA179" i="14"/>
  <c r="AY179" i="14" s="1"/>
  <c r="AY178" i="14" s="1"/>
  <c r="AV179" i="14"/>
  <c r="AV178" i="14" s="1"/>
  <c r="AX178" i="14"/>
  <c r="AP151" i="14"/>
  <c r="AP152" i="14" s="1"/>
  <c r="AP154" i="14"/>
  <c r="AP155" i="14" s="1"/>
  <c r="AP171" i="14"/>
  <c r="AO142" i="14"/>
  <c r="AO143" i="14" s="1"/>
  <c r="AR142" i="14"/>
  <c r="AR143" i="14" s="1"/>
  <c r="AQ171" i="14" l="1"/>
  <c r="AQ221" i="14" s="1"/>
  <c r="AP221" i="14"/>
  <c r="AS171" i="14"/>
  <c r="AS221" i="14" s="1"/>
  <c r="AS142" i="14"/>
  <c r="AS143" i="14" s="1"/>
  <c r="BA178" i="14"/>
  <c r="AZ178" i="14" s="1"/>
  <c r="AY172" i="14" s="1"/>
  <c r="AZ179" i="14"/>
  <c r="AR41" i="14"/>
  <c r="AR44" i="14" s="1"/>
  <c r="AR154" i="14"/>
  <c r="AW178" i="14"/>
  <c r="BD179" i="14"/>
  <c r="BB179" i="14" s="1"/>
  <c r="BB178" i="14" s="1"/>
  <c r="AP41" i="14"/>
  <c r="AP44" i="14" s="1"/>
  <c r="AO41" i="14"/>
  <c r="AO44" i="14" s="1"/>
  <c r="AO154" i="14"/>
  <c r="AO151" i="14"/>
  <c r="AO152" i="14" s="1"/>
  <c r="AR151" i="14"/>
  <c r="AU171" i="14"/>
  <c r="AU221" i="14" s="1"/>
  <c r="AU142" i="14"/>
  <c r="AU143" i="14" s="1"/>
  <c r="AX172" i="14" l="1"/>
  <c r="AX49" i="14" s="1"/>
  <c r="BG179" i="14"/>
  <c r="BF179" i="14" s="1"/>
  <c r="BD178" i="14"/>
  <c r="BC178" i="14" s="1"/>
  <c r="BB172" i="14" s="1"/>
  <c r="BB49" i="14" s="1"/>
  <c r="AS154" i="14"/>
  <c r="AS155" i="14" s="1"/>
  <c r="AS151" i="14"/>
  <c r="AS152" i="14" s="1"/>
  <c r="BC179" i="14"/>
  <c r="AR155" i="14"/>
  <c r="AS41" i="14"/>
  <c r="AS44" i="14" s="1"/>
  <c r="AO155" i="14"/>
  <c r="AO61" i="14"/>
  <c r="AY49" i="14"/>
  <c r="AQ59" i="14"/>
  <c r="AQ126" i="14" s="1"/>
  <c r="AT171" i="14"/>
  <c r="AT221" i="14" s="1"/>
  <c r="AR152" i="14"/>
  <c r="AP525" i="20"/>
  <c r="AP59" i="14"/>
  <c r="AP126" i="14" s="1"/>
  <c r="AP524" i="20"/>
  <c r="AU86" i="14"/>
  <c r="AU151" i="14"/>
  <c r="AU152" i="14" s="1"/>
  <c r="AU41" i="14"/>
  <c r="AR59" i="14"/>
  <c r="AR126" i="14" s="1"/>
  <c r="AX142" i="14"/>
  <c r="AX143" i="14" s="1"/>
  <c r="AX171" i="14"/>
  <c r="AX48" i="14" l="1"/>
  <c r="AX50" i="14" s="1"/>
  <c r="AX221" i="14"/>
  <c r="AX222" i="14" s="1"/>
  <c r="AX223" i="14" s="1"/>
  <c r="BG178" i="14"/>
  <c r="BE179" i="14"/>
  <c r="BE178" i="14" s="1"/>
  <c r="BA172" i="14"/>
  <c r="BA49" i="14" s="1"/>
  <c r="BA52" i="14" s="1"/>
  <c r="BD172" i="14"/>
  <c r="BD142" i="14" s="1"/>
  <c r="BD143" i="14" s="1"/>
  <c r="BJ179" i="14"/>
  <c r="BI179" i="14" s="1"/>
  <c r="AX52" i="14"/>
  <c r="AP526" i="20"/>
  <c r="AV142" i="14"/>
  <c r="AV143" i="14" s="1"/>
  <c r="AV41" i="14" s="1"/>
  <c r="AV171" i="14"/>
  <c r="AV221" i="14" s="1"/>
  <c r="AY142" i="14"/>
  <c r="AY143" i="14" s="1"/>
  <c r="AY41" i="14" s="1"/>
  <c r="AY171" i="14"/>
  <c r="AY221" i="14" s="1"/>
  <c r="BB171" i="14"/>
  <c r="BB221" i="14" s="1"/>
  <c r="AP528" i="20"/>
  <c r="AY525" i="20"/>
  <c r="AY86" i="14"/>
  <c r="AY87" i="14" s="1"/>
  <c r="AP61" i="14"/>
  <c r="AN142" i="14"/>
  <c r="AN143" i="14" s="1"/>
  <c r="AN388" i="20"/>
  <c r="AN527" i="20" s="1"/>
  <c r="AT86" i="14"/>
  <c r="AT87" i="14" s="1"/>
  <c r="AS61" i="14"/>
  <c r="AR174" i="2"/>
  <c r="AQ142" i="14"/>
  <c r="AQ143" i="14" s="1"/>
  <c r="AX41" i="14"/>
  <c r="AX151" i="14"/>
  <c r="AX152" i="14" s="1"/>
  <c r="BA86" i="14"/>
  <c r="BA525" i="20"/>
  <c r="AU87" i="14"/>
  <c r="AU49" i="14" s="1"/>
  <c r="AU52" i="14" s="1"/>
  <c r="AU174" i="2"/>
  <c r="BK95" i="14"/>
  <c r="AR61" i="14"/>
  <c r="AX86" i="14"/>
  <c r="AX525" i="20"/>
  <c r="BF178" i="14" l="1"/>
  <c r="BE172" i="14" s="1"/>
  <c r="BA171" i="14"/>
  <c r="BA142" i="14"/>
  <c r="BA143" i="14" s="1"/>
  <c r="BA41" i="14" s="1"/>
  <c r="AZ49" i="14"/>
  <c r="BD171" i="14"/>
  <c r="BJ178" i="14"/>
  <c r="BJ172" i="14" s="1"/>
  <c r="BJ142" i="14" s="1"/>
  <c r="BJ143" i="14" s="1"/>
  <c r="BJ41" i="14" s="1"/>
  <c r="BD49" i="14"/>
  <c r="BD52" i="14" s="1"/>
  <c r="BH179" i="14"/>
  <c r="BH178" i="14" s="1"/>
  <c r="AX55" i="14"/>
  <c r="AQ41" i="14"/>
  <c r="AQ44" i="14" s="1"/>
  <c r="AQ154" i="14"/>
  <c r="AV151" i="14"/>
  <c r="AV152" i="14" s="1"/>
  <c r="AW171" i="14"/>
  <c r="AW221" i="14" s="1"/>
  <c r="AY151" i="14"/>
  <c r="AN463" i="20"/>
  <c r="AN474" i="20" s="1"/>
  <c r="AY154" i="14"/>
  <c r="AY48" i="14"/>
  <c r="AY50" i="14" s="1"/>
  <c r="AN41" i="14"/>
  <c r="AN44" i="14" s="1"/>
  <c r="AN154" i="14"/>
  <c r="AN155" i="14" s="1"/>
  <c r="BB142" i="14"/>
  <c r="BB143" i="14" s="1"/>
  <c r="BB41" i="14" s="1"/>
  <c r="AR167" i="20"/>
  <c r="BH525" i="20"/>
  <c r="AT142" i="14"/>
  <c r="AT143" i="14" s="1"/>
  <c r="AO131" i="20"/>
  <c r="AN151" i="14"/>
  <c r="AN152" i="14" s="1"/>
  <c r="AQ388" i="20"/>
  <c r="AM527" i="20"/>
  <c r="AN524" i="20" s="1"/>
  <c r="AN528" i="20" s="1"/>
  <c r="AM463" i="20"/>
  <c r="AM474" i="20" s="1"/>
  <c r="AV95" i="14"/>
  <c r="AV98" i="14" s="1"/>
  <c r="AV99" i="14" s="1"/>
  <c r="AY58" i="14"/>
  <c r="AY95" i="14"/>
  <c r="AY98" i="14" s="1"/>
  <c r="AY99" i="14" s="1"/>
  <c r="BB525" i="20"/>
  <c r="BB86" i="14"/>
  <c r="BB87" i="14" s="1"/>
  <c r="AQ151" i="14"/>
  <c r="AT95" i="14"/>
  <c r="AT98" i="14" s="1"/>
  <c r="AT99" i="14" s="1"/>
  <c r="BB48" i="14"/>
  <c r="BB222" i="14" s="1"/>
  <c r="BB223" i="14" s="1"/>
  <c r="AV154" i="14"/>
  <c r="AW172" i="14"/>
  <c r="AW525" i="20"/>
  <c r="AW86" i="14"/>
  <c r="AW87" i="14" s="1"/>
  <c r="AZ172" i="14"/>
  <c r="AZ525" i="20"/>
  <c r="AZ86" i="14"/>
  <c r="AZ87" i="14" s="1"/>
  <c r="AU95" i="14"/>
  <c r="AU98" i="14" s="1"/>
  <c r="AU99" i="14" s="1"/>
  <c r="AU59" i="14"/>
  <c r="AU126" i="14" s="1"/>
  <c r="AX174" i="2"/>
  <c r="AU154" i="14"/>
  <c r="AU61" i="14" s="1"/>
  <c r="BA87" i="14"/>
  <c r="BA58" i="14" s="1"/>
  <c r="BD151" i="14"/>
  <c r="BD41" i="14"/>
  <c r="AX87" i="14"/>
  <c r="BD86" i="14"/>
  <c r="BD525" i="20"/>
  <c r="BD48" i="14" l="1"/>
  <c r="BD221" i="14"/>
  <c r="BD222" i="14" s="1"/>
  <c r="BD223" i="14" s="1"/>
  <c r="BA48" i="14"/>
  <c r="BA221" i="14"/>
  <c r="BA222" i="14" s="1"/>
  <c r="BA223" i="14" s="1"/>
  <c r="AZ171" i="14"/>
  <c r="AY222" i="14"/>
  <c r="AY223" i="14" s="1"/>
  <c r="AX58" i="14"/>
  <c r="AW58" i="14" s="1"/>
  <c r="AV155" i="14"/>
  <c r="AV61" i="14"/>
  <c r="BA151" i="14"/>
  <c r="BA152" i="14" s="1"/>
  <c r="BI178" i="14"/>
  <c r="BH172" i="14" s="1"/>
  <c r="BH49" i="14" s="1"/>
  <c r="BC171" i="14"/>
  <c r="BJ49" i="14"/>
  <c r="BJ171" i="14"/>
  <c r="BD50" i="14"/>
  <c r="BG172" i="14"/>
  <c r="BG142" i="14" s="1"/>
  <c r="BG143" i="14" s="1"/>
  <c r="BG41" i="14" s="1"/>
  <c r="BC49" i="14"/>
  <c r="AQ527" i="20"/>
  <c r="AQ463" i="20"/>
  <c r="AQ474" i="20" s="1"/>
  <c r="AQ155" i="14"/>
  <c r="AQ61" i="14"/>
  <c r="BD55" i="14"/>
  <c r="BA59" i="14"/>
  <c r="BA126" i="14" s="1"/>
  <c r="BA62" i="14"/>
  <c r="AY152" i="14"/>
  <c r="AR131" i="20"/>
  <c r="AN487" i="20"/>
  <c r="BH171" i="14"/>
  <c r="BH142" i="14"/>
  <c r="BH143" i="14" s="1"/>
  <c r="BH41" i="14" s="1"/>
  <c r="AN526" i="20"/>
  <c r="AY51" i="14"/>
  <c r="BJ151" i="14"/>
  <c r="BJ86" i="14"/>
  <c r="BJ87" i="14" s="1"/>
  <c r="BB151" i="14"/>
  <c r="BB152" i="14" s="1"/>
  <c r="BE49" i="14"/>
  <c r="BE525" i="20"/>
  <c r="BH86" i="14"/>
  <c r="BH87" i="14" s="1"/>
  <c r="BJ525" i="20"/>
  <c r="BI172" i="14"/>
  <c r="AQ152" i="14"/>
  <c r="BB50" i="14"/>
  <c r="AY155" i="14"/>
  <c r="BB58" i="14"/>
  <c r="BB96" i="14" s="1"/>
  <c r="BB95" i="14"/>
  <c r="BB98" i="14" s="1"/>
  <c r="BB99" i="14" s="1"/>
  <c r="AM526" i="20"/>
  <c r="AM528" i="20"/>
  <c r="AT41" i="14"/>
  <c r="AT154" i="14"/>
  <c r="AT155" i="14" s="1"/>
  <c r="AT151" i="14"/>
  <c r="AT152" i="14" s="1"/>
  <c r="AZ95" i="14"/>
  <c r="AZ98" i="14" s="1"/>
  <c r="AZ99" i="14" s="1"/>
  <c r="AY59" i="14"/>
  <c r="AY126" i="14" s="1"/>
  <c r="AY62" i="14"/>
  <c r="AW142" i="14"/>
  <c r="AW143" i="14" s="1"/>
  <c r="BC172" i="14"/>
  <c r="BC525" i="20"/>
  <c r="BC86" i="14"/>
  <c r="BC87" i="14" s="1"/>
  <c r="AM487" i="20"/>
  <c r="AZ142" i="14"/>
  <c r="AZ143" i="14" s="1"/>
  <c r="AZ58" i="14"/>
  <c r="AZ59" i="14" s="1"/>
  <c r="AZ126" i="14" s="1"/>
  <c r="AW95" i="14"/>
  <c r="AW98" i="14" s="1"/>
  <c r="AW99" i="14" s="1"/>
  <c r="AY96" i="14"/>
  <c r="BB154" i="14"/>
  <c r="BB155" i="14" s="1"/>
  <c r="BK98" i="14"/>
  <c r="BD87" i="14"/>
  <c r="BA95" i="14"/>
  <c r="BA98" i="14" s="1"/>
  <c r="BA99" i="14" s="1"/>
  <c r="BD174" i="2"/>
  <c r="BA154" i="14"/>
  <c r="BA61" i="14" s="1"/>
  <c r="AU62" i="14"/>
  <c r="AX113" i="6" s="1"/>
  <c r="AU57" i="14"/>
  <c r="BA174" i="2"/>
  <c r="AX95" i="14"/>
  <c r="AX98" i="14" s="1"/>
  <c r="AX99" i="14" s="1"/>
  <c r="AX154" i="14"/>
  <c r="AX61" i="14" s="1"/>
  <c r="AT413" i="20"/>
  <c r="AU155" i="14"/>
  <c r="AU96" i="14"/>
  <c r="BG49" i="14" l="1"/>
  <c r="BH48" i="14"/>
  <c r="BH50" i="14" s="1"/>
  <c r="BH221" i="14"/>
  <c r="AZ48" i="14"/>
  <c r="AZ221" i="14"/>
  <c r="BC48" i="14"/>
  <c r="BC221" i="14"/>
  <c r="BA50" i="14"/>
  <c r="BA55" i="14"/>
  <c r="BJ48" i="14"/>
  <c r="BJ221" i="14"/>
  <c r="BI49" i="14"/>
  <c r="BD152" i="14"/>
  <c r="BG171" i="14"/>
  <c r="BH58" i="14"/>
  <c r="BH96" i="14" s="1"/>
  <c r="AQ487" i="20"/>
  <c r="AQ526" i="20"/>
  <c r="AQ528" i="20"/>
  <c r="BF49" i="14"/>
  <c r="BI171" i="14"/>
  <c r="BH151" i="14"/>
  <c r="BE86" i="14"/>
  <c r="BE87" i="14" s="1"/>
  <c r="BE95" i="14" s="1"/>
  <c r="BE98" i="14" s="1"/>
  <c r="BE99" i="14" s="1"/>
  <c r="BG151" i="14"/>
  <c r="BG152" i="14" s="1"/>
  <c r="BG86" i="14"/>
  <c r="BF525" i="20"/>
  <c r="BG525" i="20"/>
  <c r="BE142" i="14"/>
  <c r="BE143" i="14" s="1"/>
  <c r="BE171" i="14"/>
  <c r="BE221" i="14" s="1"/>
  <c r="BI86" i="14"/>
  <c r="BI87" i="14" s="1"/>
  <c r="BI95" i="14" s="1"/>
  <c r="BI98" i="14" s="1"/>
  <c r="BI99" i="14" s="1"/>
  <c r="BH95" i="14"/>
  <c r="BH98" i="14" s="1"/>
  <c r="BH99" i="14" s="1"/>
  <c r="BH154" i="14"/>
  <c r="BI525" i="20"/>
  <c r="AZ151" i="14"/>
  <c r="AZ41" i="14"/>
  <c r="AZ154" i="14"/>
  <c r="BB113" i="6"/>
  <c r="BB51" i="14"/>
  <c r="AM57" i="14"/>
  <c r="AN57" i="14" s="1"/>
  <c r="AM65" i="14"/>
  <c r="AM61" i="14"/>
  <c r="BC95" i="14"/>
  <c r="BC98" i="14" s="1"/>
  <c r="BC99" i="14" s="1"/>
  <c r="AO200" i="20"/>
  <c r="BI142" i="14"/>
  <c r="BI143" i="14" s="1"/>
  <c r="AW154" i="14"/>
  <c r="AW155" i="14" s="1"/>
  <c r="AW41" i="14"/>
  <c r="AW151" i="14"/>
  <c r="AW152" i="14" s="1"/>
  <c r="AU34" i="14"/>
  <c r="AX111" i="6" s="1"/>
  <c r="AZ50" i="14"/>
  <c r="BC142" i="14"/>
  <c r="BC143" i="14" s="1"/>
  <c r="AZ96" i="14"/>
  <c r="BB59" i="14"/>
  <c r="BB126" i="14" s="1"/>
  <c r="BB62" i="14"/>
  <c r="AR200" i="20"/>
  <c r="AX96" i="14"/>
  <c r="AX59" i="14"/>
  <c r="AX126" i="14" s="1"/>
  <c r="BA96" i="14"/>
  <c r="BA155" i="14"/>
  <c r="BA57" i="14"/>
  <c r="BG174" i="2"/>
  <c r="BD58" i="14"/>
  <c r="BD95" i="14"/>
  <c r="BD98" i="14" s="1"/>
  <c r="BD99" i="14" s="1"/>
  <c r="BD154" i="14"/>
  <c r="BD61" i="14" s="1"/>
  <c r="AX62" i="14"/>
  <c r="AX34" i="14" s="1"/>
  <c r="AX57" i="14"/>
  <c r="AX40" i="14" s="1"/>
  <c r="AX155" i="14"/>
  <c r="AX51" i="14"/>
  <c r="BJ58" i="14"/>
  <c r="BJ95" i="14"/>
  <c r="BJ98" i="14" s="1"/>
  <c r="BJ99" i="14" s="1"/>
  <c r="BM174" i="2"/>
  <c r="BJ154" i="14"/>
  <c r="BJ61" i="14" s="1"/>
  <c r="AZ222" i="14" l="1"/>
  <c r="AZ223" i="14" s="1"/>
  <c r="BJ222" i="14"/>
  <c r="BJ223" i="14" s="1"/>
  <c r="BH222" i="14"/>
  <c r="BH223" i="14" s="1"/>
  <c r="BJ50" i="14"/>
  <c r="BG48" i="14"/>
  <c r="BG221" i="14"/>
  <c r="BC222" i="14"/>
  <c r="BC223" i="14" s="1"/>
  <c r="BI48" i="14"/>
  <c r="BI50" i="14" s="1"/>
  <c r="BI221" i="14"/>
  <c r="BH59" i="14"/>
  <c r="BH126" i="14" s="1"/>
  <c r="BA51" i="14"/>
  <c r="BG50" i="14"/>
  <c r="BH62" i="14"/>
  <c r="BK113" i="6" s="1"/>
  <c r="BJ152" i="14"/>
  <c r="BG87" i="14"/>
  <c r="BG154" i="14" s="1"/>
  <c r="BG61" i="14" s="1"/>
  <c r="BE58" i="14"/>
  <c r="BE62" i="14" s="1"/>
  <c r="BF172" i="14"/>
  <c r="BF142" i="14" s="1"/>
  <c r="BF143" i="14" s="1"/>
  <c r="BF86" i="14"/>
  <c r="BF87" i="14" s="1"/>
  <c r="BF95" i="14" s="1"/>
  <c r="BF98" i="14" s="1"/>
  <c r="BF99" i="14" s="1"/>
  <c r="BE48" i="14"/>
  <c r="BE50" i="14" s="1"/>
  <c r="BF171" i="14"/>
  <c r="BE151" i="14"/>
  <c r="BE41" i="14"/>
  <c r="BE154" i="14"/>
  <c r="BE155" i="14" s="1"/>
  <c r="BH51" i="14"/>
  <c r="AO122" i="20"/>
  <c r="AZ51" i="14"/>
  <c r="BA34" i="14"/>
  <c r="AZ62" i="14"/>
  <c r="AZ155" i="14"/>
  <c r="AX43" i="14"/>
  <c r="BC50" i="14"/>
  <c r="BC58" i="14"/>
  <c r="BC59" i="14" s="1"/>
  <c r="BC126" i="14" s="1"/>
  <c r="BI58" i="14"/>
  <c r="BI59" i="14" s="1"/>
  <c r="BI126" i="14" s="1"/>
  <c r="BE113" i="6"/>
  <c r="AR175" i="2"/>
  <c r="BC154" i="14"/>
  <c r="BC155" i="14" s="1"/>
  <c r="BC151" i="14"/>
  <c r="BC152" i="14" s="1"/>
  <c r="BC41" i="14"/>
  <c r="BI154" i="14"/>
  <c r="BI41" i="14"/>
  <c r="BI151" i="14"/>
  <c r="AM48" i="14"/>
  <c r="AZ152" i="14"/>
  <c r="BA40" i="14"/>
  <c r="BA20" i="14" s="1"/>
  <c r="AO211" i="20"/>
  <c r="BJ96" i="14"/>
  <c r="BJ59" i="14"/>
  <c r="BJ126" i="14" s="1"/>
  <c r="BD96" i="14"/>
  <c r="BD59" i="14"/>
  <c r="BD126" i="14" s="1"/>
  <c r="AR211" i="20"/>
  <c r="BD113" i="6"/>
  <c r="BD57" i="14"/>
  <c r="BD40" i="14" s="1"/>
  <c r="BD62" i="14"/>
  <c r="AU37" i="14"/>
  <c r="AX83" i="6" s="1"/>
  <c r="AX106" i="6" s="1"/>
  <c r="BD155" i="14"/>
  <c r="BD51" i="14"/>
  <c r="BJ51" i="14"/>
  <c r="BJ62" i="14"/>
  <c r="BJ57" i="14"/>
  <c r="BJ40" i="14" s="1"/>
  <c r="BA113" i="6"/>
  <c r="BG222" i="14" l="1"/>
  <c r="BG223" i="14" s="1"/>
  <c r="BI222" i="14"/>
  <c r="BI223" i="14" s="1"/>
  <c r="BF48" i="14"/>
  <c r="BF221" i="14"/>
  <c r="BF222" i="14" s="1"/>
  <c r="BF223" i="14" s="1"/>
  <c r="BE222" i="14"/>
  <c r="BE223" i="14" s="1"/>
  <c r="AM55" i="14"/>
  <c r="AM222" i="14"/>
  <c r="AM223" i="14" s="1"/>
  <c r="BJ174" i="2"/>
  <c r="BG95" i="14"/>
  <c r="BG98" i="14" s="1"/>
  <c r="BG99" i="14" s="1"/>
  <c r="BG58" i="14"/>
  <c r="BG96" i="14" s="1"/>
  <c r="BE59" i="14"/>
  <c r="BE126" i="14" s="1"/>
  <c r="BE96" i="14"/>
  <c r="BF58" i="14"/>
  <c r="BF59" i="14" s="1"/>
  <c r="BF126" i="14" s="1"/>
  <c r="BE152" i="14"/>
  <c r="BH152" i="14"/>
  <c r="BE51" i="14"/>
  <c r="BH155" i="14"/>
  <c r="AX44" i="14"/>
  <c r="AX42" i="14"/>
  <c r="BI51" i="14"/>
  <c r="AX20" i="14"/>
  <c r="AX23" i="14" s="1"/>
  <c r="BC96" i="14"/>
  <c r="BA44" i="14"/>
  <c r="BA42" i="14"/>
  <c r="BH113" i="6"/>
  <c r="BF154" i="14"/>
  <c r="BF155" i="14" s="1"/>
  <c r="BF151" i="14"/>
  <c r="BF152" i="14" s="1"/>
  <c r="BF41" i="14"/>
  <c r="AM50" i="14"/>
  <c r="AM51" i="14" s="1"/>
  <c r="BI62" i="14"/>
  <c r="BA43" i="14"/>
  <c r="BC51" i="14"/>
  <c r="BD34" i="14"/>
  <c r="BC62" i="14"/>
  <c r="BC113" i="6"/>
  <c r="AZ63" i="14"/>
  <c r="AS65" i="14"/>
  <c r="BI96" i="14"/>
  <c r="BF50" i="14"/>
  <c r="BM113" i="6"/>
  <c r="BD42" i="14"/>
  <c r="BD20" i="14"/>
  <c r="BD43" i="14"/>
  <c r="BD44" i="14"/>
  <c r="BG155" i="14"/>
  <c r="BG51" i="14"/>
  <c r="BJ43" i="14"/>
  <c r="BJ20" i="14"/>
  <c r="BJ42" i="14"/>
  <c r="BJ44" i="14"/>
  <c r="BJ155" i="14"/>
  <c r="BG113" i="6"/>
  <c r="BA37" i="14"/>
  <c r="BD83" i="6" s="1"/>
  <c r="BD111" i="6"/>
  <c r="BA23" i="14"/>
  <c r="BD72" i="6"/>
  <c r="BD97" i="6" s="1"/>
  <c r="AX37" i="14"/>
  <c r="BA83" i="6" s="1"/>
  <c r="BA111" i="6"/>
  <c r="BG57" i="14" l="1"/>
  <c r="BG59" i="14"/>
  <c r="BG126" i="14" s="1"/>
  <c r="BG62" i="14"/>
  <c r="BJ113" i="6" s="1"/>
  <c r="BF96" i="14"/>
  <c r="BI155" i="14"/>
  <c r="AM119" i="20"/>
  <c r="AM116" i="20" s="1"/>
  <c r="BA72" i="6"/>
  <c r="BA97" i="6" s="1"/>
  <c r="BF51" i="14"/>
  <c r="BI152" i="14"/>
  <c r="BL113" i="6"/>
  <c r="BI63" i="14"/>
  <c r="BF113" i="6"/>
  <c r="BC63" i="14"/>
  <c r="BG40" i="14"/>
  <c r="BG42" i="14" s="1"/>
  <c r="BA24" i="14"/>
  <c r="BA25" i="14" s="1"/>
  <c r="BD71" i="6"/>
  <c r="BD106" i="6"/>
  <c r="BD23" i="14"/>
  <c r="BG72" i="6"/>
  <c r="BG97" i="6" s="1"/>
  <c r="BD37" i="14"/>
  <c r="BG83" i="6" s="1"/>
  <c r="BG111" i="6"/>
  <c r="BA106" i="6"/>
  <c r="BD96" i="6"/>
  <c r="BA71" i="6"/>
  <c r="BJ23" i="14"/>
  <c r="BM72" i="6"/>
  <c r="BM97" i="6" s="1"/>
  <c r="BF62" i="14" l="1"/>
  <c r="BF63" i="14" s="1"/>
  <c r="AM107" i="20"/>
  <c r="AN116" i="20"/>
  <c r="AN119" i="20" s="1"/>
  <c r="AN120" i="20" s="1"/>
  <c r="AR101" i="6"/>
  <c r="AO104" i="20"/>
  <c r="AM120" i="20"/>
  <c r="AM41" i="20"/>
  <c r="AN41" i="20" s="1"/>
  <c r="AM124" i="20"/>
  <c r="BA96" i="6"/>
  <c r="BG44" i="14"/>
  <c r="BG43" i="14"/>
  <c r="BG20" i="14"/>
  <c r="BG23" i="14" s="1"/>
  <c r="G21" i="53"/>
  <c r="G13" i="53" s="1"/>
  <c r="G17" i="53" s="1"/>
  <c r="BC64" i="14"/>
  <c r="AY61" i="14"/>
  <c r="AY65" i="14"/>
  <c r="AY57" i="14"/>
  <c r="BD24" i="14"/>
  <c r="BD25" i="14" s="1"/>
  <c r="BG71" i="6"/>
  <c r="BM96" i="6"/>
  <c r="BG106" i="6"/>
  <c r="BM71" i="6"/>
  <c r="BG96" i="6"/>
  <c r="BI113" i="6" l="1"/>
  <c r="AM105" i="20"/>
  <c r="AM35" i="20" s="1"/>
  <c r="AM37" i="20" s="1"/>
  <c r="AM108" i="20"/>
  <c r="AM73" i="20"/>
  <c r="AM74" i="20" s="1"/>
  <c r="AN107" i="20"/>
  <c r="AN108" i="20" s="1"/>
  <c r="AO37" i="20"/>
  <c r="AO36" i="20"/>
  <c r="AM125" i="20"/>
  <c r="AM137" i="20"/>
  <c r="BJ72" i="6"/>
  <c r="BJ97" i="6" s="1"/>
  <c r="BJ96" i="6" s="1"/>
  <c r="BF64" i="14"/>
  <c r="BI64" i="14"/>
  <c r="BB61" i="14"/>
  <c r="BB65" i="14"/>
  <c r="BB57" i="14"/>
  <c r="AY40" i="14"/>
  <c r="AZ57" i="14"/>
  <c r="BG24" i="14"/>
  <c r="BG25" i="14" s="1"/>
  <c r="BJ71" i="6"/>
  <c r="BJ24" i="14"/>
  <c r="BJ25" i="14" s="1"/>
  <c r="AM80" i="20" l="1"/>
  <c r="AM306" i="20"/>
  <c r="AM43" i="20"/>
  <c r="AM104" i="20"/>
  <c r="AM36" i="20"/>
  <c r="AM39" i="20" s="1"/>
  <c r="AP101" i="6"/>
  <c r="AM79" i="20"/>
  <c r="AM83" i="20" s="1"/>
  <c r="AN105" i="20"/>
  <c r="AN104" i="20" s="1"/>
  <c r="AN73" i="20"/>
  <c r="AO39" i="20"/>
  <c r="AO43" i="20"/>
  <c r="AN37" i="20"/>
  <c r="AO42" i="20"/>
  <c r="AR102" i="6"/>
  <c r="AR100" i="6" s="1"/>
  <c r="AR104" i="6" s="1"/>
  <c r="AR126" i="6" s="1"/>
  <c r="BE61" i="14"/>
  <c r="BE65" i="14"/>
  <c r="BE57" i="14"/>
  <c r="AZ60" i="14"/>
  <c r="AZ40" i="14"/>
  <c r="BC57" i="14"/>
  <c r="BB40" i="14"/>
  <c r="AY42" i="14"/>
  <c r="AY20" i="14"/>
  <c r="AY43" i="14"/>
  <c r="AY44" i="14"/>
  <c r="AV23" i="14"/>
  <c r="AM84" i="20" l="1"/>
  <c r="AN43" i="20"/>
  <c r="AN36" i="20"/>
  <c r="AQ102" i="6" s="1"/>
  <c r="AM42" i="20"/>
  <c r="AM45" i="20" s="1"/>
  <c r="AP102" i="6"/>
  <c r="AP100" i="6" s="1"/>
  <c r="AP104" i="6" s="1"/>
  <c r="AP126" i="6" s="1"/>
  <c r="AN35" i="20"/>
  <c r="AQ101" i="6" s="1"/>
  <c r="AN79" i="20"/>
  <c r="AN83" i="20" s="1"/>
  <c r="AN74" i="20"/>
  <c r="AO45" i="20"/>
  <c r="AV24" i="14"/>
  <c r="BB43" i="14"/>
  <c r="BB44" i="14"/>
  <c r="BB42" i="14"/>
  <c r="BB20" i="14"/>
  <c r="AZ42" i="14"/>
  <c r="AZ20" i="14"/>
  <c r="AZ43" i="14"/>
  <c r="AZ44" i="14"/>
  <c r="BC60" i="14"/>
  <c r="BC40" i="14"/>
  <c r="AZ61" i="14"/>
  <c r="AZ65" i="14"/>
  <c r="BH61" i="14"/>
  <c r="BH65" i="14"/>
  <c r="BH57" i="14"/>
  <c r="AY23" i="14"/>
  <c r="BB72" i="6"/>
  <c r="BB97" i="6" s="1"/>
  <c r="BB96" i="6" s="1"/>
  <c r="BE40" i="14"/>
  <c r="BF57" i="14"/>
  <c r="AN80" i="20" l="1"/>
  <c r="AN84" i="20" s="1"/>
  <c r="AN306" i="20"/>
  <c r="AN42" i="20"/>
  <c r="AN45" i="20" s="1"/>
  <c r="AN39" i="20"/>
  <c r="AQ100" i="6"/>
  <c r="AQ104" i="6" s="1"/>
  <c r="AQ126" i="6" s="1"/>
  <c r="BE42" i="14"/>
  <c r="BE20" i="14"/>
  <c r="BE44" i="14"/>
  <c r="BE43" i="14"/>
  <c r="BC61" i="14"/>
  <c r="BC65" i="14"/>
  <c r="BI57" i="14"/>
  <c r="BH40" i="14"/>
  <c r="BB23" i="14"/>
  <c r="BE72" i="6"/>
  <c r="BE97" i="6" s="1"/>
  <c r="BE96" i="6" s="1"/>
  <c r="BF60" i="14"/>
  <c r="BF40" i="14"/>
  <c r="AY24" i="14"/>
  <c r="AY25" i="14" s="1"/>
  <c r="BB71" i="6"/>
  <c r="BC43" i="14"/>
  <c r="BC20" i="14"/>
  <c r="BC44" i="14"/>
  <c r="BC42" i="14"/>
  <c r="AZ23" i="14"/>
  <c r="BC72" i="6"/>
  <c r="BC97" i="6" s="1"/>
  <c r="BC96" i="6" s="1"/>
  <c r="BC71" i="6" l="1"/>
  <c r="BC23" i="14"/>
  <c r="BF72" i="6"/>
  <c r="BF97" i="6" s="1"/>
  <c r="BF96" i="6" s="1"/>
  <c r="BF42" i="14"/>
  <c r="BF20" i="14"/>
  <c r="BF43" i="14"/>
  <c r="BF44" i="14"/>
  <c r="BE23" i="14"/>
  <c r="BH72" i="6"/>
  <c r="BH97" i="6" s="1"/>
  <c r="BH96" i="6" s="1"/>
  <c r="BF61" i="14"/>
  <c r="BF65" i="14"/>
  <c r="BH43" i="14"/>
  <c r="BH44" i="14"/>
  <c r="BH42" i="14"/>
  <c r="BH20" i="14"/>
  <c r="BI60" i="14"/>
  <c r="BI40" i="14"/>
  <c r="BB24" i="14"/>
  <c r="BB25" i="14" s="1"/>
  <c r="BE71" i="6"/>
  <c r="BH23" i="14" l="1"/>
  <c r="BK72" i="6"/>
  <c r="BK97" i="6" s="1"/>
  <c r="BK96" i="6" s="1"/>
  <c r="BI42" i="14"/>
  <c r="BI43" i="14"/>
  <c r="BI44" i="14"/>
  <c r="BI20" i="14"/>
  <c r="BI61" i="14"/>
  <c r="BI65" i="14"/>
  <c r="BF23" i="14"/>
  <c r="BI72" i="6"/>
  <c r="BI97" i="6" s="1"/>
  <c r="BI96" i="6" s="1"/>
  <c r="BE24" i="14"/>
  <c r="BE25" i="14" s="1"/>
  <c r="BH71" i="6"/>
  <c r="BC24" i="14"/>
  <c r="BC25" i="14" s="1"/>
  <c r="BF71" i="6"/>
  <c r="BH24" i="14" l="1"/>
  <c r="BH25" i="14" s="1"/>
  <c r="BK71" i="6"/>
  <c r="BF24" i="14"/>
  <c r="BF25" i="14" s="1"/>
  <c r="BI71" i="6"/>
  <c r="BI23" i="14"/>
  <c r="BL72" i="6"/>
  <c r="BL97" i="6" s="1"/>
  <c r="BL96" i="6" s="1"/>
  <c r="BI24" i="14" l="1"/>
  <c r="BI25" i="14" s="1"/>
  <c r="BL71" i="6"/>
  <c r="AF329" i="20" l="1"/>
  <c r="AF331" i="20"/>
  <c r="AC285" i="20"/>
  <c r="AC289" i="20" l="1"/>
  <c r="AC292" i="20"/>
  <c r="AC16" i="20"/>
  <c r="AC17" i="20" s="1"/>
  <c r="AF107" i="6" l="1"/>
  <c r="AF108" i="6" s="1"/>
  <c r="AB289" i="20"/>
  <c r="AE107" i="6" s="1"/>
  <c r="AE108" i="6" s="1"/>
  <c r="AE109" i="6" s="1"/>
  <c r="AF327" i="20"/>
  <c r="AC327" i="20"/>
  <c r="AC347" i="20"/>
  <c r="AF115" i="6" s="1"/>
  <c r="AB290" i="20" l="1"/>
  <c r="AB347" i="20"/>
  <c r="AE115" i="6" s="1"/>
  <c r="AC45" i="20"/>
  <c r="AF45" i="20" l="1"/>
  <c r="AC39" i="20"/>
  <c r="AF102" i="6"/>
  <c r="AF100" i="6" l="1"/>
  <c r="AF39" i="20"/>
  <c r="AI102" i="6"/>
  <c r="AI45" i="20"/>
  <c r="AL45" i="20" l="1"/>
  <c r="AI100" i="6"/>
  <c r="AL102" i="6"/>
  <c r="AI39" i="20"/>
  <c r="AF104" i="6"/>
  <c r="AF109" i="6" l="1"/>
  <c r="AL100" i="6"/>
  <c r="AI104" i="6"/>
  <c r="AO102" i="6"/>
  <c r="AL39" i="20"/>
  <c r="AI126" i="6" l="1"/>
  <c r="AO100" i="6"/>
  <c r="AL104" i="6"/>
  <c r="AO104" i="6" l="1"/>
  <c r="AL126" i="6"/>
  <c r="AO126" i="6" l="1"/>
  <c r="AF357" i="20" l="1"/>
  <c r="AF368" i="20" s="1"/>
  <c r="AE368" i="20" s="1"/>
  <c r="AE365" i="20" s="1"/>
  <c r="AF356" i="20"/>
  <c r="AF367" i="20" s="1"/>
  <c r="AE367" i="20" s="1"/>
  <c r="AI356" i="20"/>
  <c r="AI367" i="20" s="1"/>
  <c r="AL356" i="20"/>
  <c r="AL367" i="20" s="1"/>
  <c r="AE364" i="20" l="1"/>
  <c r="AE369" i="20"/>
  <c r="AL369" i="20"/>
  <c r="AO107" i="6" s="1"/>
  <c r="AO108" i="6" s="1"/>
  <c r="AO109" i="6" s="1"/>
  <c r="AK367" i="20"/>
  <c r="AI369" i="20"/>
  <c r="AL107" i="6" s="1"/>
  <c r="AL108" i="6" s="1"/>
  <c r="AL109" i="6" s="1"/>
  <c r="AH367" i="20"/>
  <c r="AF369" i="20"/>
  <c r="AI29" i="20" l="1"/>
  <c r="AL116" i="6" s="1"/>
  <c r="AE29" i="20"/>
  <c r="AH107" i="6"/>
  <c r="AH108" i="6" s="1"/>
  <c r="AH109" i="6" s="1"/>
  <c r="AK364" i="20"/>
  <c r="AK369" i="20"/>
  <c r="AL29" i="20"/>
  <c r="AO116" i="6" s="1"/>
  <c r="AH364" i="20"/>
  <c r="AH369" i="20"/>
  <c r="AI107" i="6"/>
  <c r="AI108" i="6" s="1"/>
  <c r="AI109" i="6" s="1"/>
  <c r="AF29" i="20"/>
  <c r="AI116" i="6" s="1"/>
  <c r="AL30" i="20" l="1"/>
  <c r="AL32" i="20" s="1"/>
  <c r="AI30" i="20"/>
  <c r="AI32" i="20" s="1"/>
  <c r="AK29" i="20"/>
  <c r="AN107" i="6"/>
  <c r="AN108" i="6" s="1"/>
  <c r="AN109" i="6" s="1"/>
  <c r="AH29" i="20"/>
  <c r="AK107" i="6"/>
  <c r="AK108" i="6" s="1"/>
  <c r="AK109" i="6" s="1"/>
  <c r="AE30" i="20"/>
  <c r="AH116" i="6"/>
  <c r="AF30" i="20"/>
  <c r="AF32" i="20" s="1"/>
  <c r="AO120" i="6"/>
  <c r="AI120" i="6"/>
  <c r="AL120" i="6"/>
  <c r="AO84" i="6" l="1"/>
  <c r="AO85" i="6" s="1"/>
  <c r="AO90" i="6" s="1"/>
  <c r="AL31" i="20"/>
  <c r="AL84" i="6"/>
  <c r="AL85" i="6" s="1"/>
  <c r="AL90" i="6" s="1"/>
  <c r="AH30" i="20"/>
  <c r="AK116" i="6"/>
  <c r="AK120" i="6" s="1"/>
  <c r="AK124" i="6" s="1"/>
  <c r="AH84" i="6"/>
  <c r="AH85" i="6" s="1"/>
  <c r="AE32" i="20"/>
  <c r="AE31" i="20"/>
  <c r="AK30" i="20"/>
  <c r="AN116" i="6"/>
  <c r="AN120" i="6" s="1"/>
  <c r="AN124" i="6" s="1"/>
  <c r="AI84" i="6"/>
  <c r="AI85" i="6" s="1"/>
  <c r="AI86" i="6" s="1"/>
  <c r="AI31" i="20"/>
  <c r="AF31" i="20"/>
  <c r="AL124" i="6"/>
  <c r="AI124" i="6"/>
  <c r="AO124" i="6"/>
  <c r="AO86" i="6" l="1"/>
  <c r="AL86" i="6"/>
  <c r="AN84" i="6"/>
  <c r="AN85" i="6" s="1"/>
  <c r="AK31" i="20"/>
  <c r="AK32" i="20"/>
  <c r="AH86" i="6"/>
  <c r="AH90" i="6"/>
  <c r="AK84" i="6"/>
  <c r="AK85" i="6" s="1"/>
  <c r="AH32" i="20"/>
  <c r="AH31" i="20"/>
  <c r="AI90" i="6"/>
  <c r="AK86" i="6" l="1"/>
  <c r="AK90" i="6"/>
  <c r="AN86" i="6"/>
  <c r="AN90" i="6"/>
  <c r="G20" i="53" l="1"/>
  <c r="G12" i="53" s="1"/>
  <c r="G16" i="53" s="1"/>
  <c r="G22" i="53"/>
  <c r="G14" i="53" s="1"/>
  <c r="G18" i="53" s="1"/>
  <c r="AF118" i="6" l="1"/>
  <c r="AF90" i="6"/>
  <c r="AF119" i="6"/>
  <c r="AF120" i="6" l="1"/>
  <c r="AF125" i="6" s="1"/>
  <c r="AF128" i="6" s="1"/>
  <c r="AE90" i="6" l="1"/>
  <c r="AD90" i="6"/>
  <c r="AF126" i="6"/>
  <c r="AF127" i="6"/>
  <c r="Z80" i="10" l="1"/>
  <c r="AM250" i="20" l="1"/>
  <c r="AN250" i="20" s="1"/>
  <c r="AN255" i="20" l="1"/>
  <c r="AN256" i="20" s="1"/>
  <c r="AN248" i="20"/>
  <c r="AN249" i="20" s="1"/>
  <c r="AM255" i="20"/>
  <c r="AM256" i="20" l="1"/>
  <c r="AM243" i="20"/>
  <c r="AM244" i="20" l="1"/>
  <c r="AM245" i="20" l="1"/>
  <c r="G38" i="53" l="1"/>
  <c r="Z68" i="10" l="1"/>
  <c r="AR176" i="2" l="1"/>
  <c r="Z76" i="10"/>
  <c r="Z84" i="10" s="1"/>
  <c r="Z13" i="10" l="1"/>
  <c r="Z28" i="10" l="1"/>
  <c r="Z15" i="10"/>
  <c r="Z34" i="10" s="1"/>
  <c r="Z29" i="10" l="1"/>
  <c r="Z16" i="10"/>
  <c r="AR165" i="2" l="1"/>
  <c r="AQ60" i="20" l="1"/>
  <c r="AR60" i="20"/>
  <c r="AQ223" i="20"/>
  <c r="AR223" i="20" l="1"/>
  <c r="AR62" i="20"/>
  <c r="AQ62" i="20"/>
  <c r="AT221" i="20" l="1"/>
  <c r="AU60" i="20"/>
  <c r="AU232" i="20"/>
  <c r="AT232" i="20" s="1"/>
  <c r="AT234" i="20" l="1"/>
  <c r="AT233" i="20" s="1"/>
  <c r="AT222" i="20"/>
  <c r="AT112" i="20" s="1"/>
  <c r="AT60" i="20"/>
  <c r="AU231" i="20"/>
  <c r="BK60" i="20"/>
  <c r="AT240" i="20" l="1"/>
  <c r="AT241" i="20" s="1"/>
  <c r="AT235" i="20"/>
  <c r="AU250" i="20"/>
  <c r="AT231" i="20"/>
  <c r="AT239" i="20" l="1"/>
  <c r="AT250" i="20"/>
  <c r="AT248" i="20" s="1"/>
  <c r="AT249" i="20" s="1"/>
  <c r="AW8" i="4" l="1"/>
  <c r="AW222" i="4" s="1"/>
  <c r="AX221" i="20" l="1"/>
  <c r="AW221" i="20" l="1"/>
  <c r="AX60" i="20"/>
  <c r="AX232" i="20"/>
  <c r="AW232" i="20" s="1"/>
  <c r="AW234" i="20" l="1"/>
  <c r="AW233" i="20" s="1"/>
  <c r="AW222" i="20"/>
  <c r="AW112" i="20" s="1"/>
  <c r="AW60" i="20"/>
  <c r="AX231" i="20"/>
  <c r="AW240" i="20" l="1"/>
  <c r="AW239" i="20" s="1"/>
  <c r="AW235" i="20"/>
  <c r="AX250" i="20"/>
  <c r="AW231" i="20"/>
  <c r="AW241" i="20" l="1"/>
  <c r="AW250" i="20"/>
  <c r="AW248" i="20" s="1"/>
  <c r="AW249" i="20" s="1"/>
  <c r="BA9" i="5" l="1"/>
  <c r="BA8" i="4" s="1"/>
  <c r="AZ8" i="4" l="1"/>
  <c r="AZ222" i="4" s="1"/>
  <c r="BB8" i="4"/>
  <c r="BB222" i="4" s="1"/>
  <c r="BA222" i="4" l="1"/>
  <c r="BA221" i="20" l="1"/>
  <c r="AZ221" i="20" s="1"/>
  <c r="AZ60" i="20" l="1"/>
  <c r="AZ222" i="20"/>
  <c r="AZ112" i="20" s="1"/>
  <c r="BL221" i="20"/>
  <c r="BA232" i="20"/>
  <c r="AZ232" i="20" s="1"/>
  <c r="AZ234" i="20" s="1"/>
  <c r="BA60" i="20"/>
  <c r="AZ235" i="20" l="1"/>
  <c r="AZ233" i="20"/>
  <c r="AZ240" i="20"/>
  <c r="BA231" i="20"/>
  <c r="BL60" i="20"/>
  <c r="BA250" i="20" l="1"/>
  <c r="AZ231" i="20"/>
  <c r="AZ239" i="20"/>
  <c r="AZ241" i="20"/>
  <c r="AZ250" i="20" l="1"/>
  <c r="AZ248" i="20" s="1"/>
  <c r="AZ249" i="20" s="1"/>
  <c r="BD9" i="5" l="1"/>
  <c r="BD8" i="4" s="1"/>
  <c r="BC8" i="4" l="1"/>
  <c r="BC222" i="4" s="1"/>
  <c r="BE8" i="4"/>
  <c r="BE222" i="4" s="1"/>
  <c r="BD222" i="4" l="1"/>
  <c r="BD221" i="20" l="1"/>
  <c r="BC221" i="20" s="1"/>
  <c r="BC222" i="20" l="1"/>
  <c r="BC112" i="20" s="1"/>
  <c r="BC60" i="20"/>
  <c r="BD60" i="20"/>
  <c r="BD232" i="20"/>
  <c r="BC232" i="20" s="1"/>
  <c r="BC234" i="20" s="1"/>
  <c r="BC233" i="20" l="1"/>
  <c r="BC240" i="20"/>
  <c r="BC235" i="20"/>
  <c r="BD231" i="20"/>
  <c r="BD250" i="20" l="1"/>
  <c r="BC231" i="20"/>
  <c r="BC241" i="20"/>
  <c r="BC239" i="20"/>
  <c r="BC250" i="20" l="1"/>
  <c r="BC248" i="20" s="1"/>
  <c r="BC249" i="20" s="1"/>
  <c r="BG9" i="5" l="1"/>
  <c r="BG8" i="4" s="1"/>
  <c r="BF8" i="4" l="1"/>
  <c r="BF222" i="4" s="1"/>
  <c r="BH8" i="4"/>
  <c r="BH222" i="4" s="1"/>
  <c r="BG222" i="4" l="1"/>
  <c r="BG221" i="20" l="1"/>
  <c r="BF221" i="20" l="1"/>
  <c r="BG60" i="20"/>
  <c r="BG232" i="20"/>
  <c r="BF232" i="20" s="1"/>
  <c r="BF234" i="20" l="1"/>
  <c r="BF240" i="20" s="1"/>
  <c r="BF222" i="20"/>
  <c r="BF112" i="20" s="1"/>
  <c r="BF60" i="20"/>
  <c r="BG231" i="20"/>
  <c r="BF235" i="20" l="1"/>
  <c r="BF233" i="20"/>
  <c r="BG250" i="20"/>
  <c r="BF231" i="20"/>
  <c r="BF239" i="20"/>
  <c r="BF241" i="20"/>
  <c r="BF250" i="20" l="1"/>
  <c r="BF248" i="20" s="1"/>
  <c r="BF249" i="20" s="1"/>
  <c r="BJ9" i="5" l="1"/>
  <c r="BJ8" i="4" s="1"/>
  <c r="BI8" i="4" l="1"/>
  <c r="BI222" i="4" s="1"/>
  <c r="BK8" i="4"/>
  <c r="BK222" i="4" s="1"/>
  <c r="BJ222" i="4" l="1"/>
  <c r="BJ221" i="20" l="1"/>
  <c r="BI221" i="20" l="1"/>
  <c r="BJ60" i="20"/>
  <c r="BJ232" i="20"/>
  <c r="BI232" i="20" s="1"/>
  <c r="BI234" i="20" l="1"/>
  <c r="BI235" i="20" s="1"/>
  <c r="BI222" i="20"/>
  <c r="BI112" i="20" s="1"/>
  <c r="BI60" i="20"/>
  <c r="BJ231" i="20"/>
  <c r="BI240" i="20" l="1"/>
  <c r="BI241" i="20" s="1"/>
  <c r="BI233" i="20"/>
  <c r="BJ250" i="20"/>
  <c r="BI231" i="20"/>
  <c r="BI239" i="20" l="1"/>
  <c r="BI250" i="20"/>
  <c r="BI248" i="20" s="1"/>
  <c r="BI249" i="20" s="1"/>
  <c r="BM9" i="5" l="1"/>
  <c r="BM8" i="4" s="1"/>
  <c r="BL8" i="4" s="1"/>
  <c r="BL222" i="4" s="1"/>
  <c r="BM222" i="4" l="1"/>
  <c r="AN115" i="2" l="1"/>
  <c r="AN118" i="2" s="1"/>
  <c r="AN123" i="2" s="1"/>
  <c r="AN113" i="2"/>
  <c r="AN121" i="2" s="1"/>
  <c r="AN12" i="5"/>
  <c r="AN29" i="5" s="1"/>
  <c r="AN119" i="2"/>
  <c r="AN112" i="2" l="1"/>
  <c r="AN31" i="5"/>
  <c r="AN76" i="5" s="1"/>
  <c r="AN82" i="5" s="1"/>
  <c r="AN121" i="5" s="1"/>
  <c r="AN88" i="5"/>
  <c r="AN94" i="5" s="1"/>
  <c r="AN95" i="5" s="1"/>
  <c r="AW31" i="4" l="1"/>
  <c r="AW57" i="4" s="1"/>
  <c r="AW215" i="4" s="1"/>
  <c r="AW47" i="4"/>
  <c r="BA57" i="4" l="1"/>
  <c r="AZ57" i="4"/>
  <c r="BD57" i="4"/>
  <c r="BA194" i="4" l="1"/>
  <c r="BA62" i="5" s="1"/>
  <c r="BD194" i="4"/>
  <c r="BD62" i="5" s="1"/>
  <c r="BC57" i="4"/>
  <c r="BA203" i="4" l="1"/>
  <c r="BA28" i="2" s="1"/>
  <c r="BD205" i="4"/>
  <c r="BD208" i="4" s="1"/>
  <c r="BA205" i="4"/>
  <c r="BD203" i="4"/>
  <c r="BD28" i="2" s="1"/>
  <c r="BI57" i="4"/>
  <c r="BF57" i="4"/>
  <c r="BG57" i="4"/>
  <c r="BA208" i="4" l="1"/>
  <c r="BG194" i="4"/>
  <c r="BG62" i="5" s="1"/>
  <c r="BJ57" i="4"/>
  <c r="BJ194" i="4" s="1"/>
  <c r="BJ62" i="5" s="1"/>
  <c r="Z17" i="10"/>
  <c r="BL57" i="4" l="1"/>
  <c r="BM57" i="4"/>
  <c r="BG203" i="4"/>
  <c r="BG28" i="2" s="1"/>
  <c r="BG205" i="4"/>
  <c r="AR166" i="2"/>
  <c r="BJ205" i="4"/>
  <c r="BJ203" i="4"/>
  <c r="BJ28" i="2" s="1"/>
  <c r="Z18" i="10"/>
  <c r="AR163" i="2"/>
  <c r="Z35" i="10"/>
  <c r="Z43" i="10"/>
  <c r="BM194" i="4" l="1"/>
  <c r="BM62" i="5" s="1"/>
  <c r="BG208" i="4"/>
  <c r="Z19" i="10"/>
  <c r="BJ208" i="4"/>
  <c r="Z30" i="10"/>
  <c r="BM203" i="4" l="1"/>
  <c r="BM28" i="2" s="1"/>
  <c r="BM205" i="4"/>
  <c r="BM208" i="4" s="1"/>
  <c r="Z49" i="10"/>
  <c r="Z20" i="10"/>
  <c r="Z57" i="10" l="1"/>
  <c r="Z41" i="10" l="1"/>
  <c r="Z63" i="10"/>
  <c r="AH116" i="20" l="1"/>
  <c r="AH119" i="20" s="1"/>
  <c r="AG41" i="20"/>
  <c r="AG45" i="20" s="1"/>
  <c r="AG124" i="20"/>
  <c r="AG137" i="20" s="1"/>
  <c r="AJ120" i="20"/>
  <c r="AH41" i="20" l="1"/>
  <c r="AH45" i="20" s="1"/>
  <c r="AG125" i="20"/>
  <c r="AJ125" i="20"/>
  <c r="AH120" i="20"/>
  <c r="AK120" i="20"/>
  <c r="AG120" i="20"/>
  <c r="AH124" i="20"/>
  <c r="AH137" i="20" l="1"/>
  <c r="AK125" i="20"/>
  <c r="AH125" i="20"/>
  <c r="AN60" i="14" l="1"/>
  <c r="AN61" i="14" s="1"/>
  <c r="AO59" i="14"/>
  <c r="AO126" i="14" s="1"/>
  <c r="AN49" i="14"/>
  <c r="AN59" i="14"/>
  <c r="AN126" i="14" s="1"/>
  <c r="AN48" i="14"/>
  <c r="AN222" i="14" s="1"/>
  <c r="AN223" i="14" s="1"/>
  <c r="AR113" i="6"/>
  <c r="AO49" i="14"/>
  <c r="AO96" i="14" s="1"/>
  <c r="AN43" i="14" l="1"/>
  <c r="AN96" i="14"/>
  <c r="AN50" i="14"/>
  <c r="AN51" i="14" s="1"/>
  <c r="AO50" i="14"/>
  <c r="AQ113" i="6"/>
  <c r="AO42" i="14"/>
  <c r="AO43" i="14"/>
  <c r="AN42" i="14"/>
  <c r="AO51" i="14" l="1"/>
  <c r="AN63" i="14"/>
  <c r="AN64" i="14" l="1"/>
  <c r="AN65" i="14"/>
  <c r="AQ90" i="4" l="1"/>
  <c r="AQ87" i="4" s="1"/>
  <c r="AQ92" i="4" s="1"/>
  <c r="AR90" i="4"/>
  <c r="AO86" i="20" l="1"/>
  <c r="AR87" i="4"/>
  <c r="AR92" i="4" s="1"/>
  <c r="AN86" i="20"/>
  <c r="G24" i="53" l="1"/>
  <c r="G28" i="53" s="1"/>
  <c r="G31" i="53" s="1"/>
  <c r="AO89" i="20"/>
  <c r="AO96" i="20" s="1"/>
  <c r="AO99" i="20" s="1"/>
  <c r="AN91" i="20"/>
  <c r="AN92" i="20" s="1"/>
  <c r="AN89" i="20"/>
  <c r="AO91" i="20"/>
  <c r="AO92" i="20" s="1"/>
  <c r="AO90" i="20" l="1"/>
  <c r="AN90" i="20"/>
  <c r="AN96" i="20"/>
  <c r="AN99" i="20" s="1"/>
  <c r="G36" i="53"/>
  <c r="G39" i="53"/>
  <c r="G29" i="53"/>
  <c r="AO243" i="20" l="1"/>
  <c r="AN243" i="20" s="1"/>
  <c r="AO244" i="20" l="1"/>
  <c r="AN244" i="20" l="1"/>
  <c r="AN245" i="20" s="1"/>
  <c r="AO245" i="20"/>
  <c r="AO438" i="20" l="1"/>
  <c r="AR438" i="20" s="1"/>
  <c r="AR448" i="20" l="1"/>
  <c r="AR455" i="20" s="1"/>
  <c r="AR483" i="20"/>
  <c r="AR493" i="20" s="1"/>
  <c r="AR495" i="20" s="1"/>
  <c r="AT499" i="20"/>
  <c r="AM438" i="20"/>
  <c r="AN384" i="20"/>
  <c r="AN502" i="20" s="1"/>
  <c r="AO457" i="20"/>
  <c r="AO483" i="20" s="1"/>
  <c r="AU499" i="20"/>
  <c r="AU503" i="20" l="1"/>
  <c r="AU501" i="20"/>
  <c r="AT503" i="20"/>
  <c r="AT501" i="20"/>
  <c r="AO470" i="20"/>
  <c r="AK438" i="20"/>
  <c r="AQ384" i="20"/>
  <c r="AN457" i="20"/>
  <c r="AN470" i="20" s="1"/>
  <c r="AP438" i="20"/>
  <c r="AM457" i="20"/>
  <c r="AM483" i="20" s="1"/>
  <c r="AM502" i="20"/>
  <c r="AN499" i="20" s="1"/>
  <c r="AN503" i="20" s="1"/>
  <c r="AQ502" i="20" l="1"/>
  <c r="AQ457" i="20"/>
  <c r="AQ470" i="20" s="1"/>
  <c r="AR163" i="20"/>
  <c r="AP483" i="20"/>
  <c r="AP493" i="20" s="1"/>
  <c r="AP495" i="20" s="1"/>
  <c r="AP448" i="20"/>
  <c r="AP455" i="20" s="1"/>
  <c r="AO163" i="20"/>
  <c r="AN501" i="20"/>
  <c r="AM470" i="20"/>
  <c r="AN438" i="20"/>
  <c r="AM501" i="20"/>
  <c r="AM503" i="20"/>
  <c r="AK448" i="20"/>
  <c r="AK455" i="20" s="1"/>
  <c r="AK483" i="20"/>
  <c r="AK493" i="20" s="1"/>
  <c r="AK495" i="20" s="1"/>
  <c r="AK496" i="20" s="1"/>
  <c r="AQ501" i="20" l="1"/>
  <c r="AQ503" i="20"/>
  <c r="AR127" i="20"/>
  <c r="AO127" i="20"/>
  <c r="AN483" i="20"/>
  <c r="AR196" i="20" l="1"/>
  <c r="AR207" i="20" s="1"/>
  <c r="AO196" i="20"/>
  <c r="AO207" i="20" s="1"/>
  <c r="AM509" i="20" l="1"/>
  <c r="AN506" i="20" s="1"/>
  <c r="AO460" i="20"/>
  <c r="AO484" i="20" s="1"/>
  <c r="AO492" i="20" s="1"/>
  <c r="AO493" i="20" s="1"/>
  <c r="AM393" i="20"/>
  <c r="AO447" i="20"/>
  <c r="AO448" i="20" s="1"/>
  <c r="AO455" i="20" s="1"/>
  <c r="AN385" i="20"/>
  <c r="AN509" i="20" s="1"/>
  <c r="AO393" i="20"/>
  <c r="AM471" i="20"/>
  <c r="AM479" i="20" s="1"/>
  <c r="AM480" i="20" s="1"/>
  <c r="AN508" i="20" l="1"/>
  <c r="AN510" i="20"/>
  <c r="AO459" i="20"/>
  <c r="AO394" i="20"/>
  <c r="AO402" i="20" s="1"/>
  <c r="AM394" i="20"/>
  <c r="AM402" i="20" s="1"/>
  <c r="AM459" i="20"/>
  <c r="AM484" i="20"/>
  <c r="AM492" i="20" s="1"/>
  <c r="AM493" i="20" s="1"/>
  <c r="AM495" i="20" s="1"/>
  <c r="AM447" i="20"/>
  <c r="AM448" i="20" s="1"/>
  <c r="AM455" i="20" s="1"/>
  <c r="AN393" i="20"/>
  <c r="AN460" i="20"/>
  <c r="AN471" i="20" s="1"/>
  <c r="AN479" i="20" s="1"/>
  <c r="AN480" i="20" s="1"/>
  <c r="AO471" i="20"/>
  <c r="AM510" i="20"/>
  <c r="AM508" i="20"/>
  <c r="AQ385" i="20"/>
  <c r="AR393" i="20"/>
  <c r="AR394" i="20" l="1"/>
  <c r="AR459" i="20"/>
  <c r="AQ509" i="20"/>
  <c r="AQ460" i="20"/>
  <c r="AQ471" i="20" s="1"/>
  <c r="AQ479" i="20" s="1"/>
  <c r="AQ480" i="20" s="1"/>
  <c r="AM496" i="20"/>
  <c r="AP496" i="20"/>
  <c r="AO164" i="20"/>
  <c r="AO150" i="20" s="1"/>
  <c r="AN459" i="20"/>
  <c r="AN394" i="20"/>
  <c r="AN402" i="20" s="1"/>
  <c r="AN447" i="20"/>
  <c r="AN448" i="20" s="1"/>
  <c r="AN455" i="20" s="1"/>
  <c r="AN484" i="20"/>
  <c r="AN492" i="20" s="1"/>
  <c r="AN493" i="20" s="1"/>
  <c r="AN495" i="20" s="1"/>
  <c r="AN496" i="20" s="1"/>
  <c r="AO479" i="20"/>
  <c r="AO480" i="20" s="1"/>
  <c r="AO495" i="20" s="1"/>
  <c r="AQ393" i="20"/>
  <c r="AR164" i="20"/>
  <c r="AP393" i="20"/>
  <c r="AO496" i="20" l="1"/>
  <c r="AR496" i="20"/>
  <c r="AQ394" i="20"/>
  <c r="AQ459" i="20"/>
  <c r="AQ508" i="20"/>
  <c r="AQ510" i="20"/>
  <c r="AQ447" i="20"/>
  <c r="AQ484" i="20"/>
  <c r="AQ492" i="20" s="1"/>
  <c r="AR150" i="20"/>
  <c r="AR162" i="20"/>
  <c r="AP394" i="20"/>
  <c r="AP459" i="20"/>
  <c r="AO162" i="20"/>
  <c r="AT410" i="20"/>
  <c r="AN150" i="20"/>
  <c r="AO128" i="20"/>
  <c r="AO124" i="20" s="1"/>
  <c r="AR52" i="20" l="1"/>
  <c r="AR82" i="20"/>
  <c r="AR128" i="20"/>
  <c r="AR124" i="20" s="1"/>
  <c r="AR137" i="20" s="1"/>
  <c r="AQ150" i="20"/>
  <c r="AO137" i="20"/>
  <c r="AO126" i="20"/>
  <c r="AU418" i="20"/>
  <c r="AU430" i="20" s="1"/>
  <c r="AU431" i="20" s="1"/>
  <c r="BA460" i="20"/>
  <c r="AO197" i="20"/>
  <c r="AO195" i="20" s="1"/>
  <c r="AR125" i="20" l="1"/>
  <c r="AQ52" i="20"/>
  <c r="AQ49" i="20"/>
  <c r="AQ82" i="20" s="1"/>
  <c r="AR51" i="20"/>
  <c r="AR50" i="20"/>
  <c r="AR53" i="20"/>
  <c r="AR54" i="20"/>
  <c r="AR108" i="20" s="1"/>
  <c r="AR197" i="20"/>
  <c r="AR195" i="20" s="1"/>
  <c r="AP122" i="20"/>
  <c r="AU419" i="20"/>
  <c r="AU427" i="20" s="1"/>
  <c r="AO208" i="20"/>
  <c r="AN124" i="20"/>
  <c r="AO125" i="20"/>
  <c r="AM195" i="20"/>
  <c r="AM184" i="20" s="1"/>
  <c r="AO184" i="20"/>
  <c r="AY460" i="20"/>
  <c r="BD460" i="20"/>
  <c r="AZ460" i="20"/>
  <c r="AU175" i="2"/>
  <c r="AU118" i="20"/>
  <c r="I5" i="53"/>
  <c r="AU121" i="20"/>
  <c r="AU52" i="20"/>
  <c r="AP195" i="20" l="1"/>
  <c r="AQ195" i="20" s="1"/>
  <c r="AR184" i="20"/>
  <c r="AQ51" i="20"/>
  <c r="AQ50" i="20"/>
  <c r="AQ54" i="20"/>
  <c r="AQ53" i="20"/>
  <c r="H20" i="53"/>
  <c r="H12" i="53" s="1"/>
  <c r="H16" i="53" s="1"/>
  <c r="AS122" i="20"/>
  <c r="AO206" i="20"/>
  <c r="AO217" i="20" s="1"/>
  <c r="AR208" i="20"/>
  <c r="AR206" i="20" s="1"/>
  <c r="AU122" i="20"/>
  <c r="BB460" i="20"/>
  <c r="BC460" i="20"/>
  <c r="BG460" i="20"/>
  <c r="AM263" i="20"/>
  <c r="AM262" i="20"/>
  <c r="AM264" i="20"/>
  <c r="AU50" i="20"/>
  <c r="BK49" i="20"/>
  <c r="AU51" i="20"/>
  <c r="AN195" i="20"/>
  <c r="AN184" i="20" s="1"/>
  <c r="I8" i="53"/>
  <c r="I4" i="53"/>
  <c r="AU53" i="20"/>
  <c r="AX175" i="2"/>
  <c r="AU54" i="20"/>
  <c r="BK52" i="20"/>
  <c r="AO264" i="20"/>
  <c r="AO263" i="20"/>
  <c r="AO262" i="20"/>
  <c r="AO138" i="20"/>
  <c r="AN137" i="20"/>
  <c r="AN125" i="20"/>
  <c r="AR217" i="20" l="1"/>
  <c r="AR263" i="20"/>
  <c r="AR262" i="20"/>
  <c r="AR264" i="20"/>
  <c r="AR138" i="20"/>
  <c r="AM206" i="20"/>
  <c r="AN206" i="20" s="1"/>
  <c r="AT52" i="20"/>
  <c r="AT54" i="20" s="1"/>
  <c r="AT121" i="20"/>
  <c r="AQ122" i="20"/>
  <c r="AN264" i="20"/>
  <c r="AT118" i="20"/>
  <c r="AT49" i="20"/>
  <c r="AT51" i="20" s="1"/>
  <c r="AN263" i="20"/>
  <c r="AN262" i="20"/>
  <c r="AO265" i="20"/>
  <c r="AO268" i="20" s="1"/>
  <c r="BF460" i="20"/>
  <c r="BE460" i="20"/>
  <c r="BJ460" i="20"/>
  <c r="AM265" i="20"/>
  <c r="AM268" i="20" s="1"/>
  <c r="AM271" i="20" s="1"/>
  <c r="AR265" i="20" l="1"/>
  <c r="AR268" i="20" s="1"/>
  <c r="AT53" i="20"/>
  <c r="AT122" i="20"/>
  <c r="H37" i="53"/>
  <c r="AT50" i="20"/>
  <c r="AN265" i="20"/>
  <c r="BI460" i="20"/>
  <c r="BH460" i="20"/>
  <c r="AM27" i="20"/>
  <c r="AM30" i="20" s="1"/>
  <c r="AM272" i="20"/>
  <c r="AP107" i="6"/>
  <c r="AP108" i="6" s="1"/>
  <c r="AP109" i="6" s="1"/>
  <c r="AP112" i="6"/>
  <c r="AP114" i="6" s="1"/>
  <c r="AP120" i="6" s="1"/>
  <c r="AP124" i="6" s="1"/>
  <c r="AM273" i="20"/>
  <c r="AN268" i="20"/>
  <c r="AO271" i="20"/>
  <c r="AR271" i="20" l="1"/>
  <c r="AP84" i="6"/>
  <c r="AP85" i="6" s="1"/>
  <c r="AM32" i="20"/>
  <c r="AM31" i="20"/>
  <c r="AR112" i="6"/>
  <c r="AO27" i="20"/>
  <c r="AO30" i="20" s="1"/>
  <c r="AR107" i="6"/>
  <c r="AO273" i="20"/>
  <c r="AO272" i="20"/>
  <c r="BM72" i="20"/>
  <c r="AN267" i="20"/>
  <c r="AN271" i="20"/>
  <c r="AR272" i="20" l="1"/>
  <c r="AR273" i="20"/>
  <c r="AR84" i="6"/>
  <c r="AO32" i="20"/>
  <c r="AO31" i="20"/>
  <c r="AN27" i="20"/>
  <c r="AN30" i="20" s="1"/>
  <c r="AQ112" i="6"/>
  <c r="AQ107" i="6"/>
  <c r="AN273" i="20"/>
  <c r="AN272" i="20"/>
  <c r="AP86" i="6"/>
  <c r="AP90" i="6"/>
  <c r="AQ84" i="6" l="1"/>
  <c r="AN31" i="20"/>
  <c r="AN32" i="20"/>
  <c r="AQ115" i="2" l="1"/>
  <c r="AQ118" i="2" s="1"/>
  <c r="AQ123" i="2" s="1"/>
  <c r="AR115" i="2"/>
  <c r="AR118" i="2" s="1"/>
  <c r="AR123" i="2" s="1"/>
  <c r="AQ113" i="2"/>
  <c r="AQ121" i="2" s="1"/>
  <c r="AR113" i="2"/>
  <c r="AR121" i="2" s="1"/>
  <c r="AQ119" i="2" l="1"/>
  <c r="AR119" i="2"/>
  <c r="AR112" i="2" l="1"/>
  <c r="AQ112" i="2"/>
  <c r="AQ125" i="2" l="1"/>
  <c r="AR125" i="2"/>
  <c r="Z14" i="10" s="1"/>
  <c r="AR170" i="2" l="1"/>
  <c r="AR155" i="2"/>
  <c r="AR156" i="2" l="1"/>
  <c r="AQ155" i="2"/>
  <c r="AQ156" i="2" s="1"/>
  <c r="Z58" i="10" l="1"/>
  <c r="Z60" i="10" s="1"/>
  <c r="Z61" i="10"/>
  <c r="Z38" i="10"/>
  <c r="AQ3" i="4" l="1"/>
  <c r="AQ52" i="4"/>
  <c r="AA38" i="10"/>
  <c r="Z7" i="10"/>
  <c r="AR52" i="4"/>
  <c r="Z62" i="10"/>
  <c r="AQ3" i="2" l="1"/>
  <c r="AQ3" i="5"/>
  <c r="AR3" i="4"/>
  <c r="Z10" i="10"/>
  <c r="Z53" i="10"/>
  <c r="Z52" i="10"/>
  <c r="AR3" i="5" l="1"/>
  <c r="AR3" i="2"/>
  <c r="Z44" i="10"/>
  <c r="Z46" i="10"/>
  <c r="Z45" i="10"/>
  <c r="Z42" i="10"/>
  <c r="AC38" i="10"/>
  <c r="BD156" i="2"/>
  <c r="AD38" i="10" l="1"/>
  <c r="BG156" i="2"/>
  <c r="BB156" i="2"/>
  <c r="BE156" i="2" l="1"/>
  <c r="AE38" i="10"/>
  <c r="BJ156" i="2"/>
  <c r="AF38" i="10" l="1"/>
  <c r="BH156" i="2"/>
  <c r="BM156" i="2"/>
  <c r="AG38" i="10" l="1"/>
  <c r="BK156" i="2"/>
  <c r="AR159" i="4" l="1"/>
  <c r="AR160" i="4" s="1"/>
  <c r="AR166" i="4" l="1"/>
  <c r="AR163" i="4"/>
  <c r="AQ163" i="4" s="1"/>
  <c r="AQ159" i="4"/>
  <c r="AQ160" i="4" l="1"/>
  <c r="AQ164" i="4"/>
  <c r="AQ166" i="4"/>
  <c r="BD160" i="4" l="1"/>
  <c r="AR150" i="2"/>
  <c r="BB160" i="4" l="1"/>
  <c r="BG160" i="4"/>
  <c r="BE160" i="4" l="1"/>
  <c r="BJ160" i="4"/>
  <c r="BH160" i="4" l="1"/>
  <c r="BM160" i="4"/>
  <c r="BK160" i="4" l="1"/>
  <c r="AR105" i="4" l="1"/>
  <c r="AR106" i="4" s="1"/>
  <c r="AR95" i="5"/>
  <c r="AR62" i="4"/>
  <c r="AR69" i="4" s="1"/>
  <c r="AR102" i="5"/>
  <c r="Z21" i="10"/>
  <c r="Z24" i="10" s="1"/>
  <c r="AR107" i="4" l="1"/>
  <c r="AR108" i="4" s="1"/>
  <c r="AR111" i="4"/>
  <c r="AQ102" i="5"/>
  <c r="AQ104" i="5" s="1"/>
  <c r="AQ69" i="4"/>
  <c r="Z64" i="10"/>
  <c r="Z23" i="10"/>
  <c r="Z25" i="10"/>
  <c r="Z54" i="10"/>
  <c r="AR71" i="4"/>
  <c r="AR72" i="4" s="1"/>
  <c r="Z36" i="10"/>
  <c r="AR178" i="2" s="1"/>
  <c r="Z47" i="10"/>
  <c r="AR109" i="4" l="1"/>
  <c r="AR110" i="4" s="1"/>
  <c r="AR112" i="4"/>
  <c r="AQ108" i="5"/>
  <c r="AQ111" i="5" s="1"/>
  <c r="AQ105" i="4" s="1"/>
  <c r="AQ119" i="5"/>
  <c r="Z22" i="10"/>
  <c r="Z65" i="10" s="1"/>
  <c r="AQ62" i="4" l="1"/>
  <c r="AQ71" i="4" s="1"/>
  <c r="AQ72" i="4" s="1"/>
  <c r="Z48" i="10"/>
  <c r="AQ115" i="5"/>
  <c r="AQ116" i="5"/>
  <c r="AQ107" i="4"/>
  <c r="AQ108" i="4" s="1"/>
  <c r="AQ111" i="4"/>
  <c r="AQ95" i="5"/>
  <c r="AQ106" i="4"/>
  <c r="AQ112" i="4" l="1"/>
  <c r="AQ109" i="4"/>
  <c r="AQ110" i="4" l="1"/>
  <c r="AQ399" i="20" l="1"/>
  <c r="AR400" i="20"/>
  <c r="AR312" i="20" s="1"/>
  <c r="AP400" i="20"/>
  <c r="AQ400" i="20" l="1"/>
  <c r="AQ402" i="20" s="1"/>
  <c r="AQ584" i="20"/>
  <c r="AP402" i="20"/>
  <c r="AR402" i="20"/>
  <c r="AQ583" i="20" l="1"/>
  <c r="AQ585" i="20"/>
  <c r="AX581" i="20"/>
  <c r="AT399" i="20" l="1"/>
  <c r="AU400" i="20"/>
  <c r="AU312" i="20" s="1"/>
  <c r="AX584" i="20"/>
  <c r="AX585" i="20" s="1"/>
  <c r="AX399" i="20" s="1"/>
  <c r="AT400" i="20" l="1"/>
  <c r="AT584" i="20"/>
  <c r="AS312" i="20"/>
  <c r="AT312" i="20"/>
  <c r="AW399" i="20"/>
  <c r="AW400" i="20" s="1"/>
  <c r="AV400" i="20"/>
  <c r="AX400" i="20"/>
  <c r="BA581" i="20"/>
  <c r="BA584" i="20" s="1"/>
  <c r="BB581" i="20" s="1"/>
  <c r="AY581" i="20"/>
  <c r="AT585" i="20" l="1"/>
  <c r="AT583" i="20"/>
  <c r="AV312" i="20"/>
  <c r="AW312" i="20"/>
  <c r="AX312" i="20"/>
  <c r="BD581" i="20"/>
  <c r="BD584" i="20" s="1"/>
  <c r="BE581" i="20" s="1"/>
  <c r="BE584" i="20" s="1"/>
  <c r="BF581" i="20" s="1"/>
  <c r="BF584" i="20" s="1"/>
  <c r="BF585" i="20" s="1"/>
  <c r="BA585" i="20"/>
  <c r="BA399" i="20" s="1"/>
  <c r="AY584" i="20"/>
  <c r="AZ581" i="20" s="1"/>
  <c r="AZ584" i="20" s="1"/>
  <c r="AZ585" i="20" s="1"/>
  <c r="BB584" i="20"/>
  <c r="BC581" i="20" s="1"/>
  <c r="BC584" i="20" s="1"/>
  <c r="BC585" i="20" s="1"/>
  <c r="BD585" i="20" l="1"/>
  <c r="BD399" i="20" s="1"/>
  <c r="BC399" i="20" s="1"/>
  <c r="BC400" i="20" s="1"/>
  <c r="AZ399" i="20"/>
  <c r="AZ400" i="20" s="1"/>
  <c r="AY399" i="20"/>
  <c r="AY400" i="20" s="1"/>
  <c r="BA400" i="20"/>
  <c r="BG581" i="20"/>
  <c r="BG584" i="20" s="1"/>
  <c r="BB585" i="20"/>
  <c r="AY585" i="20"/>
  <c r="BE585" i="20"/>
  <c r="BB399" i="20" l="1"/>
  <c r="BB400" i="20" s="1"/>
  <c r="BD400" i="20"/>
  <c r="BA312" i="20"/>
  <c r="AY312" i="20"/>
  <c r="BC312" i="20"/>
  <c r="AZ312" i="20"/>
  <c r="BJ581" i="20"/>
  <c r="BJ584" i="20" s="1"/>
  <c r="BJ585" i="20" s="1"/>
  <c r="BJ399" i="20" s="1"/>
  <c r="BH581" i="20"/>
  <c r="BG585" i="20"/>
  <c r="BG399" i="20" s="1"/>
  <c r="BB312" i="20" l="1"/>
  <c r="BD312" i="20"/>
  <c r="BI399" i="20"/>
  <c r="BI400" i="20" s="1"/>
  <c r="BH399" i="20"/>
  <c r="BH400" i="20" s="1"/>
  <c r="BJ400" i="20"/>
  <c r="BF399" i="20"/>
  <c r="BF400" i="20" s="1"/>
  <c r="BE399" i="20"/>
  <c r="BE400" i="20" s="1"/>
  <c r="BG400" i="20"/>
  <c r="BH584" i="20"/>
  <c r="BI581" i="20" s="1"/>
  <c r="BI584" i="20" s="1"/>
  <c r="BI585" i="20" s="1"/>
  <c r="BF312" i="20" l="1"/>
  <c r="BJ312" i="20"/>
  <c r="BG312" i="20"/>
  <c r="BH312" i="20"/>
  <c r="BE312" i="20"/>
  <c r="BI312" i="20"/>
  <c r="BH585" i="20"/>
  <c r="AU285" i="20" l="1"/>
  <c r="AU289" i="20" s="1"/>
  <c r="AR298" i="20"/>
  <c r="AX330" i="20" l="1"/>
  <c r="AX326" i="20" s="1"/>
  <c r="AX293" i="20" s="1"/>
  <c r="AX287" i="20" l="1"/>
  <c r="AX285" i="20" s="1"/>
  <c r="AX289" i="20" s="1"/>
  <c r="BA330" i="20"/>
  <c r="BA326" i="20" s="1"/>
  <c r="BA287" i="20" l="1"/>
  <c r="BA285" i="20" s="1"/>
  <c r="BA289" i="20" s="1"/>
  <c r="BD330" i="20" l="1"/>
  <c r="BD326" i="20" s="1"/>
  <c r="BD287" i="20" l="1"/>
  <c r="BD285" i="20" s="1"/>
  <c r="BD289" i="20" s="1"/>
  <c r="BG330" i="20" l="1"/>
  <c r="BG287" i="20" l="1"/>
  <c r="BG285" i="20" s="1"/>
  <c r="BG289" i="20" s="1"/>
  <c r="BG326" i="20"/>
  <c r="BJ330" i="20"/>
  <c r="BJ326" i="20" s="1"/>
  <c r="BJ287" i="20" l="1"/>
  <c r="BJ285" i="20" s="1"/>
  <c r="BJ289" i="20" s="1"/>
  <c r="H31" i="53"/>
  <c r="AR16" i="20" l="1"/>
  <c r="AR17" i="20" s="1"/>
  <c r="AR28" i="20"/>
  <c r="H24" i="53" l="1"/>
  <c r="AU115" i="6"/>
  <c r="H28" i="53" l="1"/>
  <c r="H38" i="53"/>
  <c r="H29" i="53" l="1"/>
  <c r="BM23" i="20"/>
  <c r="H35" i="53"/>
  <c r="H39" i="53" s="1"/>
  <c r="H36" i="53" l="1"/>
  <c r="BN4" i="6" l="1"/>
  <c r="AA68" i="10" l="1"/>
  <c r="AU176" i="2" l="1"/>
  <c r="AA76" i="10"/>
  <c r="AA84" i="10" s="1"/>
  <c r="AU16" i="20" l="1"/>
  <c r="AU17" i="20" s="1"/>
  <c r="AU348" i="20"/>
  <c r="AU292" i="20"/>
  <c r="AU28" i="20" l="1"/>
  <c r="AU347" i="20"/>
  <c r="AX115" i="6" s="1"/>
  <c r="AU98" i="20"/>
  <c r="BK21" i="20"/>
  <c r="I38" i="53"/>
  <c r="AX327" i="20" l="1"/>
  <c r="AX298" i="20"/>
  <c r="AX16" i="20" l="1"/>
  <c r="AX17" i="20" s="1"/>
  <c r="AX297" i="20"/>
  <c r="AX348" i="20"/>
  <c r="AX347" i="20" s="1"/>
  <c r="AX292" i="20"/>
  <c r="AX295" i="20"/>
  <c r="BA115" i="6" l="1"/>
  <c r="AX28" i="20"/>
  <c r="AX21" i="20"/>
  <c r="BA78" i="6"/>
  <c r="BA293" i="20" l="1"/>
  <c r="BA327" i="20"/>
  <c r="BA298" i="20"/>
  <c r="BA16" i="20" l="1"/>
  <c r="BA17" i="20" s="1"/>
  <c r="BA297" i="20"/>
  <c r="BA348" i="20"/>
  <c r="BA295" i="20"/>
  <c r="BD78" i="6" s="1"/>
  <c r="BA292" i="20"/>
  <c r="BA28" i="20" l="1"/>
  <c r="BA347" i="20"/>
  <c r="BD115" i="6" s="1"/>
  <c r="BA21" i="20"/>
  <c r="BL21" i="20" l="1"/>
  <c r="BD293" i="20" l="1"/>
  <c r="BD327" i="20"/>
  <c r="BD298" i="20"/>
  <c r="BD16" i="20" l="1"/>
  <c r="BD17" i="20" s="1"/>
  <c r="BD348" i="20"/>
  <c r="BD295" i="20"/>
  <c r="BD297" i="20"/>
  <c r="BD292" i="20"/>
  <c r="BD347" i="20" l="1"/>
  <c r="BG115" i="6" s="1"/>
  <c r="BD28" i="20"/>
  <c r="BG78" i="6"/>
  <c r="BD21" i="20"/>
  <c r="BG293" i="20" l="1"/>
  <c r="BG327" i="20"/>
  <c r="BG298" i="20"/>
  <c r="BG295" i="20" l="1"/>
  <c r="BJ78" i="6" s="1"/>
  <c r="BG297" i="20"/>
  <c r="BG348" i="20"/>
  <c r="BG16" i="20"/>
  <c r="BG17" i="20" s="1"/>
  <c r="BG292" i="20"/>
  <c r="BG21" i="20" l="1"/>
  <c r="BG347" i="20"/>
  <c r="BJ115" i="6" s="1"/>
  <c r="BG28" i="20"/>
  <c r="BJ293" i="20" l="1"/>
  <c r="BJ327" i="20"/>
  <c r="BJ298" i="20"/>
  <c r="BJ16" i="20" l="1"/>
  <c r="BJ17" i="20" s="1"/>
  <c r="BJ295" i="20"/>
  <c r="BM78" i="6" s="1"/>
  <c r="BJ297" i="20"/>
  <c r="BJ292" i="20"/>
  <c r="BJ348" i="20"/>
  <c r="BJ28" i="20" s="1"/>
  <c r="BJ21" i="20" l="1"/>
  <c r="BJ347" i="20"/>
  <c r="BM115" i="6" s="1"/>
  <c r="AR63" i="20" l="1"/>
  <c r="AR59" i="20" l="1"/>
  <c r="AT316" i="20"/>
  <c r="AT317" i="20" s="1"/>
  <c r="AX316" i="20"/>
  <c r="AR67" i="20" l="1"/>
  <c r="AR66" i="20"/>
  <c r="AQ63" i="20"/>
  <c r="AR68" i="20"/>
  <c r="AX322" i="20"/>
  <c r="AX318" i="20" s="1"/>
  <c r="BA316" i="20"/>
  <c r="AW316" i="20"/>
  <c r="AU323" i="20"/>
  <c r="AT322" i="20"/>
  <c r="AT321" i="20" s="1"/>
  <c r="AU63" i="20"/>
  <c r="AU333" i="20"/>
  <c r="AU334" i="20" s="1"/>
  <c r="AU318" i="20"/>
  <c r="AQ59" i="20" l="1"/>
  <c r="AT323" i="20"/>
  <c r="AT63" i="20"/>
  <c r="AT318" i="20"/>
  <c r="BK63" i="20"/>
  <c r="AZ316" i="20"/>
  <c r="BD316" i="20"/>
  <c r="BA322" i="20"/>
  <c r="BA318" i="20" s="1"/>
  <c r="AX323" i="20"/>
  <c r="AW322" i="20"/>
  <c r="AW318" i="20" s="1"/>
  <c r="AX321" i="20"/>
  <c r="AX63" i="20"/>
  <c r="AX333" i="20"/>
  <c r="AX334" i="20" s="1"/>
  <c r="AQ67" i="20" l="1"/>
  <c r="AQ66" i="20"/>
  <c r="AQ68" i="20"/>
  <c r="BC316" i="20"/>
  <c r="BD322" i="20"/>
  <c r="BG316" i="20"/>
  <c r="AW323" i="20"/>
  <c r="AW321" i="20"/>
  <c r="AW63" i="20"/>
  <c r="BA323" i="20"/>
  <c r="AZ322" i="20"/>
  <c r="BA321" i="20"/>
  <c r="BA63" i="20"/>
  <c r="BA333" i="20"/>
  <c r="BA334" i="20" s="1"/>
  <c r="BD323" i="20" l="1"/>
  <c r="BC322" i="20"/>
  <c r="BC318" i="20" s="1"/>
  <c r="BD321" i="20"/>
  <c r="BD63" i="20"/>
  <c r="BD333" i="20"/>
  <c r="BD334" i="20" s="1"/>
  <c r="AZ323" i="20"/>
  <c r="AZ63" i="20"/>
  <c r="AZ321" i="20"/>
  <c r="BL63" i="20"/>
  <c r="BD318" i="20"/>
  <c r="AZ318" i="20"/>
  <c r="BF316" i="20"/>
  <c r="BJ316" i="20"/>
  <c r="BG322" i="20"/>
  <c r="BG318" i="20" s="1"/>
  <c r="BJ322" i="20" l="1"/>
  <c r="BJ318" i="20" s="1"/>
  <c r="BI316" i="20"/>
  <c r="BC323" i="20"/>
  <c r="BC63" i="20"/>
  <c r="BC321" i="20"/>
  <c r="BG323" i="20"/>
  <c r="BF322" i="20"/>
  <c r="BF318" i="20" s="1"/>
  <c r="BG321" i="20"/>
  <c r="BG63" i="20"/>
  <c r="BG333" i="20"/>
  <c r="BG334" i="20" s="1"/>
  <c r="BF323" i="20" l="1"/>
  <c r="BF63" i="20"/>
  <c r="BF321" i="20"/>
  <c r="BJ323" i="20"/>
  <c r="BI322" i="20"/>
  <c r="BJ321" i="20"/>
  <c r="BJ63" i="20"/>
  <c r="BJ333" i="20"/>
  <c r="BJ334" i="20" s="1"/>
  <c r="BI323" i="20" l="1"/>
  <c r="BI63" i="20"/>
  <c r="BI321" i="20"/>
  <c r="BI318" i="20"/>
  <c r="AQ298" i="20" l="1"/>
  <c r="AP28" i="20" l="1"/>
  <c r="AQ28" i="20" l="1"/>
  <c r="AS115" i="6"/>
  <c r="AT115" i="6" l="1"/>
  <c r="AT289" i="20" l="1"/>
  <c r="AS28" i="20" l="1"/>
  <c r="AV115" i="6" l="1"/>
  <c r="AT348" i="20"/>
  <c r="AT347" i="20" l="1"/>
  <c r="AW115" i="6" s="1"/>
  <c r="AT28" i="20"/>
  <c r="AV121" i="6" l="1"/>
  <c r="AV122" i="6"/>
  <c r="AV327" i="20" l="1"/>
  <c r="AW326" i="20"/>
  <c r="AW330" i="20" s="1"/>
  <c r="AV333" i="20"/>
  <c r="AV334" i="20" s="1"/>
  <c r="AV348" i="20" l="1"/>
  <c r="AV28" i="20" s="1"/>
  <c r="AW287" i="20"/>
  <c r="AW285" i="20" s="1"/>
  <c r="AW333" i="20"/>
  <c r="AW293" i="20"/>
  <c r="AW298" i="20"/>
  <c r="AW292" i="20" l="1"/>
  <c r="AW295" i="20"/>
  <c r="AW297" i="20"/>
  <c r="AW348" i="20"/>
  <c r="AW349" i="20" l="1"/>
  <c r="AW28" i="20"/>
  <c r="AZ78" i="6"/>
  <c r="AW21" i="20"/>
  <c r="AW28" i="7" l="1"/>
  <c r="AW36" i="7" l="1"/>
  <c r="AW79" i="7" l="1"/>
  <c r="AS24" i="2" l="1"/>
  <c r="AS49" i="2" l="1"/>
  <c r="AS54" i="2" l="1"/>
  <c r="AT49" i="2"/>
  <c r="AS53" i="2"/>
  <c r="AS56" i="2"/>
  <c r="AT53" i="2" l="1"/>
  <c r="AW51" i="2"/>
  <c r="AP48" i="14"/>
  <c r="AP222" i="14" s="1"/>
  <c r="AP223" i="14" s="1"/>
  <c r="AP49" i="14"/>
  <c r="AP96" i="14" l="1"/>
  <c r="AP50" i="14"/>
  <c r="AP51" i="14" s="1"/>
  <c r="AP42" i="14"/>
  <c r="AS113" i="6"/>
  <c r="AP52" i="14"/>
  <c r="AP55" i="14" s="1"/>
  <c r="AP43" i="14"/>
  <c r="AP34" i="14" l="1"/>
  <c r="AS111" i="6" l="1"/>
  <c r="AP37" i="14"/>
  <c r="AS83" i="6" s="1"/>
  <c r="AS106" i="6" l="1"/>
  <c r="AP86" i="20" l="1"/>
  <c r="AP91" i="20" l="1"/>
  <c r="AP92" i="20" s="1"/>
  <c r="AP89" i="20"/>
  <c r="AP90" i="20" l="1"/>
  <c r="AP96" i="20"/>
  <c r="AP99" i="20" s="1"/>
  <c r="AS113" i="2" l="1"/>
  <c r="AS121" i="2" s="1"/>
  <c r="AS119" i="2" l="1"/>
  <c r="AS115" i="2" l="1"/>
  <c r="AS112" i="2" s="1"/>
  <c r="AS118" i="2" l="1"/>
  <c r="AS123" i="2" s="1"/>
  <c r="AS125" i="2" l="1"/>
  <c r="AS155" i="2"/>
  <c r="AT155" i="2" s="1"/>
  <c r="AT156" i="2" s="1"/>
  <c r="AS156" i="2" l="1"/>
  <c r="AS52" i="4" l="1"/>
  <c r="AS3" i="4"/>
  <c r="AS3" i="5" l="1"/>
  <c r="AS3" i="2"/>
  <c r="AS159" i="4" l="1"/>
  <c r="AS163" i="4" s="1"/>
  <c r="AS166" i="4" l="1"/>
  <c r="AS160" i="4"/>
  <c r="AS62" i="4" l="1"/>
  <c r="AS69" i="4" s="1"/>
  <c r="AS95" i="5"/>
  <c r="AS102" i="5"/>
  <c r="AS105" i="4"/>
  <c r="AS71" i="4" l="1"/>
  <c r="AS72" i="4" s="1"/>
  <c r="AS107" i="4"/>
  <c r="AS106" i="4"/>
  <c r="AS111" i="4"/>
  <c r="AS108" i="4" l="1"/>
  <c r="AS109" i="4"/>
  <c r="AS112" i="4"/>
  <c r="AS110" i="4" l="1"/>
  <c r="BA29" i="18" l="1"/>
  <c r="BA38" i="18" l="1"/>
  <c r="BA39" i="18" s="1"/>
  <c r="BA30" i="18" s="1"/>
  <c r="BA45" i="18" s="1"/>
  <c r="BD29" i="18" l="1"/>
  <c r="BA41" i="18"/>
  <c r="BB29" i="18" l="1"/>
  <c r="BD38" i="18"/>
  <c r="BD39" i="18" s="1"/>
  <c r="BD30" i="18" s="1"/>
  <c r="BD45" i="18" s="1"/>
  <c r="BG29" i="18" l="1"/>
  <c r="BD41" i="18"/>
  <c r="BC29" i="18"/>
  <c r="BG38" i="18" l="1"/>
  <c r="BG39" i="18" s="1"/>
  <c r="BG30" i="18" s="1"/>
  <c r="BG45" i="18" s="1"/>
  <c r="BE29" i="18"/>
  <c r="BG41" i="18" l="1"/>
  <c r="BJ29" i="18"/>
  <c r="BF29" i="18"/>
  <c r="BJ38" i="18" l="1"/>
  <c r="BJ39" i="18" s="1"/>
  <c r="BJ30" i="18" s="1"/>
  <c r="BJ45" i="18" s="1"/>
  <c r="BH29" i="18"/>
  <c r="BI29" i="18" s="1"/>
  <c r="BJ41" i="18" l="1"/>
  <c r="BM29" i="18"/>
  <c r="BK29" i="18" s="1"/>
  <c r="BL29" i="18" l="1"/>
  <c r="BM38" i="18"/>
  <c r="BM39" i="18" s="1"/>
  <c r="BM30" i="18" s="1"/>
  <c r="BM45" i="18" s="1"/>
  <c r="BM41" i="18" l="1"/>
  <c r="BA42" i="18" l="1"/>
  <c r="BA69" i="18"/>
  <c r="AR24" i="18"/>
  <c r="BD42" i="18" l="1"/>
  <c r="AA70" i="10"/>
  <c r="BD69" i="18"/>
  <c r="BG69" i="18" l="1"/>
  <c r="BG42" i="18"/>
  <c r="BJ69" i="18" l="1"/>
  <c r="AX68" i="18"/>
  <c r="AU177" i="2"/>
  <c r="AA78" i="10"/>
  <c r="AA86" i="10" s="1"/>
  <c r="AA13" i="10" l="1"/>
  <c r="AA28" i="10" s="1"/>
  <c r="BJ42" i="18"/>
  <c r="BM42" i="18" l="1"/>
  <c r="AA80" i="10"/>
  <c r="BM69" i="18"/>
  <c r="AU24" i="2" l="1"/>
  <c r="AT24" i="2"/>
  <c r="AA15" i="10"/>
  <c r="AA29" i="10" l="1"/>
  <c r="AA34" i="10"/>
  <c r="AA16" i="10"/>
  <c r="AA17" i="10" l="1"/>
  <c r="AU54" i="2" l="1"/>
  <c r="AA43" i="10"/>
  <c r="AA35" i="10"/>
  <c r="AA18" i="10"/>
  <c r="AA30" i="10" s="1"/>
  <c r="AU165" i="2" l="1"/>
  <c r="AU56" i="2"/>
  <c r="AU166" i="2"/>
  <c r="AA19" i="10"/>
  <c r="AT56" i="2" l="1"/>
  <c r="AT51" i="2"/>
  <c r="AT50" i="2"/>
  <c r="AA58" i="10"/>
  <c r="AA60" i="10" s="1"/>
  <c r="AA61" i="10"/>
  <c r="AA49" i="10"/>
  <c r="AA20" i="10"/>
  <c r="AT54" i="2"/>
  <c r="AU163" i="2"/>
  <c r="AA62" i="10" l="1"/>
  <c r="AA57" i="10" l="1"/>
  <c r="AA41" i="10" l="1"/>
  <c r="AA63" i="10"/>
  <c r="AX69" i="18" l="1"/>
  <c r="AW69" i="18" s="1"/>
  <c r="BA28" i="18" l="1"/>
  <c r="BA33" i="18" s="1"/>
  <c r="AU24" i="18"/>
  <c r="BA36" i="18" l="1"/>
  <c r="BD28" i="18"/>
  <c r="BA4" i="18"/>
  <c r="AX24" i="18" s="1"/>
  <c r="BA34" i="18"/>
  <c r="BA35" i="18" s="1"/>
  <c r="AZ28" i="18"/>
  <c r="C8" i="54"/>
  <c r="AX145" i="2"/>
  <c r="D8" i="54" l="1"/>
  <c r="D21" i="54" s="1"/>
  <c r="F8" i="54"/>
  <c r="F21" i="54" s="1"/>
  <c r="BA8" i="18"/>
  <c r="BA11" i="18"/>
  <c r="BA10" i="3"/>
  <c r="BA6" i="18"/>
  <c r="BD36" i="18"/>
  <c r="BD33" i="18"/>
  <c r="AB70" i="10"/>
  <c r="AX72" i="18"/>
  <c r="AW72" i="18" s="1"/>
  <c r="AZ36" i="18"/>
  <c r="AX73" i="18"/>
  <c r="AW73" i="18" s="1"/>
  <c r="AW70" i="18" l="1"/>
  <c r="BA72" i="18"/>
  <c r="C21" i="54"/>
  <c r="C22" i="54" s="1"/>
  <c r="AX77" i="18"/>
  <c r="BG28" i="18"/>
  <c r="BD4" i="18"/>
  <c r="BD34" i="18"/>
  <c r="BD35" i="18" s="1"/>
  <c r="BA14" i="18"/>
  <c r="BA35" i="3"/>
  <c r="BA5" i="18"/>
  <c r="BA11" i="3"/>
  <c r="AC70" i="10"/>
  <c r="BA73" i="18"/>
  <c r="BA145" i="2"/>
  <c r="BA77" i="18" l="1"/>
  <c r="BA57" i="3"/>
  <c r="BA15" i="18"/>
  <c r="BG36" i="18"/>
  <c r="BG33" i="18"/>
  <c r="AX79" i="18"/>
  <c r="AX70" i="18"/>
  <c r="BA68" i="18"/>
  <c r="AX78" i="18"/>
  <c r="BD11" i="18"/>
  <c r="BD8" i="18"/>
  <c r="BD6" i="18"/>
  <c r="BD10" i="3"/>
  <c r="BA36" i="3"/>
  <c r="AB78" i="10"/>
  <c r="AB86" i="10" s="1"/>
  <c r="AX177" i="2"/>
  <c r="BD5" i="18" l="1"/>
  <c r="BD14" i="18"/>
  <c r="BD35" i="3"/>
  <c r="BD72" i="18"/>
  <c r="BA58" i="3"/>
  <c r="BA177" i="2" s="1"/>
  <c r="AC78" i="10"/>
  <c r="AC86" i="10" s="1"/>
  <c r="BD11" i="3"/>
  <c r="AD70" i="10"/>
  <c r="BD73" i="18"/>
  <c r="BD145" i="2"/>
  <c r="BG34" i="18"/>
  <c r="BG35" i="18" s="1"/>
  <c r="BG4" i="18"/>
  <c r="BJ28" i="18"/>
  <c r="BD68" i="18"/>
  <c r="BA79" i="18"/>
  <c r="BA70" i="18"/>
  <c r="BA78" i="18"/>
  <c r="BJ33" i="18" l="1"/>
  <c r="BJ36" i="18"/>
  <c r="BG8" i="18"/>
  <c r="BG10" i="3"/>
  <c r="BG11" i="18"/>
  <c r="BG6" i="18"/>
  <c r="BD36" i="3"/>
  <c r="AZ68" i="18"/>
  <c r="BD77" i="18"/>
  <c r="BD57" i="3"/>
  <c r="BD15" i="18"/>
  <c r="E8" i="54" l="1"/>
  <c r="E9" i="54" s="1"/>
  <c r="BG5" i="18"/>
  <c r="BG35" i="3"/>
  <c r="BG14" i="18"/>
  <c r="BG73" i="18"/>
  <c r="BG145" i="2"/>
  <c r="AE70" i="10"/>
  <c r="BG11" i="3"/>
  <c r="BD58" i="3"/>
  <c r="BD177" i="2" s="1"/>
  <c r="AD78" i="10"/>
  <c r="AD86" i="10" s="1"/>
  <c r="BG72" i="18"/>
  <c r="BD78" i="18"/>
  <c r="BG68" i="18"/>
  <c r="BD79" i="18"/>
  <c r="BD70" i="18"/>
  <c r="BM28" i="18"/>
  <c r="BJ4" i="18"/>
  <c r="BJ34" i="18"/>
  <c r="BJ35" i="18" s="1"/>
  <c r="BJ8" i="18" l="1"/>
  <c r="BJ6" i="18"/>
  <c r="BJ10" i="3"/>
  <c r="BJ11" i="18"/>
  <c r="BG57" i="3"/>
  <c r="BG15" i="18"/>
  <c r="BG77" i="18"/>
  <c r="BG36" i="3"/>
  <c r="BM36" i="18"/>
  <c r="BM33" i="18"/>
  <c r="BN33" i="18" s="1"/>
  <c r="E21" i="54" l="1"/>
  <c r="E22" i="54" s="1"/>
  <c r="AE78" i="10"/>
  <c r="AE86" i="10" s="1"/>
  <c r="BG58" i="3"/>
  <c r="BG177" i="2" s="1"/>
  <c r="AF70" i="10"/>
  <c r="BJ11" i="3"/>
  <c r="BM4" i="18"/>
  <c r="BM34" i="18"/>
  <c r="BM35" i="18" s="1"/>
  <c r="BJ35" i="3"/>
  <c r="BJ5" i="18"/>
  <c r="BJ14" i="18"/>
  <c r="BJ72" i="18"/>
  <c r="BG78" i="18"/>
  <c r="BG79" i="18"/>
  <c r="BJ68" i="18"/>
  <c r="BG70" i="18"/>
  <c r="BJ73" i="18"/>
  <c r="BJ145" i="2"/>
  <c r="BJ36" i="3" l="1"/>
  <c r="BJ57" i="3"/>
  <c r="BJ77" i="18"/>
  <c r="BJ15" i="18"/>
  <c r="BM11" i="18"/>
  <c r="BM8" i="18"/>
  <c r="BM6" i="18"/>
  <c r="BM10" i="3"/>
  <c r="AF78" i="10" l="1"/>
  <c r="AF86" i="10" s="1"/>
  <c r="BJ58" i="3"/>
  <c r="BJ177" i="2" s="1"/>
  <c r="BJ78" i="18"/>
  <c r="BJ79" i="18"/>
  <c r="BJ70" i="18"/>
  <c r="BM68" i="18"/>
  <c r="AG70" i="10"/>
  <c r="BM11" i="3"/>
  <c r="BM35" i="3"/>
  <c r="BM14" i="18"/>
  <c r="BM5" i="18"/>
  <c r="BM72" i="18"/>
  <c r="BM73" i="18"/>
  <c r="BM145" i="2"/>
  <c r="BM57" i="3" l="1"/>
  <c r="BM15" i="18"/>
  <c r="BM77" i="18"/>
  <c r="BM36" i="3"/>
  <c r="AG78" i="10" l="1"/>
  <c r="AG86" i="10" s="1"/>
  <c r="BM58" i="3"/>
  <c r="BM177" i="2" s="1"/>
  <c r="BM78" i="18"/>
  <c r="BM70" i="18"/>
  <c r="BM79" i="18"/>
  <c r="AZ194" i="4" l="1"/>
  <c r="BB57" i="4" l="1"/>
  <c r="BB194" i="4" s="1"/>
  <c r="AZ215" i="4"/>
  <c r="AZ203" i="4"/>
  <c r="AZ205" i="4"/>
  <c r="AZ208" i="4" s="1"/>
  <c r="AZ62" i="5"/>
  <c r="BE57" i="4" l="1"/>
  <c r="BE194" i="4" s="1"/>
  <c r="BB205" i="4"/>
  <c r="BC194" i="4"/>
  <c r="BB203" i="4"/>
  <c r="BB62" i="5"/>
  <c r="AZ28" i="2"/>
  <c r="BC203" i="4" l="1"/>
  <c r="BC215" i="4"/>
  <c r="BC205" i="4"/>
  <c r="BC208" i="4" s="1"/>
  <c r="BB208" i="4"/>
  <c r="BC62" i="5"/>
  <c r="BK57" i="4"/>
  <c r="BK194" i="4" s="1"/>
  <c r="BK203" i="4" s="1"/>
  <c r="BH57" i="4"/>
  <c r="BH194" i="4" s="1"/>
  <c r="BB28" i="2"/>
  <c r="BF194" i="4"/>
  <c r="BE203" i="4"/>
  <c r="BE62" i="5"/>
  <c r="BE205" i="4"/>
  <c r="BK205" i="4" l="1"/>
  <c r="BL205" i="4" s="1"/>
  <c r="BL208" i="4" s="1"/>
  <c r="BE208" i="4"/>
  <c r="BF205" i="4"/>
  <c r="BF208" i="4" s="1"/>
  <c r="BK62" i="5"/>
  <c r="BF62" i="5"/>
  <c r="BL194" i="4"/>
  <c r="BL215" i="4" s="1"/>
  <c r="BF203" i="4"/>
  <c r="BF215" i="4"/>
  <c r="BE28" i="2"/>
  <c r="BH62" i="5"/>
  <c r="BH205" i="4"/>
  <c r="BH203" i="4"/>
  <c r="BI194" i="4"/>
  <c r="BC28" i="2"/>
  <c r="BK28" i="2"/>
  <c r="BK208" i="4" l="1"/>
  <c r="BL203" i="4"/>
  <c r="BL28" i="2" s="1"/>
  <c r="BL62" i="5"/>
  <c r="BH208" i="4"/>
  <c r="BI205" i="4"/>
  <c r="BI208" i="4" s="1"/>
  <c r="BI62" i="5"/>
  <c r="BF28" i="2"/>
  <c r="BH28" i="2"/>
  <c r="BI203" i="4"/>
  <c r="BI215" i="4"/>
  <c r="BI28" i="2" l="1"/>
  <c r="AW29" i="7"/>
  <c r="AW44" i="7" s="1"/>
  <c r="AW38" i="7" l="1"/>
  <c r="AZ29" i="7" l="1"/>
  <c r="AZ44" i="7" s="1"/>
  <c r="AW39" i="7"/>
  <c r="AZ38" i="7" l="1"/>
  <c r="BB29" i="7"/>
  <c r="AW30" i="7"/>
  <c r="AW80" i="7"/>
  <c r="BC29" i="7" l="1"/>
  <c r="BC44" i="7" s="1"/>
  <c r="AW45" i="7"/>
  <c r="AW33" i="7"/>
  <c r="AW34" i="7" l="1"/>
  <c r="AW35" i="7" s="1"/>
  <c r="AW4" i="7"/>
  <c r="AZ28" i="7"/>
  <c r="AW23" i="7" l="1"/>
  <c r="AW11" i="7"/>
  <c r="AW144" i="2" s="1"/>
  <c r="AW148" i="2" s="1"/>
  <c r="AW84" i="7"/>
  <c r="AZ36" i="7"/>
  <c r="AW6" i="7"/>
  <c r="AW83" i="7"/>
  <c r="AW8" i="7"/>
  <c r="AW9" i="7" s="1"/>
  <c r="AW12" i="7" l="1"/>
  <c r="AW7" i="7"/>
  <c r="AW5" i="7"/>
  <c r="AW14" i="7"/>
  <c r="AW19" i="7" s="1"/>
  <c r="AW15" i="7" l="1"/>
  <c r="AW88" i="7"/>
  <c r="AW81" i="7"/>
  <c r="AZ79" i="7" l="1"/>
  <c r="AW89" i="7"/>
  <c r="AW90" i="7"/>
  <c r="AV24" i="2" l="1"/>
  <c r="AR49" i="14" l="1"/>
  <c r="AR96" i="14" s="1"/>
  <c r="AT113" i="6" l="1"/>
  <c r="AQ48" i="14"/>
  <c r="AQ222" i="14" s="1"/>
  <c r="AQ223" i="14" s="1"/>
  <c r="AU113" i="6"/>
  <c r="AR42" i="14"/>
  <c r="AR43" i="14"/>
  <c r="AR48" i="14"/>
  <c r="AR222" i="14" s="1"/>
  <c r="AR223" i="14" s="1"/>
  <c r="AR50" i="14" l="1"/>
  <c r="AR51" i="14" l="1"/>
  <c r="AQ63" i="14" l="1"/>
  <c r="AQ49" i="14"/>
  <c r="AQ42" i="14" l="1"/>
  <c r="AQ96" i="14"/>
  <c r="AQ64" i="14"/>
  <c r="AQ65" i="14"/>
  <c r="AQ43" i="14"/>
  <c r="AQ50" i="14"/>
  <c r="AQ51" i="14" s="1"/>
  <c r="AR41" i="20"/>
  <c r="AR105" i="20"/>
  <c r="AP119" i="20"/>
  <c r="AR126" i="20"/>
  <c r="AR104" i="20" l="1"/>
  <c r="AR35" i="20"/>
  <c r="AP120" i="20"/>
  <c r="AP116" i="20"/>
  <c r="AQ116" i="20" s="1"/>
  <c r="AQ119" i="20" s="1"/>
  <c r="AQ120" i="20" s="1"/>
  <c r="AR73" i="20"/>
  <c r="AR79" i="20" s="1"/>
  <c r="AR83" i="20" s="1"/>
  <c r="AU101" i="6" l="1"/>
  <c r="AP107" i="20"/>
  <c r="AP124" i="20"/>
  <c r="H21" i="53"/>
  <c r="H13" i="53" s="1"/>
  <c r="H17" i="53" s="1"/>
  <c r="AR74" i="20"/>
  <c r="AR80" i="20" s="1"/>
  <c r="AR84" i="20" s="1"/>
  <c r="BM73" i="20"/>
  <c r="AQ124" i="20" l="1"/>
  <c r="AQ125" i="20" s="1"/>
  <c r="AP206" i="20"/>
  <c r="AP137" i="20"/>
  <c r="AP125" i="20"/>
  <c r="H22" i="53"/>
  <c r="H14" i="53" s="1"/>
  <c r="H18" i="53" s="1"/>
  <c r="BM74" i="20"/>
  <c r="AP73" i="20"/>
  <c r="AP108" i="20"/>
  <c r="AP184" i="20"/>
  <c r="AQ107" i="20"/>
  <c r="AQ184" i="20" s="1"/>
  <c r="AQ137" i="20" l="1"/>
  <c r="AP79" i="20"/>
  <c r="AP83" i="20" s="1"/>
  <c r="AP74" i="20"/>
  <c r="AQ108" i="20"/>
  <c r="AQ73" i="20"/>
  <c r="AQ79" i="20" s="1"/>
  <c r="AQ83" i="20" s="1"/>
  <c r="AP263" i="20"/>
  <c r="AQ263" i="20" s="1"/>
  <c r="AP262" i="20"/>
  <c r="AQ262" i="20" s="1"/>
  <c r="AQ206" i="20"/>
  <c r="AQ217" i="20" s="1"/>
  <c r="AP217" i="20"/>
  <c r="AP306" i="20" l="1"/>
  <c r="AP80" i="20"/>
  <c r="AQ74" i="20"/>
  <c r="AQ306" i="20" s="1"/>
  <c r="AQ80" i="20" l="1"/>
  <c r="AQ84" i="20" s="1"/>
  <c r="AP84" i="20"/>
  <c r="AR243" i="20" l="1"/>
  <c r="AR244" i="20" s="1"/>
  <c r="AR245" i="20" l="1"/>
  <c r="AR27" i="20" l="1"/>
  <c r="AU112" i="6"/>
  <c r="AR306" i="20" l="1"/>
  <c r="AR303" i="20" s="1"/>
  <c r="AR309" i="20" l="1"/>
  <c r="AR310" i="20" s="1"/>
  <c r="AR304" i="20"/>
  <c r="AU82" i="20" l="1"/>
  <c r="I16" i="53" s="1"/>
  <c r="I20" i="53"/>
  <c r="BK72" i="20"/>
  <c r="I12" i="53" l="1"/>
  <c r="AP342" i="20" l="1"/>
  <c r="AR301" i="20"/>
  <c r="AR300" i="20" s="1"/>
  <c r="AP336" i="20" l="1"/>
  <c r="AS342" i="20"/>
  <c r="AS336" i="20" s="1"/>
  <c r="AQ342" i="20"/>
  <c r="AQ336" i="20"/>
  <c r="AQ337" i="20" s="1"/>
  <c r="AS337" i="20" l="1"/>
  <c r="AS110" i="20"/>
  <c r="AP337" i="20"/>
  <c r="AP110" i="20"/>
  <c r="AQ360" i="20"/>
  <c r="AQ356" i="20" s="1"/>
  <c r="AR44" i="20"/>
  <c r="AR38" i="20" s="1"/>
  <c r="AR360" i="20"/>
  <c r="AR356" i="20" s="1"/>
  <c r="AR367" i="20" s="1"/>
  <c r="AP111" i="20" l="1"/>
  <c r="AP114" i="20" s="1"/>
  <c r="AP257" i="20"/>
  <c r="AQ110" i="20"/>
  <c r="AP41" i="20"/>
  <c r="AP105" i="20"/>
  <c r="AS257" i="20"/>
  <c r="AS111" i="20"/>
  <c r="AS114" i="20" s="1"/>
  <c r="AR369" i="20"/>
  <c r="AQ367" i="20"/>
  <c r="AQ369" i="20" s="1"/>
  <c r="AU103" i="6"/>
  <c r="AR37" i="20"/>
  <c r="AQ38" i="20"/>
  <c r="AT103" i="6" s="1"/>
  <c r="AR36" i="20"/>
  <c r="AQ44" i="20"/>
  <c r="AQ41" i="20" l="1"/>
  <c r="AS270" i="20"/>
  <c r="AS255" i="20"/>
  <c r="AS256" i="20" s="1"/>
  <c r="AP35" i="20"/>
  <c r="AP104" i="20"/>
  <c r="AQ257" i="20"/>
  <c r="AQ255" i="20" s="1"/>
  <c r="AQ256" i="20" s="1"/>
  <c r="AQ111" i="20"/>
  <c r="AQ114" i="20" s="1"/>
  <c r="AQ105" i="20"/>
  <c r="AP270" i="20"/>
  <c r="AQ270" i="20" s="1"/>
  <c r="AP255" i="20"/>
  <c r="AQ364" i="20"/>
  <c r="AR43" i="20"/>
  <c r="AU107" i="6"/>
  <c r="AR29" i="20"/>
  <c r="AU102" i="6"/>
  <c r="AR42" i="20"/>
  <c r="AR39" i="20"/>
  <c r="AS101" i="6" l="1"/>
  <c r="AP36" i="20"/>
  <c r="AP37" i="20"/>
  <c r="AP39" i="20"/>
  <c r="AP256" i="20"/>
  <c r="AP243" i="20"/>
  <c r="AP264" i="20"/>
  <c r="AQ269" i="20"/>
  <c r="AQ104" i="20"/>
  <c r="AQ35" i="20"/>
  <c r="AT101" i="6" s="1"/>
  <c r="AR45" i="20"/>
  <c r="AQ29" i="20"/>
  <c r="AU100" i="6"/>
  <c r="AR30" i="20"/>
  <c r="AU116" i="6"/>
  <c r="AP244" i="20" l="1"/>
  <c r="AQ243" i="20"/>
  <c r="AP43" i="20"/>
  <c r="AQ43" i="20" s="1"/>
  <c r="AQ37" i="20"/>
  <c r="AQ264" i="20"/>
  <c r="AQ265" i="20" s="1"/>
  <c r="AP265" i="20"/>
  <c r="AP268" i="20" s="1"/>
  <c r="AP42" i="20"/>
  <c r="AS102" i="6"/>
  <c r="AS100" i="6" s="1"/>
  <c r="AS104" i="6" s="1"/>
  <c r="AS126" i="6" s="1"/>
  <c r="AQ36" i="20"/>
  <c r="AU84" i="6"/>
  <c r="AR31" i="20"/>
  <c r="AR32" i="20"/>
  <c r="AU104" i="6"/>
  <c r="AT116" i="6"/>
  <c r="AP45" i="20" l="1"/>
  <c r="AQ42" i="20"/>
  <c r="AQ45" i="20" s="1"/>
  <c r="AQ268" i="20"/>
  <c r="AP271" i="20"/>
  <c r="AQ39" i="20"/>
  <c r="AT102" i="6"/>
  <c r="AT100" i="6" s="1"/>
  <c r="AT104" i="6" s="1"/>
  <c r="AT126" i="6" s="1"/>
  <c r="AP245" i="20"/>
  <c r="AQ244" i="20"/>
  <c r="AQ245" i="20" s="1"/>
  <c r="AU126" i="6"/>
  <c r="AS112" i="6" l="1"/>
  <c r="AS114" i="6" s="1"/>
  <c r="AS120" i="6" s="1"/>
  <c r="AS124" i="6" s="1"/>
  <c r="AP272" i="20"/>
  <c r="AP27" i="20"/>
  <c r="AP30" i="20" s="1"/>
  <c r="AP273" i="20"/>
  <c r="AS107" i="6"/>
  <c r="AS108" i="6" s="1"/>
  <c r="AS109" i="6" s="1"/>
  <c r="AQ267" i="20"/>
  <c r="AQ271" i="20"/>
  <c r="AS84" i="6" l="1"/>
  <c r="AS85" i="6" s="1"/>
  <c r="AP32" i="20"/>
  <c r="AP31" i="20"/>
  <c r="AQ272" i="20"/>
  <c r="AQ273" i="20"/>
  <c r="AT112" i="6"/>
  <c r="AQ27" i="20"/>
  <c r="AQ30" i="20" s="1"/>
  <c r="AT107" i="6"/>
  <c r="AQ32" i="20" l="1"/>
  <c r="AQ31" i="20"/>
  <c r="AT84" i="6"/>
  <c r="AS86" i="6"/>
  <c r="AS90" i="6"/>
  <c r="AW9" i="4"/>
  <c r="BA9" i="4"/>
  <c r="AZ9" i="4" l="1"/>
  <c r="BB9" i="4"/>
  <c r="BD9" i="4"/>
  <c r="BC9" i="4" l="1"/>
  <c r="BE9" i="4"/>
  <c r="BG9" i="4"/>
  <c r="BF9" i="4" l="1"/>
  <c r="BH9" i="4"/>
  <c r="BJ9" i="4"/>
  <c r="BI9" i="4" l="1"/>
  <c r="BK9" i="4"/>
  <c r="BM9" i="4"/>
  <c r="BL9" i="4" l="1"/>
  <c r="AT113" i="2" l="1"/>
  <c r="AT121" i="2" s="1"/>
  <c r="AT115" i="2"/>
  <c r="AU115" i="2"/>
  <c r="AU112" i="2" s="1"/>
  <c r="AU118" i="2" l="1"/>
  <c r="AU123" i="2" s="1"/>
  <c r="AT112" i="2"/>
  <c r="AT118" i="2"/>
  <c r="AT123" i="2" s="1"/>
  <c r="AT52" i="4" l="1"/>
  <c r="AT3" i="4"/>
  <c r="AA7" i="10"/>
  <c r="AU52" i="4"/>
  <c r="AV212" i="4" l="1"/>
  <c r="AU3" i="4"/>
  <c r="AA10" i="10"/>
  <c r="AA52" i="10"/>
  <c r="AT3" i="5"/>
  <c r="AT3" i="2"/>
  <c r="AX263" i="4" l="1"/>
  <c r="AU3" i="2"/>
  <c r="AU3" i="5"/>
  <c r="AA44" i="10"/>
  <c r="AA42" i="10"/>
  <c r="AA46" i="10"/>
  <c r="AW25" i="4" l="1"/>
  <c r="AW30" i="4" s="1"/>
  <c r="AT125" i="2" l="1"/>
  <c r="AU125" i="2"/>
  <c r="AA14" i="10" s="1"/>
  <c r="AA45" i="10" l="1"/>
  <c r="AU170" i="2"/>
  <c r="AA53" i="10"/>
  <c r="AU159" i="4" l="1"/>
  <c r="AU163" i="4" l="1"/>
  <c r="AT163" i="4" s="1"/>
  <c r="AU160" i="4"/>
  <c r="AU166" i="4"/>
  <c r="AT159" i="4"/>
  <c r="AT166" i="4" l="1"/>
  <c r="AT160" i="4"/>
  <c r="AT164" i="4"/>
  <c r="AU150" i="2" l="1"/>
  <c r="AX78" i="5" l="1"/>
  <c r="AU95" i="5" l="1"/>
  <c r="AU62" i="4"/>
  <c r="AU69" i="4" s="1"/>
  <c r="AA21" i="10"/>
  <c r="AA25" i="10" s="1"/>
  <c r="AU102" i="5"/>
  <c r="AU105" i="4"/>
  <c r="AU106" i="4" s="1"/>
  <c r="AU71" i="4" l="1"/>
  <c r="AU72" i="4" s="1"/>
  <c r="AT69" i="4"/>
  <c r="AU107" i="4"/>
  <c r="AT102" i="5"/>
  <c r="AT104" i="5" s="1"/>
  <c r="AA24" i="10"/>
  <c r="AU111" i="4"/>
  <c r="AA47" i="10"/>
  <c r="AA23" i="10"/>
  <c r="AA36" i="10"/>
  <c r="AU178" i="2" s="1"/>
  <c r="AA54" i="10"/>
  <c r="AA64" i="10"/>
  <c r="AT108" i="5" l="1"/>
  <c r="AT111" i="5" s="1"/>
  <c r="AT115" i="5" s="1"/>
  <c r="AT119" i="5"/>
  <c r="AU112" i="4"/>
  <c r="AU109" i="4"/>
  <c r="AA22" i="10"/>
  <c r="AU108" i="4"/>
  <c r="AT95" i="5" l="1"/>
  <c r="AT105" i="4"/>
  <c r="AT111" i="4" s="1"/>
  <c r="AT62" i="4"/>
  <c r="AT71" i="4" s="1"/>
  <c r="AT72" i="4" s="1"/>
  <c r="AT116" i="5"/>
  <c r="AU110" i="4"/>
  <c r="AA65" i="10"/>
  <c r="AA48" i="10"/>
  <c r="AT106" i="4" l="1"/>
  <c r="AT107" i="4"/>
  <c r="AT108" i="4" s="1"/>
  <c r="AT112" i="4"/>
  <c r="AT109" i="4" l="1"/>
  <c r="AT110" i="4" s="1"/>
  <c r="AV113" i="6" l="1"/>
  <c r="AS48" i="14"/>
  <c r="AS222" i="14" s="1"/>
  <c r="AS223" i="14" s="1"/>
  <c r="AS49" i="14"/>
  <c r="AS43" i="14" l="1"/>
  <c r="AS96" i="14"/>
  <c r="AS50" i="14"/>
  <c r="AS51" i="14" s="1"/>
  <c r="AT62" i="14"/>
  <c r="AW113" i="6" s="1"/>
  <c r="AT57" i="14"/>
  <c r="AS42" i="14"/>
  <c r="AT49" i="14"/>
  <c r="AS52" i="14"/>
  <c r="AS55" i="14" s="1"/>
  <c r="AS34" i="14" l="1"/>
  <c r="AT52" i="14"/>
  <c r="AT59" i="14" l="1"/>
  <c r="AT126" i="14" s="1"/>
  <c r="AT60" i="14"/>
  <c r="AT61" i="14" s="1"/>
  <c r="AT63" i="14"/>
  <c r="AT34" i="14"/>
  <c r="AW111" i="6" s="1"/>
  <c r="AT53" i="14"/>
  <c r="AT96" i="14"/>
  <c r="AV111" i="6"/>
  <c r="AS37" i="14"/>
  <c r="AV83" i="6" s="1"/>
  <c r="AV106" i="6" l="1"/>
  <c r="AT37" i="14"/>
  <c r="AW83" i="6" s="1"/>
  <c r="AW106" i="6" s="1"/>
  <c r="AT65" i="14"/>
  <c r="AT64" i="14"/>
  <c r="AS86" i="20" l="1"/>
  <c r="AS91" i="20" l="1"/>
  <c r="AS92" i="20" s="1"/>
  <c r="AS89" i="20"/>
  <c r="AS96" i="20" l="1"/>
  <c r="AS99" i="20" s="1"/>
  <c r="AS90" i="20"/>
  <c r="AS243" i="20" l="1"/>
  <c r="AS244" i="20" l="1"/>
  <c r="AS245" i="20" s="1"/>
  <c r="AS44" i="20" l="1"/>
  <c r="AS38" i="20" s="1"/>
  <c r="AS360" i="20"/>
  <c r="AS356" i="20" s="1"/>
  <c r="AS367" i="20" s="1"/>
  <c r="AS369" i="20" s="1"/>
  <c r="AV103" i="6" l="1"/>
  <c r="AS29" i="20" l="1"/>
  <c r="AV116" i="6" l="1"/>
  <c r="AV113" i="2" l="1"/>
  <c r="AV121" i="2" s="1"/>
  <c r="AV115" i="2"/>
  <c r="AV118" i="2" l="1"/>
  <c r="AV123" i="2" s="1"/>
  <c r="AV125" i="2"/>
  <c r="AV119" i="2" l="1"/>
  <c r="AV112" i="2" s="1"/>
  <c r="AV155" i="2" l="1"/>
  <c r="AW155" i="2" s="1"/>
  <c r="AW156" i="2" s="1"/>
  <c r="AV156" i="2" l="1"/>
  <c r="AV3" i="4" l="1"/>
  <c r="AV3" i="5" l="1"/>
  <c r="AV3" i="2"/>
  <c r="AV159" i="4"/>
  <c r="AV160" i="4" l="1"/>
  <c r="AW159" i="4"/>
  <c r="AV166" i="4"/>
  <c r="AV163" i="4"/>
  <c r="AW163" i="4" s="1"/>
  <c r="AW160" i="4" l="1"/>
  <c r="AW166" i="4"/>
  <c r="AW164" i="4"/>
  <c r="AV95" i="5"/>
  <c r="AV62" i="4" l="1"/>
  <c r="AV69" i="4" s="1"/>
  <c r="AV105" i="4"/>
  <c r="AV71" i="4" l="1"/>
  <c r="AV72" i="4" s="1"/>
  <c r="AV106" i="4"/>
  <c r="AV107" i="4"/>
  <c r="AV111" i="4"/>
  <c r="AV112" i="4" l="1"/>
  <c r="AV108" i="4"/>
  <c r="AV109" i="4"/>
  <c r="AV110" i="4" l="1"/>
  <c r="AV92" i="6"/>
  <c r="E24" i="53" l="1"/>
  <c r="E29" i="53" s="1"/>
  <c r="E31" i="53"/>
  <c r="E36" i="53" s="1"/>
  <c r="AN53" i="14"/>
  <c r="AN54" i="14" s="1"/>
  <c r="AO52" i="14"/>
  <c r="AO54" i="14"/>
  <c r="E39" i="53" l="1"/>
  <c r="AO55" i="14"/>
  <c r="AO34" i="14"/>
  <c r="AN52" i="14"/>
  <c r="AN34" i="14" l="1"/>
  <c r="AN55" i="14"/>
  <c r="AR111" i="6"/>
  <c r="AO37" i="14"/>
  <c r="AR83" i="6" s="1"/>
  <c r="AN37" i="14" l="1"/>
  <c r="AQ83" i="6" s="1"/>
  <c r="AQ111" i="6"/>
  <c r="AQ114" i="6" s="1"/>
  <c r="AQ120" i="6" s="1"/>
  <c r="AQ124" i="6" s="1"/>
  <c r="AR85" i="6"/>
  <c r="AR106" i="6"/>
  <c r="AR108" i="6" s="1"/>
  <c r="AR109" i="6" s="1"/>
  <c r="AR114" i="6"/>
  <c r="AQ106" i="6" l="1"/>
  <c r="AQ108" i="6" s="1"/>
  <c r="AQ109" i="6" s="1"/>
  <c r="AQ85" i="6"/>
  <c r="AR120" i="6"/>
  <c r="AR86" i="6"/>
  <c r="AR90" i="6"/>
  <c r="AQ53" i="14"/>
  <c r="AT54" i="14" s="1"/>
  <c r="AR54" i="14"/>
  <c r="AR52" i="14"/>
  <c r="AQ52" i="14" s="1"/>
  <c r="AR34" i="14" l="1"/>
  <c r="AR37" i="14" s="1"/>
  <c r="AU83" i="6" s="1"/>
  <c r="AU85" i="6" s="1"/>
  <c r="AQ34" i="14"/>
  <c r="AT111" i="6" s="1"/>
  <c r="AT114" i="6" s="1"/>
  <c r="AT120" i="6" s="1"/>
  <c r="AT124" i="6" s="1"/>
  <c r="AQ55" i="14"/>
  <c r="AQ86" i="6"/>
  <c r="AQ90" i="6"/>
  <c r="AQ54" i="14"/>
  <c r="AR124" i="6"/>
  <c r="AR55" i="14"/>
  <c r="AU111" i="6" l="1"/>
  <c r="AU106" i="6"/>
  <c r="AU108" i="6" s="1"/>
  <c r="AU109" i="6" s="1"/>
  <c r="AQ37" i="14"/>
  <c r="AT83" i="6" s="1"/>
  <c r="AU114" i="6"/>
  <c r="AT106" i="6"/>
  <c r="AT108" i="6" s="1"/>
  <c r="AT109" i="6" s="1"/>
  <c r="AT85" i="6"/>
  <c r="AU90" i="6"/>
  <c r="AU86" i="6"/>
  <c r="AT86" i="6" l="1"/>
  <c r="AT90" i="6"/>
  <c r="AU120" i="6"/>
  <c r="AU124" i="6" l="1"/>
  <c r="AY52" i="14" l="1"/>
  <c r="AY55" i="14" s="1"/>
  <c r="AY34" i="14" l="1"/>
  <c r="AZ52" i="14"/>
  <c r="AZ55" i="14" s="1"/>
  <c r="BB52" i="14"/>
  <c r="BB55" i="14" s="1"/>
  <c r="BB34" i="14" l="1"/>
  <c r="BC52" i="14"/>
  <c r="BC55" i="14" s="1"/>
  <c r="AZ34" i="14"/>
  <c r="AZ53" i="14"/>
  <c r="BB111" i="6"/>
  <c r="AY37" i="14"/>
  <c r="BB83" i="6" s="1"/>
  <c r="BE111" i="6" l="1"/>
  <c r="BB37" i="14"/>
  <c r="BE83" i="6" s="1"/>
  <c r="BB106" i="6"/>
  <c r="BC111" i="6"/>
  <c r="AZ37" i="14"/>
  <c r="BC83" i="6" s="1"/>
  <c r="BC34" i="14"/>
  <c r="BC53" i="14"/>
  <c r="BC54" i="14" s="1"/>
  <c r="BF111" i="6" l="1"/>
  <c r="BC37" i="14"/>
  <c r="BF83" i="6" s="1"/>
  <c r="BC106" i="6"/>
  <c r="BE106" i="6"/>
  <c r="BF106" i="6" l="1"/>
  <c r="BE53" i="14" l="1"/>
  <c r="BE54" i="14" s="1"/>
  <c r="BJ52" i="14"/>
  <c r="BG52" i="14"/>
  <c r="BG34" i="14" s="1"/>
  <c r="BJ55" i="14" l="1"/>
  <c r="BJ34" i="14"/>
  <c r="BH53" i="14"/>
  <c r="BJ111" i="6"/>
  <c r="BG37" i="14"/>
  <c r="BJ83" i="6" s="1"/>
  <c r="BG55" i="14"/>
  <c r="BE52" i="14"/>
  <c r="BE34" i="14" l="1"/>
  <c r="BE55" i="14"/>
  <c r="BH52" i="14"/>
  <c r="BH54" i="14"/>
  <c r="BJ106" i="6"/>
  <c r="BH111" i="6"/>
  <c r="BE37" i="14"/>
  <c r="BH83" i="6" s="1"/>
  <c r="BM111" i="6"/>
  <c r="BJ37" i="14"/>
  <c r="BM83" i="6" s="1"/>
  <c r="BF52" i="14"/>
  <c r="BF55" i="14" s="1"/>
  <c r="BH34" i="14" l="1"/>
  <c r="BH37" i="14" s="1"/>
  <c r="BK83" i="6" s="1"/>
  <c r="BK106" i="6" s="1"/>
  <c r="BH55" i="14"/>
  <c r="BK111" i="6"/>
  <c r="BI52" i="14"/>
  <c r="BH106" i="6"/>
  <c r="BF53" i="14"/>
  <c r="BF54" i="14" s="1"/>
  <c r="BF34" i="14"/>
  <c r="BI53" i="14"/>
  <c r="BM106" i="6"/>
  <c r="BI34" i="14" l="1"/>
  <c r="BI55" i="14"/>
  <c r="BI54" i="14"/>
  <c r="BL111" i="6"/>
  <c r="BI37" i="14"/>
  <c r="BL83" i="6" s="1"/>
  <c r="BF37" i="14"/>
  <c r="BI83" i="6" s="1"/>
  <c r="BI111" i="6"/>
  <c r="BL106" i="6" l="1"/>
  <c r="BI106" i="6"/>
  <c r="AT114" i="20" l="1"/>
  <c r="AU257" i="20" l="1"/>
  <c r="AX111" i="20"/>
  <c r="AX110" i="20" s="1"/>
  <c r="AX257" i="20" s="1"/>
  <c r="AT110" i="20"/>
  <c r="I31" i="53"/>
  <c r="AU270" i="20" l="1"/>
  <c r="BA111" i="20"/>
  <c r="BA110" i="20" s="1"/>
  <c r="AY114" i="20"/>
  <c r="AY111" i="20" s="1"/>
  <c r="AT111" i="20"/>
  <c r="AT257" i="20"/>
  <c r="I37" i="53" l="1"/>
  <c r="AU23" i="20"/>
  <c r="BK19" i="20"/>
  <c r="AU103" i="20"/>
  <c r="AT270" i="20"/>
  <c r="AZ114" i="20"/>
  <c r="BA257" i="20"/>
  <c r="AX270" i="20"/>
  <c r="BD111" i="20"/>
  <c r="BD110" i="20" s="1"/>
  <c r="BB114" i="20"/>
  <c r="BB111" i="20" s="1"/>
  <c r="BG114" i="20"/>
  <c r="AT269" i="20" l="1"/>
  <c r="BC114" i="20"/>
  <c r="AU91" i="20"/>
  <c r="AU92" i="20" s="1"/>
  <c r="I24" i="53"/>
  <c r="I28" i="53" s="1"/>
  <c r="AU89" i="20"/>
  <c r="AU90" i="20" s="1"/>
  <c r="AT86" i="20"/>
  <c r="BK23" i="20"/>
  <c r="I35" i="53"/>
  <c r="AU24" i="20"/>
  <c r="BD257" i="20"/>
  <c r="BA270" i="20"/>
  <c r="BG111" i="20"/>
  <c r="BG110" i="20" s="1"/>
  <c r="BE114" i="20"/>
  <c r="BE111" i="20" s="1"/>
  <c r="BJ114" i="20"/>
  <c r="AV103" i="20"/>
  <c r="AV97" i="20"/>
  <c r="AU96" i="20" l="1"/>
  <c r="AU99" i="20" s="1"/>
  <c r="AX128" i="6"/>
  <c r="AX127" i="6"/>
  <c r="I29" i="53"/>
  <c r="I36" i="53"/>
  <c r="I39" i="53"/>
  <c r="BF114" i="20"/>
  <c r="BG257" i="20"/>
  <c r="BD270" i="20"/>
  <c r="BH114" i="20"/>
  <c r="BH111" i="20" s="1"/>
  <c r="BJ111" i="20"/>
  <c r="BJ110" i="20" s="1"/>
  <c r="BI114" i="20" l="1"/>
  <c r="BJ257" i="20"/>
  <c r="BG270" i="20"/>
  <c r="AX143" i="2" l="1"/>
  <c r="AX148" i="2" s="1"/>
  <c r="C4" i="54"/>
  <c r="AW33" i="4"/>
  <c r="AW78" i="4" s="1"/>
  <c r="AW103" i="4" s="1"/>
  <c r="BJ270" i="20"/>
  <c r="F4" i="54" l="1"/>
  <c r="D4" i="54"/>
  <c r="C14" i="54"/>
  <c r="AB68" i="10"/>
  <c r="D17" i="54" l="1"/>
  <c r="D14" i="54"/>
  <c r="D15" i="54" s="1"/>
  <c r="F17" i="54"/>
  <c r="F14" i="54"/>
  <c r="F15" i="54" s="1"/>
  <c r="C17" i="54" l="1"/>
  <c r="AX5" i="2"/>
  <c r="AX174" i="4" l="1"/>
  <c r="AX172" i="4"/>
  <c r="AX160" i="4"/>
  <c r="AX162" i="4"/>
  <c r="BA162" i="4" s="1"/>
  <c r="AX234" i="4"/>
  <c r="AX98" i="4"/>
  <c r="AX102" i="4" s="1"/>
  <c r="AX139" i="4"/>
  <c r="BA139" i="4" s="1"/>
  <c r="AX121" i="2"/>
  <c r="AX122" i="2"/>
  <c r="AX130" i="2"/>
  <c r="AX142" i="2"/>
  <c r="AX123" i="2"/>
  <c r="C18" i="54"/>
  <c r="C25" i="54"/>
  <c r="C26" i="54" s="1"/>
  <c r="AB13" i="10"/>
  <c r="AB28" i="10" s="1"/>
  <c r="AX7" i="2"/>
  <c r="AX176" i="2"/>
  <c r="AB76" i="10"/>
  <c r="AB84" i="10" s="1"/>
  <c r="AX9" i="2"/>
  <c r="BD162" i="4" l="1"/>
  <c r="BD139" i="4"/>
  <c r="C27" i="54"/>
  <c r="C28" i="54" s="1"/>
  <c r="AX10" i="2"/>
  <c r="AX8" i="2"/>
  <c r="AX99" i="4" s="1"/>
  <c r="AB80" i="10"/>
  <c r="AW15" i="4"/>
  <c r="AW77" i="4" s="1"/>
  <c r="AW102" i="4" s="1"/>
  <c r="BB162" i="4" l="1"/>
  <c r="BG162" i="4"/>
  <c r="AX101" i="4"/>
  <c r="AX103" i="4"/>
  <c r="BG139" i="4"/>
  <c r="BB139" i="4"/>
  <c r="AX25" i="2"/>
  <c r="AX228" i="4" s="1"/>
  <c r="BE162" i="4" l="1"/>
  <c r="BJ162" i="4"/>
  <c r="AX100" i="5"/>
  <c r="AX26" i="2"/>
  <c r="AX33" i="2"/>
  <c r="C38" i="54" s="1"/>
  <c r="C37" i="54" s="1"/>
  <c r="BE139" i="4"/>
  <c r="BJ139" i="4"/>
  <c r="AX150" i="2"/>
  <c r="BA158" i="4"/>
  <c r="AB15" i="10"/>
  <c r="AX100" i="2"/>
  <c r="AX158" i="2" s="1"/>
  <c r="AW5" i="4"/>
  <c r="BH162" i="4" l="1"/>
  <c r="BM162" i="4"/>
  <c r="BK162" i="4" s="1"/>
  <c r="AW124" i="4"/>
  <c r="AW126" i="4" s="1"/>
  <c r="AW220" i="4"/>
  <c r="AX98" i="5"/>
  <c r="AX99" i="5" s="1"/>
  <c r="AX43" i="2"/>
  <c r="AX37" i="2"/>
  <c r="AX229" i="4" s="1"/>
  <c r="BM139" i="4"/>
  <c r="BK139" i="4" s="1"/>
  <c r="BH139" i="4"/>
  <c r="AX107" i="5"/>
  <c r="AW107" i="5" s="1"/>
  <c r="AW108" i="5" s="1"/>
  <c r="AW111" i="5" s="1"/>
  <c r="AX24" i="2"/>
  <c r="AX18" i="2"/>
  <c r="AW14" i="4"/>
  <c r="AW76" i="4" s="1"/>
  <c r="AB29" i="10"/>
  <c r="AB34" i="10"/>
  <c r="AW6" i="4"/>
  <c r="AW221" i="4" s="1"/>
  <c r="AW101" i="4" l="1"/>
  <c r="AW79" i="4"/>
  <c r="AW116" i="5"/>
  <c r="AW105" i="4"/>
  <c r="AW115" i="5"/>
  <c r="AW95" i="5"/>
  <c r="AX233" i="4"/>
  <c r="AX235" i="4" s="1"/>
  <c r="AX231" i="4"/>
  <c r="AX230" i="4"/>
  <c r="AX108" i="5"/>
  <c r="AX111" i="5" s="1"/>
  <c r="AX157" i="2"/>
  <c r="AX169" i="2" s="1"/>
  <c r="AB37" i="10"/>
  <c r="AB16" i="10" s="1"/>
  <c r="AX46" i="2"/>
  <c r="AX50" i="2" s="1"/>
  <c r="AX47" i="2"/>
  <c r="AX12" i="2"/>
  <c r="AX23" i="2"/>
  <c r="C41" i="54"/>
  <c r="AW13" i="4"/>
  <c r="AW93" i="4" l="1"/>
  <c r="AW92" i="4" s="1"/>
  <c r="AW111" i="4" s="1"/>
  <c r="AW112" i="4" s="1"/>
  <c r="AW224" i="4"/>
  <c r="AW81" i="4"/>
  <c r="AW106" i="4"/>
  <c r="AW107" i="4"/>
  <c r="AX32" i="2"/>
  <c r="AX38" i="2" s="1"/>
  <c r="AX42" i="2" s="1"/>
  <c r="AX116" i="5" s="1"/>
  <c r="AX5" i="5"/>
  <c r="AX29" i="5" s="1"/>
  <c r="AX105" i="4"/>
  <c r="AX115" i="5"/>
  <c r="AX112" i="5"/>
  <c r="C43" i="54"/>
  <c r="C39" i="54"/>
  <c r="C40" i="54" s="1"/>
  <c r="AB17" i="10"/>
  <c r="AX13" i="2"/>
  <c r="AW112" i="5" l="1"/>
  <c r="AX45" i="2"/>
  <c r="AW108" i="4"/>
  <c r="AW109" i="4"/>
  <c r="AW110" i="4" s="1"/>
  <c r="AX44" i="2"/>
  <c r="AX107" i="4"/>
  <c r="AX106" i="4"/>
  <c r="AX111" i="4"/>
  <c r="AX112" i="4" s="1"/>
  <c r="AX31" i="5"/>
  <c r="AX88" i="5"/>
  <c r="AX94" i="5" s="1"/>
  <c r="AX16" i="2"/>
  <c r="AX165" i="2"/>
  <c r="AB35" i="10"/>
  <c r="AB43" i="10"/>
  <c r="AX54" i="2"/>
  <c r="AB18" i="10"/>
  <c r="AB30" i="10" s="1"/>
  <c r="AX108" i="4" l="1"/>
  <c r="AX109" i="4"/>
  <c r="AX110" i="4" s="1"/>
  <c r="AW35" i="4"/>
  <c r="AW223" i="4" s="1"/>
  <c r="AW225" i="4" s="1"/>
  <c r="AX56" i="2"/>
  <c r="AX166" i="2"/>
  <c r="AB19" i="10"/>
  <c r="AX51" i="2"/>
  <c r="AX163" i="2"/>
  <c r="AW226" i="4" l="1"/>
  <c r="AW231" i="4" s="1"/>
  <c r="AW234" i="4"/>
  <c r="AW235" i="4" s="1"/>
  <c r="AW230" i="4"/>
  <c r="AB49" i="10"/>
  <c r="AB20" i="10"/>
  <c r="AB58" i="10"/>
  <c r="AB60" i="10" s="1"/>
  <c r="AB61" i="10"/>
  <c r="AB62" i="10"/>
  <c r="AY63" i="4"/>
  <c r="AX53" i="2"/>
  <c r="AW38" i="4"/>
  <c r="AW39" i="4" s="1"/>
  <c r="AW48" i="4" l="1"/>
  <c r="AW49" i="4" s="1"/>
  <c r="AW237" i="4" s="1"/>
  <c r="AW51" i="4" l="1"/>
  <c r="AW19" i="4"/>
  <c r="AB57" i="10"/>
  <c r="AW55" i="4" l="1"/>
  <c r="AW214" i="4" s="1"/>
  <c r="AW121" i="5"/>
  <c r="AW58" i="4"/>
  <c r="AW60" i="4" s="1"/>
  <c r="AB41" i="10"/>
  <c r="AB63" i="10"/>
  <c r="AW21" i="4"/>
  <c r="AW22" i="4" s="1"/>
  <c r="BA180" i="4"/>
  <c r="AW239" i="4" l="1"/>
  <c r="AW240" i="4" s="1"/>
  <c r="AW242" i="4" s="1"/>
  <c r="AW84" i="5"/>
  <c r="AX84" i="5"/>
  <c r="AB7" i="10"/>
  <c r="BA187" i="4"/>
  <c r="BA189" i="4"/>
  <c r="BA61" i="5"/>
  <c r="AZ180" i="4"/>
  <c r="AZ187" i="4" s="1"/>
  <c r="AZ27" i="2" s="1"/>
  <c r="AZ30" i="2" s="1"/>
  <c r="AW52" i="4"/>
  <c r="AW41" i="4"/>
  <c r="AW3" i="4" s="1"/>
  <c r="AZ210" i="4" l="1"/>
  <c r="BA27" i="2"/>
  <c r="BA210" i="4"/>
  <c r="AB52" i="10"/>
  <c r="AB10" i="10"/>
  <c r="AW3" i="5"/>
  <c r="AW3" i="2"/>
  <c r="AX3" i="4"/>
  <c r="AY212" i="4"/>
  <c r="BA89" i="5"/>
  <c r="BA60" i="5"/>
  <c r="AZ61" i="5"/>
  <c r="BA192" i="4"/>
  <c r="BA211" i="4" s="1"/>
  <c r="BA31" i="2" s="1"/>
  <c r="AZ189" i="4"/>
  <c r="AZ192" i="4" s="1"/>
  <c r="AZ211" i="4" s="1"/>
  <c r="AZ31" i="2" s="1"/>
  <c r="AX3" i="5" l="1"/>
  <c r="AX3" i="2"/>
  <c r="AB44" i="10"/>
  <c r="AB46" i="10"/>
  <c r="AB42" i="10"/>
  <c r="AZ89" i="5"/>
  <c r="AZ60" i="5"/>
  <c r="AZ212" i="4" s="1"/>
  <c r="BA69" i="4"/>
  <c r="BA212" i="4"/>
  <c r="BA25" i="4"/>
  <c r="BA263" i="4"/>
  <c r="AZ263" i="4"/>
  <c r="BA30" i="2"/>
  <c r="F33" i="54" l="1"/>
  <c r="D33" i="54"/>
  <c r="BA30" i="4"/>
  <c r="AZ25" i="4"/>
  <c r="AZ30" i="4" s="1"/>
  <c r="AZ111" i="20" l="1"/>
  <c r="BC111" i="20" l="1"/>
  <c r="BF111" i="20" l="1"/>
  <c r="BI111" i="20" l="1"/>
  <c r="AB38" i="10" l="1"/>
  <c r="AX76" i="5"/>
  <c r="AX82" i="5" l="1"/>
  <c r="AX121" i="5" l="1"/>
  <c r="AY78" i="5"/>
  <c r="AY82" i="5" s="1"/>
  <c r="AY121" i="5" s="1"/>
  <c r="BA78" i="5"/>
  <c r="AX62" i="4" l="1"/>
  <c r="AB21" i="10"/>
  <c r="AX95" i="5"/>
  <c r="AW62" i="4"/>
  <c r="AX69" i="4" l="1"/>
  <c r="AX71" i="4" s="1"/>
  <c r="AX72" i="4" s="1"/>
  <c r="AB47" i="10"/>
  <c r="AB24" i="10"/>
  <c r="AB36" i="10"/>
  <c r="AX178" i="2" s="1"/>
  <c r="AB23" i="10"/>
  <c r="AB25" i="10"/>
  <c r="AB54" i="10"/>
  <c r="AB64" i="10"/>
  <c r="AW69" i="4" l="1"/>
  <c r="AW71" i="4" s="1"/>
  <c r="AW72" i="4" s="1"/>
  <c r="AB22" i="10"/>
  <c r="AB48" i="10" l="1"/>
  <c r="AB65" i="10"/>
  <c r="AB14" i="10" l="1"/>
  <c r="AX150" i="4"/>
  <c r="AX151" i="4" s="1"/>
  <c r="BA151" i="4" s="1"/>
  <c r="BD151" i="4" l="1"/>
  <c r="BB151" i="4" s="1"/>
  <c r="AB45" i="10"/>
  <c r="AX152" i="4"/>
  <c r="AB53" i="10"/>
  <c r="AX170" i="2"/>
  <c r="BG151" i="4" l="1"/>
  <c r="BJ151" i="4" s="1"/>
  <c r="BE151" i="4"/>
  <c r="AX153" i="4"/>
  <c r="BA153" i="4" s="1"/>
  <c r="BD153" i="4" l="1"/>
  <c r="BH151" i="4"/>
  <c r="BM151" i="4"/>
  <c r="BK151" i="4" l="1"/>
  <c r="BB153" i="4"/>
  <c r="BG153" i="4"/>
  <c r="BE153" i="4" l="1"/>
  <c r="BJ153" i="4"/>
  <c r="BH153" i="4" l="1"/>
  <c r="BM153" i="4"/>
  <c r="BK153" i="4" l="1"/>
  <c r="AX55" i="7"/>
  <c r="AX62" i="7" l="1"/>
  <c r="AW55" i="7"/>
  <c r="BA55" i="7"/>
  <c r="BD55" i="7" l="1"/>
  <c r="AZ55" i="7"/>
  <c r="AW62" i="7"/>
  <c r="AZ62" i="7" l="1"/>
  <c r="BG55" i="7"/>
  <c r="BC55" i="7"/>
  <c r="BF55" i="7" l="1"/>
  <c r="BJ55" i="7"/>
  <c r="BC62" i="7"/>
  <c r="BI55" i="7" l="1"/>
  <c r="BM55" i="7"/>
  <c r="BF62" i="7"/>
  <c r="BL55" i="7" l="1"/>
  <c r="BI62" i="7"/>
  <c r="BL62" i="7" l="1"/>
  <c r="AX56" i="7"/>
  <c r="BA56" i="7" s="1"/>
  <c r="AZ56" i="7" l="1"/>
  <c r="BD56" i="7"/>
  <c r="AX63" i="7"/>
  <c r="AW56" i="7"/>
  <c r="BC56" i="7" l="1"/>
  <c r="BG56" i="7"/>
  <c r="AW63" i="7"/>
  <c r="AZ63" i="7"/>
  <c r="BF56" i="7" l="1"/>
  <c r="BJ56" i="7"/>
  <c r="BC63" i="7"/>
  <c r="BM56" i="7" l="1"/>
  <c r="BI56" i="7"/>
  <c r="BF63" i="7"/>
  <c r="BI63" i="7" l="1"/>
  <c r="BL56" i="7"/>
  <c r="BL63" i="7" l="1"/>
  <c r="AX57" i="7"/>
  <c r="AX64" i="7" l="1"/>
  <c r="AW57" i="7"/>
  <c r="BA57" i="7" l="1"/>
  <c r="AW64" i="7"/>
  <c r="AZ57" i="7" l="1"/>
  <c r="AZ64" i="7" s="1"/>
  <c r="BD57" i="7"/>
  <c r="BB64" i="7"/>
  <c r="BB57" i="7" s="1"/>
  <c r="BG64" i="7"/>
  <c r="BE64" i="7" l="1"/>
  <c r="BE57" i="7" s="1"/>
  <c r="BJ64" i="7"/>
  <c r="BC57" i="7"/>
  <c r="BC64" i="7" s="1"/>
  <c r="BG57" i="7"/>
  <c r="BM64" i="7" l="1"/>
  <c r="BK64" i="7" s="1"/>
  <c r="BH64" i="7"/>
  <c r="BH57" i="7" s="1"/>
  <c r="BF57" i="7"/>
  <c r="BF64" i="7" s="1"/>
  <c r="BJ57" i="7"/>
  <c r="BK57" i="7" l="1"/>
  <c r="BM57" i="7"/>
  <c r="BI57" i="7"/>
  <c r="BI64" i="7" s="1"/>
  <c r="AX58" i="7"/>
  <c r="AW58" i="7" s="1"/>
  <c r="BL57" i="7" l="1"/>
  <c r="BL64" i="7" s="1"/>
  <c r="AW65" i="7"/>
  <c r="AX65" i="7"/>
  <c r="BA58" i="7" l="1"/>
  <c r="AZ58" i="7" l="1"/>
  <c r="BD58" i="7"/>
  <c r="BB65" i="7"/>
  <c r="BB58" i="7" s="1"/>
  <c r="BG65" i="7"/>
  <c r="BC58" i="7" l="1"/>
  <c r="BG58" i="7"/>
  <c r="BE65" i="7"/>
  <c r="BE58" i="7" s="1"/>
  <c r="BJ65" i="7"/>
  <c r="BM65" i="7" s="1"/>
  <c r="AZ65" i="7"/>
  <c r="BJ58" i="7" l="1"/>
  <c r="BF58" i="7"/>
  <c r="BH65" i="7"/>
  <c r="BH58" i="7" s="1"/>
  <c r="BK65" i="7"/>
  <c r="BC65" i="7"/>
  <c r="BK58" i="7" l="1"/>
  <c r="BF65" i="7"/>
  <c r="BI58" i="7"/>
  <c r="BM58" i="7"/>
  <c r="BL58" i="7" l="1"/>
  <c r="BI65" i="7"/>
  <c r="BL65" i="7" l="1"/>
  <c r="AX47" i="7"/>
  <c r="AX59" i="7"/>
  <c r="AX66" i="7" s="1"/>
  <c r="BD66" i="7" s="1"/>
  <c r="BG66" i="7" l="1"/>
  <c r="BB66" i="7"/>
  <c r="AX54" i="7"/>
  <c r="BA59" i="7"/>
  <c r="AW59" i="7"/>
  <c r="AW66" i="7" l="1"/>
  <c r="AZ59" i="7"/>
  <c r="BD59" i="7"/>
  <c r="BA54" i="7"/>
  <c r="BA52" i="7" s="1"/>
  <c r="AW54" i="7"/>
  <c r="AX61" i="7"/>
  <c r="BB59" i="7"/>
  <c r="BJ66" i="7"/>
  <c r="BE66" i="7"/>
  <c r="BM66" i="7" l="1"/>
  <c r="BK66" i="7" s="1"/>
  <c r="BH66" i="7"/>
  <c r="AZ66" i="7"/>
  <c r="BB54" i="7"/>
  <c r="BE59" i="7"/>
  <c r="AW40" i="7"/>
  <c r="AW50" i="7"/>
  <c r="AW61" i="7"/>
  <c r="AW49" i="7"/>
  <c r="AW51" i="7"/>
  <c r="AW48" i="7"/>
  <c r="AZ54" i="7"/>
  <c r="BA49" i="7"/>
  <c r="BA48" i="7"/>
  <c r="BA61" i="7"/>
  <c r="BA40" i="7"/>
  <c r="BA51" i="7"/>
  <c r="BA50" i="7"/>
  <c r="AW52" i="7"/>
  <c r="BC59" i="7"/>
  <c r="BD54" i="7"/>
  <c r="BG59" i="7"/>
  <c r="BF59" i="7" l="1"/>
  <c r="BJ59" i="7"/>
  <c r="BG54" i="7"/>
  <c r="BA41" i="7"/>
  <c r="BD38" i="7" s="1"/>
  <c r="BA39" i="7"/>
  <c r="BC54" i="7"/>
  <c r="BD51" i="7"/>
  <c r="BD48" i="7"/>
  <c r="BD49" i="7"/>
  <c r="BD50" i="7"/>
  <c r="BD40" i="7"/>
  <c r="BD61" i="7"/>
  <c r="BB38" i="7"/>
  <c r="BD52" i="7"/>
  <c r="AZ48" i="7"/>
  <c r="AZ50" i="7"/>
  <c r="AZ61" i="7"/>
  <c r="AZ49" i="7"/>
  <c r="AZ51" i="7"/>
  <c r="AZ40" i="7"/>
  <c r="AZ41" i="7" s="1"/>
  <c r="AW42" i="7"/>
  <c r="AW41" i="7"/>
  <c r="AZ52" i="7"/>
  <c r="AY47" i="7"/>
  <c r="BE54" i="7"/>
  <c r="BE52" i="7" s="1"/>
  <c r="BH59" i="7"/>
  <c r="BA47" i="7"/>
  <c r="BB61" i="7"/>
  <c r="BB48" i="7"/>
  <c r="BB50" i="7"/>
  <c r="BB51" i="7"/>
  <c r="BB49" i="7"/>
  <c r="BB40" i="7"/>
  <c r="BC66" i="7"/>
  <c r="AW47" i="7"/>
  <c r="BB52" i="7"/>
  <c r="BB39" i="7" l="1"/>
  <c r="BB42" i="7" s="1"/>
  <c r="BD39" i="7"/>
  <c r="BD42" i="7" s="1"/>
  <c r="BB47" i="7"/>
  <c r="BF54" i="7"/>
  <c r="BG61" i="7"/>
  <c r="BG40" i="7"/>
  <c r="BG51" i="7"/>
  <c r="BG49" i="7"/>
  <c r="BG48" i="7"/>
  <c r="BG50" i="7"/>
  <c r="BE29" i="7"/>
  <c r="BB41" i="7"/>
  <c r="BA42" i="7"/>
  <c r="AZ39" i="7"/>
  <c r="AZ42" i="7" s="1"/>
  <c r="BA30" i="7"/>
  <c r="BG52" i="7"/>
  <c r="BE40" i="7"/>
  <c r="BE49" i="7"/>
  <c r="BE48" i="7"/>
  <c r="BE50" i="7"/>
  <c r="BE51" i="7"/>
  <c r="BE61" i="7"/>
  <c r="BC51" i="7"/>
  <c r="BC49" i="7"/>
  <c r="BC61" i="7"/>
  <c r="BC48" i="7"/>
  <c r="BC40" i="7"/>
  <c r="BC50" i="7"/>
  <c r="BI59" i="7"/>
  <c r="BM59" i="7"/>
  <c r="BJ54" i="7"/>
  <c r="BJ52" i="7" s="1"/>
  <c r="BC52" i="7"/>
  <c r="BH54" i="7"/>
  <c r="BH52" i="7" s="1"/>
  <c r="BK59" i="7"/>
  <c r="AZ47" i="7"/>
  <c r="BD47" i="7"/>
  <c r="BC38" i="7"/>
  <c r="BG29" i="7"/>
  <c r="BD41" i="7"/>
  <c r="BF66" i="7"/>
  <c r="BC39" i="7" l="1"/>
  <c r="BC42" i="7" s="1"/>
  <c r="BB30" i="7"/>
  <c r="BB45" i="7" s="1"/>
  <c r="BC41" i="7"/>
  <c r="BD30" i="7"/>
  <c r="BG38" i="7"/>
  <c r="BG39" i="7" s="1"/>
  <c r="BE47" i="7"/>
  <c r="BC47" i="7"/>
  <c r="BA80" i="7"/>
  <c r="BA45" i="7"/>
  <c r="BA33" i="7"/>
  <c r="AZ30" i="7"/>
  <c r="BI66" i="7"/>
  <c r="BF50" i="7"/>
  <c r="BF51" i="7"/>
  <c r="BF61" i="7"/>
  <c r="BF40" i="7"/>
  <c r="BF48" i="7"/>
  <c r="BF49" i="7"/>
  <c r="BF52" i="7"/>
  <c r="BF29" i="7"/>
  <c r="BF44" i="7" s="1"/>
  <c r="BK54" i="7"/>
  <c r="BK52" i="7" s="1"/>
  <c r="BJ61" i="7"/>
  <c r="BI54" i="7"/>
  <c r="BJ40" i="7"/>
  <c r="BJ51" i="7"/>
  <c r="BJ49" i="7"/>
  <c r="BJ48" i="7"/>
  <c r="BJ50" i="7"/>
  <c r="BH40" i="7"/>
  <c r="BH50" i="7"/>
  <c r="BH51" i="7"/>
  <c r="BH49" i="7"/>
  <c r="BH61" i="7"/>
  <c r="BH48" i="7"/>
  <c r="BL59" i="7"/>
  <c r="BM54" i="7"/>
  <c r="BE38" i="7"/>
  <c r="BG47" i="7"/>
  <c r="BJ29" i="7" l="1"/>
  <c r="BG41" i="7"/>
  <c r="BC30" i="7"/>
  <c r="BC45" i="7" s="1"/>
  <c r="BB80" i="7"/>
  <c r="BD80" i="7"/>
  <c r="BD45" i="7"/>
  <c r="BH47" i="7"/>
  <c r="BJ38" i="7"/>
  <c r="BJ39" i="7" s="1"/>
  <c r="AZ33" i="7"/>
  <c r="AZ45" i="7"/>
  <c r="BH29" i="7"/>
  <c r="BE41" i="7"/>
  <c r="BL54" i="7"/>
  <c r="BL52" i="7" s="1"/>
  <c r="BM50" i="7"/>
  <c r="BM40" i="7"/>
  <c r="BM51" i="7"/>
  <c r="BM49" i="7"/>
  <c r="BM48" i="7"/>
  <c r="BM61" i="7"/>
  <c r="BJ47" i="7"/>
  <c r="BI50" i="7"/>
  <c r="BI40" i="7"/>
  <c r="BI51" i="7"/>
  <c r="BI48" i="7"/>
  <c r="BI49" i="7"/>
  <c r="BI61" i="7"/>
  <c r="BB28" i="7"/>
  <c r="BF47" i="7"/>
  <c r="BF38" i="7"/>
  <c r="BF41" i="7" s="1"/>
  <c r="BA34" i="7"/>
  <c r="BA35" i="7" s="1"/>
  <c r="BD28" i="7"/>
  <c r="BA4" i="7"/>
  <c r="BL66" i="7"/>
  <c r="BG42" i="7"/>
  <c r="BG30" i="7"/>
  <c r="BM52" i="7"/>
  <c r="BE39" i="7"/>
  <c r="BF39" i="7" s="1"/>
  <c r="BF42" i="7" s="1"/>
  <c r="BK48" i="7"/>
  <c r="BK51" i="7"/>
  <c r="BK40" i="7"/>
  <c r="BK49" i="7"/>
  <c r="BK50" i="7"/>
  <c r="BK61" i="7"/>
  <c r="BI52" i="7"/>
  <c r="AZ80" i="7"/>
  <c r="BC80" i="7" l="1"/>
  <c r="BJ41" i="7"/>
  <c r="BM29" i="7"/>
  <c r="BJ30" i="7"/>
  <c r="BJ80" i="7" s="1"/>
  <c r="BJ42" i="7"/>
  <c r="BH38" i="7"/>
  <c r="BH39" i="7" s="1"/>
  <c r="BI39" i="7" s="1"/>
  <c r="BI42" i="7" s="1"/>
  <c r="BI29" i="7"/>
  <c r="BI44" i="7" s="1"/>
  <c r="AZ4" i="7"/>
  <c r="AZ8" i="3" s="1"/>
  <c r="AZ34" i="7"/>
  <c r="AZ35" i="7" s="1"/>
  <c r="BC28" i="7"/>
  <c r="AX24" i="7"/>
  <c r="BA8" i="7"/>
  <c r="BA11" i="7"/>
  <c r="BA8" i="3"/>
  <c r="BA6" i="7"/>
  <c r="BK47" i="7"/>
  <c r="BD36" i="7"/>
  <c r="BD33" i="7"/>
  <c r="BB36" i="7"/>
  <c r="BB33" i="7"/>
  <c r="BM47" i="7"/>
  <c r="BE30" i="7"/>
  <c r="BE42" i="7"/>
  <c r="BG45" i="7"/>
  <c r="BG80" i="7"/>
  <c r="BI47" i="7"/>
  <c r="BL49" i="7"/>
  <c r="BL48" i="7"/>
  <c r="BL51" i="7"/>
  <c r="BL61" i="7"/>
  <c r="BL40" i="7"/>
  <c r="BL50" i="7"/>
  <c r="BH30" i="7" l="1"/>
  <c r="BH45" i="7" s="1"/>
  <c r="BJ45" i="7"/>
  <c r="BM38" i="7"/>
  <c r="BM41" i="7" s="1"/>
  <c r="BI38" i="7"/>
  <c r="BI41" i="7" s="1"/>
  <c r="BH42" i="7"/>
  <c r="BK29" i="7"/>
  <c r="BL29" i="7" s="1"/>
  <c r="BH41" i="7"/>
  <c r="BH80" i="7"/>
  <c r="BI80" i="7" s="1"/>
  <c r="BI30" i="7"/>
  <c r="BI45" i="7" s="1"/>
  <c r="BE28" i="7"/>
  <c r="BB4" i="7"/>
  <c r="BB34" i="7"/>
  <c r="BB35" i="7" s="1"/>
  <c r="AZ8" i="7"/>
  <c r="AZ9" i="7" s="1"/>
  <c r="BA83" i="7"/>
  <c r="AZ83" i="7" s="1"/>
  <c r="AZ9" i="3"/>
  <c r="BA5" i="7"/>
  <c r="BA14" i="7"/>
  <c r="BA33" i="3"/>
  <c r="AZ6" i="7"/>
  <c r="BE45" i="7"/>
  <c r="BE80" i="7"/>
  <c r="BF80" i="7" s="1"/>
  <c r="BF30" i="7"/>
  <c r="BF45" i="7" s="1"/>
  <c r="BG28" i="7"/>
  <c r="BD34" i="7"/>
  <c r="BD35" i="7" s="1"/>
  <c r="BD4" i="7"/>
  <c r="BA9" i="3"/>
  <c r="AC69" i="10"/>
  <c r="BL47" i="7"/>
  <c r="AZ11" i="7"/>
  <c r="BA84" i="7"/>
  <c r="BA144" i="2"/>
  <c r="BC36" i="7"/>
  <c r="BC33" i="7"/>
  <c r="BM39" i="7" l="1"/>
  <c r="BM42" i="7" s="1"/>
  <c r="BL44" i="7"/>
  <c r="BM30" i="7"/>
  <c r="BM80" i="7" s="1"/>
  <c r="BK38" i="7"/>
  <c r="AZ84" i="7"/>
  <c r="AZ5" i="7"/>
  <c r="AZ7" i="7"/>
  <c r="AZ14" i="7"/>
  <c r="AZ33" i="3"/>
  <c r="BB11" i="7"/>
  <c r="BB8" i="3"/>
  <c r="BB6" i="7"/>
  <c r="BB8" i="7"/>
  <c r="BB83" i="7" s="1"/>
  <c r="BC4" i="7"/>
  <c r="BC8" i="3" s="1"/>
  <c r="BC34" i="7"/>
  <c r="BC35" i="7" s="1"/>
  <c r="BF28" i="7"/>
  <c r="BA34" i="3"/>
  <c r="BE36" i="7"/>
  <c r="BE33" i="7"/>
  <c r="BG36" i="7"/>
  <c r="BG33" i="7"/>
  <c r="AZ12" i="7"/>
  <c r="AZ144" i="2"/>
  <c r="BD11" i="7"/>
  <c r="BD8" i="7"/>
  <c r="BD8" i="3"/>
  <c r="BD6" i="7"/>
  <c r="BA88" i="7"/>
  <c r="BA15" i="7"/>
  <c r="BA55" i="3"/>
  <c r="BM45" i="7" l="1"/>
  <c r="BK41" i="7"/>
  <c r="BK39" i="7"/>
  <c r="BL38" i="7"/>
  <c r="BL41" i="7" s="1"/>
  <c r="BE4" i="7"/>
  <c r="BH28" i="7"/>
  <c r="BE34" i="7"/>
  <c r="BE35" i="7" s="1"/>
  <c r="BB9" i="3"/>
  <c r="AC77" i="10"/>
  <c r="AC85" i="10" s="1"/>
  <c r="BA56" i="3"/>
  <c r="AD69" i="10"/>
  <c r="BD9" i="3"/>
  <c r="BB79" i="7"/>
  <c r="BG34" i="7"/>
  <c r="BG35" i="7" s="1"/>
  <c r="BJ28" i="7"/>
  <c r="BG4" i="7"/>
  <c r="BC9" i="3"/>
  <c r="BB144" i="2"/>
  <c r="BB84" i="7"/>
  <c r="BC8" i="7"/>
  <c r="BC9" i="7" s="1"/>
  <c r="BD83" i="7"/>
  <c r="BC83" i="7" s="1"/>
  <c r="BA81" i="7"/>
  <c r="BD79" i="7"/>
  <c r="BA89" i="7"/>
  <c r="BA90" i="7"/>
  <c r="BC11" i="7"/>
  <c r="BD144" i="2"/>
  <c r="BD84" i="7"/>
  <c r="AZ34" i="3"/>
  <c r="BD5" i="7"/>
  <c r="BC6" i="7"/>
  <c r="BD14" i="7"/>
  <c r="BD33" i="3"/>
  <c r="BF36" i="7"/>
  <c r="BF33" i="7"/>
  <c r="BB5" i="7"/>
  <c r="BB33" i="3"/>
  <c r="BB14" i="7"/>
  <c r="AZ15" i="7"/>
  <c r="AZ88" i="7"/>
  <c r="AZ55" i="3"/>
  <c r="BC84" i="7" l="1"/>
  <c r="BK42" i="7"/>
  <c r="BK30" i="7"/>
  <c r="BL39" i="7"/>
  <c r="BL42" i="7" s="1"/>
  <c r="AZ81" i="7"/>
  <c r="AZ56" i="3"/>
  <c r="BB34" i="3"/>
  <c r="BG11" i="7"/>
  <c r="BG6" i="7"/>
  <c r="BG8" i="3"/>
  <c r="BG8" i="7"/>
  <c r="AZ90" i="7"/>
  <c r="BC79" i="7"/>
  <c r="AZ89" i="7"/>
  <c r="BD34" i="3"/>
  <c r="BF4" i="7"/>
  <c r="BF8" i="3" s="1"/>
  <c r="BI28" i="7"/>
  <c r="BF34" i="7"/>
  <c r="BF35" i="7" s="1"/>
  <c r="BD55" i="3"/>
  <c r="BD15" i="7"/>
  <c r="BD88" i="7"/>
  <c r="BH36" i="7"/>
  <c r="BH33" i="7"/>
  <c r="BJ36" i="7"/>
  <c r="BJ33" i="7"/>
  <c r="BB88" i="7"/>
  <c r="BB15" i="7"/>
  <c r="BB55" i="3"/>
  <c r="BC5" i="7"/>
  <c r="BC7" i="7"/>
  <c r="BC33" i="3"/>
  <c r="BC14" i="7"/>
  <c r="BC144" i="2"/>
  <c r="BC12" i="7"/>
  <c r="BE11" i="7"/>
  <c r="BE8" i="7"/>
  <c r="BE83" i="7" s="1"/>
  <c r="BE6" i="7"/>
  <c r="BE8" i="3"/>
  <c r="BK45" i="7" l="1"/>
  <c r="BK80" i="7"/>
  <c r="BL80" i="7" s="1"/>
  <c r="BL30" i="7"/>
  <c r="BL45" i="7" s="1"/>
  <c r="BF8" i="7"/>
  <c r="BF9" i="7" s="1"/>
  <c r="BG83" i="7"/>
  <c r="BF83" i="7" s="1"/>
  <c r="AE69" i="10"/>
  <c r="BG9" i="3"/>
  <c r="E6" i="54"/>
  <c r="BE5" i="7"/>
  <c r="BE33" i="3"/>
  <c r="BE14" i="7"/>
  <c r="BC55" i="3"/>
  <c r="BC15" i="7"/>
  <c r="BC88" i="7"/>
  <c r="BJ34" i="7"/>
  <c r="BJ35" i="7" s="1"/>
  <c r="BJ4" i="7"/>
  <c r="BM28" i="7"/>
  <c r="BC34" i="3"/>
  <c r="BF9" i="3"/>
  <c r="BG5" i="7"/>
  <c r="BG14" i="7"/>
  <c r="BF6" i="7"/>
  <c r="BG33" i="3"/>
  <c r="BE9" i="3"/>
  <c r="BB56" i="3"/>
  <c r="BD56" i="3"/>
  <c r="AD77" i="10"/>
  <c r="AD85" i="10" s="1"/>
  <c r="BI36" i="7"/>
  <c r="BI33" i="7"/>
  <c r="BE144" i="2"/>
  <c r="BE84" i="7"/>
  <c r="BB81" i="7"/>
  <c r="BB90" i="7"/>
  <c r="BB89" i="7"/>
  <c r="BE79" i="7"/>
  <c r="BH34" i="7"/>
  <c r="BH35" i="7" s="1"/>
  <c r="BK28" i="7"/>
  <c r="BH4" i="7"/>
  <c r="BD89" i="7"/>
  <c r="BD81" i="7"/>
  <c r="BG79" i="7"/>
  <c r="BD90" i="7"/>
  <c r="BF11" i="7"/>
  <c r="BG84" i="7"/>
  <c r="BG144" i="2"/>
  <c r="BF84" i="7" l="1"/>
  <c r="BC81" i="7"/>
  <c r="BF7" i="7"/>
  <c r="BF5" i="7"/>
  <c r="BF14" i="7"/>
  <c r="BF33" i="3"/>
  <c r="BC90" i="7"/>
  <c r="BC89" i="7"/>
  <c r="BF79" i="7"/>
  <c r="BE34" i="3"/>
  <c r="BF12" i="7"/>
  <c r="BF144" i="2"/>
  <c r="BK36" i="7"/>
  <c r="BK33" i="7"/>
  <c r="BG88" i="7"/>
  <c r="BG15" i="7"/>
  <c r="BG55" i="3"/>
  <c r="BM36" i="7"/>
  <c r="BM33" i="7"/>
  <c r="BJ8" i="7"/>
  <c r="BJ11" i="7"/>
  <c r="BJ8" i="3"/>
  <c r="BJ6" i="7"/>
  <c r="BC56" i="3"/>
  <c r="E7" i="54"/>
  <c r="BI34" i="7"/>
  <c r="BI35" i="7" s="1"/>
  <c r="BL28" i="7"/>
  <c r="BI4" i="7"/>
  <c r="BI8" i="3" s="1"/>
  <c r="BH8" i="7"/>
  <c r="BH83" i="7" s="1"/>
  <c r="BH11" i="7"/>
  <c r="BH6" i="7"/>
  <c r="BH8" i="3"/>
  <c r="BG34" i="3"/>
  <c r="BE15" i="7"/>
  <c r="BE88" i="7"/>
  <c r="BE55" i="3"/>
  <c r="BH79" i="7" l="1"/>
  <c r="BE81" i="7"/>
  <c r="BE90" i="7"/>
  <c r="BE89" i="7"/>
  <c r="BH9" i="3"/>
  <c r="BI11" i="7"/>
  <c r="BJ144" i="2"/>
  <c r="BJ84" i="7"/>
  <c r="BM34" i="7"/>
  <c r="BM35" i="7" s="1"/>
  <c r="BM4" i="7"/>
  <c r="BG81" i="7"/>
  <c r="BG90" i="7"/>
  <c r="BG89" i="7"/>
  <c r="BJ79" i="7"/>
  <c r="BH5" i="7"/>
  <c r="BH14" i="7"/>
  <c r="BH33" i="3"/>
  <c r="BJ83" i="7"/>
  <c r="BI83" i="7" s="1"/>
  <c r="BI8" i="7"/>
  <c r="BI9" i="7" s="1"/>
  <c r="BK34" i="7"/>
  <c r="BK35" i="7" s="1"/>
  <c r="BK4" i="7"/>
  <c r="BF34" i="3"/>
  <c r="BH144" i="2"/>
  <c r="BH84" i="7"/>
  <c r="BI9" i="3"/>
  <c r="BI6" i="7"/>
  <c r="BJ5" i="7"/>
  <c r="BJ33" i="3"/>
  <c r="BJ14" i="7"/>
  <c r="BG56" i="3"/>
  <c r="AE77" i="10"/>
  <c r="AE85" i="10" s="1"/>
  <c r="E19" i="54"/>
  <c r="BE56" i="3"/>
  <c r="BL36" i="7"/>
  <c r="BL33" i="7"/>
  <c r="BJ9" i="3"/>
  <c r="AF69" i="10"/>
  <c r="BF15" i="7"/>
  <c r="BF55" i="3"/>
  <c r="BF88" i="7"/>
  <c r="BF81" i="7" l="1"/>
  <c r="BF89" i="7"/>
  <c r="BF90" i="7"/>
  <c r="BI79" i="7"/>
  <c r="BF56" i="3"/>
  <c r="BJ88" i="7"/>
  <c r="BJ55" i="3"/>
  <c r="BJ15" i="7"/>
  <c r="BI7" i="7"/>
  <c r="BI33" i="3"/>
  <c r="BI5" i="7"/>
  <c r="BI14" i="7"/>
  <c r="BH34" i="3"/>
  <c r="BI12" i="7"/>
  <c r="BI144" i="2"/>
  <c r="E20" i="54"/>
  <c r="BJ34" i="3"/>
  <c r="BH88" i="7"/>
  <c r="BH15" i="7"/>
  <c r="BH55" i="3"/>
  <c r="BI84" i="7"/>
  <c r="BL34" i="7"/>
  <c r="BL35" i="7" s="1"/>
  <c r="BL4" i="7"/>
  <c r="BL8" i="3" s="1"/>
  <c r="BK11" i="7"/>
  <c r="BK6" i="7"/>
  <c r="BK8" i="7"/>
  <c r="BK83" i="7" s="1"/>
  <c r="BK8" i="3"/>
  <c r="BM8" i="7"/>
  <c r="BM6" i="7"/>
  <c r="BM11" i="7"/>
  <c r="BM8" i="3"/>
  <c r="BK9" i="3" l="1"/>
  <c r="BH56" i="3"/>
  <c r="BL9" i="3"/>
  <c r="BM5" i="7"/>
  <c r="BL6" i="7"/>
  <c r="BM33" i="3"/>
  <c r="BM14" i="7"/>
  <c r="BI55" i="3"/>
  <c r="BI88" i="7"/>
  <c r="BI15" i="7"/>
  <c r="BK144" i="2"/>
  <c r="BK84" i="7"/>
  <c r="BL11" i="7"/>
  <c r="BM84" i="7"/>
  <c r="BM144" i="2"/>
  <c r="BM83" i="7"/>
  <c r="BL83" i="7" s="1"/>
  <c r="BL8" i="7"/>
  <c r="BL9" i="7" s="1"/>
  <c r="BK33" i="3"/>
  <c r="BK5" i="7"/>
  <c r="BK14" i="7"/>
  <c r="BH89" i="7"/>
  <c r="BH90" i="7"/>
  <c r="BH81" i="7"/>
  <c r="BK79" i="7"/>
  <c r="AF77" i="10"/>
  <c r="AF85" i="10" s="1"/>
  <c r="BJ56" i="3"/>
  <c r="BM9" i="3"/>
  <c r="AG69" i="10"/>
  <c r="BI34" i="3"/>
  <c r="BJ81" i="7"/>
  <c r="BJ90" i="7"/>
  <c r="BM79" i="7"/>
  <c r="BJ89" i="7"/>
  <c r="BI81" i="7" l="1"/>
  <c r="BK15" i="7"/>
  <c r="BK88" i="7"/>
  <c r="BK55" i="3"/>
  <c r="BK34" i="3"/>
  <c r="BL144" i="2"/>
  <c r="BL12" i="7"/>
  <c r="BL7" i="7"/>
  <c r="BL5" i="7"/>
  <c r="BL14" i="7"/>
  <c r="BL33" i="3"/>
  <c r="BI89" i="7"/>
  <c r="BL79" i="7"/>
  <c r="BI90" i="7"/>
  <c r="BM15" i="7"/>
  <c r="BM88" i="7"/>
  <c r="BM55" i="3"/>
  <c r="BL84" i="7"/>
  <c r="BI56" i="3"/>
  <c r="BM34" i="3"/>
  <c r="BL34" i="3" l="1"/>
  <c r="BK81" i="7"/>
  <c r="BK90" i="7"/>
  <c r="BK89" i="7"/>
  <c r="AG77" i="10"/>
  <c r="AG85" i="10" s="1"/>
  <c r="BM56" i="3"/>
  <c r="BL55" i="3"/>
  <c r="BL88" i="7"/>
  <c r="BL15" i="7"/>
  <c r="BM81" i="7"/>
  <c r="BM90" i="7"/>
  <c r="BM89" i="7"/>
  <c r="BK56" i="3"/>
  <c r="BL81" i="7" l="1"/>
  <c r="BL90" i="7"/>
  <c r="BL89" i="7"/>
  <c r="BL56" i="3"/>
  <c r="AX97" i="6" l="1"/>
  <c r="AX96" i="6" s="1"/>
  <c r="AU20" i="14"/>
  <c r="AU40" i="14" l="1"/>
  <c r="AU23" i="14"/>
  <c r="BK23" i="14" s="1"/>
  <c r="AX24" i="14"/>
  <c r="AX25" i="14" s="1"/>
  <c r="AZ26" i="3"/>
  <c r="AU24" i="14" l="1"/>
  <c r="AX81" i="6" l="1"/>
  <c r="AX92" i="6"/>
  <c r="AW81" i="6" l="1"/>
  <c r="AW4" i="6"/>
  <c r="AW12" i="6" s="1"/>
  <c r="AW9" i="6" l="1"/>
  <c r="AT24" i="14"/>
  <c r="AT25" i="14" s="1"/>
  <c r="AW14" i="6"/>
  <c r="AW15" i="6" s="1"/>
  <c r="AW7" i="6"/>
  <c r="AW92" i="6"/>
  <c r="AW5" i="6"/>
  <c r="AU105" i="20" l="1"/>
  <c r="AU108" i="20"/>
  <c r="AU73" i="20"/>
  <c r="AU116" i="20"/>
  <c r="BK73" i="20" l="1"/>
  <c r="AU74" i="20"/>
  <c r="AU79" i="20"/>
  <c r="AU35" i="20"/>
  <c r="AU120" i="20"/>
  <c r="AU104" i="20"/>
  <c r="I21" i="53"/>
  <c r="BK116" i="20"/>
  <c r="AU41" i="20"/>
  <c r="AX101" i="6" l="1"/>
  <c r="BK35" i="20"/>
  <c r="AU83" i="20"/>
  <c r="I17" i="53" s="1"/>
  <c r="I13" i="53"/>
  <c r="BK41" i="20"/>
  <c r="AW128" i="6" l="1"/>
  <c r="AW127" i="6"/>
  <c r="BB13" i="3" l="1"/>
  <c r="BB38" i="3" l="1"/>
  <c r="BE13" i="3" l="1"/>
  <c r="BE38" i="3" l="1"/>
  <c r="BH13" i="3" l="1"/>
  <c r="BH38" i="3" l="1"/>
  <c r="BK13" i="3" l="1"/>
  <c r="BK38" i="3" l="1"/>
  <c r="AZ29" i="18" l="1"/>
  <c r="AZ44" i="18" s="1"/>
  <c r="BB44" i="18" l="1"/>
  <c r="AZ38" i="18" l="1"/>
  <c r="BB38" i="18"/>
  <c r="BB41" i="18" s="1"/>
  <c r="BE38" i="18" s="1"/>
  <c r="BE44" i="18" l="1"/>
  <c r="BC38" i="18"/>
  <c r="BC41" i="18" s="1"/>
  <c r="BB39" i="18"/>
  <c r="BB42" i="18" s="1"/>
  <c r="AZ39" i="18"/>
  <c r="AZ42" i="18" s="1"/>
  <c r="AZ41" i="18"/>
  <c r="BC44" i="18"/>
  <c r="BB30" i="18"/>
  <c r="BC39" i="18"/>
  <c r="BC42" i="18" s="1"/>
  <c r="BF38" i="18"/>
  <c r="BH44" i="18"/>
  <c r="BE41" i="18"/>
  <c r="BH38" i="18" s="1"/>
  <c r="BE39" i="18"/>
  <c r="BF44" i="18" l="1"/>
  <c r="AZ30" i="18"/>
  <c r="AZ69" i="18"/>
  <c r="BE30" i="18"/>
  <c r="BF39" i="18"/>
  <c r="BF42" i="18" s="1"/>
  <c r="BE42" i="18"/>
  <c r="BI38" i="18"/>
  <c r="BH39" i="18"/>
  <c r="BH41" i="18"/>
  <c r="BK38" i="18" s="1"/>
  <c r="BK44" i="18"/>
  <c r="BC30" i="18"/>
  <c r="BC45" i="18" s="1"/>
  <c r="BB45" i="18"/>
  <c r="BB69" i="18"/>
  <c r="BC69" i="18" s="1"/>
  <c r="BF41" i="18"/>
  <c r="BI44" i="18"/>
  <c r="AZ45" i="18" l="1"/>
  <c r="AZ33" i="18"/>
  <c r="BB28" i="18"/>
  <c r="BK39" i="18"/>
  <c r="BK41" i="18"/>
  <c r="BL38" i="18"/>
  <c r="BL41" i="18" s="1"/>
  <c r="BL44" i="18"/>
  <c r="BI41" i="18"/>
  <c r="BH42" i="18"/>
  <c r="BH30" i="18"/>
  <c r="BI39" i="18"/>
  <c r="BI42" i="18" s="1"/>
  <c r="BF30" i="18"/>
  <c r="BF45" i="18" s="1"/>
  <c r="BE45" i="18"/>
  <c r="BE69" i="18"/>
  <c r="BF69" i="18" s="1"/>
  <c r="BB36" i="18" l="1"/>
  <c r="BB33" i="18"/>
  <c r="AZ34" i="18"/>
  <c r="AZ35" i="18" s="1"/>
  <c r="AZ4" i="18"/>
  <c r="AZ10" i="3" s="1"/>
  <c r="BC28" i="18"/>
  <c r="BH45" i="18"/>
  <c r="BH69" i="18"/>
  <c r="BI69" i="18" s="1"/>
  <c r="BI30" i="18"/>
  <c r="BI45" i="18" s="1"/>
  <c r="BK30" i="18"/>
  <c r="BK42" i="18"/>
  <c r="BL39" i="18"/>
  <c r="BL42" i="18" s="1"/>
  <c r="AZ11" i="3" l="1"/>
  <c r="BB4" i="18"/>
  <c r="BB34" i="18"/>
  <c r="BB35" i="18" s="1"/>
  <c r="BE28" i="18"/>
  <c r="AZ8" i="18"/>
  <c r="AZ9" i="18" s="1"/>
  <c r="AZ72" i="18"/>
  <c r="AZ6" i="18"/>
  <c r="AZ11" i="18"/>
  <c r="AZ73" i="18"/>
  <c r="BC36" i="18"/>
  <c r="BC33" i="18"/>
  <c r="BK69" i="18"/>
  <c r="BL69" i="18" s="1"/>
  <c r="BK45" i="18"/>
  <c r="BL30" i="18"/>
  <c r="BL45" i="18" s="1"/>
  <c r="BC4" i="18" l="1"/>
  <c r="BC10" i="3" s="1"/>
  <c r="BC11" i="3" s="1"/>
  <c r="BF28" i="18"/>
  <c r="BC34" i="18"/>
  <c r="BC35" i="18" s="1"/>
  <c r="AZ145" i="2"/>
  <c r="AZ12" i="18"/>
  <c r="BE33" i="18"/>
  <c r="BE36" i="18"/>
  <c r="BB10" i="3"/>
  <c r="BB11" i="3" s="1"/>
  <c r="BB6" i="18"/>
  <c r="BB11" i="18"/>
  <c r="BB8" i="18"/>
  <c r="AZ14" i="18"/>
  <c r="AZ35" i="3"/>
  <c r="AZ36" i="3" s="1"/>
  <c r="AZ7" i="18"/>
  <c r="AZ5" i="18"/>
  <c r="BB73" i="18" l="1"/>
  <c r="BC73" i="18" s="1"/>
  <c r="BC11" i="18"/>
  <c r="BB145" i="2"/>
  <c r="BB68" i="18"/>
  <c r="AZ57" i="3"/>
  <c r="AZ15" i="18"/>
  <c r="AZ77" i="18"/>
  <c r="BC8" i="18"/>
  <c r="BC9" i="18" s="1"/>
  <c r="BB72" i="18"/>
  <c r="BC72" i="18" s="1"/>
  <c r="BB35" i="3"/>
  <c r="BB36" i="3" s="1"/>
  <c r="BB14" i="18"/>
  <c r="BC6" i="18"/>
  <c r="BB5" i="18"/>
  <c r="BF36" i="18"/>
  <c r="BF33" i="18"/>
  <c r="BE34" i="18"/>
  <c r="BE35" i="18" s="1"/>
  <c r="BH28" i="18"/>
  <c r="BE4" i="18"/>
  <c r="BC35" i="3" l="1"/>
  <c r="BC36" i="3" s="1"/>
  <c r="BC5" i="18"/>
  <c r="BC7" i="18"/>
  <c r="BC14" i="18"/>
  <c r="AZ58" i="3"/>
  <c r="BE6" i="18"/>
  <c r="BE10" i="3"/>
  <c r="BE11" i="3" s="1"/>
  <c r="BE8" i="18"/>
  <c r="BE11" i="18"/>
  <c r="BH36" i="18"/>
  <c r="BH33" i="18"/>
  <c r="BB57" i="3"/>
  <c r="BB58" i="3" s="1"/>
  <c r="BB77" i="18"/>
  <c r="BB15" i="18"/>
  <c r="BF34" i="18"/>
  <c r="BF35" i="18" s="1"/>
  <c r="BI28" i="18"/>
  <c r="BF4" i="18"/>
  <c r="BF10" i="3" s="1"/>
  <c r="BF11" i="3" s="1"/>
  <c r="AZ78" i="18"/>
  <c r="AZ70" i="18"/>
  <c r="BC68" i="18"/>
  <c r="AZ79" i="18"/>
  <c r="BC145" i="2"/>
  <c r="BC12" i="18"/>
  <c r="BE35" i="3" l="1"/>
  <c r="BE36" i="3" s="1"/>
  <c r="BF6" i="18"/>
  <c r="BE14" i="18"/>
  <c r="BE5" i="18"/>
  <c r="BB78" i="18"/>
  <c r="BE68" i="18"/>
  <c r="BB70" i="18"/>
  <c r="BB79" i="18"/>
  <c r="BH4" i="18"/>
  <c r="BH34" i="18"/>
  <c r="BH35" i="18" s="1"/>
  <c r="BK28" i="18"/>
  <c r="BC15" i="18"/>
  <c r="BC77" i="18"/>
  <c r="BC57" i="3"/>
  <c r="BC58" i="3" s="1"/>
  <c r="BE145" i="2"/>
  <c r="BE73" i="18"/>
  <c r="BF73" i="18" s="1"/>
  <c r="BF11" i="18"/>
  <c r="BI33" i="18"/>
  <c r="BI36" i="18"/>
  <c r="BF8" i="18"/>
  <c r="BF9" i="18" s="1"/>
  <c r="BE72" i="18"/>
  <c r="BF72" i="18" s="1"/>
  <c r="BL28" i="18" l="1"/>
  <c r="BI4" i="18"/>
  <c r="BI10" i="3" s="1"/>
  <c r="BI11" i="3" s="1"/>
  <c r="BI34" i="18"/>
  <c r="BI35" i="18" s="1"/>
  <c r="BF14" i="18"/>
  <c r="BF5" i="18"/>
  <c r="BF35" i="3"/>
  <c r="BF36" i="3" s="1"/>
  <c r="BF7" i="18"/>
  <c r="BF68" i="18"/>
  <c r="BC70" i="18"/>
  <c r="BC79" i="18"/>
  <c r="BC78" i="18"/>
  <c r="BK33" i="18"/>
  <c r="BK36" i="18"/>
  <c r="BF12" i="18"/>
  <c r="BF145" i="2"/>
  <c r="BH8" i="18"/>
  <c r="BH11" i="18"/>
  <c r="BH6" i="18"/>
  <c r="BH10" i="3"/>
  <c r="BH11" i="3" s="1"/>
  <c r="BE57" i="3"/>
  <c r="BE58" i="3" s="1"/>
  <c r="BE15" i="18"/>
  <c r="BE77" i="18"/>
  <c r="BI8" i="18" l="1"/>
  <c r="BI9" i="18" s="1"/>
  <c r="BH72" i="18"/>
  <c r="BI72" i="18" s="1"/>
  <c r="BE70" i="18"/>
  <c r="BH68" i="18"/>
  <c r="BE79" i="18"/>
  <c r="BE78" i="18"/>
  <c r="BK34" i="18"/>
  <c r="BK35" i="18" s="1"/>
  <c r="BK4" i="18"/>
  <c r="BF15" i="18"/>
  <c r="BF77" i="18"/>
  <c r="BF57" i="3"/>
  <c r="BF58" i="3" s="1"/>
  <c r="BH5" i="18"/>
  <c r="BI6" i="18"/>
  <c r="BH14" i="18"/>
  <c r="BH35" i="3"/>
  <c r="BH36" i="3" s="1"/>
  <c r="BH73" i="18"/>
  <c r="BI73" i="18" s="1"/>
  <c r="BI11" i="18"/>
  <c r="BH145" i="2"/>
  <c r="BL33" i="18"/>
  <c r="BL36" i="18"/>
  <c r="BK10" i="3" l="1"/>
  <c r="BK11" i="3" s="1"/>
  <c r="BK6" i="18"/>
  <c r="BK8" i="18"/>
  <c r="BK11" i="18"/>
  <c r="BH15" i="18"/>
  <c r="BH77" i="18"/>
  <c r="BH57" i="3"/>
  <c r="BH58" i="3" s="1"/>
  <c r="BI35" i="3"/>
  <c r="BI36" i="3" s="1"/>
  <c r="BI7" i="18"/>
  <c r="BI5" i="18"/>
  <c r="BI14" i="18"/>
  <c r="BL34" i="18"/>
  <c r="BL35" i="18" s="1"/>
  <c r="BL4" i="18"/>
  <c r="BL10" i="3" s="1"/>
  <c r="BL11" i="3" s="1"/>
  <c r="BF78" i="18"/>
  <c r="BF79" i="18"/>
  <c r="BI68" i="18"/>
  <c r="BF70" i="18"/>
  <c r="BI145" i="2"/>
  <c r="BI12" i="18"/>
  <c r="BL8" i="18" l="1"/>
  <c r="BL9" i="18" s="1"/>
  <c r="BK72" i="18"/>
  <c r="BL72" i="18" s="1"/>
  <c r="BL6" i="18"/>
  <c r="BK5" i="18"/>
  <c r="BK35" i="3"/>
  <c r="BK36" i="3" s="1"/>
  <c r="BK14" i="18"/>
  <c r="BH70" i="18"/>
  <c r="BH79" i="18"/>
  <c r="BH78" i="18"/>
  <c r="BK68" i="18"/>
  <c r="BK73" i="18"/>
  <c r="BL73" i="18" s="1"/>
  <c r="BK145" i="2"/>
  <c r="BL11" i="18"/>
  <c r="BI77" i="18"/>
  <c r="BI15" i="18"/>
  <c r="BI57" i="3"/>
  <c r="BI58" i="3" s="1"/>
  <c r="BI78" i="18" l="1"/>
  <c r="BI70" i="18"/>
  <c r="BI79" i="18"/>
  <c r="BL68" i="18"/>
  <c r="BK57" i="3"/>
  <c r="BK58" i="3" s="1"/>
  <c r="BK15" i="18"/>
  <c r="BK77" i="18"/>
  <c r="BL145" i="2"/>
  <c r="BL12" i="18"/>
  <c r="BL14" i="18"/>
  <c r="BL35" i="3"/>
  <c r="BL36" i="3" s="1"/>
  <c r="BL5" i="18"/>
  <c r="BL7" i="18"/>
  <c r="AU43" i="14"/>
  <c r="AU42" i="14"/>
  <c r="AU44" i="14"/>
  <c r="AU48" i="14"/>
  <c r="AU55" i="14" s="1"/>
  <c r="AU222" i="14" l="1"/>
  <c r="AU223" i="14" s="1"/>
  <c r="AT48" i="14"/>
  <c r="BK70" i="18"/>
  <c r="BK79" i="18"/>
  <c r="BK78" i="18"/>
  <c r="AU50" i="14"/>
  <c r="BL77" i="18"/>
  <c r="BL15" i="18"/>
  <c r="BL57" i="3"/>
  <c r="BL58" i="3" s="1"/>
  <c r="AT222" i="14" l="1"/>
  <c r="AT223" i="14" s="1"/>
  <c r="AT55" i="14"/>
  <c r="AU51" i="14"/>
  <c r="AT40" i="14"/>
  <c r="AT50" i="14"/>
  <c r="AT51" i="14" s="1"/>
  <c r="BL79" i="18"/>
  <c r="BL78" i="18"/>
  <c r="BL70" i="18"/>
  <c r="AT42" i="14" l="1"/>
  <c r="AT43" i="14"/>
  <c r="AT44" i="14"/>
  <c r="AT82" i="20" l="1"/>
  <c r="AT89" i="20"/>
  <c r="AT91" i="20"/>
  <c r="I22" i="53"/>
  <c r="AU80" i="20"/>
  <c r="AU84" i="20" s="1"/>
  <c r="I18" i="53" s="1"/>
  <c r="BK74" i="20"/>
  <c r="AU306" i="20" l="1"/>
  <c r="AU309" i="20" s="1"/>
  <c r="AU310" i="20" s="1"/>
  <c r="I14" i="53"/>
  <c r="AT96" i="20"/>
  <c r="AX309" i="20" l="1"/>
  <c r="AU303" i="20"/>
  <c r="AU304" i="20" s="1"/>
  <c r="AX306" i="20"/>
  <c r="BA309" i="20"/>
  <c r="AU223" i="20"/>
  <c r="AU224" i="20"/>
  <c r="AU225" i="20" s="1"/>
  <c r="AU228" i="20"/>
  <c r="BA306" i="20" l="1"/>
  <c r="BD309" i="20"/>
  <c r="AX303" i="20"/>
  <c r="AX304" i="20" s="1"/>
  <c r="AX80" i="20"/>
  <c r="AU238" i="20"/>
  <c r="AU226" i="20"/>
  <c r="AX224" i="20"/>
  <c r="AU61" i="20"/>
  <c r="AX84" i="20" l="1"/>
  <c r="J18" i="53" s="1"/>
  <c r="AX74" i="20"/>
  <c r="J22" i="53" s="1"/>
  <c r="J14" i="53"/>
  <c r="BD306" i="20"/>
  <c r="BG309" i="20"/>
  <c r="BA303" i="20"/>
  <c r="BA304" i="20" s="1"/>
  <c r="BA80" i="20"/>
  <c r="AU62" i="20"/>
  <c r="BK61" i="20"/>
  <c r="AW224" i="20"/>
  <c r="AX61" i="20"/>
  <c r="AX238" i="20"/>
  <c r="BA224" i="20"/>
  <c r="AX227" i="20"/>
  <c r="AX226" i="20" s="1"/>
  <c r="AU237" i="20"/>
  <c r="AT238" i="20"/>
  <c r="BA84" i="20" l="1"/>
  <c r="K18" i="53" s="1"/>
  <c r="BA74" i="20"/>
  <c r="K14" i="53"/>
  <c r="BG306" i="20"/>
  <c r="BJ309" i="20"/>
  <c r="BJ306" i="20" s="1"/>
  <c r="BD80" i="20"/>
  <c r="BD303" i="20"/>
  <c r="BD304" i="20" s="1"/>
  <c r="AX244" i="20"/>
  <c r="AX237" i="20"/>
  <c r="AW238" i="20"/>
  <c r="AX62" i="20"/>
  <c r="AX59" i="20" s="1"/>
  <c r="AX67" i="20" s="1"/>
  <c r="AU253" i="20"/>
  <c r="AT237" i="20"/>
  <c r="AW61" i="20"/>
  <c r="AW227" i="20"/>
  <c r="AW226" i="20" s="1"/>
  <c r="AX228" i="20"/>
  <c r="AX223" i="20"/>
  <c r="BA227" i="20"/>
  <c r="BA61" i="20"/>
  <c r="BD224" i="20"/>
  <c r="BA238" i="20"/>
  <c r="BL224" i="20"/>
  <c r="AZ224" i="20"/>
  <c r="AU59" i="20"/>
  <c r="BK62" i="20"/>
  <c r="L14" i="53" l="1"/>
  <c r="BD74" i="20"/>
  <c r="L22" i="53" s="1"/>
  <c r="BD84" i="20"/>
  <c r="L18" i="53" s="1"/>
  <c r="BJ80" i="20"/>
  <c r="BJ303" i="20"/>
  <c r="BJ304" i="20" s="1"/>
  <c r="BG80" i="20"/>
  <c r="BG303" i="20"/>
  <c r="BG304" i="20" s="1"/>
  <c r="K22" i="53"/>
  <c r="BL74" i="20"/>
  <c r="BA223" i="20"/>
  <c r="BA228" i="20"/>
  <c r="BL227" i="20"/>
  <c r="AT253" i="20"/>
  <c r="AT251" i="20" s="1"/>
  <c r="AT252" i="20" s="1"/>
  <c r="AZ227" i="20"/>
  <c r="AZ226" i="20" s="1"/>
  <c r="AZ225" i="20"/>
  <c r="AZ61" i="20"/>
  <c r="BA237" i="20"/>
  <c r="BA244" i="20"/>
  <c r="AZ238" i="20"/>
  <c r="BD227" i="20"/>
  <c r="BD226" i="20" s="1"/>
  <c r="BC224" i="20"/>
  <c r="BD61" i="20"/>
  <c r="BD238" i="20"/>
  <c r="BG224" i="20"/>
  <c r="AX66" i="20"/>
  <c r="AX68" i="20"/>
  <c r="BA226" i="20"/>
  <c r="AW62" i="20"/>
  <c r="AW59" i="20" s="1"/>
  <c r="AW67" i="20" s="1"/>
  <c r="AW237" i="20"/>
  <c r="AX253" i="20"/>
  <c r="AW223" i="20"/>
  <c r="AU66" i="20"/>
  <c r="BK59" i="20"/>
  <c r="AU68" i="20"/>
  <c r="BM59" i="20"/>
  <c r="AU67" i="20"/>
  <c r="BL61" i="20"/>
  <c r="BA62" i="20"/>
  <c r="AX243" i="20"/>
  <c r="M14" i="53" l="1"/>
  <c r="BG74" i="20"/>
  <c r="M22" i="53" s="1"/>
  <c r="BG84" i="20"/>
  <c r="M18" i="53" s="1"/>
  <c r="BJ74" i="20"/>
  <c r="N22" i="53" s="1"/>
  <c r="N14" i="53"/>
  <c r="BJ84" i="20"/>
  <c r="N18" i="53" s="1"/>
  <c r="AZ244" i="20"/>
  <c r="AZ245" i="20" s="1"/>
  <c r="BA243" i="20"/>
  <c r="BA253" i="20"/>
  <c r="AZ237" i="20"/>
  <c r="BD62" i="20"/>
  <c r="BD59" i="20" s="1"/>
  <c r="BD67" i="20" s="1"/>
  <c r="AW253" i="20"/>
  <c r="AW251" i="20" s="1"/>
  <c r="AW252" i="20" s="1"/>
  <c r="AW66" i="20"/>
  <c r="AW68" i="20"/>
  <c r="AZ62" i="20"/>
  <c r="AZ59" i="20" s="1"/>
  <c r="AZ67" i="20" s="1"/>
  <c r="BD237" i="20"/>
  <c r="BD244" i="20"/>
  <c r="BC238" i="20"/>
  <c r="BC61" i="20"/>
  <c r="BC225" i="20"/>
  <c r="BC227" i="20"/>
  <c r="AX255" i="20"/>
  <c r="BD228" i="20"/>
  <c r="BD223" i="20"/>
  <c r="BG227" i="20"/>
  <c r="BG226" i="20" s="1"/>
  <c r="BJ224" i="20"/>
  <c r="BG61" i="20"/>
  <c r="BG238" i="20"/>
  <c r="BF224" i="20"/>
  <c r="BL62" i="20"/>
  <c r="BA59" i="20"/>
  <c r="AZ223" i="20"/>
  <c r="AZ228" i="20"/>
  <c r="BF238" i="20" l="1"/>
  <c r="BG244" i="20"/>
  <c r="BG237" i="20"/>
  <c r="BC244" i="20"/>
  <c r="BC245" i="20" s="1"/>
  <c r="BD243" i="20"/>
  <c r="AX256" i="20"/>
  <c r="AX258" i="20" s="1"/>
  <c r="AX19" i="20" s="1"/>
  <c r="BC237" i="20"/>
  <c r="BD253" i="20"/>
  <c r="BG228" i="20"/>
  <c r="BG223" i="20"/>
  <c r="AZ68" i="20"/>
  <c r="AZ66" i="20"/>
  <c r="BF61" i="20"/>
  <c r="BF227" i="20"/>
  <c r="BF226" i="20" s="1"/>
  <c r="BF225" i="20"/>
  <c r="BC62" i="20"/>
  <c r="BC59" i="20" s="1"/>
  <c r="BG62" i="20"/>
  <c r="BG59" i="20" s="1"/>
  <c r="BJ61" i="20"/>
  <c r="BJ238" i="20"/>
  <c r="BI224" i="20"/>
  <c r="BJ227" i="20"/>
  <c r="BJ226" i="20" s="1"/>
  <c r="BA68" i="20"/>
  <c r="BA66" i="20"/>
  <c r="BL59" i="20"/>
  <c r="BA67" i="20"/>
  <c r="BC223" i="20"/>
  <c r="BC228" i="20"/>
  <c r="AZ253" i="20"/>
  <c r="AZ251" i="20" s="1"/>
  <c r="AZ252" i="20" s="1"/>
  <c r="BA255" i="20"/>
  <c r="AZ243" i="20"/>
  <c r="BC226" i="20"/>
  <c r="BD68" i="20"/>
  <c r="BD66" i="20"/>
  <c r="BD255" i="20" l="1"/>
  <c r="BC243" i="20"/>
  <c r="BF228" i="20"/>
  <c r="BF223" i="20"/>
  <c r="BC68" i="20"/>
  <c r="BC66" i="20"/>
  <c r="BC67" i="20"/>
  <c r="BI238" i="20"/>
  <c r="BJ244" i="20"/>
  <c r="BJ237" i="20"/>
  <c r="BJ62" i="20"/>
  <c r="BJ59" i="20" s="1"/>
  <c r="BF62" i="20"/>
  <c r="BF59" i="20" s="1"/>
  <c r="BJ228" i="20"/>
  <c r="BJ223" i="20"/>
  <c r="AZ255" i="20"/>
  <c r="AZ256" i="20" s="1"/>
  <c r="BA256" i="20"/>
  <c r="BA258" i="20" s="1"/>
  <c r="BA19" i="20" s="1"/>
  <c r="BI61" i="20"/>
  <c r="BI227" i="20"/>
  <c r="BI226" i="20" s="1"/>
  <c r="BI225" i="20"/>
  <c r="BG253" i="20"/>
  <c r="BF237" i="20"/>
  <c r="BG243" i="20"/>
  <c r="BF244" i="20"/>
  <c r="BF245" i="20" s="1"/>
  <c r="BG66" i="20"/>
  <c r="BG68" i="20"/>
  <c r="BC253" i="20"/>
  <c r="BC251" i="20" s="1"/>
  <c r="BC252" i="20" s="1"/>
  <c r="BG67" i="20"/>
  <c r="J37" i="53"/>
  <c r="AX97" i="20"/>
  <c r="BA76" i="6"/>
  <c r="AX103" i="20"/>
  <c r="AZ254" i="20" l="1"/>
  <c r="BF68" i="20"/>
  <c r="BF66" i="20"/>
  <c r="BJ66" i="20"/>
  <c r="BJ68" i="20"/>
  <c r="BJ67" i="20"/>
  <c r="BI62" i="20"/>
  <c r="BI59" i="20" s="1"/>
  <c r="BI67" i="20" s="1"/>
  <c r="BA103" i="20"/>
  <c r="BD76" i="6"/>
  <c r="K37" i="53"/>
  <c r="BA97" i="20"/>
  <c r="BL19" i="20"/>
  <c r="BI223" i="20"/>
  <c r="BI228" i="20"/>
  <c r="BG255" i="20"/>
  <c r="BF243" i="20"/>
  <c r="BJ253" i="20"/>
  <c r="BI237" i="20"/>
  <c r="BC255" i="20"/>
  <c r="BC256" i="20" s="1"/>
  <c r="BD256" i="20"/>
  <c r="BD258" i="20" s="1"/>
  <c r="BD19" i="20" s="1"/>
  <c r="BJ243" i="20"/>
  <c r="BI244" i="20"/>
  <c r="BI245" i="20" s="1"/>
  <c r="BF253" i="20"/>
  <c r="BF251" i="20" s="1"/>
  <c r="BF252" i="20" s="1"/>
  <c r="BF67" i="20"/>
  <c r="BI66" i="20" l="1"/>
  <c r="BI68" i="20"/>
  <c r="BJ255" i="20"/>
  <c r="BI243" i="20"/>
  <c r="BD97" i="20"/>
  <c r="BD103" i="20"/>
  <c r="L37" i="53"/>
  <c r="BG76" i="6"/>
  <c r="BF255" i="20"/>
  <c r="BF256" i="20" s="1"/>
  <c r="BG256" i="20"/>
  <c r="BG258" i="20" s="1"/>
  <c r="BG19" i="20" s="1"/>
  <c r="BI253" i="20"/>
  <c r="BI251" i="20" s="1"/>
  <c r="BI252" i="20" s="1"/>
  <c r="BC254" i="20"/>
  <c r="BF254" i="20" l="1"/>
  <c r="BI255" i="20"/>
  <c r="BI256" i="20" s="1"/>
  <c r="BJ256" i="20"/>
  <c r="BJ258" i="20" s="1"/>
  <c r="BJ19" i="20" s="1"/>
  <c r="BG103" i="20"/>
  <c r="BG97" i="20"/>
  <c r="M37" i="53"/>
  <c r="BJ76" i="6"/>
  <c r="N37" i="53" l="1"/>
  <c r="BJ103" i="20"/>
  <c r="BJ97" i="20"/>
  <c r="BM76" i="6"/>
  <c r="BI254" i="20"/>
  <c r="AT223" i="20" l="1"/>
  <c r="AT228" i="20"/>
  <c r="AW228" i="20"/>
  <c r="AT224" i="20"/>
  <c r="AT225" i="20" s="1"/>
  <c r="AU255" i="20"/>
  <c r="AT61" i="20" l="1"/>
  <c r="AT62" i="20" s="1"/>
  <c r="AT59" i="20" s="1"/>
  <c r="AT66" i="20" s="1"/>
  <c r="AW225" i="20"/>
  <c r="AT226" i="20"/>
  <c r="AU243" i="20"/>
  <c r="AU256" i="20"/>
  <c r="AT255" i="20"/>
  <c r="AT256" i="20" s="1"/>
  <c r="AT258" i="20" s="1"/>
  <c r="AT68" i="20" l="1"/>
  <c r="AT67" i="20"/>
  <c r="AT97" i="20"/>
  <c r="AT103" i="20"/>
  <c r="AU244" i="20"/>
  <c r="AT243" i="20"/>
  <c r="AT254" i="20" s="1"/>
  <c r="AT244" i="20" l="1"/>
  <c r="AT245" i="20" s="1"/>
  <c r="AU245" i="20"/>
  <c r="AT342" i="20" l="1"/>
  <c r="AU338" i="20" l="1"/>
  <c r="AU301" i="20"/>
  <c r="AU337" i="20"/>
  <c r="AT336" i="20"/>
  <c r="AT337" i="20" s="1"/>
  <c r="AU300" i="20" l="1"/>
  <c r="BA338" i="20"/>
  <c r="AX336" i="20"/>
  <c r="AX337" i="20" l="1"/>
  <c r="AX301" i="20"/>
  <c r="AX342" i="20"/>
  <c r="BD338" i="20"/>
  <c r="BA336" i="20"/>
  <c r="BA337" i="20" l="1"/>
  <c r="BA301" i="20"/>
  <c r="BA342" i="20"/>
  <c r="BG338" i="20"/>
  <c r="BD336" i="20"/>
  <c r="AX343" i="20"/>
  <c r="AV342" i="20" s="1"/>
  <c r="AW342" i="20" s="1"/>
  <c r="AX300" i="20"/>
  <c r="BD301" i="20" l="1"/>
  <c r="BD342" i="20"/>
  <c r="BD337" i="20"/>
  <c r="BG336" i="20"/>
  <c r="BJ338" i="20"/>
  <c r="BJ336" i="20" s="1"/>
  <c r="BA343" i="20"/>
  <c r="AY343" i="20" s="1"/>
  <c r="AY342" i="20" s="1"/>
  <c r="BA300" i="20"/>
  <c r="AV336" i="20"/>
  <c r="AV110" i="20" s="1"/>
  <c r="BJ337" i="20" l="1"/>
  <c r="BJ342" i="20"/>
  <c r="BJ301" i="20"/>
  <c r="BD343" i="20"/>
  <c r="BB343" i="20" s="1"/>
  <c r="BB342" i="20" s="1"/>
  <c r="BG342" i="20"/>
  <c r="BG337" i="20"/>
  <c r="BG301" i="20"/>
  <c r="AY336" i="20"/>
  <c r="AZ342" i="20"/>
  <c r="BD300" i="20"/>
  <c r="AV337" i="20"/>
  <c r="AW336" i="20"/>
  <c r="AW337" i="20" s="1"/>
  <c r="BB336" i="20" l="1"/>
  <c r="BC342" i="20"/>
  <c r="AY337" i="20"/>
  <c r="AZ336" i="20"/>
  <c r="AZ337" i="20" s="1"/>
  <c r="BJ300" i="20"/>
  <c r="BG300" i="20"/>
  <c r="BJ343" i="20"/>
  <c r="BH343" i="20" s="1"/>
  <c r="BG343" i="20"/>
  <c r="BE343" i="20" s="1"/>
  <c r="BE342" i="20" s="1"/>
  <c r="BE336" i="20" l="1"/>
  <c r="BH342" i="20"/>
  <c r="BF342" i="20"/>
  <c r="BB337" i="20"/>
  <c r="BC336" i="20"/>
  <c r="BC337" i="20" s="1"/>
  <c r="BH336" i="20" l="1"/>
  <c r="BI342" i="20"/>
  <c r="BE337" i="20"/>
  <c r="BF336" i="20"/>
  <c r="BF337" i="20" s="1"/>
  <c r="BH337" i="20" l="1"/>
  <c r="BI336" i="20"/>
  <c r="BI337" i="20" s="1"/>
  <c r="AT295" i="20" l="1"/>
  <c r="AT98" i="20"/>
  <c r="AT293" i="20"/>
  <c r="AT326" i="20" s="1"/>
  <c r="AT23" i="20"/>
  <c r="AT294" i="20"/>
  <c r="AT328" i="20"/>
  <c r="AW329" i="20" s="1"/>
  <c r="AT92" i="20" l="1"/>
  <c r="AT99" i="20"/>
  <c r="AT24" i="20"/>
  <c r="AT25" i="20" s="1"/>
  <c r="AT333" i="20"/>
  <c r="AT298" i="20"/>
  <c r="AT327" i="20"/>
  <c r="AW327" i="20"/>
  <c r="AT349" i="20"/>
  <c r="AT297" i="20"/>
  <c r="AT329" i="20"/>
  <c r="AW334" i="20" l="1"/>
  <c r="AT334" i="20"/>
  <c r="AT330" i="20"/>
  <c r="AT331" i="20" s="1"/>
  <c r="AT285" i="20"/>
  <c r="AT292" i="20" s="1"/>
  <c r="AT290" i="20" l="1"/>
  <c r="AW331" i="20"/>
  <c r="AT44" i="20"/>
  <c r="AT360" i="20"/>
  <c r="AT356" i="20" s="1"/>
  <c r="AU44" i="20"/>
  <c r="AU38" i="20" s="1"/>
  <c r="AU360" i="20"/>
  <c r="AU356" i="20" s="1"/>
  <c r="AU367" i="20" s="1"/>
  <c r="AT38" i="20" l="1"/>
  <c r="AU37" i="20"/>
  <c r="AU36" i="20"/>
  <c r="AT367" i="20"/>
  <c r="AU369" i="20"/>
  <c r="AX103" i="6"/>
  <c r="AU42" i="20" l="1"/>
  <c r="AX102" i="6"/>
  <c r="AX36" i="20"/>
  <c r="AU39" i="20"/>
  <c r="BK39" i="20" s="1"/>
  <c r="AU43" i="20"/>
  <c r="AW103" i="6"/>
  <c r="AX362" i="20"/>
  <c r="BA360" i="20"/>
  <c r="AX356" i="20"/>
  <c r="AX367" i="20" s="1"/>
  <c r="AW360" i="20"/>
  <c r="AU29" i="20"/>
  <c r="AT364" i="20"/>
  <c r="AT369" i="20"/>
  <c r="AX37" i="20" l="1"/>
  <c r="BA36" i="20" s="1"/>
  <c r="AX42" i="20"/>
  <c r="AU45" i="20"/>
  <c r="BK45" i="20" s="1"/>
  <c r="AX100" i="6"/>
  <c r="BA362" i="20"/>
  <c r="BD360" i="20"/>
  <c r="BA356" i="20"/>
  <c r="BA367" i="20" s="1"/>
  <c r="AY360" i="20"/>
  <c r="AZ360" i="20" s="1"/>
  <c r="AT29" i="20"/>
  <c r="AW356" i="20"/>
  <c r="AW362" i="20"/>
  <c r="AX116" i="6"/>
  <c r="AX369" i="20"/>
  <c r="AX44" i="20"/>
  <c r="AX358" i="20"/>
  <c r="AV44" i="20"/>
  <c r="AV38" i="20" s="1"/>
  <c r="AV367" i="20"/>
  <c r="AV369" i="20" s="1"/>
  <c r="AV29" i="20" s="1"/>
  <c r="BA102" i="6" l="1"/>
  <c r="AX94" i="20"/>
  <c r="AW94" i="20" s="1"/>
  <c r="AX104" i="6"/>
  <c r="AX126" i="6" s="1"/>
  <c r="BA37" i="20"/>
  <c r="BD36" i="20" s="1"/>
  <c r="BA42" i="20"/>
  <c r="BD102" i="6"/>
  <c r="AX43" i="20"/>
  <c r="AZ356" i="20"/>
  <c r="AZ362" i="20"/>
  <c r="AY116" i="6"/>
  <c r="AW116" i="6"/>
  <c r="BD362" i="20"/>
  <c r="BB360" i="20"/>
  <c r="BC360" i="20" s="1"/>
  <c r="BG360" i="20"/>
  <c r="BD356" i="20"/>
  <c r="BD367" i="20" s="1"/>
  <c r="AX29" i="20"/>
  <c r="AY356" i="20"/>
  <c r="AY367" i="20" s="1"/>
  <c r="AY369" i="20" s="1"/>
  <c r="AY362" i="20"/>
  <c r="AX22" i="20"/>
  <c r="BA369" i="20"/>
  <c r="AX38" i="20"/>
  <c r="AW367" i="20"/>
  <c r="AW44" i="20"/>
  <c r="AW358" i="20"/>
  <c r="AW22" i="20" s="1"/>
  <c r="BA44" i="20"/>
  <c r="BA358" i="20"/>
  <c r="BA94" i="20" s="1"/>
  <c r="BD37" i="20" l="1"/>
  <c r="BG36" i="20" s="1"/>
  <c r="BD42" i="20"/>
  <c r="BA43" i="20"/>
  <c r="AZ367" i="20"/>
  <c r="AZ369" i="20" s="1"/>
  <c r="BJ360" i="20"/>
  <c r="BE360" i="20"/>
  <c r="BG356" i="20"/>
  <c r="BG367" i="20" s="1"/>
  <c r="BG362" i="20"/>
  <c r="BA29" i="20"/>
  <c r="AV98" i="20"/>
  <c r="BA103" i="6"/>
  <c r="BC356" i="20"/>
  <c r="BC362" i="20"/>
  <c r="BB362" i="20"/>
  <c r="BB356" i="20"/>
  <c r="BB367" i="20" s="1"/>
  <c r="BB369" i="20" s="1"/>
  <c r="AW98" i="20"/>
  <c r="AZ79" i="6"/>
  <c r="AZ44" i="20"/>
  <c r="AZ358" i="20"/>
  <c r="AZ22" i="20" s="1"/>
  <c r="BA22" i="20"/>
  <c r="BD44" i="20"/>
  <c r="BD358" i="20"/>
  <c r="BD94" i="20" s="1"/>
  <c r="BA38" i="20"/>
  <c r="BA79" i="6"/>
  <c r="J38" i="53"/>
  <c r="AX98" i="20"/>
  <c r="AX23" i="20"/>
  <c r="J31" i="53"/>
  <c r="BA116" i="6"/>
  <c r="AY358" i="20"/>
  <c r="AY22" i="20" s="1"/>
  <c r="AY44" i="20"/>
  <c r="AW364" i="20"/>
  <c r="AW369" i="20"/>
  <c r="AY29" i="20"/>
  <c r="BD369" i="20"/>
  <c r="BG102" i="6" l="1"/>
  <c r="AZ364" i="20"/>
  <c r="AW38" i="20"/>
  <c r="AZ103" i="6" s="1"/>
  <c r="AY103" i="6"/>
  <c r="BG37" i="20"/>
  <c r="BG42" i="20"/>
  <c r="BJ102" i="6"/>
  <c r="BD43" i="20"/>
  <c r="BC79" i="6"/>
  <c r="BB116" i="6"/>
  <c r="AW29" i="20"/>
  <c r="BG369" i="20"/>
  <c r="BD116" i="6"/>
  <c r="BB29" i="20"/>
  <c r="BD38" i="20"/>
  <c r="BD103" i="6"/>
  <c r="BC44" i="20"/>
  <c r="BC358" i="20"/>
  <c r="BC22" i="20" s="1"/>
  <c r="BE362" i="20"/>
  <c r="BE356" i="20"/>
  <c r="BE367" i="20" s="1"/>
  <c r="BE369" i="20" s="1"/>
  <c r="BG44" i="20"/>
  <c r="BG358" i="20"/>
  <c r="BG94" i="20" s="1"/>
  <c r="AZ29" i="20"/>
  <c r="BJ356" i="20"/>
  <c r="BJ367" i="20" s="1"/>
  <c r="BH360" i="20"/>
  <c r="BI360" i="20" s="1"/>
  <c r="BJ362" i="20"/>
  <c r="BA75" i="6"/>
  <c r="AX24" i="20"/>
  <c r="AX25" i="20" s="1"/>
  <c r="BD22" i="20"/>
  <c r="BB44" i="20"/>
  <c r="BB358" i="20"/>
  <c r="BB22" i="20" s="1"/>
  <c r="BD29" i="20"/>
  <c r="AY38" i="20"/>
  <c r="AZ38" i="20" s="1"/>
  <c r="K38" i="53"/>
  <c r="BL22" i="20"/>
  <c r="BD79" i="6"/>
  <c r="BA98" i="20"/>
  <c r="BA23" i="20"/>
  <c r="BC367" i="20"/>
  <c r="BB79" i="6"/>
  <c r="K31" i="53"/>
  <c r="BF360" i="20"/>
  <c r="BJ36" i="20" l="1"/>
  <c r="BG43" i="20"/>
  <c r="BF367" i="20"/>
  <c r="BF369" i="20" s="1"/>
  <c r="BB38" i="20"/>
  <c r="BC38" i="20" s="1"/>
  <c r="BA24" i="20"/>
  <c r="BA25" i="20" s="1"/>
  <c r="BL23" i="20"/>
  <c r="BD75" i="6"/>
  <c r="BC103" i="6"/>
  <c r="L31" i="53"/>
  <c r="BA80" i="6"/>
  <c r="BI356" i="20"/>
  <c r="BI362" i="20"/>
  <c r="BG116" i="6"/>
  <c r="BC116" i="6"/>
  <c r="BE29" i="20"/>
  <c r="BG29" i="20"/>
  <c r="AZ116" i="6"/>
  <c r="BE116" i="6"/>
  <c r="BE79" i="6"/>
  <c r="BF356" i="20"/>
  <c r="BF362" i="20"/>
  <c r="BC369" i="20"/>
  <c r="BC364" i="20"/>
  <c r="BD98" i="20"/>
  <c r="BG79" i="6"/>
  <c r="L38" i="53"/>
  <c r="BD23" i="20"/>
  <c r="BE44" i="20"/>
  <c r="BE358" i="20"/>
  <c r="BE22" i="20" s="1"/>
  <c r="BF79" i="6"/>
  <c r="BB103" i="6"/>
  <c r="BH362" i="20"/>
  <c r="BH356" i="20"/>
  <c r="BH367" i="20" s="1"/>
  <c r="BH369" i="20" s="1"/>
  <c r="BG103" i="6"/>
  <c r="BJ44" i="20"/>
  <c r="BJ358" i="20"/>
  <c r="BJ94" i="20" s="1"/>
  <c r="BG22" i="20"/>
  <c r="BJ369" i="20"/>
  <c r="BG38" i="20"/>
  <c r="BF364" i="20" l="1"/>
  <c r="BJ42" i="20"/>
  <c r="BJ37" i="20"/>
  <c r="BM102" i="6" s="1"/>
  <c r="BI367" i="20"/>
  <c r="BI369" i="20" s="1"/>
  <c r="BH79" i="6"/>
  <c r="BD24" i="20"/>
  <c r="BD25" i="20" s="1"/>
  <c r="BG75" i="6"/>
  <c r="BI44" i="20"/>
  <c r="BI358" i="20"/>
  <c r="BI22" i="20" s="1"/>
  <c r="BE38" i="20"/>
  <c r="BF38" i="20" s="1"/>
  <c r="BF103" i="6"/>
  <c r="BC29" i="20"/>
  <c r="BA81" i="6"/>
  <c r="BA4" i="6"/>
  <c r="BA8" i="6" s="1"/>
  <c r="BJ29" i="20"/>
  <c r="BG98" i="20"/>
  <c r="M38" i="53"/>
  <c r="BJ79" i="6"/>
  <c r="BG23" i="20"/>
  <c r="BF44" i="20"/>
  <c r="BF358" i="20"/>
  <c r="BF22" i="20" s="1"/>
  <c r="BJ116" i="6"/>
  <c r="M31" i="53"/>
  <c r="BF29" i="20"/>
  <c r="BD80" i="6"/>
  <c r="BJ103" i="6"/>
  <c r="BH29" i="20"/>
  <c r="BH116" i="6"/>
  <c r="BE103" i="6"/>
  <c r="BJ38" i="20"/>
  <c r="BJ22" i="20"/>
  <c r="BH358" i="20"/>
  <c r="BH22" i="20" s="1"/>
  <c r="BH44" i="20"/>
  <c r="BI364" i="20" l="1"/>
  <c r="BJ43" i="20"/>
  <c r="BI103" i="6"/>
  <c r="BG80" i="6"/>
  <c r="BD81" i="6"/>
  <c r="BD4" i="6"/>
  <c r="BI79" i="6"/>
  <c r="BF116" i="6"/>
  <c r="N31" i="53"/>
  <c r="BG24" i="20"/>
  <c r="BG25" i="20" s="1"/>
  <c r="BJ75" i="6"/>
  <c r="BH103" i="6"/>
  <c r="BL79" i="6"/>
  <c r="BM116" i="6"/>
  <c r="BK116" i="6"/>
  <c r="BJ98" i="20"/>
  <c r="BM79" i="6"/>
  <c r="N38" i="53"/>
  <c r="BJ23" i="20"/>
  <c r="BM103" i="6"/>
  <c r="BI116" i="6"/>
  <c r="BH38" i="20"/>
  <c r="BI38" i="20" s="1"/>
  <c r="BA11" i="6"/>
  <c r="BA6" i="3"/>
  <c r="BI29" i="20"/>
  <c r="BK79" i="6"/>
  <c r="AZ8" i="6" l="1"/>
  <c r="BA121" i="6"/>
  <c r="BJ80" i="6"/>
  <c r="BG81" i="6"/>
  <c r="BG4" i="6"/>
  <c r="BL116" i="6"/>
  <c r="BA7" i="3"/>
  <c r="BA18" i="3" s="1"/>
  <c r="AC68" i="10"/>
  <c r="BJ24" i="20"/>
  <c r="BJ25" i="20" s="1"/>
  <c r="BM75" i="6"/>
  <c r="BA122" i="6"/>
  <c r="AZ11" i="6"/>
  <c r="BA143" i="2"/>
  <c r="BL103" i="6"/>
  <c r="BK103" i="6"/>
  <c r="BD11" i="6"/>
  <c r="BD8" i="6"/>
  <c r="BD6" i="3"/>
  <c r="AZ121" i="6" l="1"/>
  <c r="BJ81" i="6"/>
  <c r="BJ4" i="6"/>
  <c r="AD68" i="10"/>
  <c r="BD7" i="3"/>
  <c r="BD18" i="3" s="1"/>
  <c r="BD121" i="6"/>
  <c r="BA43" i="3"/>
  <c r="BG8" i="6"/>
  <c r="BG11" i="6"/>
  <c r="BG6" i="3"/>
  <c r="AZ122" i="6"/>
  <c r="AZ143" i="2"/>
  <c r="BD122" i="6"/>
  <c r="BD143" i="2"/>
  <c r="BM80" i="6"/>
  <c r="BD43" i="3" l="1"/>
  <c r="E4" i="54"/>
  <c r="BG7" i="3"/>
  <c r="BG18" i="3" s="1"/>
  <c r="AE68" i="10"/>
  <c r="BG121" i="6"/>
  <c r="BJ11" i="6"/>
  <c r="BJ8" i="6"/>
  <c r="BJ6" i="3"/>
  <c r="BG143" i="2"/>
  <c r="BG122" i="6"/>
  <c r="BM81" i="6"/>
  <c r="BM4" i="6"/>
  <c r="BG43" i="3" l="1"/>
  <c r="AF68" i="10"/>
  <c r="BJ7" i="3"/>
  <c r="BJ18" i="3" s="1"/>
  <c r="BJ121" i="6"/>
  <c r="E5" i="54"/>
  <c r="BJ122" i="6"/>
  <c r="BJ143" i="2"/>
  <c r="BM11" i="6"/>
  <c r="BM8" i="6"/>
  <c r="BM6" i="3"/>
  <c r="BJ43" i="3" l="1"/>
  <c r="BM121" i="6"/>
  <c r="BM143" i="2"/>
  <c r="BM122" i="6"/>
  <c r="AG68" i="10"/>
  <c r="BM7" i="3"/>
  <c r="BM18" i="3" s="1"/>
  <c r="BM43" i="3" l="1"/>
  <c r="AZ158" i="4" l="1"/>
  <c r="BA501" i="20" l="1"/>
  <c r="BD501" i="20" s="1"/>
  <c r="BB501" i="20" s="1"/>
  <c r="BC501" i="20" s="1"/>
  <c r="AU457" i="20"/>
  <c r="AU470" i="20" s="1"/>
  <c r="AU163" i="20" s="1"/>
  <c r="AU438" i="20"/>
  <c r="AX499" i="20"/>
  <c r="BG501" i="20" l="1"/>
  <c r="AT457" i="20"/>
  <c r="AT470" i="20" s="1"/>
  <c r="AS438" i="20"/>
  <c r="AU483" i="20"/>
  <c r="AY501" i="20"/>
  <c r="AZ501" i="20" s="1"/>
  <c r="AX502" i="20"/>
  <c r="AW501" i="20"/>
  <c r="BJ501" i="20"/>
  <c r="BE501" i="20" l="1"/>
  <c r="BF501" i="20" s="1"/>
  <c r="BH501" i="20"/>
  <c r="BI501" i="20" s="1"/>
  <c r="AS483" i="20"/>
  <c r="AS493" i="20" s="1"/>
  <c r="AS495" i="20" s="1"/>
  <c r="AS496" i="20" s="1"/>
  <c r="AQ438" i="20"/>
  <c r="AS448" i="20"/>
  <c r="AS455" i="20" s="1"/>
  <c r="AX503" i="20"/>
  <c r="AX384" i="20"/>
  <c r="BA499" i="20"/>
  <c r="AY499" i="20"/>
  <c r="AU127" i="20"/>
  <c r="AU196" i="20" s="1"/>
  <c r="AU207" i="20" s="1"/>
  <c r="AW499" i="20"/>
  <c r="AW384" i="20" l="1"/>
  <c r="AX470" i="20"/>
  <c r="AX409" i="20"/>
  <c r="AX438" i="20"/>
  <c r="BA502" i="20"/>
  <c r="BA503" i="20"/>
  <c r="AW502" i="20"/>
  <c r="AW503" i="20" s="1"/>
  <c r="AQ483" i="20"/>
  <c r="AQ493" i="20" s="1"/>
  <c r="AQ495" i="20" s="1"/>
  <c r="AQ496" i="20" s="1"/>
  <c r="AQ448" i="20"/>
  <c r="AQ455" i="20" s="1"/>
  <c r="AT438" i="20"/>
  <c r="AY502" i="20"/>
  <c r="AZ499" i="20" s="1"/>
  <c r="AY503" i="20"/>
  <c r="BA384" i="20" l="1"/>
  <c r="BB499" i="20"/>
  <c r="BD499" i="20"/>
  <c r="AW438" i="20"/>
  <c r="AT483" i="20"/>
  <c r="AX483" i="20"/>
  <c r="AV438" i="20"/>
  <c r="AZ502" i="20"/>
  <c r="AZ503" i="20" s="1"/>
  <c r="AX163" i="20"/>
  <c r="AW470" i="20"/>
  <c r="AW409" i="20"/>
  <c r="AZ384" i="20" l="1"/>
  <c r="AZ438" i="20" s="1"/>
  <c r="BA409" i="20"/>
  <c r="BA470" i="20"/>
  <c r="AY384" i="20"/>
  <c r="AW483" i="20"/>
  <c r="BA438" i="20"/>
  <c r="BD502" i="20"/>
  <c r="BB502" i="20"/>
  <c r="BC499" i="20" s="1"/>
  <c r="BA483" i="20" l="1"/>
  <c r="AZ483" i="20"/>
  <c r="AX196" i="20"/>
  <c r="AY470" i="20"/>
  <c r="AY409" i="20"/>
  <c r="BC502" i="20"/>
  <c r="BC503" i="20" s="1"/>
  <c r="BA163" i="20"/>
  <c r="AY438" i="20"/>
  <c r="BB503" i="20"/>
  <c r="BG499" i="20"/>
  <c r="BD384" i="20"/>
  <c r="BE499" i="20"/>
  <c r="BD503" i="20"/>
  <c r="AZ409" i="20"/>
  <c r="AZ470" i="20"/>
  <c r="AY483" i="20" l="1"/>
  <c r="BA127" i="20"/>
  <c r="BE502" i="20"/>
  <c r="BF499" i="20" s="1"/>
  <c r="AX207" i="20"/>
  <c r="BD470" i="20"/>
  <c r="BB384" i="20"/>
  <c r="BC384" i="20"/>
  <c r="BD409" i="20"/>
  <c r="BG502" i="20"/>
  <c r="BG503" i="20" s="1"/>
  <c r="BD438" i="20"/>
  <c r="BE503" i="20" l="1"/>
  <c r="BC470" i="20"/>
  <c r="BC409" i="20"/>
  <c r="BC438" i="20"/>
  <c r="BB409" i="20"/>
  <c r="BB470" i="20"/>
  <c r="BA196" i="20"/>
  <c r="BA207" i="20" s="1"/>
  <c r="BD163" i="20"/>
  <c r="BD483" i="20"/>
  <c r="BB438" i="20"/>
  <c r="BG384" i="20"/>
  <c r="BH499" i="20"/>
  <c r="BJ499" i="20"/>
  <c r="BF502" i="20"/>
  <c r="BF503" i="20" s="1"/>
  <c r="BE384" i="20" l="1"/>
  <c r="BE438" i="20" s="1"/>
  <c r="BG470" i="20"/>
  <c r="BG409" i="20"/>
  <c r="BF384" i="20"/>
  <c r="BF438" i="20" s="1"/>
  <c r="BG438" i="20"/>
  <c r="BD127" i="20"/>
  <c r="BH502" i="20"/>
  <c r="BI499" i="20" s="1"/>
  <c r="BB483" i="20"/>
  <c r="BC483" i="20"/>
  <c r="BJ502" i="20"/>
  <c r="BJ384" i="20" s="1"/>
  <c r="BJ503" i="20"/>
  <c r="BF483" i="20" l="1"/>
  <c r="BG163" i="20"/>
  <c r="BE409" i="20"/>
  <c r="BE470" i="20"/>
  <c r="BD196" i="20"/>
  <c r="BF409" i="20"/>
  <c r="BF470" i="20"/>
  <c r="BH503" i="20"/>
  <c r="BE483" i="20"/>
  <c r="BI502" i="20"/>
  <c r="BI503" i="20" s="1"/>
  <c r="BI384" i="20"/>
  <c r="BI438" i="20" s="1"/>
  <c r="BJ409" i="20"/>
  <c r="BJ470" i="20"/>
  <c r="BH384" i="20"/>
  <c r="BH438" i="20" s="1"/>
  <c r="BJ438" i="20"/>
  <c r="BG483" i="20"/>
  <c r="BJ163" i="20" l="1"/>
  <c r="BD207" i="20"/>
  <c r="BI483" i="20"/>
  <c r="BH483" i="20"/>
  <c r="BH409" i="20"/>
  <c r="BH470" i="20"/>
  <c r="BJ127" i="20"/>
  <c r="BI409" i="20"/>
  <c r="BI470" i="20"/>
  <c r="BJ483" i="20"/>
  <c r="BG127" i="20"/>
  <c r="BG196" i="20" l="1"/>
  <c r="BG207" i="20" s="1"/>
  <c r="BJ196" i="20"/>
  <c r="BJ207" i="20" l="1"/>
  <c r="AT416" i="20"/>
  <c r="AT418" i="20" s="1"/>
  <c r="AU460" i="20"/>
  <c r="AU471" i="20" s="1"/>
  <c r="AU164" i="20" s="1"/>
  <c r="AT385" i="20"/>
  <c r="AU509" i="20"/>
  <c r="AV506" i="20" s="1"/>
  <c r="AX506" i="20" l="1"/>
  <c r="AX509" i="20" s="1"/>
  <c r="AY506" i="20" s="1"/>
  <c r="AV510" i="20"/>
  <c r="AV508" i="20"/>
  <c r="AW508" i="20" s="1"/>
  <c r="AT419" i="20"/>
  <c r="AT427" i="20" s="1"/>
  <c r="AT430" i="20"/>
  <c r="AT431" i="20" s="1"/>
  <c r="AU128" i="20"/>
  <c r="AU197" i="20" s="1"/>
  <c r="AU208" i="20" s="1"/>
  <c r="AX385" i="20"/>
  <c r="AY509" i="20"/>
  <c r="AZ506" i="20" s="1"/>
  <c r="AX510" i="20"/>
  <c r="AU510" i="20"/>
  <c r="AU508" i="20"/>
  <c r="AT509" i="20"/>
  <c r="AT460" i="20"/>
  <c r="AT471" i="20" s="1"/>
  <c r="AU484" i="20"/>
  <c r="BA506" i="20" l="1"/>
  <c r="AZ509" i="20"/>
  <c r="AZ510" i="20"/>
  <c r="AT508" i="20"/>
  <c r="AT510" i="20"/>
  <c r="AW385" i="20"/>
  <c r="AX410" i="20"/>
  <c r="AX471" i="20"/>
  <c r="AW506" i="20"/>
  <c r="AT484" i="20"/>
  <c r="AY510" i="20"/>
  <c r="BA509" i="20"/>
  <c r="BB506" i="20" l="1"/>
  <c r="BD506" i="20"/>
  <c r="BA385" i="20"/>
  <c r="AX164" i="20"/>
  <c r="BA510" i="20"/>
  <c r="AX484" i="20"/>
  <c r="AV471" i="20"/>
  <c r="AW509" i="20"/>
  <c r="AW510" i="20" s="1"/>
  <c r="AV484" i="20" l="1"/>
  <c r="AY385" i="20"/>
  <c r="BA410" i="20"/>
  <c r="AZ385" i="20"/>
  <c r="BA471" i="20"/>
  <c r="BD509" i="20"/>
  <c r="BB509" i="20"/>
  <c r="BC506" i="20" s="1"/>
  <c r="BC509" i="20" l="1"/>
  <c r="BC510" i="20" s="1"/>
  <c r="AX197" i="20"/>
  <c r="BB510" i="20"/>
  <c r="BA484" i="20"/>
  <c r="AY410" i="20"/>
  <c r="AY471" i="20"/>
  <c r="BE506" i="20"/>
  <c r="BD385" i="20"/>
  <c r="BG506" i="20"/>
  <c r="BD510" i="20"/>
  <c r="BA164" i="20"/>
  <c r="AZ471" i="20"/>
  <c r="AZ410" i="20"/>
  <c r="BE509" i="20" l="1"/>
  <c r="BF506" i="20" s="1"/>
  <c r="AY484" i="20"/>
  <c r="BA128" i="20"/>
  <c r="AX208" i="20"/>
  <c r="AZ484" i="20"/>
  <c r="BG509" i="20"/>
  <c r="BB385" i="20"/>
  <c r="BD410" i="20"/>
  <c r="BC385" i="20"/>
  <c r="BD471" i="20"/>
  <c r="BE510" i="20" l="1"/>
  <c r="BD164" i="20"/>
  <c r="BB410" i="20"/>
  <c r="BB471" i="20"/>
  <c r="BA197" i="20"/>
  <c r="BD484" i="20"/>
  <c r="BH506" i="20"/>
  <c r="BJ506" i="20"/>
  <c r="BG385" i="20"/>
  <c r="BF509" i="20"/>
  <c r="BF510" i="20"/>
  <c r="BC410" i="20"/>
  <c r="BC471" i="20"/>
  <c r="BG510" i="20"/>
  <c r="BC484" i="20" l="1"/>
  <c r="BG410" i="20"/>
  <c r="BE385" i="20"/>
  <c r="BF385" i="20"/>
  <c r="BG471" i="20"/>
  <c r="BJ509" i="20"/>
  <c r="BJ385" i="20" s="1"/>
  <c r="BH509" i="20"/>
  <c r="BI506" i="20" s="1"/>
  <c r="BA208" i="20"/>
  <c r="BD128" i="20"/>
  <c r="BB484" i="20"/>
  <c r="BH510" i="20" l="1"/>
  <c r="BF410" i="20"/>
  <c r="BF471" i="20"/>
  <c r="BG164" i="20"/>
  <c r="BI509" i="20"/>
  <c r="BI510" i="20" s="1"/>
  <c r="BD197" i="20"/>
  <c r="BJ471" i="20"/>
  <c r="BJ410" i="20"/>
  <c r="BH385" i="20"/>
  <c r="BI385" i="20"/>
  <c r="BG484" i="20"/>
  <c r="BE471" i="20"/>
  <c r="BE410" i="20"/>
  <c r="BJ510" i="20"/>
  <c r="BD208" i="20" l="1"/>
  <c r="BI410" i="20"/>
  <c r="BI471" i="20"/>
  <c r="BG128" i="20"/>
  <c r="BJ164" i="20"/>
  <c r="BJ484" i="20"/>
  <c r="BE484" i="20"/>
  <c r="BF484" i="20"/>
  <c r="BH471" i="20"/>
  <c r="BH410" i="20"/>
  <c r="BJ128" i="20" l="1"/>
  <c r="BH484" i="20"/>
  <c r="BI484" i="20"/>
  <c r="BG197" i="20"/>
  <c r="BJ197" i="20" l="1"/>
  <c r="BG208" i="20"/>
  <c r="BJ208" i="20" l="1"/>
  <c r="AU461" i="20"/>
  <c r="AU472" i="20" s="1"/>
  <c r="AU165" i="20" s="1"/>
  <c r="AU485" i="20"/>
  <c r="AT386" i="20"/>
  <c r="AU515" i="20"/>
  <c r="AV512" i="20" s="1"/>
  <c r="AX512" i="20"/>
  <c r="AX515" i="20" s="1"/>
  <c r="AV516" i="20" l="1"/>
  <c r="AV514" i="20"/>
  <c r="AW514" i="20" s="1"/>
  <c r="AY512" i="20"/>
  <c r="AX386" i="20"/>
  <c r="BA512" i="20"/>
  <c r="AX516" i="20"/>
  <c r="AU516" i="20"/>
  <c r="AU514" i="20"/>
  <c r="AT515" i="20"/>
  <c r="AT461" i="20"/>
  <c r="AT485" i="20" s="1"/>
  <c r="AT516" i="20" l="1"/>
  <c r="AT514" i="20"/>
  <c r="BA515" i="20"/>
  <c r="AW512" i="20"/>
  <c r="AT472" i="20"/>
  <c r="AX411" i="20"/>
  <c r="AX472" i="20"/>
  <c r="AW386" i="20"/>
  <c r="AU129" i="20"/>
  <c r="AU198" i="20" s="1"/>
  <c r="AU209" i="20" s="1"/>
  <c r="AY515" i="20"/>
  <c r="AZ512" i="20" s="1"/>
  <c r="AX165" i="20" l="1"/>
  <c r="AX129" i="20" s="1"/>
  <c r="AW515" i="20"/>
  <c r="AW516" i="20" s="1"/>
  <c r="AW411" i="20"/>
  <c r="AW472" i="20"/>
  <c r="BB512" i="20"/>
  <c r="BA386" i="20"/>
  <c r="BD512" i="20"/>
  <c r="BA516" i="20"/>
  <c r="AZ515" i="20"/>
  <c r="AZ516" i="20"/>
  <c r="AX485" i="20"/>
  <c r="AY516" i="20"/>
  <c r="AW485" i="20" l="1"/>
  <c r="BD515" i="20"/>
  <c r="AY386" i="20"/>
  <c r="AZ386" i="20"/>
  <c r="BA411" i="20"/>
  <c r="BA472" i="20"/>
  <c r="BB515" i="20"/>
  <c r="BC512" i="20" s="1"/>
  <c r="AX198" i="20" l="1"/>
  <c r="AX209" i="20" s="1"/>
  <c r="BC515" i="20"/>
  <c r="BC516" i="20" s="1"/>
  <c r="AY411" i="20"/>
  <c r="AY472" i="20"/>
  <c r="BA165" i="20"/>
  <c r="AZ472" i="20"/>
  <c r="AZ411" i="20"/>
  <c r="BB516" i="20"/>
  <c r="BA485" i="20"/>
  <c r="BE512" i="20"/>
  <c r="BG512" i="20"/>
  <c r="BD386" i="20"/>
  <c r="BD516" i="20"/>
  <c r="AY485" i="20" l="1"/>
  <c r="BD411" i="20"/>
  <c r="BB386" i="20"/>
  <c r="BC386" i="20"/>
  <c r="BD472" i="20"/>
  <c r="BA129" i="20"/>
  <c r="BG515" i="20"/>
  <c r="AZ485" i="20"/>
  <c r="BE515" i="20"/>
  <c r="BF512" i="20" s="1"/>
  <c r="BH512" i="20" l="1"/>
  <c r="BJ512" i="20"/>
  <c r="BG386" i="20"/>
  <c r="BC411" i="20"/>
  <c r="BC472" i="20"/>
  <c r="BD485" i="20"/>
  <c r="BA198" i="20"/>
  <c r="BF515" i="20"/>
  <c r="BF516" i="20" s="1"/>
  <c r="BG516" i="20"/>
  <c r="BE516" i="20"/>
  <c r="BB411" i="20"/>
  <c r="BB472" i="20"/>
  <c r="BD165" i="20"/>
  <c r="BA209" i="20" l="1"/>
  <c r="BC485" i="20"/>
  <c r="BD129" i="20"/>
  <c r="BB485" i="20"/>
  <c r="BE386" i="20"/>
  <c r="BG411" i="20"/>
  <c r="BF386" i="20"/>
  <c r="BG472" i="20"/>
  <c r="BJ515" i="20"/>
  <c r="BJ386" i="20" s="1"/>
  <c r="BH515" i="20"/>
  <c r="BI512" i="20" s="1"/>
  <c r="BH516" i="20"/>
  <c r="BJ516" i="20" l="1"/>
  <c r="BG165" i="20"/>
  <c r="BF411" i="20"/>
  <c r="BF472" i="20"/>
  <c r="BG485" i="20"/>
  <c r="BD198" i="20"/>
  <c r="BD209" i="20" s="1"/>
  <c r="BI515" i="20"/>
  <c r="BI516" i="20" s="1"/>
  <c r="BE411" i="20"/>
  <c r="BE472" i="20"/>
  <c r="BJ411" i="20"/>
  <c r="BH386" i="20"/>
  <c r="BI386" i="20"/>
  <c r="BJ472" i="20"/>
  <c r="BE485" i="20" l="1"/>
  <c r="BJ485" i="20"/>
  <c r="BI411" i="20"/>
  <c r="BI472" i="20"/>
  <c r="BG129" i="20"/>
  <c r="BF485" i="20"/>
  <c r="BH411" i="20"/>
  <c r="BH472" i="20"/>
  <c r="BJ165" i="20"/>
  <c r="BJ129" i="20" l="1"/>
  <c r="BI485" i="20"/>
  <c r="BG198" i="20"/>
  <c r="BG209" i="20" s="1"/>
  <c r="BH485" i="20"/>
  <c r="BJ198" i="20" l="1"/>
  <c r="BJ209" i="20" l="1"/>
  <c r="AU462" i="20"/>
  <c r="AT387" i="20"/>
  <c r="AT521" i="20" s="1"/>
  <c r="AU473" i="20"/>
  <c r="AU166" i="20" s="1"/>
  <c r="AU130" i="20" s="1"/>
  <c r="AU199" i="20" s="1"/>
  <c r="AU210" i="20" s="1"/>
  <c r="AU521" i="20"/>
  <c r="AX518" i="20"/>
  <c r="AX521" i="20" s="1"/>
  <c r="AY518" i="20" s="1"/>
  <c r="BA518" i="20" l="1"/>
  <c r="BA521" i="20" s="1"/>
  <c r="BD518" i="20" s="1"/>
  <c r="AT462" i="20"/>
  <c r="AT473" i="20" s="1"/>
  <c r="AX387" i="20"/>
  <c r="AX473" i="20" s="1"/>
  <c r="AX166" i="20" s="1"/>
  <c r="AU486" i="20"/>
  <c r="AU520" i="20"/>
  <c r="AV518" i="20"/>
  <c r="BD521" i="20"/>
  <c r="BA522" i="20"/>
  <c r="AU522" i="20"/>
  <c r="AX522" i="20"/>
  <c r="BB518" i="20"/>
  <c r="BA387" i="20"/>
  <c r="AX412" i="20"/>
  <c r="AW387" i="20"/>
  <c r="AY521" i="20"/>
  <c r="AZ518" i="20" s="1"/>
  <c r="AT520" i="20"/>
  <c r="AT522" i="20"/>
  <c r="AV522" i="20" l="1"/>
  <c r="AV520" i="20"/>
  <c r="AW520" i="20" s="1"/>
  <c r="AT486" i="20"/>
  <c r="AX130" i="20"/>
  <c r="BA412" i="20"/>
  <c r="AZ387" i="20"/>
  <c r="BA473" i="20"/>
  <c r="AY387" i="20"/>
  <c r="AZ521" i="20"/>
  <c r="AZ522" i="20" s="1"/>
  <c r="AY522" i="20"/>
  <c r="AW473" i="20"/>
  <c r="AW412" i="20"/>
  <c r="AX486" i="20"/>
  <c r="BE518" i="20"/>
  <c r="BG518" i="20"/>
  <c r="BD387" i="20"/>
  <c r="AW518" i="20"/>
  <c r="BB521" i="20"/>
  <c r="BC518" i="20" s="1"/>
  <c r="BD522" i="20"/>
  <c r="BD412" i="20" l="1"/>
  <c r="BC387" i="20"/>
  <c r="BB387" i="20"/>
  <c r="BD473" i="20"/>
  <c r="BG521" i="20"/>
  <c r="BE521" i="20"/>
  <c r="BF518" i="20" s="1"/>
  <c r="AX199" i="20"/>
  <c r="BC521" i="20"/>
  <c r="BC522" i="20" s="1"/>
  <c r="AW486" i="20"/>
  <c r="AY473" i="20"/>
  <c r="AY412" i="20"/>
  <c r="BB522" i="20"/>
  <c r="BA166" i="20"/>
  <c r="AZ473" i="20"/>
  <c r="AZ412" i="20"/>
  <c r="AW521" i="20"/>
  <c r="AW522" i="20"/>
  <c r="BA486" i="20"/>
  <c r="BE522" i="20" l="1"/>
  <c r="BF521" i="20"/>
  <c r="BF522" i="20" s="1"/>
  <c r="AZ486" i="20"/>
  <c r="AY486" i="20"/>
  <c r="BB473" i="20"/>
  <c r="BB412" i="20"/>
  <c r="BJ518" i="20"/>
  <c r="BH518" i="20"/>
  <c r="BG387" i="20"/>
  <c r="BC473" i="20"/>
  <c r="BC412" i="20"/>
  <c r="BA130" i="20"/>
  <c r="BG522" i="20"/>
  <c r="BD166" i="20"/>
  <c r="AX210" i="20"/>
  <c r="BD486" i="20"/>
  <c r="BG412" i="20" l="1"/>
  <c r="BF387" i="20"/>
  <c r="BE387" i="20"/>
  <c r="BG473" i="20"/>
  <c r="BA199" i="20"/>
  <c r="BH522" i="20"/>
  <c r="BH521" i="20"/>
  <c r="BI518" i="20" s="1"/>
  <c r="BJ521" i="20"/>
  <c r="BJ387" i="20" s="1"/>
  <c r="BD130" i="20"/>
  <c r="BC486" i="20"/>
  <c r="BB486" i="20"/>
  <c r="BG166" i="20" l="1"/>
  <c r="BG486" i="20"/>
  <c r="BA210" i="20"/>
  <c r="BJ412" i="20"/>
  <c r="BH387" i="20"/>
  <c r="BJ473" i="20"/>
  <c r="BI387" i="20"/>
  <c r="BJ522" i="20"/>
  <c r="BE412" i="20"/>
  <c r="BE473" i="20"/>
  <c r="BD199" i="20"/>
  <c r="BD210" i="20" s="1"/>
  <c r="BI521" i="20"/>
  <c r="BI522" i="20" s="1"/>
  <c r="BF473" i="20"/>
  <c r="BF412" i="20"/>
  <c r="BF486" i="20" l="1"/>
  <c r="BI473" i="20"/>
  <c r="BI412" i="20"/>
  <c r="BE486" i="20"/>
  <c r="BH473" i="20"/>
  <c r="BH412" i="20"/>
  <c r="BG130" i="20"/>
  <c r="BJ486" i="20"/>
  <c r="BJ166" i="20"/>
  <c r="BG199" i="20" l="1"/>
  <c r="BH486" i="20"/>
  <c r="BI486" i="20"/>
  <c r="BJ130" i="20"/>
  <c r="BJ199" i="20" l="1"/>
  <c r="BJ210" i="20" s="1"/>
  <c r="BG210" i="20"/>
  <c r="AU463" i="20"/>
  <c r="AT388" i="20"/>
  <c r="AU527" i="20"/>
  <c r="AV524" i="20" s="1"/>
  <c r="AU474" i="20"/>
  <c r="AU167" i="20" s="1"/>
  <c r="AV528" i="20" l="1"/>
  <c r="AV526" i="20"/>
  <c r="AW526" i="20" s="1"/>
  <c r="AU526" i="20"/>
  <c r="AU528" i="20"/>
  <c r="AX524" i="20"/>
  <c r="AU487" i="20"/>
  <c r="AT527" i="20"/>
  <c r="AT463" i="20"/>
  <c r="AT474" i="20" s="1"/>
  <c r="AT487" i="20" l="1"/>
  <c r="AU131" i="20"/>
  <c r="AU200" i="20" s="1"/>
  <c r="AU211" i="20" s="1"/>
  <c r="AX527" i="20"/>
  <c r="AT526" i="20"/>
  <c r="AT528" i="20"/>
  <c r="AW524" i="20"/>
  <c r="AX388" i="20" l="1"/>
  <c r="BA524" i="20"/>
  <c r="AY524" i="20"/>
  <c r="AX528" i="20"/>
  <c r="AW527" i="20"/>
  <c r="AW528" i="20" s="1"/>
  <c r="AY527" i="20" l="1"/>
  <c r="AZ524" i="20" s="1"/>
  <c r="BA527" i="20"/>
  <c r="AX413" i="20"/>
  <c r="AW388" i="20"/>
  <c r="AX474" i="20"/>
  <c r="AY528" i="20" l="1"/>
  <c r="BA388" i="20"/>
  <c r="BB524" i="20"/>
  <c r="BD524" i="20"/>
  <c r="AX487" i="20"/>
  <c r="BA528" i="20"/>
  <c r="AX167" i="20"/>
  <c r="AW474" i="20"/>
  <c r="AW413" i="20"/>
  <c r="AZ527" i="20"/>
  <c r="AZ528" i="20"/>
  <c r="AX131" i="20" l="1"/>
  <c r="AW487" i="20"/>
  <c r="BD527" i="20"/>
  <c r="BB527" i="20"/>
  <c r="BC524" i="20" s="1"/>
  <c r="BA413" i="20"/>
  <c r="AZ388" i="20"/>
  <c r="AY388" i="20"/>
  <c r="BA474" i="20"/>
  <c r="AY474" i="20" l="1"/>
  <c r="AY413" i="20"/>
  <c r="AZ474" i="20"/>
  <c r="AZ413" i="20"/>
  <c r="BA487" i="20"/>
  <c r="BE524" i="20"/>
  <c r="BD388" i="20"/>
  <c r="BG524" i="20"/>
  <c r="BD528" i="20"/>
  <c r="AX200" i="20"/>
  <c r="BC527" i="20"/>
  <c r="BC528" i="20" s="1"/>
  <c r="BB528" i="20"/>
  <c r="BA167" i="20"/>
  <c r="BG527" i="20" l="1"/>
  <c r="BD413" i="20"/>
  <c r="BC388" i="20"/>
  <c r="BD474" i="20"/>
  <c r="BB388" i="20"/>
  <c r="AZ487" i="20"/>
  <c r="BA131" i="20"/>
  <c r="BE527" i="20"/>
  <c r="BF524" i="20" s="1"/>
  <c r="AY487" i="20"/>
  <c r="AX211" i="20"/>
  <c r="BE528" i="20" l="1"/>
  <c r="BJ524" i="20"/>
  <c r="BH524" i="20"/>
  <c r="BG388" i="20"/>
  <c r="BB474" i="20"/>
  <c r="BB413" i="20"/>
  <c r="BG528" i="20"/>
  <c r="BF527" i="20"/>
  <c r="BF528" i="20" s="1"/>
  <c r="BD167" i="20"/>
  <c r="BA200" i="20"/>
  <c r="BD487" i="20"/>
  <c r="BC474" i="20"/>
  <c r="BC413" i="20"/>
  <c r="BD131" i="20" l="1"/>
  <c r="BG413" i="20"/>
  <c r="BF388" i="20"/>
  <c r="BG474" i="20"/>
  <c r="BE388" i="20"/>
  <c r="BH527" i="20"/>
  <c r="BI524" i="20" s="1"/>
  <c r="BH528" i="20"/>
  <c r="BC487" i="20"/>
  <c r="BJ527" i="20"/>
  <c r="BJ388" i="20" s="1"/>
  <c r="BA211" i="20"/>
  <c r="BB487" i="20"/>
  <c r="BG487" i="20" l="1"/>
  <c r="BI527" i="20"/>
  <c r="BI528" i="20" s="1"/>
  <c r="BE474" i="20"/>
  <c r="BE413" i="20"/>
  <c r="BJ474" i="20"/>
  <c r="BJ413" i="20"/>
  <c r="BH388" i="20"/>
  <c r="BI388" i="20"/>
  <c r="BG167" i="20"/>
  <c r="BD200" i="20"/>
  <c r="BJ528" i="20"/>
  <c r="BF474" i="20"/>
  <c r="BF413" i="20"/>
  <c r="BJ487" i="20" l="1"/>
  <c r="BI474" i="20"/>
  <c r="BI413" i="20"/>
  <c r="BH474" i="20"/>
  <c r="BH413" i="20"/>
  <c r="BD211" i="20"/>
  <c r="BF487" i="20"/>
  <c r="BG131" i="20"/>
  <c r="BJ167" i="20"/>
  <c r="BE487" i="20"/>
  <c r="BI487" i="20" l="1"/>
  <c r="BH487" i="20"/>
  <c r="BJ131" i="20"/>
  <c r="BG200" i="20"/>
  <c r="BJ200" i="20" l="1"/>
  <c r="BJ211" i="20" s="1"/>
  <c r="BG211" i="20"/>
  <c r="AU464" i="20"/>
  <c r="AU475" i="20" s="1"/>
  <c r="AT389" i="20"/>
  <c r="AU533" i="20"/>
  <c r="AV530" i="20" s="1"/>
  <c r="AV534" i="20" l="1"/>
  <c r="AV532" i="20"/>
  <c r="AW532" i="20" s="1"/>
  <c r="AU168" i="20"/>
  <c r="AU132" i="20" s="1"/>
  <c r="AX530" i="20"/>
  <c r="AX533" i="20" s="1"/>
  <c r="AY530" i="20" s="1"/>
  <c r="AU532" i="20"/>
  <c r="AU534" i="20"/>
  <c r="AT533" i="20"/>
  <c r="AT464" i="20"/>
  <c r="AT488" i="20" s="1"/>
  <c r="AU488" i="20"/>
  <c r="AX389" i="20" l="1"/>
  <c r="BA530" i="20"/>
  <c r="BA533" i="20" s="1"/>
  <c r="AY533" i="20"/>
  <c r="AZ530" i="20" s="1"/>
  <c r="AZ533" i="20" s="1"/>
  <c r="AZ534" i="20" s="1"/>
  <c r="AU201" i="20"/>
  <c r="AU212" i="20" s="1"/>
  <c r="BD530" i="20"/>
  <c r="BD533" i="20" s="1"/>
  <c r="BA534" i="20"/>
  <c r="AX534" i="20"/>
  <c r="AT475" i="20"/>
  <c r="AT534" i="20"/>
  <c r="AT532" i="20"/>
  <c r="AW530" i="20"/>
  <c r="AX414" i="20"/>
  <c r="AW389" i="20"/>
  <c r="AX475" i="20"/>
  <c r="BA389" i="20" l="1"/>
  <c r="BB530" i="20"/>
  <c r="BB533" i="20" s="1"/>
  <c r="BC530" i="20" s="1"/>
  <c r="BC533" i="20" s="1"/>
  <c r="BC534" i="20" s="1"/>
  <c r="AY534" i="20"/>
  <c r="BB534" i="20"/>
  <c r="AW533" i="20"/>
  <c r="AW534" i="20" s="1"/>
  <c r="AW414" i="20"/>
  <c r="AW475" i="20"/>
  <c r="BE530" i="20"/>
  <c r="BG530" i="20"/>
  <c r="BD389" i="20"/>
  <c r="BD534" i="20"/>
  <c r="AX168" i="20"/>
  <c r="AX488" i="20"/>
  <c r="BA414" i="20" l="1"/>
  <c r="AZ389" i="20"/>
  <c r="BA475" i="20"/>
  <c r="BA168" i="20" s="1"/>
  <c r="AY389" i="20"/>
  <c r="BA488" i="20"/>
  <c r="AW488" i="20"/>
  <c r="BD414" i="20"/>
  <c r="BB389" i="20"/>
  <c r="BC389" i="20"/>
  <c r="BD475" i="20"/>
  <c r="AX132" i="20"/>
  <c r="BG533" i="20"/>
  <c r="BA132" i="20"/>
  <c r="BE533" i="20"/>
  <c r="BF530" i="20" s="1"/>
  <c r="AY414" i="20" l="1"/>
  <c r="AY475" i="20"/>
  <c r="AY488" i="20"/>
  <c r="AZ414" i="20"/>
  <c r="AZ488" i="20"/>
  <c r="AZ475" i="20"/>
  <c r="BA201" i="20"/>
  <c r="BD168" i="20"/>
  <c r="BF533" i="20"/>
  <c r="BF534" i="20" s="1"/>
  <c r="BH530" i="20"/>
  <c r="BJ530" i="20"/>
  <c r="BG389" i="20"/>
  <c r="BC414" i="20"/>
  <c r="BC475" i="20"/>
  <c r="BE534" i="20"/>
  <c r="BG534" i="20"/>
  <c r="BD488" i="20"/>
  <c r="AX201" i="20"/>
  <c r="BB414" i="20"/>
  <c r="BB475" i="20"/>
  <c r="BE389" i="20" l="1"/>
  <c r="BG414" i="20"/>
  <c r="BF389" i="20"/>
  <c r="BG475" i="20"/>
  <c r="BJ533" i="20"/>
  <c r="BH533" i="20"/>
  <c r="BI530" i="20" s="1"/>
  <c r="BD132" i="20"/>
  <c r="BB488" i="20"/>
  <c r="AX212" i="20"/>
  <c r="BA212" i="20"/>
  <c r="BC488" i="20"/>
  <c r="BJ389" i="20" l="1"/>
  <c r="BD201" i="20"/>
  <c r="BJ534" i="20"/>
  <c r="BG168" i="20"/>
  <c r="BF414" i="20"/>
  <c r="BF475" i="20"/>
  <c r="BI533" i="20"/>
  <c r="BI534" i="20" s="1"/>
  <c r="BE475" i="20"/>
  <c r="BE414" i="20"/>
  <c r="BH534" i="20"/>
  <c r="BG488" i="20"/>
  <c r="BF488" i="20" l="1"/>
  <c r="BE488" i="20"/>
  <c r="BD212" i="20"/>
  <c r="BG132" i="20"/>
  <c r="BJ475" i="20"/>
  <c r="BJ414" i="20"/>
  <c r="BI389" i="20"/>
  <c r="BH389" i="20"/>
  <c r="BJ488" i="20" l="1"/>
  <c r="BG201" i="20"/>
  <c r="BH414" i="20"/>
  <c r="BH475" i="20"/>
  <c r="BI414" i="20"/>
  <c r="BI475" i="20"/>
  <c r="BJ168" i="20"/>
  <c r="BI488" i="20" l="1"/>
  <c r="BG212" i="20"/>
  <c r="BJ132" i="20"/>
  <c r="BH488" i="20"/>
  <c r="BJ201" i="20" l="1"/>
  <c r="BJ212" i="20" l="1"/>
  <c r="AT392" i="20"/>
  <c r="AU467" i="20"/>
  <c r="AU478" i="20" s="1"/>
  <c r="AU171" i="20" s="1"/>
  <c r="AU491" i="20"/>
  <c r="AT551" i="20" l="1"/>
  <c r="AU552" i="20"/>
  <c r="AU550" i="20"/>
  <c r="AX548" i="20"/>
  <c r="AU135" i="20"/>
  <c r="AT552" i="20"/>
  <c r="AT550" i="20"/>
  <c r="AT467" i="20"/>
  <c r="AT478" i="20" s="1"/>
  <c r="AU204" i="20" l="1"/>
  <c r="AU215" i="20" s="1"/>
  <c r="AX551" i="20"/>
  <c r="AX552" i="20"/>
  <c r="AW548" i="20"/>
  <c r="AT491" i="20"/>
  <c r="AW551" i="20" l="1"/>
  <c r="AW552" i="20" s="1"/>
  <c r="AY548" i="20"/>
  <c r="AX392" i="20"/>
  <c r="BA548" i="20"/>
  <c r="BA551" i="20" l="1"/>
  <c r="AW392" i="20"/>
  <c r="AX478" i="20"/>
  <c r="AX491" i="20"/>
  <c r="AX417" i="20"/>
  <c r="AY551" i="20"/>
  <c r="AZ548" i="20" s="1"/>
  <c r="AZ551" i="20" l="1"/>
  <c r="AZ552" i="20" s="1"/>
  <c r="AX171" i="20"/>
  <c r="AX135" i="20" s="1"/>
  <c r="AW417" i="20"/>
  <c r="AW491" i="20"/>
  <c r="AW478" i="20"/>
  <c r="BB548" i="20"/>
  <c r="BD548" i="20"/>
  <c r="BA392" i="20"/>
  <c r="AY552" i="20"/>
  <c r="BA552" i="20"/>
  <c r="AX204" i="20" l="1"/>
  <c r="AX215" i="20" s="1"/>
  <c r="AZ392" i="20"/>
  <c r="AY392" i="20"/>
  <c r="BA491" i="20"/>
  <c r="BA478" i="20"/>
  <c r="BA417" i="20"/>
  <c r="BD551" i="20"/>
  <c r="BB551" i="20"/>
  <c r="BC548" i="20" s="1"/>
  <c r="BB552" i="20" l="1"/>
  <c r="BA171" i="20"/>
  <c r="BA135" i="20" s="1"/>
  <c r="AY417" i="20"/>
  <c r="AY478" i="20"/>
  <c r="AY491" i="20"/>
  <c r="AZ491" i="20"/>
  <c r="AZ417" i="20"/>
  <c r="AZ478" i="20"/>
  <c r="BC551" i="20"/>
  <c r="BC552" i="20" s="1"/>
  <c r="BD392" i="20"/>
  <c r="BG548" i="20"/>
  <c r="BE548" i="20"/>
  <c r="BD552" i="20"/>
  <c r="BE551" i="20" l="1"/>
  <c r="BF548" i="20" s="1"/>
  <c r="BG551" i="20"/>
  <c r="BD478" i="20"/>
  <c r="BD491" i="20"/>
  <c r="BB392" i="20"/>
  <c r="BD417" i="20"/>
  <c r="BC392" i="20"/>
  <c r="BA204" i="20"/>
  <c r="BA215" i="20" s="1"/>
  <c r="BB491" i="20" l="1"/>
  <c r="BB478" i="20"/>
  <c r="BB417" i="20"/>
  <c r="BD171" i="20"/>
  <c r="BH548" i="20"/>
  <c r="BG392" i="20"/>
  <c r="BJ548" i="20"/>
  <c r="BG552" i="20"/>
  <c r="BF551" i="20"/>
  <c r="BF552" i="20" s="1"/>
  <c r="BC417" i="20"/>
  <c r="BC491" i="20"/>
  <c r="BC478" i="20"/>
  <c r="BE552" i="20"/>
  <c r="BD135" i="20" l="1"/>
  <c r="BJ551" i="20"/>
  <c r="BJ392" i="20" s="1"/>
  <c r="BG478" i="20"/>
  <c r="BG491" i="20"/>
  <c r="BF392" i="20"/>
  <c r="BG417" i="20"/>
  <c r="BE392" i="20"/>
  <c r="BH551" i="20"/>
  <c r="BI548" i="20" s="1"/>
  <c r="BD204" i="20" l="1"/>
  <c r="BD215" i="20" s="1"/>
  <c r="BI551" i="20"/>
  <c r="BI552" i="20" s="1"/>
  <c r="BE417" i="20"/>
  <c r="BE478" i="20"/>
  <c r="BE491" i="20"/>
  <c r="BF417" i="20"/>
  <c r="BF478" i="20"/>
  <c r="BF491" i="20"/>
  <c r="BG171" i="20"/>
  <c r="BG135" i="20" s="1"/>
  <c r="BJ417" i="20"/>
  <c r="BJ491" i="20"/>
  <c r="BJ478" i="20"/>
  <c r="BJ171" i="20" s="1"/>
  <c r="BJ135" i="20" s="1"/>
  <c r="BH392" i="20"/>
  <c r="BI392" i="20"/>
  <c r="BH552" i="20"/>
  <c r="BJ552" i="20"/>
  <c r="BJ204" i="20" l="1"/>
  <c r="BJ215" i="20" s="1"/>
  <c r="BH478" i="20"/>
  <c r="BH417" i="20"/>
  <c r="BH491" i="20"/>
  <c r="BI491" i="20"/>
  <c r="BI478" i="20"/>
  <c r="BI417" i="20"/>
  <c r="BG204" i="20"/>
  <c r="BG215" i="20" s="1"/>
  <c r="AU466" i="20"/>
  <c r="AU490" i="20"/>
  <c r="AU393" i="20"/>
  <c r="AU394" i="20" s="1"/>
  <c r="AU402" i="20" s="1"/>
  <c r="AT391" i="20"/>
  <c r="AU477" i="20"/>
  <c r="AU465" i="20"/>
  <c r="AU476" i="20" s="1"/>
  <c r="AT390" i="20"/>
  <c r="AU545" i="20"/>
  <c r="AV542" i="20" s="1"/>
  <c r="AU539" i="20"/>
  <c r="AV536" i="20" s="1"/>
  <c r="AU479" i="20" l="1"/>
  <c r="AU480" i="20" s="1"/>
  <c r="AU169" i="20"/>
  <c r="AU170" i="20"/>
  <c r="AU134" i="20" s="1"/>
  <c r="AU203" i="20" s="1"/>
  <c r="AU214" i="20" s="1"/>
  <c r="AV540" i="20"/>
  <c r="AV538" i="20"/>
  <c r="AW538" i="20" s="1"/>
  <c r="AV546" i="20"/>
  <c r="AV544" i="20"/>
  <c r="AW544" i="20" s="1"/>
  <c r="AU447" i="20"/>
  <c r="AU448" i="20" s="1"/>
  <c r="AU455" i="20" s="1"/>
  <c r="AU489" i="20"/>
  <c r="AU492" i="20" s="1"/>
  <c r="AU493" i="20" s="1"/>
  <c r="AU459" i="20"/>
  <c r="AU540" i="20"/>
  <c r="AU538" i="20"/>
  <c r="AX536" i="20"/>
  <c r="AU544" i="20"/>
  <c r="AU546" i="20"/>
  <c r="AX542" i="20"/>
  <c r="AT539" i="20"/>
  <c r="AT393" i="20"/>
  <c r="AT465" i="20"/>
  <c r="AT476" i="20" s="1"/>
  <c r="AU495" i="20"/>
  <c r="AU496" i="20" s="1"/>
  <c r="AT466" i="20"/>
  <c r="AT490" i="20" s="1"/>
  <c r="AT545" i="20"/>
  <c r="AT477" i="20" l="1"/>
  <c r="AT479" i="20" s="1"/>
  <c r="AT480" i="20" s="1"/>
  <c r="AT489" i="20"/>
  <c r="AT492" i="20" s="1"/>
  <c r="AT493" i="20" s="1"/>
  <c r="AT447" i="20"/>
  <c r="AT448" i="20" s="1"/>
  <c r="AT455" i="20" s="1"/>
  <c r="AW542" i="20"/>
  <c r="AT544" i="20"/>
  <c r="AT546" i="20"/>
  <c r="AT459" i="20"/>
  <c r="AT394" i="20"/>
  <c r="AT402" i="20" s="1"/>
  <c r="AU162" i="20"/>
  <c r="AU150" i="20"/>
  <c r="AU133" i="20"/>
  <c r="AU202" i="20" s="1"/>
  <c r="AU213" i="20" s="1"/>
  <c r="AX539" i="20"/>
  <c r="AX540" i="20" s="1"/>
  <c r="AT540" i="20"/>
  <c r="AT538" i="20"/>
  <c r="AX545" i="20"/>
  <c r="AX546" i="20" s="1"/>
  <c r="AX391" i="20" s="1"/>
  <c r="AW536" i="20"/>
  <c r="AT495" i="20" l="1"/>
  <c r="AT496" i="20" s="1"/>
  <c r="AX490" i="20"/>
  <c r="AW391" i="20"/>
  <c r="AX477" i="20"/>
  <c r="AX416" i="20"/>
  <c r="AW545" i="20"/>
  <c r="AW546" i="20" s="1"/>
  <c r="AY536" i="20"/>
  <c r="BA536" i="20"/>
  <c r="AX390" i="20"/>
  <c r="AW539" i="20"/>
  <c r="AW540" i="20" s="1"/>
  <c r="AT150" i="20"/>
  <c r="AU124" i="20"/>
  <c r="AU126" i="20" s="1"/>
  <c r="AU195" i="20"/>
  <c r="AS195" i="20" s="1"/>
  <c r="AU206" i="20"/>
  <c r="AY542" i="20"/>
  <c r="BA542" i="20"/>
  <c r="AU217" i="20" l="1"/>
  <c r="AU137" i="20"/>
  <c r="AU125" i="20"/>
  <c r="AY539" i="20"/>
  <c r="AZ536" i="20" s="1"/>
  <c r="BA545" i="20"/>
  <c r="BA546" i="20" s="1"/>
  <c r="BA391" i="20" s="1"/>
  <c r="AY545" i="20"/>
  <c r="AZ542" i="20" s="1"/>
  <c r="AX170" i="20"/>
  <c r="AX134" i="20" s="1"/>
  <c r="AX393" i="20"/>
  <c r="AX394" i="20" s="1"/>
  <c r="AX402" i="20" s="1"/>
  <c r="AX415" i="20"/>
  <c r="AX418" i="20" s="1"/>
  <c r="AW390" i="20"/>
  <c r="AX476" i="20"/>
  <c r="AW490" i="20"/>
  <c r="AW416" i="20"/>
  <c r="AW477" i="20"/>
  <c r="AT195" i="20"/>
  <c r="AU184" i="20"/>
  <c r="BA539" i="20"/>
  <c r="AY540" i="20" l="1"/>
  <c r="BA416" i="20"/>
  <c r="BA477" i="20"/>
  <c r="BA490" i="20"/>
  <c r="AY391" i="20"/>
  <c r="AZ391" i="20"/>
  <c r="AY546" i="20"/>
  <c r="AU138" i="20"/>
  <c r="AX479" i="20"/>
  <c r="AX480" i="20" s="1"/>
  <c r="AX169" i="20"/>
  <c r="AX117" i="20" s="1"/>
  <c r="AX489" i="20"/>
  <c r="AX492" i="20" s="1"/>
  <c r="AX493" i="20" s="1"/>
  <c r="AX495" i="20" s="1"/>
  <c r="AX496" i="20" s="1"/>
  <c r="AX447" i="20"/>
  <c r="AX448" i="20" s="1"/>
  <c r="AX455" i="20" s="1"/>
  <c r="AW476" i="20"/>
  <c r="AW393" i="20"/>
  <c r="AW394" i="20" s="1"/>
  <c r="AW402" i="20" s="1"/>
  <c r="AW415" i="20"/>
  <c r="AX419" i="20"/>
  <c r="AX430" i="20"/>
  <c r="AX431" i="20" s="1"/>
  <c r="AX459" i="20"/>
  <c r="AZ545" i="20"/>
  <c r="AZ546" i="20" s="1"/>
  <c r="BB542" i="20"/>
  <c r="BD542" i="20"/>
  <c r="BA554" i="20"/>
  <c r="BB536" i="20"/>
  <c r="BD536" i="20"/>
  <c r="BA390" i="20"/>
  <c r="BA540" i="20"/>
  <c r="AX203" i="20"/>
  <c r="AX214" i="20" s="1"/>
  <c r="AU264" i="20"/>
  <c r="AU262" i="20"/>
  <c r="AU263" i="20"/>
  <c r="AV393" i="20"/>
  <c r="AV394" i="20" s="1"/>
  <c r="AV402" i="20" s="1"/>
  <c r="AZ539" i="20"/>
  <c r="AZ540" i="20" s="1"/>
  <c r="AV447" i="20" l="1"/>
  <c r="AV448" i="20" s="1"/>
  <c r="AV455" i="20" s="1"/>
  <c r="BB545" i="20"/>
  <c r="BC542" i="20" s="1"/>
  <c r="AW489" i="20"/>
  <c r="AW447" i="20"/>
  <c r="AW448" i="20" s="1"/>
  <c r="AW455" i="20" s="1"/>
  <c r="AU265" i="20"/>
  <c r="AU268" i="20" s="1"/>
  <c r="AX162" i="20"/>
  <c r="AX133" i="20"/>
  <c r="AX124" i="20" s="1"/>
  <c r="AX116" i="20" s="1"/>
  <c r="AX107" i="20" s="1"/>
  <c r="AX150" i="20"/>
  <c r="BD545" i="20"/>
  <c r="BD546" i="20"/>
  <c r="BD391" i="20" s="1"/>
  <c r="BD539" i="20"/>
  <c r="BD540" i="20" s="1"/>
  <c r="BA170" i="20"/>
  <c r="BA134" i="20" s="1"/>
  <c r="AZ490" i="20"/>
  <c r="AZ477" i="20"/>
  <c r="AZ416" i="20"/>
  <c r="AY477" i="20"/>
  <c r="AY490" i="20"/>
  <c r="AY416" i="20"/>
  <c r="AZ390" i="20"/>
  <c r="AY390" i="20"/>
  <c r="BA393" i="20"/>
  <c r="BA394" i="20" s="1"/>
  <c r="BA402" i="20" s="1"/>
  <c r="BA476" i="20"/>
  <c r="BA415" i="20"/>
  <c r="BA418" i="20" s="1"/>
  <c r="BB539" i="20"/>
  <c r="BC536" i="20" s="1"/>
  <c r="AW150" i="20" l="1"/>
  <c r="AW117" i="20" s="1"/>
  <c r="AY415" i="20"/>
  <c r="AY418" i="20" s="1"/>
  <c r="AY393" i="20"/>
  <c r="AY394" i="20" s="1"/>
  <c r="AY402" i="20" s="1"/>
  <c r="AY476" i="20"/>
  <c r="AY479" i="20" s="1"/>
  <c r="AY480" i="20" s="1"/>
  <c r="AX202" i="20"/>
  <c r="AX195" i="20" s="1"/>
  <c r="BC539" i="20"/>
  <c r="BC540" i="20" s="1"/>
  <c r="AZ415" i="20"/>
  <c r="AZ418" i="20" s="1"/>
  <c r="AZ476" i="20"/>
  <c r="AZ479" i="20" s="1"/>
  <c r="AZ480" i="20" s="1"/>
  <c r="AZ393" i="20"/>
  <c r="AZ394" i="20" s="1"/>
  <c r="AZ402" i="20" s="1"/>
  <c r="BC545" i="20"/>
  <c r="BC546" i="20" s="1"/>
  <c r="BB546" i="20"/>
  <c r="BE536" i="20"/>
  <c r="BD390" i="20"/>
  <c r="BG536" i="20"/>
  <c r="BA203" i="20"/>
  <c r="BA214" i="20" s="1"/>
  <c r="BA489" i="20"/>
  <c r="BA492" i="20" s="1"/>
  <c r="BA493" i="20" s="1"/>
  <c r="BA447" i="20"/>
  <c r="BA448" i="20" s="1"/>
  <c r="BA455" i="20" s="1"/>
  <c r="J5" i="53"/>
  <c r="AX49" i="20"/>
  <c r="AX52" i="20"/>
  <c r="AX121" i="20"/>
  <c r="AX122" i="20" s="1"/>
  <c r="AX118" i="20"/>
  <c r="BB540" i="20"/>
  <c r="BD477" i="20"/>
  <c r="BD490" i="20"/>
  <c r="BB391" i="20"/>
  <c r="BD416" i="20"/>
  <c r="BC391" i="20"/>
  <c r="BE542" i="20"/>
  <c r="BG542" i="20"/>
  <c r="AU271" i="20"/>
  <c r="BA459" i="20"/>
  <c r="BA430" i="20"/>
  <c r="BA431" i="20" s="1"/>
  <c r="BA419" i="20"/>
  <c r="BA479" i="20"/>
  <c r="BA480" i="20" s="1"/>
  <c r="BA169" i="20"/>
  <c r="BA495" i="20" l="1"/>
  <c r="BA496" i="20" s="1"/>
  <c r="AU272" i="20"/>
  <c r="AU273" i="20"/>
  <c r="AX107" i="6"/>
  <c r="AX108" i="6" s="1"/>
  <c r="AX109" i="6" s="1"/>
  <c r="AX112" i="6"/>
  <c r="AU27" i="20"/>
  <c r="BD170" i="20"/>
  <c r="BD134" i="20" s="1"/>
  <c r="BA162" i="20"/>
  <c r="BA117" i="20"/>
  <c r="BA133" i="20"/>
  <c r="BA150" i="20"/>
  <c r="AZ459" i="20"/>
  <c r="AZ430" i="20"/>
  <c r="AZ431" i="20" s="1"/>
  <c r="AZ419" i="20"/>
  <c r="BG545" i="20"/>
  <c r="BE545" i="20"/>
  <c r="BF542" i="20" s="1"/>
  <c r="BD415" i="20"/>
  <c r="BD418" i="20" s="1"/>
  <c r="BB390" i="20"/>
  <c r="BD393" i="20"/>
  <c r="BD394" i="20" s="1"/>
  <c r="BD402" i="20" s="1"/>
  <c r="BC390" i="20"/>
  <c r="BD476" i="20"/>
  <c r="AX213" i="20"/>
  <c r="AX206" i="20" s="1"/>
  <c r="AW52" i="20"/>
  <c r="AW49" i="20"/>
  <c r="AW121" i="20"/>
  <c r="AW122" i="20" s="1"/>
  <c r="AW118" i="20"/>
  <c r="AZ447" i="20"/>
  <c r="AZ448" i="20" s="1"/>
  <c r="AZ455" i="20" s="1"/>
  <c r="AZ489" i="20"/>
  <c r="AZ492" i="20" s="1"/>
  <c r="AZ493" i="20" s="1"/>
  <c r="AZ495" i="20" s="1"/>
  <c r="AY489" i="20"/>
  <c r="AY492" i="20" s="1"/>
  <c r="AY493" i="20" s="1"/>
  <c r="AY495" i="20" s="1"/>
  <c r="AY447" i="20"/>
  <c r="AY448" i="20" s="1"/>
  <c r="AY455" i="20" s="1"/>
  <c r="BC490" i="20"/>
  <c r="BC416" i="20"/>
  <c r="BC477" i="20"/>
  <c r="BA175" i="2"/>
  <c r="AX54" i="20"/>
  <c r="AX53" i="20"/>
  <c r="BG539" i="20"/>
  <c r="BG540" i="20" s="1"/>
  <c r="AY419" i="20"/>
  <c r="AY430" i="20"/>
  <c r="AY431" i="20" s="1"/>
  <c r="AY459" i="20"/>
  <c r="BB490" i="20"/>
  <c r="BB416" i="20"/>
  <c r="BB477" i="20"/>
  <c r="AX50" i="20"/>
  <c r="AX51" i="20"/>
  <c r="J8" i="53"/>
  <c r="J4" i="53"/>
  <c r="BE539" i="20"/>
  <c r="BF536" i="20" s="1"/>
  <c r="AX137" i="20"/>
  <c r="AX125" i="20"/>
  <c r="AV195" i="20"/>
  <c r="BD203" i="20" l="1"/>
  <c r="BD214" i="20" s="1"/>
  <c r="AW51" i="20"/>
  <c r="AW50" i="20"/>
  <c r="BE540" i="20"/>
  <c r="AY150" i="20"/>
  <c r="AZ150" i="20" s="1"/>
  <c r="AZ117" i="20" s="1"/>
  <c r="AW54" i="20"/>
  <c r="AW53" i="20"/>
  <c r="BE546" i="20"/>
  <c r="AX119" i="20"/>
  <c r="AX41" i="20"/>
  <c r="AX114" i="6"/>
  <c r="BF545" i="20"/>
  <c r="BF546" i="20" s="1"/>
  <c r="BH542" i="20"/>
  <c r="BJ542" i="20"/>
  <c r="BD419" i="20"/>
  <c r="BD430" i="20"/>
  <c r="BD431" i="20" s="1"/>
  <c r="BD459" i="20"/>
  <c r="AV118" i="20"/>
  <c r="AV121" i="20"/>
  <c r="AV122" i="20" s="1"/>
  <c r="AV49" i="20"/>
  <c r="BA49" i="20"/>
  <c r="BA121" i="20"/>
  <c r="BA122" i="20" s="1"/>
  <c r="BA118" i="20"/>
  <c r="BA52" i="20"/>
  <c r="K5" i="53"/>
  <c r="BD479" i="20"/>
  <c r="BD480" i="20" s="1"/>
  <c r="BD169" i="20"/>
  <c r="BD117" i="20" s="1"/>
  <c r="BD52" i="20" s="1"/>
  <c r="BD489" i="20"/>
  <c r="BD492" i="20" s="1"/>
  <c r="BD493" i="20" s="1"/>
  <c r="BD447" i="20"/>
  <c r="BD448" i="20" s="1"/>
  <c r="BD455" i="20" s="1"/>
  <c r="BF539" i="20"/>
  <c r="BF540" i="20" s="1"/>
  <c r="BA124" i="20"/>
  <c r="BA202" i="20"/>
  <c r="BA195" i="20" s="1"/>
  <c r="AU30" i="20"/>
  <c r="BK27" i="20"/>
  <c r="AX126" i="20"/>
  <c r="BG546" i="20"/>
  <c r="BG391" i="20" s="1"/>
  <c r="BC393" i="20"/>
  <c r="BC394" i="20" s="1"/>
  <c r="BC402" i="20" s="1"/>
  <c r="BC415" i="20"/>
  <c r="BC418" i="20" s="1"/>
  <c r="BC476" i="20"/>
  <c r="BC479" i="20" s="1"/>
  <c r="BC480" i="20" s="1"/>
  <c r="AX138" i="20"/>
  <c r="BJ536" i="20"/>
  <c r="BH536" i="20"/>
  <c r="BG390" i="20"/>
  <c r="BB393" i="20"/>
  <c r="BB394" i="20" s="1"/>
  <c r="BB402" i="20" s="1"/>
  <c r="BB415" i="20"/>
  <c r="BB418" i="20" s="1"/>
  <c r="BB476" i="20"/>
  <c r="BB479" i="20" s="1"/>
  <c r="BB480" i="20" s="1"/>
  <c r="AW195" i="20"/>
  <c r="AX120" i="20" l="1"/>
  <c r="BD495" i="20"/>
  <c r="BD496" i="20" s="1"/>
  <c r="BE390" i="20"/>
  <c r="BG415" i="20"/>
  <c r="BG393" i="20"/>
  <c r="BG394" i="20" s="1"/>
  <c r="BG402" i="20" s="1"/>
  <c r="BF390" i="20"/>
  <c r="BG476" i="20"/>
  <c r="AV50" i="20"/>
  <c r="AV51" i="20"/>
  <c r="BC419" i="20"/>
  <c r="BC430" i="20"/>
  <c r="BC431" i="20" s="1"/>
  <c r="BC459" i="20"/>
  <c r="BJ539" i="20"/>
  <c r="BC447" i="20"/>
  <c r="BC448" i="20" s="1"/>
  <c r="BC455" i="20" s="1"/>
  <c r="BC489" i="20"/>
  <c r="BC492" i="20" s="1"/>
  <c r="BC493" i="20" s="1"/>
  <c r="BC495" i="20" s="1"/>
  <c r="BC496" i="20" s="1"/>
  <c r="AX84" i="6"/>
  <c r="AX85" i="6" s="1"/>
  <c r="BK30" i="20"/>
  <c r="AU31" i="20"/>
  <c r="AU32" i="20"/>
  <c r="BA51" i="20"/>
  <c r="BL49" i="20"/>
  <c r="BA50" i="20"/>
  <c r="BH539" i="20"/>
  <c r="BI536" i="20" s="1"/>
  <c r="AX120" i="6"/>
  <c r="AZ52" i="20"/>
  <c r="AZ49" i="20"/>
  <c r="AZ121" i="20"/>
  <c r="AZ122" i="20" s="1"/>
  <c r="AZ118" i="20"/>
  <c r="AY117" i="20"/>
  <c r="AY124" i="20"/>
  <c r="AZ124" i="20" s="1"/>
  <c r="AY195" i="20"/>
  <c r="BA125" i="20"/>
  <c r="BA137" i="20"/>
  <c r="BA116" i="20"/>
  <c r="BA53" i="20"/>
  <c r="BD175" i="2"/>
  <c r="BA54" i="20"/>
  <c r="BL52" i="20"/>
  <c r="BH545" i="20"/>
  <c r="BI542" i="20" s="1"/>
  <c r="AX45" i="20"/>
  <c r="BD162" i="20"/>
  <c r="BD150" i="20"/>
  <c r="BD133" i="20"/>
  <c r="AV53" i="20"/>
  <c r="AV54" i="20"/>
  <c r="K4" i="53"/>
  <c r="K8" i="53"/>
  <c r="BJ545" i="20"/>
  <c r="BJ546" i="20"/>
  <c r="BJ391" i="20" s="1"/>
  <c r="AX73" i="20"/>
  <c r="AX108" i="20"/>
  <c r="AX105" i="20"/>
  <c r="AX184" i="20"/>
  <c r="AX217" i="20"/>
  <c r="BB430" i="20"/>
  <c r="BB431" i="20" s="1"/>
  <c r="BB419" i="20"/>
  <c r="BB459" i="20"/>
  <c r="BG477" i="20"/>
  <c r="BG490" i="20"/>
  <c r="BF391" i="20"/>
  <c r="BG416" i="20"/>
  <c r="BE391" i="20"/>
  <c r="BA213" i="20"/>
  <c r="BA206" i="20" s="1"/>
  <c r="BB489" i="20"/>
  <c r="BB492" i="20" s="1"/>
  <c r="BB493" i="20" s="1"/>
  <c r="BB495" i="20" s="1"/>
  <c r="BB496" i="20" s="1"/>
  <c r="BB447" i="20"/>
  <c r="BB448" i="20" s="1"/>
  <c r="BB455" i="20" s="1"/>
  <c r="AV124" i="20" l="1"/>
  <c r="AV108" i="20"/>
  <c r="BH546" i="20"/>
  <c r="BG418" i="20"/>
  <c r="BG459" i="20" s="1"/>
  <c r="AX86" i="6"/>
  <c r="AX90" i="6"/>
  <c r="BF476" i="20"/>
  <c r="BF415" i="20"/>
  <c r="BF393" i="20"/>
  <c r="BF394" i="20" s="1"/>
  <c r="BF402" i="20" s="1"/>
  <c r="BB150" i="20"/>
  <c r="BC150" i="20" s="1"/>
  <c r="BC117" i="20" s="1"/>
  <c r="BG170" i="20"/>
  <c r="BG134" i="20" s="1"/>
  <c r="AZ51" i="20"/>
  <c r="AZ50" i="20"/>
  <c r="BG447" i="20"/>
  <c r="BG448" i="20" s="1"/>
  <c r="BG455" i="20" s="1"/>
  <c r="BG489" i="20"/>
  <c r="BG492" i="20" s="1"/>
  <c r="BG493" i="20" s="1"/>
  <c r="BA41" i="20"/>
  <c r="BL116" i="20"/>
  <c r="BA119" i="20"/>
  <c r="BA120" i="20" s="1"/>
  <c r="BA107" i="20"/>
  <c r="BA217" i="20" s="1"/>
  <c r="AX124" i="6"/>
  <c r="BJ554" i="20"/>
  <c r="BK554" i="20" s="1"/>
  <c r="BJ390" i="20"/>
  <c r="BF490" i="20"/>
  <c r="BF416" i="20"/>
  <c r="BF477" i="20"/>
  <c r="BG479" i="20"/>
  <c r="BG480" i="20" s="1"/>
  <c r="BG169" i="20"/>
  <c r="BI539" i="20"/>
  <c r="BI540" i="20" s="1"/>
  <c r="AY137" i="20"/>
  <c r="AY206" i="20"/>
  <c r="AZ206" i="20" s="1"/>
  <c r="AY116" i="20"/>
  <c r="BH540" i="20"/>
  <c r="AY121" i="20"/>
  <c r="AY122" i="20" s="1"/>
  <c r="AY52" i="20"/>
  <c r="AY49" i="20"/>
  <c r="AY118" i="20"/>
  <c r="AZ53" i="20"/>
  <c r="AZ54" i="20"/>
  <c r="BJ540" i="20"/>
  <c r="BE393" i="20"/>
  <c r="BE394" i="20" s="1"/>
  <c r="BE402" i="20" s="1"/>
  <c r="BE476" i="20"/>
  <c r="BE415" i="20"/>
  <c r="AX35" i="20"/>
  <c r="AX104" i="20"/>
  <c r="AX86" i="20" s="1"/>
  <c r="BD124" i="20"/>
  <c r="BD202" i="20"/>
  <c r="BD195" i="20" s="1"/>
  <c r="AZ116" i="20"/>
  <c r="AZ119" i="20" s="1"/>
  <c r="AZ137" i="20"/>
  <c r="BD49" i="20"/>
  <c r="L5" i="53"/>
  <c r="BD118" i="20"/>
  <c r="BD121" i="20"/>
  <c r="BD122" i="20" s="1"/>
  <c r="J21" i="53"/>
  <c r="AX72" i="20"/>
  <c r="AX79" i="20"/>
  <c r="BJ490" i="20"/>
  <c r="BH391" i="20"/>
  <c r="BJ477" i="20"/>
  <c r="BJ170" i="20" s="1"/>
  <c r="BJ134" i="20" s="1"/>
  <c r="BJ416" i="20"/>
  <c r="BI391" i="20"/>
  <c r="BA138" i="20"/>
  <c r="BE490" i="20"/>
  <c r="BE477" i="20"/>
  <c r="BE416" i="20"/>
  <c r="BA126" i="20"/>
  <c r="AZ195" i="20"/>
  <c r="AX264" i="20"/>
  <c r="AX263" i="20"/>
  <c r="AX262" i="20"/>
  <c r="BI545" i="20"/>
  <c r="BI546" i="20" s="1"/>
  <c r="AY125" i="20" l="1"/>
  <c r="AV137" i="20"/>
  <c r="AV184" i="20"/>
  <c r="AW107" i="20"/>
  <c r="AW108" i="20" s="1"/>
  <c r="AV73" i="20"/>
  <c r="AV74" i="20" s="1"/>
  <c r="AW124" i="20"/>
  <c r="AV206" i="20"/>
  <c r="BG430" i="20"/>
  <c r="BG431" i="20" s="1"/>
  <c r="BG419" i="20"/>
  <c r="BE418" i="20"/>
  <c r="BE419" i="20" s="1"/>
  <c r="BE479" i="20"/>
  <c r="BE480" i="20" s="1"/>
  <c r="BJ203" i="20"/>
  <c r="BJ214" i="20" s="1"/>
  <c r="BA124" i="6"/>
  <c r="AY54" i="20"/>
  <c r="AY53" i="20"/>
  <c r="BF479" i="20"/>
  <c r="BF480" i="20" s="1"/>
  <c r="BE459" i="20"/>
  <c r="BE430" i="20"/>
  <c r="BE431" i="20" s="1"/>
  <c r="BI477" i="20"/>
  <c r="BI416" i="20"/>
  <c r="BI490" i="20"/>
  <c r="BG203" i="20"/>
  <c r="BG214" i="20" s="1"/>
  <c r="AX39" i="20"/>
  <c r="BA101" i="6"/>
  <c r="BG495" i="20"/>
  <c r="BG496" i="20" s="1"/>
  <c r="L4" i="53"/>
  <c r="L8" i="53"/>
  <c r="BF418" i="20"/>
  <c r="BD51" i="20"/>
  <c r="BD50" i="20"/>
  <c r="BA45" i="20"/>
  <c r="BL45" i="20" s="1"/>
  <c r="BL41" i="20"/>
  <c r="BC52" i="20"/>
  <c r="BC49" i="20"/>
  <c r="BC121" i="20"/>
  <c r="BC122" i="20" s="1"/>
  <c r="BC118" i="20"/>
  <c r="AY50" i="20"/>
  <c r="AY51" i="20"/>
  <c r="BF447" i="20"/>
  <c r="BF448" i="20" s="1"/>
  <c r="BF455" i="20" s="1"/>
  <c r="BF489" i="20"/>
  <c r="BF492" i="20" s="1"/>
  <c r="BF493" i="20" s="1"/>
  <c r="BE489" i="20"/>
  <c r="BE492" i="20" s="1"/>
  <c r="BE493" i="20" s="1"/>
  <c r="BE447" i="20"/>
  <c r="BE448" i="20" s="1"/>
  <c r="BE455" i="20" s="1"/>
  <c r="BD137" i="20"/>
  <c r="BD125" i="20"/>
  <c r="BD116" i="20"/>
  <c r="BA108" i="20"/>
  <c r="BA73" i="20"/>
  <c r="BA105" i="20"/>
  <c r="BA184" i="20"/>
  <c r="AV263" i="20"/>
  <c r="AW263" i="20" s="1"/>
  <c r="AV262" i="20"/>
  <c r="AX83" i="20"/>
  <c r="J17" i="53" s="1"/>
  <c r="J13" i="53"/>
  <c r="BD53" i="20"/>
  <c r="BD54" i="20"/>
  <c r="BG175" i="2"/>
  <c r="BD213" i="20"/>
  <c r="BD206" i="20" s="1"/>
  <c r="AY119" i="20"/>
  <c r="AY120" i="20" s="1"/>
  <c r="AY107" i="20"/>
  <c r="AY217" i="20" s="1"/>
  <c r="AX265" i="20"/>
  <c r="AX268" i="20" s="1"/>
  <c r="BH477" i="20"/>
  <c r="BH490" i="20"/>
  <c r="BH416" i="20"/>
  <c r="J20" i="53"/>
  <c r="J28" i="53" s="1"/>
  <c r="AX91" i="20"/>
  <c r="AX92" i="20" s="1"/>
  <c r="AX89" i="20"/>
  <c r="AX96" i="20" s="1"/>
  <c r="AX78" i="20"/>
  <c r="AX82" i="20" s="1"/>
  <c r="J16" i="53" s="1"/>
  <c r="J24" i="53"/>
  <c r="BA90" i="4"/>
  <c r="BG162" i="20"/>
  <c r="BG117" i="20"/>
  <c r="BG150" i="20"/>
  <c r="BG133" i="20"/>
  <c r="BJ393" i="20"/>
  <c r="BJ394" i="20" s="1"/>
  <c r="BJ402" i="20" s="1"/>
  <c r="BJ415" i="20"/>
  <c r="BJ418" i="20" s="1"/>
  <c r="BI390" i="20"/>
  <c r="BH390" i="20"/>
  <c r="BJ476" i="20"/>
  <c r="BB124" i="20"/>
  <c r="BB195" i="20"/>
  <c r="BC195" i="20" s="1"/>
  <c r="BB117" i="20"/>
  <c r="AV79" i="20" l="1"/>
  <c r="AV83" i="20" s="1"/>
  <c r="AV80" i="20"/>
  <c r="AV84" i="20" s="1"/>
  <c r="AV306" i="20"/>
  <c r="BE495" i="20"/>
  <c r="BE496" i="20" s="1"/>
  <c r="AW184" i="20"/>
  <c r="AW73" i="20"/>
  <c r="AW79" i="20" s="1"/>
  <c r="AW83" i="20" s="1"/>
  <c r="AW137" i="20"/>
  <c r="AW116" i="20"/>
  <c r="AW119" i="20" s="1"/>
  <c r="AZ125" i="20"/>
  <c r="AW206" i="20"/>
  <c r="AW217" i="20" s="1"/>
  <c r="AV217" i="20"/>
  <c r="BF495" i="20"/>
  <c r="BF496" i="20" s="1"/>
  <c r="AW262" i="20"/>
  <c r="BG124" i="20"/>
  <c r="BG202" i="20"/>
  <c r="BG195" i="20" s="1"/>
  <c r="BA100" i="6"/>
  <c r="AX271" i="20"/>
  <c r="AX27" i="20" s="1"/>
  <c r="BA79" i="20"/>
  <c r="K21" i="53"/>
  <c r="BL73" i="20"/>
  <c r="BA72" i="20"/>
  <c r="BE150" i="20"/>
  <c r="J12" i="53"/>
  <c r="BA263" i="20"/>
  <c r="BA264" i="20"/>
  <c r="BA262" i="20"/>
  <c r="BC54" i="20"/>
  <c r="BC53" i="20"/>
  <c r="BH393" i="20"/>
  <c r="BH394" i="20" s="1"/>
  <c r="BH402" i="20" s="1"/>
  <c r="BH476" i="20"/>
  <c r="BH479" i="20" s="1"/>
  <c r="BH480" i="20" s="1"/>
  <c r="BH415" i="20"/>
  <c r="BH418" i="20" s="1"/>
  <c r="BI393" i="20"/>
  <c r="BI394" i="20" s="1"/>
  <c r="BI402" i="20" s="1"/>
  <c r="BI415" i="20"/>
  <c r="BI418" i="20" s="1"/>
  <c r="BI476" i="20"/>
  <c r="BI479" i="20" s="1"/>
  <c r="BI480" i="20" s="1"/>
  <c r="AV78" i="20"/>
  <c r="AV82" i="20" s="1"/>
  <c r="BJ479" i="20"/>
  <c r="BJ169" i="20"/>
  <c r="BD119" i="20"/>
  <c r="BD120" i="20" s="1"/>
  <c r="BD107" i="20"/>
  <c r="BD217" i="20" s="1"/>
  <c r="BD41" i="20"/>
  <c r="BJ489" i="20"/>
  <c r="BJ492" i="20" s="1"/>
  <c r="BJ493" i="20" s="1"/>
  <c r="BJ447" i="20"/>
  <c r="BJ448" i="20" s="1"/>
  <c r="BJ455" i="20" s="1"/>
  <c r="BA103" i="5"/>
  <c r="BA87" i="4"/>
  <c r="BA35" i="20"/>
  <c r="BA104" i="20"/>
  <c r="BA86" i="20" s="1"/>
  <c r="BD138" i="20"/>
  <c r="BB116" i="20"/>
  <c r="BB137" i="20"/>
  <c r="BB125" i="20"/>
  <c r="BB206" i="20"/>
  <c r="BG52" i="20"/>
  <c r="BG121" i="20"/>
  <c r="BG122" i="20" s="1"/>
  <c r="BG49" i="20"/>
  <c r="BG118" i="20"/>
  <c r="M5" i="53"/>
  <c r="BD126" i="20"/>
  <c r="BC50" i="20"/>
  <c r="BC51" i="20"/>
  <c r="BF430" i="20"/>
  <c r="BF431" i="20" s="1"/>
  <c r="BF459" i="20"/>
  <c r="BF419" i="20"/>
  <c r="BD124" i="6"/>
  <c r="AY108" i="20"/>
  <c r="AY73" i="20"/>
  <c r="AY184" i="20"/>
  <c r="BJ419" i="20"/>
  <c r="BJ430" i="20"/>
  <c r="BJ431" i="20" s="1"/>
  <c r="BK418" i="20"/>
  <c r="BJ459" i="20"/>
  <c r="BB52" i="20"/>
  <c r="BB49" i="20"/>
  <c r="BB118" i="20"/>
  <c r="BB121" i="20"/>
  <c r="BB122" i="20" s="1"/>
  <c r="AZ107" i="20"/>
  <c r="BC124" i="20"/>
  <c r="AZ120" i="20" l="1"/>
  <c r="BL35" i="20"/>
  <c r="BA39" i="20"/>
  <c r="BL39" i="20" s="1"/>
  <c r="BD101" i="6"/>
  <c r="BD108" i="20"/>
  <c r="BD105" i="20"/>
  <c r="BD73" i="20"/>
  <c r="BD184" i="20"/>
  <c r="BE117" i="20"/>
  <c r="BE124" i="20"/>
  <c r="BE195" i="20"/>
  <c r="BF195" i="20" s="1"/>
  <c r="BG137" i="20"/>
  <c r="BG125" i="20"/>
  <c r="BG116" i="20"/>
  <c r="BG126" i="20" s="1"/>
  <c r="BD45" i="20"/>
  <c r="BJ162" i="20"/>
  <c r="BJ150" i="20"/>
  <c r="BJ133" i="20"/>
  <c r="BJ117" i="20"/>
  <c r="BD90" i="4"/>
  <c r="K24" i="53"/>
  <c r="AZ108" i="20"/>
  <c r="AZ73" i="20"/>
  <c r="AZ184" i="20"/>
  <c r="AZ217" i="20"/>
  <c r="AY264" i="20"/>
  <c r="AZ264" i="20" s="1"/>
  <c r="AY263" i="20"/>
  <c r="AZ263" i="20" s="1"/>
  <c r="AY262" i="20"/>
  <c r="BI430" i="20"/>
  <c r="BI431" i="20" s="1"/>
  <c r="BI459" i="20"/>
  <c r="BI419" i="20"/>
  <c r="AY79" i="20"/>
  <c r="AY83" i="20" s="1"/>
  <c r="BG50" i="20"/>
  <c r="BG51" i="20"/>
  <c r="BI489" i="20"/>
  <c r="BI492" i="20" s="1"/>
  <c r="BI493" i="20" s="1"/>
  <c r="BI495" i="20" s="1"/>
  <c r="BI496" i="20" s="1"/>
  <c r="BI447" i="20"/>
  <c r="BI448" i="20" s="1"/>
  <c r="BI455" i="20" s="1"/>
  <c r="BA104" i="6"/>
  <c r="BF150" i="20"/>
  <c r="BF117" i="20" s="1"/>
  <c r="BG213" i="20"/>
  <c r="BG206" i="20" s="1"/>
  <c r="BB54" i="20"/>
  <c r="BB53" i="20"/>
  <c r="BB107" i="20"/>
  <c r="BC107" i="20" s="1"/>
  <c r="BB119" i="20"/>
  <c r="BB120" i="20" s="1"/>
  <c r="BA91" i="20"/>
  <c r="BA92" i="20" s="1"/>
  <c r="BA78" i="20"/>
  <c r="BA82" i="20" s="1"/>
  <c r="K16" i="53" s="1"/>
  <c r="K20" i="53"/>
  <c r="K28" i="53" s="1"/>
  <c r="BL72" i="20"/>
  <c r="BA89" i="20"/>
  <c r="BA96" i="20" s="1"/>
  <c r="BH489" i="20"/>
  <c r="BH492" i="20" s="1"/>
  <c r="BH493" i="20" s="1"/>
  <c r="BH495" i="20" s="1"/>
  <c r="BH496" i="20" s="1"/>
  <c r="BH447" i="20"/>
  <c r="BH448" i="20" s="1"/>
  <c r="BH455" i="20" s="1"/>
  <c r="BA112" i="6"/>
  <c r="AX272" i="20"/>
  <c r="AX273" i="20"/>
  <c r="BA107" i="6"/>
  <c r="BA108" i="6" s="1"/>
  <c r="AX30" i="20"/>
  <c r="J36" i="53"/>
  <c r="J39" i="53"/>
  <c r="BC116" i="20"/>
  <c r="BC119" i="20" s="1"/>
  <c r="BC120" i="20" s="1"/>
  <c r="BC125" i="20"/>
  <c r="BC137" i="20"/>
  <c r="BB51" i="20"/>
  <c r="BB50" i="20"/>
  <c r="M4" i="53"/>
  <c r="M8" i="53"/>
  <c r="BA85" i="4"/>
  <c r="BA33" i="4"/>
  <c r="BA265" i="20"/>
  <c r="BA268" i="20" s="1"/>
  <c r="BJ480" i="20"/>
  <c r="BK480" i="20" s="1"/>
  <c r="BK479" i="20"/>
  <c r="BC206" i="20"/>
  <c r="BB124" i="6"/>
  <c r="BC124" i="6" s="1"/>
  <c r="BG124" i="6"/>
  <c r="BG54" i="20"/>
  <c r="BJ175" i="2"/>
  <c r="BG53" i="20"/>
  <c r="BH430" i="20"/>
  <c r="BH431" i="20" s="1"/>
  <c r="BH419" i="20"/>
  <c r="BH459" i="20"/>
  <c r="J29" i="53"/>
  <c r="BA83" i="20"/>
  <c r="K17" i="53" s="1"/>
  <c r="K13" i="53"/>
  <c r="BJ495" i="20" l="1"/>
  <c r="BJ496" i="20" s="1"/>
  <c r="AY265" i="20"/>
  <c r="AY268" i="20" s="1"/>
  <c r="BA109" i="6"/>
  <c r="BC217" i="20"/>
  <c r="BA114" i="6"/>
  <c r="L21" i="53"/>
  <c r="BD79" i="20"/>
  <c r="BD72" i="20"/>
  <c r="AZ85" i="4"/>
  <c r="AZ80" i="4" s="1"/>
  <c r="BA80" i="4"/>
  <c r="BC108" i="20"/>
  <c r="BC73" i="20"/>
  <c r="BC184" i="20"/>
  <c r="BB108" i="20"/>
  <c r="BB73" i="20"/>
  <c r="BB184" i="20"/>
  <c r="BG138" i="20"/>
  <c r="BD35" i="20"/>
  <c r="BD104" i="20"/>
  <c r="BD86" i="20" s="1"/>
  <c r="K12" i="53"/>
  <c r="K29" i="53"/>
  <c r="BB217" i="20"/>
  <c r="BJ124" i="20"/>
  <c r="BJ202" i="20"/>
  <c r="BJ195" i="20" s="1"/>
  <c r="BE124" i="6"/>
  <c r="BF124" i="6" s="1"/>
  <c r="BJ124" i="6"/>
  <c r="AZ79" i="20"/>
  <c r="AZ83" i="20" s="1"/>
  <c r="BH150" i="20"/>
  <c r="BI150" i="20" s="1"/>
  <c r="BI117" i="20" s="1"/>
  <c r="BG41" i="20"/>
  <c r="BG119" i="20"/>
  <c r="BG120" i="20" s="1"/>
  <c r="BG107" i="20"/>
  <c r="BE125" i="20"/>
  <c r="BE206" i="20"/>
  <c r="BF206" i="20" s="1"/>
  <c r="BE137" i="20"/>
  <c r="BE116" i="20"/>
  <c r="BD100" i="6"/>
  <c r="BA271" i="20"/>
  <c r="BE49" i="20"/>
  <c r="BE52" i="20"/>
  <c r="BE121" i="20"/>
  <c r="BE122" i="20" s="1"/>
  <c r="BE118" i="20"/>
  <c r="N5" i="53"/>
  <c r="BJ52" i="20"/>
  <c r="BJ49" i="20"/>
  <c r="BJ121" i="20"/>
  <c r="BJ122" i="20" s="1"/>
  <c r="BJ118" i="20"/>
  <c r="AX31" i="20"/>
  <c r="AX32" i="20"/>
  <c r="BA84" i="6"/>
  <c r="BA85" i="6" s="1"/>
  <c r="BA91" i="6" s="1"/>
  <c r="AZ262" i="20"/>
  <c r="AZ265" i="20" s="1"/>
  <c r="AZ33" i="4"/>
  <c r="BA78" i="4"/>
  <c r="BF49" i="20"/>
  <c r="BF52" i="20"/>
  <c r="BF121" i="20"/>
  <c r="BF122" i="20" s="1"/>
  <c r="BF118" i="20"/>
  <c r="BD87" i="4"/>
  <c r="BD85" i="4" s="1"/>
  <c r="BD103" i="5"/>
  <c r="BF124" i="20"/>
  <c r="BD264" i="20"/>
  <c r="BD263" i="20"/>
  <c r="BD262" i="20"/>
  <c r="AZ268" i="20" l="1"/>
  <c r="AZ267" i="20" s="1"/>
  <c r="BD33" i="4"/>
  <c r="BC33" i="4" s="1"/>
  <c r="BI49" i="20"/>
  <c r="BI118" i="20"/>
  <c r="BI52" i="20"/>
  <c r="BI121" i="20"/>
  <c r="BI122" i="20" s="1"/>
  <c r="BD80" i="4"/>
  <c r="BC85" i="4"/>
  <c r="BC80" i="4" s="1"/>
  <c r="BF51" i="20"/>
  <c r="BF50" i="20"/>
  <c r="BC79" i="20"/>
  <c r="BC83" i="20" s="1"/>
  <c r="L20" i="53"/>
  <c r="L28" i="53" s="1"/>
  <c r="BD78" i="20"/>
  <c r="BD82" i="20" s="1"/>
  <c r="L16" i="53" s="1"/>
  <c r="BD89" i="20"/>
  <c r="BD96" i="20" s="1"/>
  <c r="BD91" i="20"/>
  <c r="BD92" i="20" s="1"/>
  <c r="BE51" i="20"/>
  <c r="BE50" i="20"/>
  <c r="BB79" i="20"/>
  <c r="BB83" i="20" s="1"/>
  <c r="K36" i="53"/>
  <c r="K39" i="53"/>
  <c r="L24" i="53"/>
  <c r="BG90" i="4"/>
  <c r="L13" i="53"/>
  <c r="BD83" i="20"/>
  <c r="L17" i="53" s="1"/>
  <c r="BJ53" i="20"/>
  <c r="BJ54" i="20"/>
  <c r="BM175" i="2"/>
  <c r="BG108" i="20"/>
  <c r="BG73" i="20"/>
  <c r="BG105" i="20"/>
  <c r="BG184" i="20"/>
  <c r="BF125" i="20"/>
  <c r="BF116" i="20"/>
  <c r="BF119" i="20" s="1"/>
  <c r="BF120" i="20" s="1"/>
  <c r="BF137" i="20"/>
  <c r="BA86" i="6"/>
  <c r="BG45" i="20"/>
  <c r="BJ213" i="20"/>
  <c r="BJ206" i="20" s="1"/>
  <c r="BE107" i="20"/>
  <c r="BE119" i="20"/>
  <c r="BE120" i="20" s="1"/>
  <c r="N8" i="53"/>
  <c r="N4" i="53"/>
  <c r="BD104" i="6"/>
  <c r="BJ137" i="20"/>
  <c r="BJ125" i="20"/>
  <c r="BJ116" i="20"/>
  <c r="BJ126" i="20" s="1"/>
  <c r="BA22" i="5"/>
  <c r="BG217" i="20"/>
  <c r="BH117" i="20"/>
  <c r="BH124" i="20"/>
  <c r="BI124" i="20" s="1"/>
  <c r="BH195" i="20"/>
  <c r="BH124" i="6"/>
  <c r="BI124" i="6" s="1"/>
  <c r="BM124" i="6"/>
  <c r="BD39" i="20"/>
  <c r="BG101" i="6"/>
  <c r="AZ78" i="4"/>
  <c r="BD265" i="20"/>
  <c r="BD268" i="20" s="1"/>
  <c r="BF53" i="20"/>
  <c r="BF54" i="20"/>
  <c r="BJ51" i="20"/>
  <c r="BJ50" i="20"/>
  <c r="BE53" i="20"/>
  <c r="BE54" i="20"/>
  <c r="BD112" i="6"/>
  <c r="BA273" i="20"/>
  <c r="BD107" i="6"/>
  <c r="BD108" i="6" s="1"/>
  <c r="BA272" i="20"/>
  <c r="BA27" i="20"/>
  <c r="BB264" i="20"/>
  <c r="BC264" i="20" s="1"/>
  <c r="BB263" i="20"/>
  <c r="BC263" i="20" s="1"/>
  <c r="BB262" i="20"/>
  <c r="BA120" i="6"/>
  <c r="BD78" i="4" l="1"/>
  <c r="BD22" i="5" s="1"/>
  <c r="BB265" i="20"/>
  <c r="BB268" i="20" s="1"/>
  <c r="BD109" i="6"/>
  <c r="BI116" i="20"/>
  <c r="BI119" i="20" s="1"/>
  <c r="BI120" i="20" s="1"/>
  <c r="BI137" i="20"/>
  <c r="BI125" i="20"/>
  <c r="BE108" i="20"/>
  <c r="BE73" i="20"/>
  <c r="BE184" i="20"/>
  <c r="BD271" i="20"/>
  <c r="BJ138" i="20"/>
  <c r="BF107" i="20"/>
  <c r="L12" i="53"/>
  <c r="L29" i="53"/>
  <c r="BC78" i="4"/>
  <c r="BD114" i="6"/>
  <c r="BG104" i="20"/>
  <c r="BG86" i="20" s="1"/>
  <c r="BG35" i="20"/>
  <c r="BI54" i="20"/>
  <c r="BI53" i="20"/>
  <c r="M21" i="53"/>
  <c r="BG79" i="20"/>
  <c r="BG72" i="20"/>
  <c r="BI50" i="20"/>
  <c r="BI51" i="20"/>
  <c r="BH49" i="20"/>
  <c r="BH52" i="20"/>
  <c r="BH118" i="20"/>
  <c r="BH121" i="20"/>
  <c r="BH122" i="20" s="1"/>
  <c r="BG263" i="20"/>
  <c r="BG264" i="20"/>
  <c r="BG262" i="20"/>
  <c r="AZ22" i="5"/>
  <c r="BA92" i="6"/>
  <c r="BA6" i="6"/>
  <c r="BA14" i="6" s="1"/>
  <c r="BA23" i="6" s="1"/>
  <c r="BH125" i="20"/>
  <c r="BH137" i="20"/>
  <c r="BH206" i="20"/>
  <c r="BI206" i="20" s="1"/>
  <c r="BH116" i="20"/>
  <c r="BG100" i="6"/>
  <c r="BG103" i="5"/>
  <c r="BG87" i="4"/>
  <c r="BA125" i="6"/>
  <c r="BC262" i="20"/>
  <c r="BC265" i="20" s="1"/>
  <c r="BE217" i="20"/>
  <c r="BK124" i="6"/>
  <c r="BL124" i="6" s="1"/>
  <c r="BL27" i="20"/>
  <c r="BA30" i="20"/>
  <c r="BJ119" i="20"/>
  <c r="BJ120" i="20" s="1"/>
  <c r="BJ41" i="20"/>
  <c r="BJ107" i="20"/>
  <c r="BJ217" i="20" s="1"/>
  <c r="BI195" i="20"/>
  <c r="BC268" i="20" l="1"/>
  <c r="BC267" i="20" s="1"/>
  <c r="BG91" i="20"/>
  <c r="BG92" i="20" s="1"/>
  <c r="BG78" i="20"/>
  <c r="BG82" i="20" s="1"/>
  <c r="M16" i="53" s="1"/>
  <c r="M20" i="53"/>
  <c r="M28" i="53" s="1"/>
  <c r="BG89" i="20"/>
  <c r="BG96" i="20" s="1"/>
  <c r="BG39" i="20"/>
  <c r="BJ101" i="6"/>
  <c r="BG112" i="6"/>
  <c r="BD272" i="20"/>
  <c r="BD273" i="20"/>
  <c r="BG107" i="6"/>
  <c r="BG108" i="6" s="1"/>
  <c r="BD27" i="20"/>
  <c r="BD30" i="20" s="1"/>
  <c r="BA5" i="6"/>
  <c r="BA7" i="6"/>
  <c r="BA31" i="3"/>
  <c r="BA127" i="6"/>
  <c r="BG83" i="20"/>
  <c r="M17" i="53" s="1"/>
  <c r="M13" i="53"/>
  <c r="BE264" i="20"/>
  <c r="BF264" i="20" s="1"/>
  <c r="BE263" i="20"/>
  <c r="BF263" i="20" s="1"/>
  <c r="BE262" i="20"/>
  <c r="BF262" i="20" s="1"/>
  <c r="M24" i="53"/>
  <c r="BJ90" i="4"/>
  <c r="BE79" i="20"/>
  <c r="BE83" i="20" s="1"/>
  <c r="BF108" i="20"/>
  <c r="BF73" i="20"/>
  <c r="BF184" i="20"/>
  <c r="BF217" i="20"/>
  <c r="BH53" i="20"/>
  <c r="BH54" i="20"/>
  <c r="BG104" i="6"/>
  <c r="BH51" i="20"/>
  <c r="BH50" i="20"/>
  <c r="BG33" i="4"/>
  <c r="BG85" i="4"/>
  <c r="BJ45" i="20"/>
  <c r="BA126" i="6"/>
  <c r="BJ108" i="20"/>
  <c r="BJ73" i="20"/>
  <c r="BJ105" i="20"/>
  <c r="BJ184" i="20"/>
  <c r="BA31" i="20"/>
  <c r="BL30" i="20"/>
  <c r="BA32" i="20"/>
  <c r="BD84" i="6"/>
  <c r="BD85" i="6" s="1"/>
  <c r="BD91" i="6" s="1"/>
  <c r="BH119" i="20"/>
  <c r="BH120" i="20" s="1"/>
  <c r="BH107" i="20"/>
  <c r="BG265" i="20"/>
  <c r="BG268" i="20" s="1"/>
  <c r="BD120" i="6"/>
  <c r="L39" i="53"/>
  <c r="L36" i="53"/>
  <c r="BG109" i="6" l="1"/>
  <c r="BA128" i="6"/>
  <c r="BD86" i="6"/>
  <c r="BJ103" i="5"/>
  <c r="BJ87" i="4"/>
  <c r="BD32" i="20"/>
  <c r="BD31" i="20"/>
  <c r="BG84" i="6"/>
  <c r="BG85" i="6" s="1"/>
  <c r="BG91" i="6" s="1"/>
  <c r="M12" i="53"/>
  <c r="BF79" i="20"/>
  <c r="BF83" i="20" s="1"/>
  <c r="BJ35" i="20"/>
  <c r="BJ104" i="20"/>
  <c r="BJ86" i="20" s="1"/>
  <c r="BG80" i="4"/>
  <c r="BF85" i="4"/>
  <c r="BF80" i="4" s="1"/>
  <c r="BA15" i="6"/>
  <c r="BA53" i="3"/>
  <c r="BH108" i="20"/>
  <c r="BH73" i="20"/>
  <c r="BH184" i="20"/>
  <c r="BG271" i="20"/>
  <c r="BF265" i="20"/>
  <c r="BD125" i="6"/>
  <c r="BJ72" i="20"/>
  <c r="N21" i="53"/>
  <c r="BJ79" i="20"/>
  <c r="BG78" i="4"/>
  <c r="BF33" i="4"/>
  <c r="BA32" i="3"/>
  <c r="BG114" i="6"/>
  <c r="BH217" i="20"/>
  <c r="BJ263" i="20"/>
  <c r="BJ264" i="20"/>
  <c r="BJ262" i="20"/>
  <c r="BI107" i="20"/>
  <c r="BE265" i="20"/>
  <c r="BE268" i="20" s="1"/>
  <c r="BJ100" i="6"/>
  <c r="BF268" i="20" l="1"/>
  <c r="BF267" i="20" s="1"/>
  <c r="BJ78" i="20"/>
  <c r="BJ82" i="20" s="1"/>
  <c r="N16" i="53" s="1"/>
  <c r="BJ89" i="20"/>
  <c r="BJ96" i="20" s="1"/>
  <c r="N20" i="53"/>
  <c r="N28" i="53" s="1"/>
  <c r="BJ91" i="20"/>
  <c r="BJ92" i="20" s="1"/>
  <c r="BH264" i="20"/>
  <c r="BI264" i="20" s="1"/>
  <c r="BH263" i="20"/>
  <c r="BI263" i="20" s="1"/>
  <c r="BH262" i="20"/>
  <c r="BI262" i="20" s="1"/>
  <c r="N24" i="53"/>
  <c r="BM90" i="4"/>
  <c r="BF78" i="4"/>
  <c r="M39" i="53"/>
  <c r="M36" i="53"/>
  <c r="BD126" i="6"/>
  <c r="BJ104" i="6"/>
  <c r="BH79" i="20"/>
  <c r="BH83" i="20" s="1"/>
  <c r="BJ39" i="20"/>
  <c r="BM101" i="6"/>
  <c r="BJ33" i="4"/>
  <c r="AC76" i="10"/>
  <c r="AC84" i="10" s="1"/>
  <c r="BA54" i="3"/>
  <c r="BA176" i="2" s="1"/>
  <c r="BG86" i="6"/>
  <c r="BD92" i="6"/>
  <c r="BD6" i="6"/>
  <c r="BG22" i="5"/>
  <c r="BJ112" i="6"/>
  <c r="BJ107" i="6"/>
  <c r="BJ108" i="6" s="1"/>
  <c r="BG272" i="20"/>
  <c r="BG273" i="20"/>
  <c r="BG27" i="20"/>
  <c r="BG30" i="20" s="1"/>
  <c r="BJ85" i="4"/>
  <c r="BI108" i="20"/>
  <c r="BI73" i="20"/>
  <c r="BI217" i="20"/>
  <c r="BI184" i="20"/>
  <c r="M29" i="53"/>
  <c r="BG120" i="6"/>
  <c r="BJ265" i="20"/>
  <c r="BJ268" i="20" s="1"/>
  <c r="N13" i="53"/>
  <c r="BJ83" i="20"/>
  <c r="N17" i="53" s="1"/>
  <c r="BJ109" i="6" l="1"/>
  <c r="BM87" i="4"/>
  <c r="BM85" i="4" s="1"/>
  <c r="BM103" i="5"/>
  <c r="N12" i="53"/>
  <c r="BJ271" i="20"/>
  <c r="BI265" i="20"/>
  <c r="BG125" i="6"/>
  <c r="BI85" i="4"/>
  <c r="BI80" i="4" s="1"/>
  <c r="BJ80" i="4"/>
  <c r="BG92" i="6"/>
  <c r="BG6" i="6"/>
  <c r="BJ78" i="4"/>
  <c r="BI33" i="4"/>
  <c r="BG31" i="20"/>
  <c r="BG32" i="20"/>
  <c r="BJ84" i="6"/>
  <c r="BJ85" i="6" s="1"/>
  <c r="BJ91" i="6" s="1"/>
  <c r="BI79" i="20"/>
  <c r="BI83" i="20" s="1"/>
  <c r="BM100" i="6"/>
  <c r="BH265" i="20"/>
  <c r="BH268" i="20" s="1"/>
  <c r="BD5" i="6"/>
  <c r="BD7" i="6"/>
  <c r="BD31" i="3"/>
  <c r="BD14" i="6"/>
  <c r="BD23" i="6" s="1"/>
  <c r="BJ114" i="6"/>
  <c r="BM33" i="4" l="1"/>
  <c r="BJ86" i="6"/>
  <c r="BG5" i="6"/>
  <c r="BG7" i="6"/>
  <c r="BG14" i="6"/>
  <c r="BG23" i="6" s="1"/>
  <c r="BG31" i="3"/>
  <c r="BI268" i="20"/>
  <c r="BJ22" i="5"/>
  <c r="BM104" i="6"/>
  <c r="BL85" i="4"/>
  <c r="BL80" i="4" s="1"/>
  <c r="BM80" i="4"/>
  <c r="BM107" i="6"/>
  <c r="BM108" i="6" s="1"/>
  <c r="BM112" i="6"/>
  <c r="BJ272" i="20"/>
  <c r="BJ273" i="20"/>
  <c r="BJ27" i="20"/>
  <c r="BJ30" i="20" s="1"/>
  <c r="BG126" i="6"/>
  <c r="N39" i="53"/>
  <c r="N36" i="53"/>
  <c r="BI78" i="4"/>
  <c r="BJ120" i="6"/>
  <c r="BD15" i="6"/>
  <c r="BD53" i="3"/>
  <c r="BD127" i="6"/>
  <c r="BD128" i="6"/>
  <c r="BD32" i="3"/>
  <c r="N29" i="53"/>
  <c r="BG128" i="6" l="1"/>
  <c r="BL33" i="4"/>
  <c r="BM78" i="4"/>
  <c r="BM22" i="5" s="1"/>
  <c r="BM109" i="6"/>
  <c r="BJ31" i="20"/>
  <c r="BJ32" i="20"/>
  <c r="BM84" i="6"/>
  <c r="BM85" i="6" s="1"/>
  <c r="BM91" i="6" s="1"/>
  <c r="BG15" i="6"/>
  <c r="BG53" i="3"/>
  <c r="BJ125" i="6"/>
  <c r="BD54" i="3"/>
  <c r="BD176" i="2" s="1"/>
  <c r="AD76" i="10"/>
  <c r="AD84" i="10" s="1"/>
  <c r="BJ92" i="6"/>
  <c r="BJ6" i="6"/>
  <c r="BM114" i="6"/>
  <c r="BG127" i="6"/>
  <c r="BI267" i="20"/>
  <c r="BL78" i="4"/>
  <c r="BG32" i="3"/>
  <c r="BM86" i="6" l="1"/>
  <c r="E17" i="54"/>
  <c r="BG54" i="3"/>
  <c r="BG176" i="2" s="1"/>
  <c r="AE76" i="10"/>
  <c r="AE84" i="10" s="1"/>
  <c r="BM120" i="6"/>
  <c r="BJ126" i="6"/>
  <c r="BJ5" i="6"/>
  <c r="BJ7" i="6"/>
  <c r="BJ14" i="6"/>
  <c r="BJ31" i="3"/>
  <c r="BJ128" i="6" l="1"/>
  <c r="BJ23" i="6"/>
  <c r="BJ127" i="6"/>
  <c r="BM6" i="6"/>
  <c r="BM92" i="6"/>
  <c r="E18" i="54"/>
  <c r="BM125" i="6"/>
  <c r="BJ32" i="3"/>
  <c r="BJ15" i="6"/>
  <c r="BJ53" i="3"/>
  <c r="BM126" i="6" l="1"/>
  <c r="AF76" i="10"/>
  <c r="AF84" i="10" s="1"/>
  <c r="BJ54" i="3"/>
  <c r="BJ176" i="2" s="1"/>
  <c r="BM5" i="6"/>
  <c r="BM7" i="6"/>
  <c r="BM31" i="3"/>
  <c r="BM14" i="6"/>
  <c r="BM127" i="6" l="1"/>
  <c r="BM23" i="6"/>
  <c r="BM128" i="6"/>
  <c r="AY3" i="4"/>
  <c r="BM15" i="6"/>
  <c r="BM53" i="3"/>
  <c r="BM32" i="3"/>
  <c r="E34" i="54" l="1"/>
  <c r="E35" i="54" s="1"/>
  <c r="AG76" i="10"/>
  <c r="AG84" i="10" s="1"/>
  <c r="BM54" i="3"/>
  <c r="BM176" i="2" s="1"/>
  <c r="AY3" i="5"/>
  <c r="AY3" i="2"/>
  <c r="AV475" i="20" l="1"/>
  <c r="AV488" i="20"/>
  <c r="AV485" i="20"/>
  <c r="AV473" i="20"/>
  <c r="AV486" i="20"/>
  <c r="AV489" i="20"/>
  <c r="AV476" i="20"/>
  <c r="AV478" i="20"/>
  <c r="AV491" i="20"/>
  <c r="AV472" i="20"/>
  <c r="AV470" i="20"/>
  <c r="AV483" i="20"/>
  <c r="AV474" i="20"/>
  <c r="AV487" i="20"/>
  <c r="AV490" i="20"/>
  <c r="AV477" i="20"/>
  <c r="AV492" i="20" l="1"/>
  <c r="AV493" i="20" s="1"/>
  <c r="AV479" i="20"/>
  <c r="AV480" i="20" s="1"/>
  <c r="AV418" i="20"/>
  <c r="AV495" i="20" l="1"/>
  <c r="AY496" i="20" s="1"/>
  <c r="AV419" i="20"/>
  <c r="AV427" i="20" s="1"/>
  <c r="AV459" i="20"/>
  <c r="AV430" i="20"/>
  <c r="AV431" i="20" s="1"/>
  <c r="AV496" i="20"/>
  <c r="AW471" i="20"/>
  <c r="AW479" i="20" s="1"/>
  <c r="AW480" i="20" s="1"/>
  <c r="AW410" i="20"/>
  <c r="AW418" i="20" s="1"/>
  <c r="AW419" i="20" s="1"/>
  <c r="AW484" i="20"/>
  <c r="AW492" i="20" s="1"/>
  <c r="AW493" i="20" s="1"/>
  <c r="AW430" i="20" l="1"/>
  <c r="AW431" i="20" s="1"/>
  <c r="AW495" i="20"/>
  <c r="AZ496" i="20" s="1"/>
  <c r="AW459" i="20"/>
  <c r="AW496" i="20" l="1"/>
  <c r="AZ43" i="3"/>
  <c r="AZ18" i="3"/>
  <c r="AY4" i="6"/>
  <c r="AY6" i="6"/>
  <c r="AY12" i="6" l="1"/>
  <c r="AY9" i="6"/>
  <c r="AY7" i="6"/>
  <c r="AY5" i="6"/>
  <c r="AY14" i="6"/>
  <c r="AY91" i="6"/>
  <c r="AY228" i="4"/>
  <c r="AY229" i="4" s="1"/>
  <c r="AY99" i="4"/>
  <c r="AY172" i="4"/>
  <c r="AY234" i="4"/>
  <c r="AY139" i="4"/>
  <c r="AY98" i="4"/>
  <c r="AY102" i="4" s="1"/>
  <c r="AY174" i="4"/>
  <c r="AY92" i="6" l="1"/>
  <c r="AY128" i="6"/>
  <c r="AY15" i="6"/>
  <c r="AY127" i="6"/>
  <c r="AY101" i="4"/>
  <c r="AY103" i="4"/>
  <c r="AY231" i="4"/>
  <c r="AY233" i="4"/>
  <c r="AY235" i="4" s="1"/>
  <c r="AY230" i="4"/>
  <c r="AZ72" i="5" l="1"/>
  <c r="AZ71" i="5" l="1"/>
  <c r="BA72" i="5"/>
  <c r="BA71" i="5" s="1"/>
  <c r="BA63" i="4" l="1"/>
  <c r="BA74" i="5"/>
  <c r="AZ63" i="4"/>
  <c r="AZ74" i="5"/>
  <c r="AY150" i="4" l="1"/>
  <c r="AY151" i="4" l="1"/>
  <c r="AY152" i="4"/>
  <c r="AY153" i="4" l="1"/>
  <c r="AZ78" i="5" l="1"/>
  <c r="AY62" i="4"/>
  <c r="AY69" i="4" s="1"/>
  <c r="AZ69" i="4" s="1"/>
  <c r="AZ103" i="5"/>
  <c r="AY119" i="2"/>
  <c r="AZ119" i="2" s="1"/>
  <c r="AZ16" i="5" s="1"/>
  <c r="AY105" i="4"/>
  <c r="AY90" i="4"/>
  <c r="AV86" i="20" s="1"/>
  <c r="AY155" i="2"/>
  <c r="AY115" i="2"/>
  <c r="AY118" i="2" s="1"/>
  <c r="AY123" i="2" s="1"/>
  <c r="AY113" i="2"/>
  <c r="AY121" i="2" s="1"/>
  <c r="AY161" i="4"/>
  <c r="AY159" i="4"/>
  <c r="AY160" i="4" s="1"/>
  <c r="AY125" i="2"/>
  <c r="AY87" i="4" l="1"/>
  <c r="AY92" i="4" s="1"/>
  <c r="AV91" i="20"/>
  <c r="AY71" i="4"/>
  <c r="AY72" i="4" s="1"/>
  <c r="AY156" i="2"/>
  <c r="AY111" i="4"/>
  <c r="AY107" i="4"/>
  <c r="AY106" i="4"/>
  <c r="AY163" i="4"/>
  <c r="AY162" i="4"/>
  <c r="AY166" i="4"/>
  <c r="AY112" i="2"/>
  <c r="AY112" i="4" l="1"/>
  <c r="AY109" i="4"/>
  <c r="AY108" i="4"/>
  <c r="AY110" i="4" l="1"/>
  <c r="AV44" i="14" l="1"/>
  <c r="AV59" i="14"/>
  <c r="AV126" i="14" s="1"/>
  <c r="AV62" i="14"/>
  <c r="AY113" i="6" s="1"/>
  <c r="AV57" i="14"/>
  <c r="AW57" i="14" s="1"/>
  <c r="AV49" i="14"/>
  <c r="AV43" i="14" s="1"/>
  <c r="AW62" i="14" l="1"/>
  <c r="AZ113" i="6" s="1"/>
  <c r="AW49" i="14"/>
  <c r="AV96" i="14"/>
  <c r="AV52" i="14"/>
  <c r="AW59" i="14"/>
  <c r="AW126" i="14" s="1"/>
  <c r="AV42" i="14"/>
  <c r="AV48" i="14"/>
  <c r="AV222" i="14" s="1"/>
  <c r="AV223" i="14" s="1"/>
  <c r="AV55" i="14" l="1"/>
  <c r="AW63" i="14"/>
  <c r="AZ64" i="14" s="1"/>
  <c r="AV34" i="14"/>
  <c r="AW52" i="14"/>
  <c r="AV50" i="14"/>
  <c r="AV51" i="14" s="1"/>
  <c r="AW48" i="14"/>
  <c r="AW64" i="14"/>
  <c r="AW60" i="14"/>
  <c r="AW61" i="14" s="1"/>
  <c r="AW96" i="14"/>
  <c r="AW40" i="14" l="1"/>
  <c r="AW20" i="14" s="1"/>
  <c r="AW222" i="14"/>
  <c r="AW223" i="14" s="1"/>
  <c r="AW55" i="14"/>
  <c r="AW43" i="14"/>
  <c r="AW44" i="14"/>
  <c r="AW42" i="14"/>
  <c r="AW50" i="14"/>
  <c r="AW51" i="14" s="1"/>
  <c r="AW34" i="14"/>
  <c r="AW53" i="14"/>
  <c r="AW65" i="14"/>
  <c r="AY111" i="6"/>
  <c r="AV37" i="14"/>
  <c r="AY83" i="6" s="1"/>
  <c r="AW23" i="14"/>
  <c r="AZ72" i="6"/>
  <c r="AZ97" i="6" s="1"/>
  <c r="AZ96" i="6" s="1"/>
  <c r="AY106" i="6" l="1"/>
  <c r="AZ54" i="14"/>
  <c r="AW54" i="14"/>
  <c r="AW37" i="14"/>
  <c r="AZ83" i="6" s="1"/>
  <c r="AZ111" i="6"/>
  <c r="AZ24" i="14"/>
  <c r="AZ25" i="14" s="1"/>
  <c r="AW24" i="14"/>
  <c r="AW25" i="14" s="1"/>
  <c r="AZ71" i="6"/>
  <c r="AZ106" i="6" l="1"/>
  <c r="AW110" i="20" l="1"/>
  <c r="AW111" i="20" s="1"/>
  <c r="AY110" i="20"/>
  <c r="AY257" i="20" s="1"/>
  <c r="AY258" i="20" s="1"/>
  <c r="AY19" i="20" s="1"/>
  <c r="BB110" i="20" l="1"/>
  <c r="AV41" i="20"/>
  <c r="AV257" i="20"/>
  <c r="AV111" i="20"/>
  <c r="AV114" i="20" s="1"/>
  <c r="AW114" i="20" s="1"/>
  <c r="AW41" i="20"/>
  <c r="BB41" i="20"/>
  <c r="BB105" i="20"/>
  <c r="BB35" i="20" s="1"/>
  <c r="BB257" i="20"/>
  <c r="BB76" i="6"/>
  <c r="AY103" i="20"/>
  <c r="AY97" i="20"/>
  <c r="AV105" i="20"/>
  <c r="AY105" i="20"/>
  <c r="AY35" i="20" s="1"/>
  <c r="AY41" i="20"/>
  <c r="BE110" i="20"/>
  <c r="AY270" i="20"/>
  <c r="AW257" i="20" l="1"/>
  <c r="AZ110" i="20"/>
  <c r="AW105" i="20"/>
  <c r="AW35" i="20" s="1"/>
  <c r="AZ101" i="6" s="1"/>
  <c r="AY104" i="20"/>
  <c r="AY86" i="20" s="1"/>
  <c r="AZ86" i="20" s="1"/>
  <c r="BE105" i="20"/>
  <c r="BE35" i="20" s="1"/>
  <c r="BE41" i="20"/>
  <c r="BH110" i="20"/>
  <c r="BE257" i="20"/>
  <c r="BE101" i="6"/>
  <c r="AY271" i="20"/>
  <c r="AZ270" i="20"/>
  <c r="AZ41" i="20"/>
  <c r="BB258" i="20"/>
  <c r="BB19" i="20" s="1"/>
  <c r="BB270" i="20"/>
  <c r="BB101" i="6"/>
  <c r="AV270" i="20"/>
  <c r="BC41" i="20"/>
  <c r="AV35" i="20"/>
  <c r="AV104" i="20"/>
  <c r="BB90" i="4" l="1"/>
  <c r="AZ257" i="20"/>
  <c r="AZ258" i="20" s="1"/>
  <c r="AZ19" i="20" s="1"/>
  <c r="BC110" i="20"/>
  <c r="AZ105" i="20"/>
  <c r="AZ35" i="20" s="1"/>
  <c r="BC101" i="6" s="1"/>
  <c r="BC270" i="20"/>
  <c r="BB271" i="20"/>
  <c r="AV37" i="20"/>
  <c r="AY101" i="6"/>
  <c r="AV36" i="20"/>
  <c r="BH101" i="6"/>
  <c r="AW270" i="20"/>
  <c r="AZ269" i="20"/>
  <c r="AZ271" i="20"/>
  <c r="BB112" i="6"/>
  <c r="BB114" i="6" s="1"/>
  <c r="AY272" i="20"/>
  <c r="AY273" i="20"/>
  <c r="AY27" i="20"/>
  <c r="AV89" i="20"/>
  <c r="AW86" i="20"/>
  <c r="AV92" i="20"/>
  <c r="BE76" i="6"/>
  <c r="BB97" i="20"/>
  <c r="BB103" i="20"/>
  <c r="BB104" i="20" s="1"/>
  <c r="BB86" i="20" s="1"/>
  <c r="BH105" i="20"/>
  <c r="BH35" i="20" s="1"/>
  <c r="BH41" i="20"/>
  <c r="BH257" i="20"/>
  <c r="BB103" i="5"/>
  <c r="BC103" i="5" s="1"/>
  <c r="BB87" i="4"/>
  <c r="BE258" i="20"/>
  <c r="BE19" i="20" s="1"/>
  <c r="BE270" i="20"/>
  <c r="BF41" i="20"/>
  <c r="BC90" i="4"/>
  <c r="BC87" i="4" s="1"/>
  <c r="BC257" i="20" l="1"/>
  <c r="BC258" i="20" s="1"/>
  <c r="BC19" i="20" s="1"/>
  <c r="BF110" i="20"/>
  <c r="BC105" i="20"/>
  <c r="BC35" i="20" s="1"/>
  <c r="BF101" i="6" s="1"/>
  <c r="AZ97" i="20"/>
  <c r="AZ103" i="20"/>
  <c r="AZ104" i="20" s="1"/>
  <c r="BC76" i="6"/>
  <c r="AV96" i="20"/>
  <c r="AV99" i="20" s="1"/>
  <c r="AV90" i="20"/>
  <c r="BC86" i="20"/>
  <c r="BE90" i="4"/>
  <c r="BE97" i="20"/>
  <c r="BH76" i="6"/>
  <c r="BE103" i="20"/>
  <c r="BE104" i="20" s="1"/>
  <c r="BE86" i="20" s="1"/>
  <c r="BB85" i="4"/>
  <c r="BB80" i="4" s="1"/>
  <c r="BB33" i="4"/>
  <c r="AV42" i="20"/>
  <c r="AY36" i="20"/>
  <c r="AW36" i="20"/>
  <c r="AY102" i="6"/>
  <c r="AY100" i="6" s="1"/>
  <c r="AY104" i="6" s="1"/>
  <c r="AY126" i="6" s="1"/>
  <c r="BC112" i="6"/>
  <c r="BC114" i="6" s="1"/>
  <c r="AZ272" i="20"/>
  <c r="AZ273" i="20"/>
  <c r="AZ27" i="20"/>
  <c r="BH270" i="20"/>
  <c r="BH258" i="20"/>
  <c r="BH19" i="20" s="1"/>
  <c r="AZ90" i="4"/>
  <c r="AZ87" i="4" s="1"/>
  <c r="AV39" i="20"/>
  <c r="BI41" i="20"/>
  <c r="AW269" i="20"/>
  <c r="AW37" i="20"/>
  <c r="AV43" i="20"/>
  <c r="AW43" i="20" s="1"/>
  <c r="BK101" i="6"/>
  <c r="BB272" i="20"/>
  <c r="BE112" i="6"/>
  <c r="BE114" i="6" s="1"/>
  <c r="BB273" i="20"/>
  <c r="BB27" i="20"/>
  <c r="BE271" i="20"/>
  <c r="BF270" i="20"/>
  <c r="BC271" i="20"/>
  <c r="BC269" i="20" l="1"/>
  <c r="BF257" i="20"/>
  <c r="BF258" i="20" s="1"/>
  <c r="BF19" i="20" s="1"/>
  <c r="BI110" i="20"/>
  <c r="BF105" i="20"/>
  <c r="BF35" i="20" s="1"/>
  <c r="BI101" i="6" s="1"/>
  <c r="BF76" i="6"/>
  <c r="BC103" i="20"/>
  <c r="BC104" i="20" s="1"/>
  <c r="BC97" i="20"/>
  <c r="BF86" i="20"/>
  <c r="BH90" i="4"/>
  <c r="AW39" i="20"/>
  <c r="AZ102" i="6"/>
  <c r="AZ100" i="6" s="1"/>
  <c r="AZ104" i="6" s="1"/>
  <c r="BI270" i="20"/>
  <c r="BH271" i="20"/>
  <c r="BB36" i="20"/>
  <c r="AZ36" i="20"/>
  <c r="AY42" i="20"/>
  <c r="BF90" i="4"/>
  <c r="BF87" i="4" s="1"/>
  <c r="BF271" i="20"/>
  <c r="BB78" i="4"/>
  <c r="BE103" i="5"/>
  <c r="BF103" i="5" s="1"/>
  <c r="BE87" i="4"/>
  <c r="BH112" i="6"/>
  <c r="BH114" i="6" s="1"/>
  <c r="BE273" i="20"/>
  <c r="BE272" i="20"/>
  <c r="BE27" i="20"/>
  <c r="BF112" i="6"/>
  <c r="BF114" i="6" s="1"/>
  <c r="BC273" i="20"/>
  <c r="BC27" i="20"/>
  <c r="BC272" i="20"/>
  <c r="AW42" i="20"/>
  <c r="AW45" i="20" s="1"/>
  <c r="AV45" i="20"/>
  <c r="BH97" i="20"/>
  <c r="BK76" i="6"/>
  <c r="BH103" i="20"/>
  <c r="BH104" i="20" s="1"/>
  <c r="BH86" i="20" s="1"/>
  <c r="BF269" i="20" l="1"/>
  <c r="BI257" i="20"/>
  <c r="BI258" i="20" s="1"/>
  <c r="BI19" i="20" s="1"/>
  <c r="BI105" i="20"/>
  <c r="BI35" i="20" s="1"/>
  <c r="BL101" i="6" s="1"/>
  <c r="BI76" i="6"/>
  <c r="BF97" i="20"/>
  <c r="BF103" i="20"/>
  <c r="BF104" i="20" s="1"/>
  <c r="BH103" i="5"/>
  <c r="BI103" i="5" s="1"/>
  <c r="BH87" i="4"/>
  <c r="BI90" i="4"/>
  <c r="BI87" i="4" s="1"/>
  <c r="BK90" i="4"/>
  <c r="BI86" i="20"/>
  <c r="BB22" i="5"/>
  <c r="BC22" i="5" s="1"/>
  <c r="BB42" i="20"/>
  <c r="BC36" i="20"/>
  <c r="BE36" i="20"/>
  <c r="BE85" i="4"/>
  <c r="BE80" i="4" s="1"/>
  <c r="BE33" i="4"/>
  <c r="BH273" i="20"/>
  <c r="BH272" i="20"/>
  <c r="BK112" i="6"/>
  <c r="BK114" i="6" s="1"/>
  <c r="BH27" i="20"/>
  <c r="BI112" i="6"/>
  <c r="BI114" i="6" s="1"/>
  <c r="BF272" i="20"/>
  <c r="BF273" i="20"/>
  <c r="BF27" i="20"/>
  <c r="BI269" i="20"/>
  <c r="BI271" i="20"/>
  <c r="AZ42" i="20"/>
  <c r="BI103" i="20" l="1"/>
  <c r="BI104" i="20" s="1"/>
  <c r="BI97" i="20"/>
  <c r="BL76" i="6"/>
  <c r="BE78" i="4"/>
  <c r="BC42" i="20"/>
  <c r="BH36" i="20"/>
  <c r="BF36" i="20"/>
  <c r="BE42" i="20"/>
  <c r="BI272" i="20"/>
  <c r="BI273" i="20"/>
  <c r="BL112" i="6"/>
  <c r="BL114" i="6" s="1"/>
  <c r="BI27" i="20"/>
  <c r="BK103" i="5"/>
  <c r="BL103" i="5" s="1"/>
  <c r="BK87" i="4"/>
  <c r="BL90" i="4"/>
  <c r="BL87" i="4" s="1"/>
  <c r="BH85" i="4"/>
  <c r="BH80" i="4" s="1"/>
  <c r="BH33" i="4"/>
  <c r="BH42" i="20" l="1"/>
  <c r="BI36" i="20"/>
  <c r="BH78" i="4"/>
  <c r="BF42" i="20"/>
  <c r="BK85" i="4"/>
  <c r="BK80" i="4" s="1"/>
  <c r="BK33" i="4"/>
  <c r="BE22" i="5"/>
  <c r="BF22" i="5" s="1"/>
  <c r="BK78" i="4" l="1"/>
  <c r="BH22" i="5"/>
  <c r="BI22" i="5" s="1"/>
  <c r="BI42" i="20"/>
  <c r="BK22" i="5" l="1"/>
  <c r="BL22" i="5" s="1"/>
  <c r="AW80" i="20" l="1"/>
  <c r="AW74" i="20" s="1"/>
  <c r="AY80" i="20"/>
  <c r="AY74" i="20" s="1"/>
  <c r="AY72" i="20" s="1"/>
  <c r="AY84" i="20" l="1"/>
  <c r="AW72" i="20"/>
  <c r="AW89" i="20" s="1"/>
  <c r="AW306" i="20"/>
  <c r="BB80" i="20"/>
  <c r="BB84" i="20" s="1"/>
  <c r="AW84" i="20"/>
  <c r="AZ80" i="20"/>
  <c r="AZ84" i="20" s="1"/>
  <c r="AY89" i="20"/>
  <c r="AY78" i="20"/>
  <c r="AY82" i="20" s="1"/>
  <c r="AY91" i="20"/>
  <c r="AW78" i="20" l="1"/>
  <c r="AW82" i="20" s="1"/>
  <c r="AZ74" i="20"/>
  <c r="AZ72" i="20" s="1"/>
  <c r="AZ78" i="20" s="1"/>
  <c r="AZ82" i="20" s="1"/>
  <c r="BE80" i="20"/>
  <c r="BE74" i="20" s="1"/>
  <c r="BE72" i="20" s="1"/>
  <c r="BC80" i="20"/>
  <c r="BC84" i="20" s="1"/>
  <c r="BB74" i="20"/>
  <c r="BB72" i="20" s="1"/>
  <c r="BB89" i="20" s="1"/>
  <c r="AW91" i="20"/>
  <c r="BB91" i="20"/>
  <c r="BB78" i="20"/>
  <c r="BB82" i="20" s="1"/>
  <c r="AZ91" i="20" l="1"/>
  <c r="BC74" i="20"/>
  <c r="BC72" i="20" s="1"/>
  <c r="BC91" i="20" s="1"/>
  <c r="AZ89" i="20"/>
  <c r="BE84" i="20"/>
  <c r="BH80" i="20"/>
  <c r="BH84" i="20" s="1"/>
  <c r="BF80" i="20"/>
  <c r="BF84" i="20" s="1"/>
  <c r="BC89" i="20"/>
  <c r="BC78" i="20"/>
  <c r="BC82" i="20" s="1"/>
  <c r="BE91" i="20"/>
  <c r="BE78" i="20"/>
  <c r="BE82" i="20" s="1"/>
  <c r="BE89" i="20"/>
  <c r="BH74" i="20" l="1"/>
  <c r="BH72" i="20" s="1"/>
  <c r="BH91" i="20" s="1"/>
  <c r="BI80" i="20"/>
  <c r="BF74" i="20"/>
  <c r="BF72" i="20" s="1"/>
  <c r="BF78" i="20" s="1"/>
  <c r="BF82" i="20" s="1"/>
  <c r="BH89" i="20"/>
  <c r="BI84" i="20"/>
  <c r="BI74" i="20"/>
  <c r="BI72" i="20" s="1"/>
  <c r="BH78" i="20" l="1"/>
  <c r="BH82" i="20" s="1"/>
  <c r="BF91" i="20"/>
  <c r="BF89" i="20"/>
  <c r="BI78" i="20"/>
  <c r="BI82" i="20" s="1"/>
  <c r="BI91" i="20"/>
  <c r="BI89" i="20"/>
  <c r="AV255" i="20" l="1"/>
  <c r="AV243" i="20" l="1"/>
  <c r="AW243" i="20" s="1"/>
  <c r="AV264" i="20"/>
  <c r="AV256" i="20"/>
  <c r="AW255" i="20"/>
  <c r="AW256" i="20" s="1"/>
  <c r="AW258" i="20" s="1"/>
  <c r="AW19" i="20" s="1"/>
  <c r="AV244" i="20" l="1"/>
  <c r="AZ76" i="6"/>
  <c r="AW23" i="20"/>
  <c r="AW97" i="20"/>
  <c r="AW103" i="20"/>
  <c r="AW104" i="20" s="1"/>
  <c r="AV265" i="20"/>
  <c r="AV268" i="20" s="1"/>
  <c r="AW264" i="20"/>
  <c r="AW265" i="20" s="1"/>
  <c r="AW244" i="20"/>
  <c r="AW245" i="20" s="1"/>
  <c r="AV245" i="20"/>
  <c r="AW254" i="20"/>
  <c r="AW268" i="20" l="1"/>
  <c r="AV271" i="20"/>
  <c r="AW24" i="20"/>
  <c r="AW25" i="20" s="1"/>
  <c r="AZ75" i="6"/>
  <c r="AZ80" i="6" s="1"/>
  <c r="AW92" i="20"/>
  <c r="AW96" i="20"/>
  <c r="AZ81" i="6" l="1"/>
  <c r="AZ4" i="6"/>
  <c r="AV273" i="20"/>
  <c r="AV272" i="20"/>
  <c r="AY112" i="6"/>
  <c r="AY114" i="6" s="1"/>
  <c r="AV27" i="20"/>
  <c r="AV30" i="20" s="1"/>
  <c r="AW271" i="20"/>
  <c r="AW267" i="20"/>
  <c r="AY84" i="6" l="1"/>
  <c r="AY85" i="6" s="1"/>
  <c r="AV32" i="20"/>
  <c r="AZ12" i="6"/>
  <c r="AZ9" i="6"/>
  <c r="AZ6" i="3"/>
  <c r="AW27" i="20"/>
  <c r="AW30" i="20" s="1"/>
  <c r="AZ112" i="6"/>
  <c r="AZ114" i="6" s="1"/>
  <c r="AW273" i="20"/>
  <c r="AW272" i="20"/>
  <c r="AW32" i="20" l="1"/>
  <c r="AZ84" i="6"/>
  <c r="AZ85" i="6" s="1"/>
  <c r="AZ7" i="3"/>
  <c r="AY86" i="6"/>
  <c r="AY90" i="6"/>
  <c r="AZ90" i="6" s="1"/>
  <c r="AZ91" i="6" l="1"/>
  <c r="AZ86" i="6"/>
  <c r="AZ6" i="6" l="1"/>
  <c r="AZ92" i="6"/>
  <c r="AZ5" i="6" l="1"/>
  <c r="AZ31" i="3"/>
  <c r="AZ7" i="6"/>
  <c r="AZ14" i="6"/>
  <c r="AZ23" i="6" s="1"/>
  <c r="AZ32" i="3" l="1"/>
  <c r="AZ53" i="3"/>
  <c r="AZ15" i="6"/>
  <c r="AZ54" i="3" l="1"/>
  <c r="AV285" i="20" l="1"/>
  <c r="AV292" i="20" s="1"/>
  <c r="AV330" i="20"/>
  <c r="AV331" i="20" s="1"/>
  <c r="AV289" i="20" l="1"/>
  <c r="AW289" i="20" s="1"/>
  <c r="AZ107" i="6" s="1"/>
  <c r="AZ108" i="6" s="1"/>
  <c r="AZ109" i="6" s="1"/>
  <c r="AY330" i="20"/>
  <c r="AY287" i="20" s="1"/>
  <c r="AY285" i="20" s="1"/>
  <c r="AY289" i="20" s="1"/>
  <c r="AZ289" i="20" s="1"/>
  <c r="AW290" i="20"/>
  <c r="AW347" i="20"/>
  <c r="AZ115" i="6" s="1"/>
  <c r="AZ120" i="6" s="1"/>
  <c r="AY326" i="20"/>
  <c r="BB330" i="20"/>
  <c r="AY107" i="6"/>
  <c r="AY108" i="6" s="1"/>
  <c r="AY109" i="6" s="1"/>
  <c r="AV347" i="20"/>
  <c r="AY115" i="6" s="1"/>
  <c r="AY120" i="6" s="1"/>
  <c r="AY124" i="6" s="1"/>
  <c r="AZ124" i="6" s="1"/>
  <c r="BB107" i="6" l="1"/>
  <c r="BB108" i="6" s="1"/>
  <c r="AY298" i="20"/>
  <c r="AY327" i="20"/>
  <c r="AY333" i="20"/>
  <c r="AY334" i="20" s="1"/>
  <c r="AZ326" i="20"/>
  <c r="AY293" i="20"/>
  <c r="BB287" i="20"/>
  <c r="BB285" i="20" s="1"/>
  <c r="BB289" i="20" s="1"/>
  <c r="BE330" i="20"/>
  <c r="BB326" i="20"/>
  <c r="AZ125" i="6"/>
  <c r="BC107" i="6"/>
  <c r="BC108" i="6" s="1"/>
  <c r="AY292" i="20" l="1"/>
  <c r="AY297" i="20"/>
  <c r="AY348" i="20"/>
  <c r="AY295" i="20"/>
  <c r="BB333" i="20"/>
  <c r="BB334" i="20" s="1"/>
  <c r="BB327" i="20"/>
  <c r="BB298" i="20"/>
  <c r="BB293" i="20"/>
  <c r="BC326" i="20"/>
  <c r="BE287" i="20"/>
  <c r="BE285" i="20" s="1"/>
  <c r="BE289" i="20" s="1"/>
  <c r="BE326" i="20"/>
  <c r="BH330" i="20"/>
  <c r="BC289" i="20"/>
  <c r="BE107" i="6"/>
  <c r="BE108" i="6" s="1"/>
  <c r="AZ333" i="20"/>
  <c r="AZ334" i="20" s="1"/>
  <c r="AZ330" i="20"/>
  <c r="AZ298" i="20"/>
  <c r="AZ327" i="20"/>
  <c r="AZ293" i="20"/>
  <c r="AZ128" i="6"/>
  <c r="AZ126" i="6"/>
  <c r="AZ127" i="6"/>
  <c r="BB297" i="20" l="1"/>
  <c r="BB292" i="20"/>
  <c r="BB295" i="20"/>
  <c r="BB348" i="20"/>
  <c r="BF107" i="6"/>
  <c r="BF108" i="6" s="1"/>
  <c r="AZ297" i="20"/>
  <c r="AZ295" i="20"/>
  <c r="BH287" i="20"/>
  <c r="BH285" i="20" s="1"/>
  <c r="BH289" i="20" s="1"/>
  <c r="BH326" i="20"/>
  <c r="BB78" i="6"/>
  <c r="AY21" i="20"/>
  <c r="BE298" i="20"/>
  <c r="BE327" i="20"/>
  <c r="BE333" i="20"/>
  <c r="BE334" i="20" s="1"/>
  <c r="BF326" i="20"/>
  <c r="BE293" i="20"/>
  <c r="AY347" i="20"/>
  <c r="BB115" i="6" s="1"/>
  <c r="BB120" i="6" s="1"/>
  <c r="AZ348" i="20"/>
  <c r="AY28" i="20"/>
  <c r="AY30" i="20" s="1"/>
  <c r="BH107" i="6"/>
  <c r="BH108" i="6" s="1"/>
  <c r="BF289" i="20"/>
  <c r="AZ287" i="20"/>
  <c r="AZ285" i="20" s="1"/>
  <c r="AZ290" i="20" s="1"/>
  <c r="AZ331" i="20"/>
  <c r="BC327" i="20"/>
  <c r="BC298" i="20"/>
  <c r="BC330" i="20"/>
  <c r="BC333" i="20"/>
  <c r="BC334" i="20" s="1"/>
  <c r="BC293" i="20"/>
  <c r="AZ292" i="20" l="1"/>
  <c r="AZ347" i="20"/>
  <c r="BC115" i="6" s="1"/>
  <c r="BC120" i="6" s="1"/>
  <c r="AZ349" i="20"/>
  <c r="AZ28" i="20"/>
  <c r="AZ30" i="20" s="1"/>
  <c r="BH327" i="20"/>
  <c r="BH298" i="20"/>
  <c r="BH333" i="20"/>
  <c r="BH334" i="20" s="1"/>
  <c r="BI326" i="20"/>
  <c r="BH293" i="20"/>
  <c r="BB347" i="20"/>
  <c r="BE115" i="6" s="1"/>
  <c r="BE120" i="6" s="1"/>
  <c r="BB28" i="20"/>
  <c r="BB30" i="20" s="1"/>
  <c r="BC348" i="20"/>
  <c r="BE297" i="20"/>
  <c r="BE292" i="20"/>
  <c r="BE348" i="20"/>
  <c r="BE295" i="20"/>
  <c r="BK107" i="6"/>
  <c r="BK108" i="6" s="1"/>
  <c r="BI289" i="20"/>
  <c r="BE78" i="6"/>
  <c r="BB21" i="20"/>
  <c r="BF333" i="20"/>
  <c r="BF334" i="20" s="1"/>
  <c r="BF298" i="20"/>
  <c r="BF330" i="20"/>
  <c r="BF327" i="20"/>
  <c r="BF293" i="20"/>
  <c r="BC78" i="6"/>
  <c r="AZ21" i="20"/>
  <c r="BC297" i="20"/>
  <c r="BC295" i="20"/>
  <c r="AY31" i="20"/>
  <c r="BB84" i="6"/>
  <c r="BB85" i="6" s="1"/>
  <c r="BC287" i="20"/>
  <c r="BC285" i="20" s="1"/>
  <c r="BC290" i="20" s="1"/>
  <c r="BC331" i="20"/>
  <c r="AY98" i="20"/>
  <c r="AY37" i="20"/>
  <c r="AY23" i="20"/>
  <c r="AY32" i="20" s="1"/>
  <c r="BI107" i="6"/>
  <c r="BI108" i="6" s="1"/>
  <c r="BC292" i="20" l="1"/>
  <c r="BB98" i="20"/>
  <c r="BB23" i="20"/>
  <c r="BB37" i="20"/>
  <c r="BB32" i="20"/>
  <c r="BB31" i="20"/>
  <c r="BE84" i="6"/>
  <c r="BE85" i="6" s="1"/>
  <c r="BB91" i="6"/>
  <c r="BH292" i="20"/>
  <c r="BH297" i="20"/>
  <c r="BH295" i="20"/>
  <c r="BH348" i="20"/>
  <c r="AZ31" i="20"/>
  <c r="BC84" i="6"/>
  <c r="BC85" i="6" s="1"/>
  <c r="BL107" i="6"/>
  <c r="BL108" i="6" s="1"/>
  <c r="BC349" i="20"/>
  <c r="BC347" i="20"/>
  <c r="BF115" i="6" s="1"/>
  <c r="BF120" i="6" s="1"/>
  <c r="BC28" i="20"/>
  <c r="BC30" i="20" s="1"/>
  <c r="AZ98" i="20"/>
  <c r="AZ23" i="20"/>
  <c r="AZ32" i="20" s="1"/>
  <c r="BF297" i="20"/>
  <c r="BF295" i="20"/>
  <c r="BH78" i="6"/>
  <c r="BE21" i="20"/>
  <c r="BF287" i="20"/>
  <c r="BF285" i="20" s="1"/>
  <c r="BF290" i="20" s="1"/>
  <c r="BF331" i="20"/>
  <c r="BE347" i="20"/>
  <c r="BH115" i="6" s="1"/>
  <c r="BH120" i="6" s="1"/>
  <c r="BF348" i="20"/>
  <c r="BE28" i="20"/>
  <c r="BE30" i="20" s="1"/>
  <c r="BI293" i="20"/>
  <c r="BI298" i="20"/>
  <c r="BI327" i="20"/>
  <c r="BI333" i="20"/>
  <c r="BI334" i="20" s="1"/>
  <c r="BI330" i="20"/>
  <c r="AY94" i="20"/>
  <c r="AY96" i="20" s="1"/>
  <c r="BB75" i="6"/>
  <c r="BB80" i="6" s="1"/>
  <c r="BB86" i="6" s="1"/>
  <c r="AY92" i="20"/>
  <c r="AY24" i="20"/>
  <c r="AY25" i="20" s="1"/>
  <c r="BF78" i="6"/>
  <c r="BC21" i="20"/>
  <c r="AY39" i="20"/>
  <c r="AZ37" i="20"/>
  <c r="BB102" i="6"/>
  <c r="BB100" i="6" s="1"/>
  <c r="BB104" i="6" s="1"/>
  <c r="BB109" i="6" s="1"/>
  <c r="AY43" i="20"/>
  <c r="BF292" i="20" l="1"/>
  <c r="BE91" i="6"/>
  <c r="BE98" i="20"/>
  <c r="BE37" i="20"/>
  <c r="BE23" i="20"/>
  <c r="BI78" i="6"/>
  <c r="BF21" i="20"/>
  <c r="BI287" i="20"/>
  <c r="BI285" i="20" s="1"/>
  <c r="BI290" i="20" s="1"/>
  <c r="BI331" i="20"/>
  <c r="BC91" i="6"/>
  <c r="BK78" i="6"/>
  <c r="BH21" i="20"/>
  <c r="BI295" i="20"/>
  <c r="BI297" i="20"/>
  <c r="BC31" i="20"/>
  <c r="BF84" i="6"/>
  <c r="BF85" i="6" s="1"/>
  <c r="AZ43" i="20"/>
  <c r="AZ45" i="20" s="1"/>
  <c r="AY45" i="20"/>
  <c r="BE31" i="20"/>
  <c r="BH84" i="6"/>
  <c r="BH85" i="6" s="1"/>
  <c r="BB81" i="6"/>
  <c r="BB4" i="6"/>
  <c r="BF349" i="20"/>
  <c r="BF347" i="20"/>
  <c r="BI115" i="6" s="1"/>
  <c r="BI120" i="6" s="1"/>
  <c r="BF28" i="20"/>
  <c r="BF30" i="20" s="1"/>
  <c r="BH347" i="20"/>
  <c r="BK115" i="6" s="1"/>
  <c r="BK120" i="6" s="1"/>
  <c r="BH28" i="20"/>
  <c r="BH30" i="20" s="1"/>
  <c r="BI348" i="20"/>
  <c r="AZ39" i="20"/>
  <c r="BC102" i="6"/>
  <c r="BC100" i="6" s="1"/>
  <c r="BC104" i="6" s="1"/>
  <c r="BC109" i="6" s="1"/>
  <c r="BB43" i="20"/>
  <c r="BE102" i="6"/>
  <c r="BE100" i="6" s="1"/>
  <c r="BE104" i="6" s="1"/>
  <c r="BE109" i="6" s="1"/>
  <c r="BB39" i="20"/>
  <c r="BC37" i="20"/>
  <c r="BB94" i="20"/>
  <c r="BB96" i="20" s="1"/>
  <c r="BB24" i="20"/>
  <c r="BB25" i="20" s="1"/>
  <c r="BB92" i="20"/>
  <c r="BE75" i="6"/>
  <c r="BE80" i="6" s="1"/>
  <c r="BC98" i="20"/>
  <c r="BC23" i="20"/>
  <c r="BC32" i="20" s="1"/>
  <c r="AZ24" i="20"/>
  <c r="AZ25" i="20" s="1"/>
  <c r="BC75" i="6"/>
  <c r="BC80" i="6" s="1"/>
  <c r="BC86" i="6" s="1"/>
  <c r="AZ92" i="20"/>
  <c r="AZ94" i="20"/>
  <c r="AZ96" i="20" s="1"/>
  <c r="BB92" i="6"/>
  <c r="BB6" i="6"/>
  <c r="BI292" i="20" l="1"/>
  <c r="BB7" i="6"/>
  <c r="BB5" i="6"/>
  <c r="BB31" i="3"/>
  <c r="BF31" i="20"/>
  <c r="BI84" i="6"/>
  <c r="BI85" i="6" s="1"/>
  <c r="BI21" i="20"/>
  <c r="BL78" i="6"/>
  <c r="BE81" i="6"/>
  <c r="BE4" i="6"/>
  <c r="BH98" i="20"/>
  <c r="BH37" i="20"/>
  <c r="BH23" i="20"/>
  <c r="BH32" i="20" s="1"/>
  <c r="BH102" i="6"/>
  <c r="BH100" i="6" s="1"/>
  <c r="BH104" i="6" s="1"/>
  <c r="BH109" i="6" s="1"/>
  <c r="BE39" i="20"/>
  <c r="BE43" i="20"/>
  <c r="BF37" i="20"/>
  <c r="BI347" i="20"/>
  <c r="BL115" i="6"/>
  <c r="BL120" i="6" s="1"/>
  <c r="BI349" i="20"/>
  <c r="BI28" i="20"/>
  <c r="BI30" i="20" s="1"/>
  <c r="BC81" i="6"/>
  <c r="BC4" i="6"/>
  <c r="BC6" i="3" s="1"/>
  <c r="BB45" i="20"/>
  <c r="BC43" i="20"/>
  <c r="BC45" i="20" s="1"/>
  <c r="BE24" i="20"/>
  <c r="BE25" i="20" s="1"/>
  <c r="BE92" i="20"/>
  <c r="BE94" i="20"/>
  <c r="BE96" i="20" s="1"/>
  <c r="BH75" i="6"/>
  <c r="BH80" i="6" s="1"/>
  <c r="BC92" i="6"/>
  <c r="BC6" i="6"/>
  <c r="BE92" i="6"/>
  <c r="BE6" i="6"/>
  <c r="BH31" i="20"/>
  <c r="BK84" i="6"/>
  <c r="BK85" i="6" s="1"/>
  <c r="BE86" i="6"/>
  <c r="BF102" i="6"/>
  <c r="BF100" i="6" s="1"/>
  <c r="BF104" i="6" s="1"/>
  <c r="BF109" i="6" s="1"/>
  <c r="BC39" i="20"/>
  <c r="BH91" i="6"/>
  <c r="BF91" i="6"/>
  <c r="BB11" i="6"/>
  <c r="BB8" i="6"/>
  <c r="BB6" i="3"/>
  <c r="BC24" i="20"/>
  <c r="BC25" i="20" s="1"/>
  <c r="BF75" i="6"/>
  <c r="BF80" i="6" s="1"/>
  <c r="BF86" i="6" s="1"/>
  <c r="BC94" i="20"/>
  <c r="BC96" i="20" s="1"/>
  <c r="BC92" i="20"/>
  <c r="BE32" i="20"/>
  <c r="BF98" i="20"/>
  <c r="BF23" i="20"/>
  <c r="BF32" i="20" s="1"/>
  <c r="BI31" i="20" l="1"/>
  <c r="BL84" i="6"/>
  <c r="BL85" i="6" s="1"/>
  <c r="BH81" i="6"/>
  <c r="BH4" i="6"/>
  <c r="BH92" i="6"/>
  <c r="BH6" i="6"/>
  <c r="BH39" i="20"/>
  <c r="BK102" i="6"/>
  <c r="BK100" i="6" s="1"/>
  <c r="BK104" i="6" s="1"/>
  <c r="BK109" i="6" s="1"/>
  <c r="BH43" i="20"/>
  <c r="BI37" i="20"/>
  <c r="BB122" i="6"/>
  <c r="BC11" i="6"/>
  <c r="BB143" i="2"/>
  <c r="BK91" i="6"/>
  <c r="BF92" i="6"/>
  <c r="BF6" i="6"/>
  <c r="BB14" i="6"/>
  <c r="BF81" i="6"/>
  <c r="BF4" i="6"/>
  <c r="BF6" i="3" s="1"/>
  <c r="BF39" i="20"/>
  <c r="BI102" i="6"/>
  <c r="BI100" i="6" s="1"/>
  <c r="BI104" i="6" s="1"/>
  <c r="BI109" i="6" s="1"/>
  <c r="BH24" i="20"/>
  <c r="BH25" i="20" s="1"/>
  <c r="BH92" i="20"/>
  <c r="BH94" i="20"/>
  <c r="BH96" i="20" s="1"/>
  <c r="BK75" i="6"/>
  <c r="BK80" i="6" s="1"/>
  <c r="BK86" i="6" s="1"/>
  <c r="BE5" i="6"/>
  <c r="BE7" i="6"/>
  <c r="BE31" i="3"/>
  <c r="BH86" i="6"/>
  <c r="BB32" i="3"/>
  <c r="BB46" i="3"/>
  <c r="BB48" i="3" s="1"/>
  <c r="BF24" i="20"/>
  <c r="BF25" i="20" s="1"/>
  <c r="BI75" i="6"/>
  <c r="BI80" i="6" s="1"/>
  <c r="BF94" i="20"/>
  <c r="BF96" i="20" s="1"/>
  <c r="BF92" i="20"/>
  <c r="BF43" i="20"/>
  <c r="BF45" i="20" s="1"/>
  <c r="BE45" i="20"/>
  <c r="BI91" i="6"/>
  <c r="BE11" i="6"/>
  <c r="BE8" i="6"/>
  <c r="BE6" i="3"/>
  <c r="BC7" i="6"/>
  <c r="BC5" i="6"/>
  <c r="BC31" i="3"/>
  <c r="BB7" i="3"/>
  <c r="BB18" i="3" s="1"/>
  <c r="BB21" i="3"/>
  <c r="BB23" i="3" s="1"/>
  <c r="BC8" i="6"/>
  <c r="BB121" i="6"/>
  <c r="BC7" i="3"/>
  <c r="BI23" i="20"/>
  <c r="BI98" i="20"/>
  <c r="BB125" i="6" l="1"/>
  <c r="BB128" i="6" s="1"/>
  <c r="BH5" i="6"/>
  <c r="BH7" i="6"/>
  <c r="BH31" i="3"/>
  <c r="BB24" i="3"/>
  <c r="BB5" i="2"/>
  <c r="BK92" i="6"/>
  <c r="BK6" i="6"/>
  <c r="BE32" i="3"/>
  <c r="BE46" i="3"/>
  <c r="BE48" i="3" s="1"/>
  <c r="BC9" i="6"/>
  <c r="BC121" i="6"/>
  <c r="BF7" i="3"/>
  <c r="BC12" i="6"/>
  <c r="BC122" i="6"/>
  <c r="BC143" i="2"/>
  <c r="BH8" i="6"/>
  <c r="BH11" i="6"/>
  <c r="BH6" i="3"/>
  <c r="BB43" i="3"/>
  <c r="BC43" i="3" s="1"/>
  <c r="BC18" i="3"/>
  <c r="BI81" i="6"/>
  <c r="BI4" i="6"/>
  <c r="BI6" i="3" s="1"/>
  <c r="BB15" i="6"/>
  <c r="BB53" i="3"/>
  <c r="BI92" i="20"/>
  <c r="BI24" i="20"/>
  <c r="BI25" i="20" s="1"/>
  <c r="BI94" i="20"/>
  <c r="BI96" i="20" s="1"/>
  <c r="BL75" i="6"/>
  <c r="BL80" i="6" s="1"/>
  <c r="BL86" i="6" s="1"/>
  <c r="BC14" i="6"/>
  <c r="BB49" i="3"/>
  <c r="BB9" i="2"/>
  <c r="BF5" i="6"/>
  <c r="BF7" i="6"/>
  <c r="BF31" i="3"/>
  <c r="BI43" i="20"/>
  <c r="BI45" i="20" s="1"/>
  <c r="BH45" i="20"/>
  <c r="BI32" i="20"/>
  <c r="BE7" i="3"/>
  <c r="BE18" i="3" s="1"/>
  <c r="BE21" i="3"/>
  <c r="BE23" i="3" s="1"/>
  <c r="BE121" i="6"/>
  <c r="BF8" i="6"/>
  <c r="BE14" i="6"/>
  <c r="BE23" i="6" s="1"/>
  <c r="BE122" i="6"/>
  <c r="BE143" i="2"/>
  <c r="BF11" i="6"/>
  <c r="BC32" i="3"/>
  <c r="BK81" i="6"/>
  <c r="BK4" i="6"/>
  <c r="BL102" i="6"/>
  <c r="BL100" i="6" s="1"/>
  <c r="BL104" i="6" s="1"/>
  <c r="BL109" i="6" s="1"/>
  <c r="BI39" i="20"/>
  <c r="BL91" i="6"/>
  <c r="BI92" i="6"/>
  <c r="BI6" i="6"/>
  <c r="BI86" i="6"/>
  <c r="BB127" i="6" l="1"/>
  <c r="BB126" i="6"/>
  <c r="BH14" i="6"/>
  <c r="BL81" i="6"/>
  <c r="BL4" i="6"/>
  <c r="BL6" i="3" s="1"/>
  <c r="BE43" i="3"/>
  <c r="BF43" i="3" s="1"/>
  <c r="BF18" i="3"/>
  <c r="BH7" i="3"/>
  <c r="BH18" i="3" s="1"/>
  <c r="BH21" i="3"/>
  <c r="BH23" i="3" s="1"/>
  <c r="BF32" i="3"/>
  <c r="BK7" i="6"/>
  <c r="BK5" i="6"/>
  <c r="BK31" i="3"/>
  <c r="BB27" i="3"/>
  <c r="BB27" i="5"/>
  <c r="BE15" i="6"/>
  <c r="BE53" i="3"/>
  <c r="BK8" i="6"/>
  <c r="BK11" i="6"/>
  <c r="BK6" i="3"/>
  <c r="BH32" i="3"/>
  <c r="BH46" i="3"/>
  <c r="BH48" i="3" s="1"/>
  <c r="BI8" i="6"/>
  <c r="BH121" i="6"/>
  <c r="BE49" i="3"/>
  <c r="BE9" i="2"/>
  <c r="BC15" i="6"/>
  <c r="BC53" i="3"/>
  <c r="BF9" i="6"/>
  <c r="BF121" i="6"/>
  <c r="BF14" i="6"/>
  <c r="BF23" i="6" s="1"/>
  <c r="BH15" i="6"/>
  <c r="BE125" i="6"/>
  <c r="BC125" i="6"/>
  <c r="BI5" i="6"/>
  <c r="BI7" i="6"/>
  <c r="BI31" i="3"/>
  <c r="BE24" i="3"/>
  <c r="BE27" i="3" s="1"/>
  <c r="BE5" i="2"/>
  <c r="BB54" i="3"/>
  <c r="BI11" i="6"/>
  <c r="BH143" i="2"/>
  <c r="BH122" i="6"/>
  <c r="BB10" i="2"/>
  <c r="BB8" i="2"/>
  <c r="BB99" i="4" s="1"/>
  <c r="BL92" i="6"/>
  <c r="BL6" i="6"/>
  <c r="BF143" i="2"/>
  <c r="BF12" i="6"/>
  <c r="BF122" i="6"/>
  <c r="BI7" i="3"/>
  <c r="BB7" i="2"/>
  <c r="BB129" i="2"/>
  <c r="BB152" i="4"/>
  <c r="BB98" i="4"/>
  <c r="BB15" i="4" s="1"/>
  <c r="BB174" i="4"/>
  <c r="BB172" i="4"/>
  <c r="BB159" i="4"/>
  <c r="BB161" i="4"/>
  <c r="BB150" i="4"/>
  <c r="BB138" i="4"/>
  <c r="BH53" i="3" l="1"/>
  <c r="BH54" i="3" s="1"/>
  <c r="BH23" i="6"/>
  <c r="BI14" i="6"/>
  <c r="BI23" i="6" s="1"/>
  <c r="BK14" i="6"/>
  <c r="BF125" i="6"/>
  <c r="BF126" i="6" s="1"/>
  <c r="BI18" i="3"/>
  <c r="BH43" i="3"/>
  <c r="BI43" i="3" s="1"/>
  <c r="BL5" i="6"/>
  <c r="BL7" i="6"/>
  <c r="BL31" i="3"/>
  <c r="BI9" i="6"/>
  <c r="BI121" i="6"/>
  <c r="BI53" i="3"/>
  <c r="BH24" i="3"/>
  <c r="BH27" i="3" s="1"/>
  <c r="BH5" i="2"/>
  <c r="BC128" i="6"/>
  <c r="BC127" i="6"/>
  <c r="BC126" i="6"/>
  <c r="BF15" i="6"/>
  <c r="BF53" i="3"/>
  <c r="BF128" i="6"/>
  <c r="BB103" i="4"/>
  <c r="BB14" i="4"/>
  <c r="BB136" i="4"/>
  <c r="BE27" i="5"/>
  <c r="BB107" i="5"/>
  <c r="BB113" i="2"/>
  <c r="BC54" i="3"/>
  <c r="BH49" i="3"/>
  <c r="BH9" i="2"/>
  <c r="BE98" i="4"/>
  <c r="BE15" i="4" s="1"/>
  <c r="BE138" i="4"/>
  <c r="BE152" i="4"/>
  <c r="BE161" i="4"/>
  <c r="BE129" i="2"/>
  <c r="BE150" i="4"/>
  <c r="BE159" i="4"/>
  <c r="BE172" i="4"/>
  <c r="BE174" i="4"/>
  <c r="BE7" i="2"/>
  <c r="BK7" i="3"/>
  <c r="BK18" i="3" s="1"/>
  <c r="BK21" i="3"/>
  <c r="BK23" i="3" s="1"/>
  <c r="BK32" i="3"/>
  <c r="BK46" i="3"/>
  <c r="BK48" i="3" s="1"/>
  <c r="BE8" i="2"/>
  <c r="BE99" i="4" s="1"/>
  <c r="BE10" i="2"/>
  <c r="BK121" i="6"/>
  <c r="BL8" i="6"/>
  <c r="BL7" i="3"/>
  <c r="BB149" i="4"/>
  <c r="BB115" i="2" s="1"/>
  <c r="BB116" i="2"/>
  <c r="BI32" i="3"/>
  <c r="BB166" i="4"/>
  <c r="BB38" i="5"/>
  <c r="BE128" i="6"/>
  <c r="BE126" i="6"/>
  <c r="BE127" i="6"/>
  <c r="BK122" i="6"/>
  <c r="BK143" i="2"/>
  <c r="BL11" i="6"/>
  <c r="BL14" i="6" s="1"/>
  <c r="BL23" i="6" s="1"/>
  <c r="BB77" i="4"/>
  <c r="BI143" i="2"/>
  <c r="BI12" i="6"/>
  <c r="BI122" i="6"/>
  <c r="BH125" i="6"/>
  <c r="BE54" i="3"/>
  <c r="BI15" i="6" l="1"/>
  <c r="BK15" i="6"/>
  <c r="BK23" i="6"/>
  <c r="BF127" i="6"/>
  <c r="BK53" i="3"/>
  <c r="BK125" i="6"/>
  <c r="BK128" i="6" s="1"/>
  <c r="BK43" i="3"/>
  <c r="BL43" i="3" s="1"/>
  <c r="BL18" i="3"/>
  <c r="BB112" i="2"/>
  <c r="BB14" i="5"/>
  <c r="BB121" i="2"/>
  <c r="BL15" i="6"/>
  <c r="BL53" i="3"/>
  <c r="BE38" i="5"/>
  <c r="BE166" i="4"/>
  <c r="BL122" i="6"/>
  <c r="BL12" i="6"/>
  <c r="BL143" i="2"/>
  <c r="BH8" i="2"/>
  <c r="BH99" i="4" s="1"/>
  <c r="BH10" i="2"/>
  <c r="BE77" i="4"/>
  <c r="BK54" i="3"/>
  <c r="BL32" i="3"/>
  <c r="BL121" i="6"/>
  <c r="BL9" i="6"/>
  <c r="BB122" i="2"/>
  <c r="BB89" i="2"/>
  <c r="BE113" i="2"/>
  <c r="BE103" i="4"/>
  <c r="BE14" i="4"/>
  <c r="BE149" i="4"/>
  <c r="BE115" i="2" s="1"/>
  <c r="BE116" i="2"/>
  <c r="BI54" i="3"/>
  <c r="BK24" i="3"/>
  <c r="BK27" i="3" s="1"/>
  <c r="BK5" i="2"/>
  <c r="BB76" i="4"/>
  <c r="BB79" i="4" s="1"/>
  <c r="BK49" i="3"/>
  <c r="BK9" i="2"/>
  <c r="BH128" i="6"/>
  <c r="BH126" i="6"/>
  <c r="BH127" i="6"/>
  <c r="BB13" i="5"/>
  <c r="BB118" i="2"/>
  <c r="BB123" i="2" s="1"/>
  <c r="BE107" i="5"/>
  <c r="BH27" i="5"/>
  <c r="BF54" i="3"/>
  <c r="BE136" i="4"/>
  <c r="BB35" i="5"/>
  <c r="BB34" i="5" s="1"/>
  <c r="BH152" i="4"/>
  <c r="BH172" i="4"/>
  <c r="BH129" i="2"/>
  <c r="BH174" i="4"/>
  <c r="BH159" i="4"/>
  <c r="BH150" i="4"/>
  <c r="BH161" i="4"/>
  <c r="BH7" i="2"/>
  <c r="BH98" i="4"/>
  <c r="BH15" i="4" s="1"/>
  <c r="BH138" i="4"/>
  <c r="BI125" i="6"/>
  <c r="BK126" i="6" l="1"/>
  <c r="BK127" i="6"/>
  <c r="BB125" i="2"/>
  <c r="BB101" i="5" s="1"/>
  <c r="BK172" i="4"/>
  <c r="BK152" i="4"/>
  <c r="BK174" i="4"/>
  <c r="BK7" i="2"/>
  <c r="BK129" i="2"/>
  <c r="BK98" i="4"/>
  <c r="BK15" i="4" s="1"/>
  <c r="BK159" i="4"/>
  <c r="BK161" i="4"/>
  <c r="BK138" i="4"/>
  <c r="BK150" i="4"/>
  <c r="BK10" i="2"/>
  <c r="BK8" i="2"/>
  <c r="BK99" i="4" s="1"/>
  <c r="BH149" i="4"/>
  <c r="BH115" i="2" s="1"/>
  <c r="BH116" i="2"/>
  <c r="BL125" i="6"/>
  <c r="BH38" i="5"/>
  <c r="BH166" i="4"/>
  <c r="BE35" i="5"/>
  <c r="BE34" i="5" s="1"/>
  <c r="BK27" i="5"/>
  <c r="BH107" i="5"/>
  <c r="BE89" i="2"/>
  <c r="BE122" i="2"/>
  <c r="BL54" i="3"/>
  <c r="BH113" i="2"/>
  <c r="BI127" i="6"/>
  <c r="BI128" i="6"/>
  <c r="BI126" i="6"/>
  <c r="BH103" i="4"/>
  <c r="BH14" i="4"/>
  <c r="BE118" i="2"/>
  <c r="BE123" i="2" s="1"/>
  <c r="BE13" i="5"/>
  <c r="BE76" i="4"/>
  <c r="BE79" i="4" s="1"/>
  <c r="BE112" i="2"/>
  <c r="BE121" i="2"/>
  <c r="BE14" i="5"/>
  <c r="BH136" i="4"/>
  <c r="BB100" i="2"/>
  <c r="BH77" i="4"/>
  <c r="BB12" i="5"/>
  <c r="BB224" i="4"/>
  <c r="BB81" i="4"/>
  <c r="BE125" i="2" l="1"/>
  <c r="BE101" i="5" s="1"/>
  <c r="BL126" i="6"/>
  <c r="BL128" i="6"/>
  <c r="BL127" i="6"/>
  <c r="BB36" i="2"/>
  <c r="BB24" i="2"/>
  <c r="BK77" i="4"/>
  <c r="BH122" i="2"/>
  <c r="BH89" i="2"/>
  <c r="BH35" i="5"/>
  <c r="BH34" i="5" s="1"/>
  <c r="BE12" i="5"/>
  <c r="BK107" i="5"/>
  <c r="BH13" i="5"/>
  <c r="BH118" i="2"/>
  <c r="BH123" i="2" s="1"/>
  <c r="BK149" i="4"/>
  <c r="BK115" i="2" s="1"/>
  <c r="BK116" i="2"/>
  <c r="BE81" i="4"/>
  <c r="BE224" i="4"/>
  <c r="BH112" i="2"/>
  <c r="BH121" i="2"/>
  <c r="BH14" i="5"/>
  <c r="BK103" i="4"/>
  <c r="BK14" i="4"/>
  <c r="BK136" i="4"/>
  <c r="BK38" i="5"/>
  <c r="BK166" i="4"/>
  <c r="BH76" i="4"/>
  <c r="BH79" i="4" s="1"/>
  <c r="BE100" i="2"/>
  <c r="BK113" i="2"/>
  <c r="BH100" i="2" l="1"/>
  <c r="BH81" i="4"/>
  <c r="BH224" i="4"/>
  <c r="BK14" i="5"/>
  <c r="BK112" i="2"/>
  <c r="BK121" i="2"/>
  <c r="BK122" i="2"/>
  <c r="BK89" i="2"/>
  <c r="BK13" i="5"/>
  <c r="BK118" i="2"/>
  <c r="BK123" i="2" s="1"/>
  <c r="BE36" i="2"/>
  <c r="BE24" i="2"/>
  <c r="BH12" i="5"/>
  <c r="BK35" i="5"/>
  <c r="BK34" i="5" s="1"/>
  <c r="BK76" i="4"/>
  <c r="BK79" i="4" s="1"/>
  <c r="BH125" i="2"/>
  <c r="BH101" i="5" s="1"/>
  <c r="BB12" i="2"/>
  <c r="BK125" i="2" l="1"/>
  <c r="BK101" i="5" s="1"/>
  <c r="BK224" i="4"/>
  <c r="BK81" i="4"/>
  <c r="BK12" i="5"/>
  <c r="BE12" i="2"/>
  <c r="BB11" i="2"/>
  <c r="BB13" i="2"/>
  <c r="BH24" i="2"/>
  <c r="BH36" i="2"/>
  <c r="BK100" i="2"/>
  <c r="BK36" i="2" l="1"/>
  <c r="BK24" i="2"/>
  <c r="BE13" i="2"/>
  <c r="BE11" i="2"/>
  <c r="BH12" i="2"/>
  <c r="BH11" i="2" l="1"/>
  <c r="BH13" i="2"/>
  <c r="BK12" i="2"/>
  <c r="BK11" i="2" l="1"/>
  <c r="BK13" i="2"/>
  <c r="AZ25" i="3" l="1"/>
  <c r="AC71" i="10" l="1"/>
  <c r="BA13" i="3"/>
  <c r="BA21" i="3"/>
  <c r="AZ21" i="3"/>
  <c r="AZ13" i="3"/>
  <c r="BD13" i="3" l="1"/>
  <c r="AD71" i="10"/>
  <c r="BD21" i="3"/>
  <c r="AZ23" i="3"/>
  <c r="BA23" i="3"/>
  <c r="BC21" i="3"/>
  <c r="BC23" i="3" s="1"/>
  <c r="BC13" i="3"/>
  <c r="BA46" i="3" l="1"/>
  <c r="BA48" i="3" s="1"/>
  <c r="BA9" i="2" s="1"/>
  <c r="BA38" i="3"/>
  <c r="BD23" i="3"/>
  <c r="BD46" i="3"/>
  <c r="BD48" i="3" s="1"/>
  <c r="AZ24" i="3"/>
  <c r="AZ27" i="3" s="1"/>
  <c r="AZ5" i="2"/>
  <c r="BA24" i="3"/>
  <c r="BA5" i="2"/>
  <c r="BC25" i="3"/>
  <c r="BC26" i="3"/>
  <c r="BC24" i="3"/>
  <c r="BC5" i="2"/>
  <c r="BG26" i="3" l="1"/>
  <c r="BF26" i="3" s="1"/>
  <c r="BG25" i="3"/>
  <c r="BA49" i="3"/>
  <c r="AZ38" i="3"/>
  <c r="AZ46" i="3"/>
  <c r="AZ48" i="3" s="1"/>
  <c r="AC79" i="10"/>
  <c r="BC98" i="4"/>
  <c r="BC7" i="2"/>
  <c r="BC172" i="4"/>
  <c r="BC174" i="4"/>
  <c r="AZ98" i="4"/>
  <c r="AZ174" i="4"/>
  <c r="AZ172" i="4"/>
  <c r="AZ7" i="2"/>
  <c r="E10" i="54"/>
  <c r="AE71" i="10"/>
  <c r="BG21" i="3"/>
  <c r="BF21" i="3"/>
  <c r="BF23" i="3" s="1"/>
  <c r="BF13" i="3"/>
  <c r="AD79" i="10"/>
  <c r="BD24" i="3"/>
  <c r="BD27" i="3" s="1"/>
  <c r="BD5" i="2"/>
  <c r="BF25" i="3"/>
  <c r="BA152" i="4"/>
  <c r="AZ152" i="4" s="1"/>
  <c r="AZ153" i="4" s="1"/>
  <c r="BA150" i="4"/>
  <c r="BA129" i="2"/>
  <c r="BA159" i="4"/>
  <c r="BA172" i="4"/>
  <c r="BA161" i="4"/>
  <c r="BA174" i="4"/>
  <c r="BA98" i="4"/>
  <c r="BA15" i="4" s="1"/>
  <c r="BA7" i="2"/>
  <c r="BA138" i="4"/>
  <c r="AC13" i="10"/>
  <c r="AC28" i="10" s="1"/>
  <c r="BA8" i="2"/>
  <c r="BA10" i="2"/>
  <c r="BC27" i="3"/>
  <c r="BD49" i="3"/>
  <c r="BD9" i="2"/>
  <c r="BC46" i="3"/>
  <c r="BC48" i="3" s="1"/>
  <c r="BC38" i="3"/>
  <c r="BA27" i="3"/>
  <c r="BA27" i="5"/>
  <c r="BA67" i="3"/>
  <c r="AZ49" i="3" l="1"/>
  <c r="AZ9" i="2"/>
  <c r="BG23" i="3"/>
  <c r="BC9" i="2"/>
  <c r="BC49" i="3"/>
  <c r="AZ15" i="4"/>
  <c r="AZ77" i="4" s="1"/>
  <c r="AZ102" i="4" s="1"/>
  <c r="BB21" i="5"/>
  <c r="BA21" i="5"/>
  <c r="BA77" i="4"/>
  <c r="AZ138" i="4"/>
  <c r="BA136" i="4"/>
  <c r="AZ159" i="4"/>
  <c r="BA38" i="5"/>
  <c r="BA166" i="4"/>
  <c r="AZ129" i="2"/>
  <c r="BA131" i="2"/>
  <c r="BG46" i="3"/>
  <c r="BG48" i="3" s="1"/>
  <c r="AZ150" i="4"/>
  <c r="BA116" i="2"/>
  <c r="BA149" i="4"/>
  <c r="BA115" i="2" s="1"/>
  <c r="BD152" i="4"/>
  <c r="BC152" i="4" s="1"/>
  <c r="BC153" i="4" s="1"/>
  <c r="BD98" i="4"/>
  <c r="BD15" i="4" s="1"/>
  <c r="BD174" i="4"/>
  <c r="BD150" i="4"/>
  <c r="BD129" i="2"/>
  <c r="BD161" i="4"/>
  <c r="BD138" i="4"/>
  <c r="BD172" i="4"/>
  <c r="BD159" i="4"/>
  <c r="BD7" i="2"/>
  <c r="AD13" i="10"/>
  <c r="AD28" i="10" s="1"/>
  <c r="BA99" i="4"/>
  <c r="AZ161" i="4"/>
  <c r="BA113" i="2"/>
  <c r="BD8" i="2"/>
  <c r="BD10" i="2"/>
  <c r="AC80" i="10"/>
  <c r="BD67" i="3"/>
  <c r="AZ67" i="3"/>
  <c r="BA68" i="3"/>
  <c r="BA70" i="3" s="1"/>
  <c r="BD27" i="5"/>
  <c r="BA107" i="5"/>
  <c r="AZ107" i="5" s="1"/>
  <c r="AZ27" i="5"/>
  <c r="BF5" i="2"/>
  <c r="BF24" i="3"/>
  <c r="BF27" i="3" s="1"/>
  <c r="E14" i="54"/>
  <c r="E15" i="54" s="1"/>
  <c r="E11" i="54"/>
  <c r="BJ26" i="3" l="1"/>
  <c r="BJ25" i="3"/>
  <c r="AZ10" i="2"/>
  <c r="AZ8" i="2"/>
  <c r="AZ99" i="4" s="1"/>
  <c r="AZ103" i="4" s="1"/>
  <c r="BC159" i="4"/>
  <c r="BD38" i="5"/>
  <c r="BD166" i="4"/>
  <c r="AZ130" i="2"/>
  <c r="BA35" i="5"/>
  <c r="AZ136" i="4"/>
  <c r="AZ139" i="4"/>
  <c r="BC8" i="2"/>
  <c r="BC99" i="4" s="1"/>
  <c r="BC103" i="4" s="1"/>
  <c r="BC10" i="2"/>
  <c r="BC15" i="4"/>
  <c r="BC77" i="4" s="1"/>
  <c r="BC102" i="4" s="1"/>
  <c r="BD21" i="5"/>
  <c r="BE21" i="5"/>
  <c r="BD77" i="4"/>
  <c r="BA13" i="5"/>
  <c r="BA118" i="2"/>
  <c r="BA123" i="2" s="1"/>
  <c r="BA39" i="5"/>
  <c r="BA37" i="5" s="1"/>
  <c r="BA112" i="2"/>
  <c r="BA14" i="5"/>
  <c r="BA121" i="2"/>
  <c r="AZ162" i="4"/>
  <c r="AZ113" i="2"/>
  <c r="BD99" i="4"/>
  <c r="BI21" i="3"/>
  <c r="BI23" i="3" s="1"/>
  <c r="BI13" i="3"/>
  <c r="BG5" i="2"/>
  <c r="BG24" i="3"/>
  <c r="BG27" i="3" s="1"/>
  <c r="BI26" i="3"/>
  <c r="BC138" i="4"/>
  <c r="BD136" i="4"/>
  <c r="BC27" i="5"/>
  <c r="BC107" i="5" s="1"/>
  <c r="BD107" i="5"/>
  <c r="BC129" i="2"/>
  <c r="AZ160" i="4"/>
  <c r="AZ166" i="4"/>
  <c r="AZ38" i="5"/>
  <c r="AZ21" i="5"/>
  <c r="BG9" i="2"/>
  <c r="BG49" i="3"/>
  <c r="AZ116" i="2"/>
  <c r="AZ122" i="2" s="1"/>
  <c r="AZ149" i="4"/>
  <c r="AZ115" i="2" s="1"/>
  <c r="AZ151" i="4"/>
  <c r="BB67" i="3"/>
  <c r="BB68" i="3" s="1"/>
  <c r="BB70" i="3" s="1"/>
  <c r="AD80" i="10"/>
  <c r="BD68" i="3"/>
  <c r="BD70" i="3" s="1"/>
  <c r="BA14" i="4"/>
  <c r="BA103" i="4"/>
  <c r="BA122" i="2"/>
  <c r="BA89" i="2"/>
  <c r="BC161" i="4"/>
  <c r="BD113" i="2"/>
  <c r="BF7" i="2"/>
  <c r="BF172" i="4"/>
  <c r="BF98" i="4"/>
  <c r="BF174" i="4"/>
  <c r="BA71" i="3"/>
  <c r="BA25" i="2"/>
  <c r="E23" i="54"/>
  <c r="AE79" i="10"/>
  <c r="BC150" i="4"/>
  <c r="BD149" i="4"/>
  <c r="BD115" i="2" s="1"/>
  <c r="BD116" i="2"/>
  <c r="BF46" i="3"/>
  <c r="BF48" i="3" s="1"/>
  <c r="BF38" i="3"/>
  <c r="AZ131" i="2"/>
  <c r="AZ130" i="4" s="1"/>
  <c r="BD131" i="2"/>
  <c r="BA130" i="4"/>
  <c r="BA132" i="2"/>
  <c r="AZ68" i="3"/>
  <c r="AZ70" i="3" s="1"/>
  <c r="BJ21" i="3"/>
  <c r="AF71" i="10"/>
  <c r="BI25" i="3"/>
  <c r="BG67" i="3" l="1"/>
  <c r="BG68" i="3" s="1"/>
  <c r="BG70" i="3" s="1"/>
  <c r="BG27" i="5"/>
  <c r="BF27" i="5" s="1"/>
  <c r="BF107" i="5" s="1"/>
  <c r="BD132" i="2"/>
  <c r="AZ132" i="2"/>
  <c r="AZ134" i="2" s="1"/>
  <c r="AZ138" i="2" s="1"/>
  <c r="BG152" i="4"/>
  <c r="BF152" i="4" s="1"/>
  <c r="BF153" i="4" s="1"/>
  <c r="BG172" i="4"/>
  <c r="BG98" i="4"/>
  <c r="BG15" i="4" s="1"/>
  <c r="BG138" i="4"/>
  <c r="BG161" i="4"/>
  <c r="BG7" i="2"/>
  <c r="BG159" i="4"/>
  <c r="BG129" i="2"/>
  <c r="BG131" i="2" s="1"/>
  <c r="BG150" i="4"/>
  <c r="BG174" i="4"/>
  <c r="AE13" i="10"/>
  <c r="AE28" i="10" s="1"/>
  <c r="BA12" i="5"/>
  <c r="BD118" i="2"/>
  <c r="BD123" i="2" s="1"/>
  <c r="BD13" i="5"/>
  <c r="BJ23" i="3"/>
  <c r="BA100" i="2"/>
  <c r="AZ89" i="2"/>
  <c r="AZ100" i="2" s="1"/>
  <c r="AZ24" i="2" s="1"/>
  <c r="AZ12" i="2" s="1"/>
  <c r="BC116" i="2"/>
  <c r="BC122" i="2" s="1"/>
  <c r="BC151" i="4"/>
  <c r="BC149" i="4"/>
  <c r="BC115" i="2" s="1"/>
  <c r="BB131" i="2"/>
  <c r="BC131" i="2" s="1"/>
  <c r="BC130" i="4" s="1"/>
  <c r="BD130" i="4"/>
  <c r="BB20" i="5"/>
  <c r="BB19" i="5" s="1"/>
  <c r="BB102" i="5" s="1"/>
  <c r="BB104" i="5" s="1"/>
  <c r="AZ14" i="4"/>
  <c r="BA20" i="5"/>
  <c r="BA76" i="4"/>
  <c r="BA79" i="4" s="1"/>
  <c r="AZ14" i="5"/>
  <c r="AZ112" i="2"/>
  <c r="AZ121" i="2"/>
  <c r="BA125" i="2"/>
  <c r="AZ71" i="3"/>
  <c r="AZ25" i="2"/>
  <c r="BC130" i="2"/>
  <c r="BD35" i="5"/>
  <c r="BD71" i="3"/>
  <c r="BD25" i="2"/>
  <c r="BG8" i="2"/>
  <c r="BG10" i="2"/>
  <c r="BC136" i="4"/>
  <c r="BC139" i="4"/>
  <c r="BA163" i="4"/>
  <c r="AZ39" i="5"/>
  <c r="AZ37" i="5" s="1"/>
  <c r="BD39" i="5"/>
  <c r="BC21" i="5"/>
  <c r="AZ35" i="5"/>
  <c r="AZ34" i="5" s="1"/>
  <c r="AZ132" i="4"/>
  <c r="AZ118" i="2"/>
  <c r="AZ123" i="2" s="1"/>
  <c r="AZ13" i="5"/>
  <c r="BC67" i="3"/>
  <c r="BC68" i="3" s="1"/>
  <c r="BC70" i="3" s="1"/>
  <c r="BI24" i="3"/>
  <c r="BI27" i="3" s="1"/>
  <c r="BI5" i="2"/>
  <c r="BA34" i="5"/>
  <c r="BC38" i="5"/>
  <c r="BC166" i="4"/>
  <c r="BC160" i="4"/>
  <c r="AC15" i="10"/>
  <c r="BA26" i="2"/>
  <c r="BA100" i="5"/>
  <c r="BA33" i="2"/>
  <c r="BA228" i="4"/>
  <c r="BA229" i="4" s="1"/>
  <c r="BB71" i="3"/>
  <c r="BB25" i="2"/>
  <c r="BJ46" i="3"/>
  <c r="BJ48" i="3" s="1"/>
  <c r="BF9" i="2"/>
  <c r="BF49" i="3"/>
  <c r="BD14" i="5"/>
  <c r="BD112" i="2"/>
  <c r="BD121" i="2"/>
  <c r="BD122" i="2"/>
  <c r="BD89" i="2"/>
  <c r="BG71" i="3"/>
  <c r="BG25" i="2"/>
  <c r="BC113" i="2"/>
  <c r="BC162" i="4"/>
  <c r="BE67" i="3"/>
  <c r="BE68" i="3" s="1"/>
  <c r="BE70" i="3" s="1"/>
  <c r="E25" i="54"/>
  <c r="E27" i="54" s="1"/>
  <c r="AE80" i="10"/>
  <c r="BD14" i="4"/>
  <c r="BD103" i="4"/>
  <c r="BA132" i="4"/>
  <c r="BA134" i="2"/>
  <c r="BA138" i="2" s="1"/>
  <c r="BG107" i="5" l="1"/>
  <c r="BM26" i="3"/>
  <c r="BM25" i="3"/>
  <c r="AZ12" i="5"/>
  <c r="BD125" i="2"/>
  <c r="BF67" i="3"/>
  <c r="BF68" i="3" s="1"/>
  <c r="BF70" i="3" s="1"/>
  <c r="BF71" i="3" s="1"/>
  <c r="AZ141" i="2"/>
  <c r="AZ17" i="2"/>
  <c r="AZ18" i="2" s="1"/>
  <c r="BG100" i="5"/>
  <c r="BG26" i="2"/>
  <c r="AE15" i="10"/>
  <c r="BG228" i="4"/>
  <c r="BG229" i="4" s="1"/>
  <c r="BL21" i="3"/>
  <c r="BL23" i="3" s="1"/>
  <c r="BL13" i="3"/>
  <c r="BD34" i="5"/>
  <c r="AZ26" i="2"/>
  <c r="AZ33" i="2"/>
  <c r="AZ228" i="4"/>
  <c r="AZ100" i="5"/>
  <c r="BI172" i="4"/>
  <c r="BI174" i="4"/>
  <c r="BI7" i="2"/>
  <c r="BI98" i="4"/>
  <c r="BF161" i="4"/>
  <c r="BG113" i="2"/>
  <c r="E28" i="54"/>
  <c r="E32" i="54"/>
  <c r="BA35" i="2"/>
  <c r="BA43" i="2" s="1"/>
  <c r="BA98" i="5"/>
  <c r="AZ11" i="2"/>
  <c r="AZ13" i="2"/>
  <c r="BF138" i="4"/>
  <c r="BG136" i="4"/>
  <c r="BM21" i="3"/>
  <c r="AG71" i="10"/>
  <c r="BD163" i="4"/>
  <c r="BB39" i="5"/>
  <c r="BC39" i="5" s="1"/>
  <c r="BC37" i="5" s="1"/>
  <c r="BG99" i="4"/>
  <c r="BA36" i="2"/>
  <c r="BA24" i="2"/>
  <c r="BF150" i="4"/>
  <c r="BG149" i="4"/>
  <c r="BG115" i="2" s="1"/>
  <c r="BG116" i="2"/>
  <c r="BF15" i="4"/>
  <c r="BF77" i="4" s="1"/>
  <c r="BF102" i="4" s="1"/>
  <c r="BH21" i="5"/>
  <c r="BG77" i="4"/>
  <c r="BG21" i="5"/>
  <c r="D25" i="54"/>
  <c r="F25" i="54"/>
  <c r="E26" i="54"/>
  <c r="BC89" i="2"/>
  <c r="BC100" i="2" s="1"/>
  <c r="BC24" i="2" s="1"/>
  <c r="BC12" i="2" s="1"/>
  <c r="BD100" i="2"/>
  <c r="BA101" i="5"/>
  <c r="BD12" i="5"/>
  <c r="BG132" i="2"/>
  <c r="BG134" i="2" s="1"/>
  <c r="BG138" i="2" s="1"/>
  <c r="BB132" i="2"/>
  <c r="BC132" i="2" s="1"/>
  <c r="BC134" i="2" s="1"/>
  <c r="BC138" i="2" s="1"/>
  <c r="BA233" i="4"/>
  <c r="BF8" i="2"/>
  <c r="BF99" i="4" s="1"/>
  <c r="BF103" i="4" s="1"/>
  <c r="BF10" i="2"/>
  <c r="BJ49" i="3"/>
  <c r="BJ9" i="2"/>
  <c r="BA91" i="5"/>
  <c r="BA105" i="5" s="1"/>
  <c r="BA5" i="4"/>
  <c r="BA54" i="5"/>
  <c r="BD100" i="5"/>
  <c r="AD15" i="10"/>
  <c r="BD26" i="2"/>
  <c r="BD228" i="4"/>
  <c r="BD229" i="4" s="1"/>
  <c r="BE71" i="3"/>
  <c r="BE25" i="2"/>
  <c r="BI46" i="3"/>
  <c r="BI48" i="3" s="1"/>
  <c r="BI38" i="3"/>
  <c r="BD37" i="5"/>
  <c r="AZ163" i="4"/>
  <c r="AZ164" i="4" s="1"/>
  <c r="BA164" i="4"/>
  <c r="BA81" i="4"/>
  <c r="BB93" i="4"/>
  <c r="BB92" i="4" s="1"/>
  <c r="BA93" i="4"/>
  <c r="BA92" i="4" s="1"/>
  <c r="BA224" i="4"/>
  <c r="BE131" i="2"/>
  <c r="BF131" i="2" s="1"/>
  <c r="BF130" i="4" s="1"/>
  <c r="BG130" i="4"/>
  <c r="BF129" i="2"/>
  <c r="BE20" i="5"/>
  <c r="BE19" i="5" s="1"/>
  <c r="BE102" i="5" s="1"/>
  <c r="BE104" i="5" s="1"/>
  <c r="BD20" i="5"/>
  <c r="BC14" i="4"/>
  <c r="BD76" i="4"/>
  <c r="BD79" i="4" s="1"/>
  <c r="BD101" i="5"/>
  <c r="AF79" i="10"/>
  <c r="BA19" i="5"/>
  <c r="BA102" i="5" s="1"/>
  <c r="AZ20" i="5"/>
  <c r="AZ19" i="5" s="1"/>
  <c r="BB130" i="4"/>
  <c r="BB132" i="4" s="1"/>
  <c r="BJ5" i="2"/>
  <c r="BL25" i="3"/>
  <c r="BJ24" i="3"/>
  <c r="BJ27" i="3" s="1"/>
  <c r="BL26" i="3"/>
  <c r="BA17" i="2"/>
  <c r="BA141" i="2"/>
  <c r="BC121" i="2"/>
  <c r="BC112" i="2"/>
  <c r="BC14" i="5"/>
  <c r="BB100" i="5"/>
  <c r="BB23" i="2"/>
  <c r="BB26" i="2"/>
  <c r="BB228" i="4"/>
  <c r="BB229" i="4" s="1"/>
  <c r="AC29" i="10"/>
  <c r="AC16" i="10"/>
  <c r="AC14" i="10"/>
  <c r="AC34" i="10"/>
  <c r="BC25" i="2"/>
  <c r="BC71" i="3"/>
  <c r="AZ54" i="5"/>
  <c r="AZ91" i="5"/>
  <c r="BC132" i="4"/>
  <c r="BC35" i="5"/>
  <c r="BC34" i="5" s="1"/>
  <c r="BD132" i="4"/>
  <c r="AZ125" i="2"/>
  <c r="AZ76" i="4"/>
  <c r="BC13" i="5"/>
  <c r="BC118" i="2"/>
  <c r="BC123" i="2" s="1"/>
  <c r="BF159" i="4"/>
  <c r="BG166" i="4"/>
  <c r="BG38" i="5"/>
  <c r="BG39" i="5" s="1"/>
  <c r="BD134" i="2"/>
  <c r="BD138" i="2" s="1"/>
  <c r="BF25" i="2" l="1"/>
  <c r="BF26" i="2" s="1"/>
  <c r="BB134" i="2"/>
  <c r="BB138" i="2" s="1"/>
  <c r="BB17" i="2" s="1"/>
  <c r="BB18" i="2" s="1"/>
  <c r="BC125" i="2"/>
  <c r="BC17" i="2"/>
  <c r="BC18" i="2" s="1"/>
  <c r="BC141" i="2"/>
  <c r="BG163" i="4"/>
  <c r="BE39" i="5"/>
  <c r="BF39" i="5" s="1"/>
  <c r="BF21" i="5"/>
  <c r="BA12" i="2"/>
  <c r="BA23" i="2"/>
  <c r="BD17" i="2"/>
  <c r="BD141" i="2"/>
  <c r="BA170" i="2"/>
  <c r="BG141" i="2"/>
  <c r="BG17" i="2"/>
  <c r="AD34" i="10"/>
  <c r="AD16" i="10"/>
  <c r="AD29" i="10"/>
  <c r="AD14" i="10"/>
  <c r="AZ36" i="2"/>
  <c r="AZ158" i="2" s="1"/>
  <c r="AZ98" i="5"/>
  <c r="AZ99" i="5" s="1"/>
  <c r="BL5" i="2"/>
  <c r="BL24" i="3"/>
  <c r="BL27" i="3" s="1"/>
  <c r="BJ67" i="3"/>
  <c r="BJ27" i="5"/>
  <c r="BF130" i="2"/>
  <c r="BE100" i="5"/>
  <c r="BE23" i="2"/>
  <c r="BE26" i="2"/>
  <c r="BE228" i="4"/>
  <c r="BE229" i="4" s="1"/>
  <c r="BG103" i="4"/>
  <c r="BG14" i="4"/>
  <c r="BG233" i="4"/>
  <c r="BJ152" i="4"/>
  <c r="BI152" i="4" s="1"/>
  <c r="BI153" i="4" s="1"/>
  <c r="BJ161" i="4"/>
  <c r="AF13" i="10"/>
  <c r="AF28" i="10" s="1"/>
  <c r="BJ129" i="2"/>
  <c r="BJ138" i="4"/>
  <c r="BJ172" i="4"/>
  <c r="BJ150" i="4"/>
  <c r="BJ7" i="2"/>
  <c r="BJ98" i="4"/>
  <c r="BJ15" i="4" s="1"/>
  <c r="BJ159" i="4"/>
  <c r="BJ174" i="4"/>
  <c r="BE93" i="4"/>
  <c r="BE92" i="4" s="1"/>
  <c r="BD93" i="4"/>
  <c r="BD92" i="4" s="1"/>
  <c r="BD224" i="4"/>
  <c r="BD81" i="4"/>
  <c r="BA99" i="5"/>
  <c r="BG14" i="5"/>
  <c r="BG121" i="2"/>
  <c r="BG112" i="2"/>
  <c r="AE16" i="10"/>
  <c r="AE29" i="10"/>
  <c r="AE34" i="10"/>
  <c r="BF100" i="5"/>
  <c r="BF228" i="4"/>
  <c r="BB233" i="4"/>
  <c r="BC76" i="4"/>
  <c r="AZ101" i="5"/>
  <c r="AC17" i="10"/>
  <c r="BA47" i="2"/>
  <c r="BA46" i="2"/>
  <c r="BF162" i="4"/>
  <c r="BF113" i="2"/>
  <c r="BD91" i="5"/>
  <c r="BD105" i="5" s="1"/>
  <c r="BD54" i="5"/>
  <c r="AZ79" i="4"/>
  <c r="AZ101" i="4"/>
  <c r="BC101" i="5"/>
  <c r="BD233" i="4"/>
  <c r="BA148" i="2"/>
  <c r="BA142" i="2"/>
  <c r="BD19" i="5"/>
  <c r="BC20" i="5"/>
  <c r="BC19" i="5" s="1"/>
  <c r="BB5" i="4"/>
  <c r="BA220" i="4"/>
  <c r="BD5" i="4"/>
  <c r="BA124" i="4"/>
  <c r="BA126" i="4" s="1"/>
  <c r="AZ5" i="4"/>
  <c r="BG122" i="2"/>
  <c r="BG89" i="2"/>
  <c r="BG35" i="5"/>
  <c r="BG132" i="4"/>
  <c r="AZ35" i="2"/>
  <c r="BA154" i="2"/>
  <c r="BA155" i="2" s="1"/>
  <c r="BA34" i="2"/>
  <c r="BC54" i="5"/>
  <c r="BC91" i="5"/>
  <c r="BG37" i="5"/>
  <c r="BB158" i="4"/>
  <c r="BA6" i="4"/>
  <c r="BA13" i="4" s="1"/>
  <c r="BD158" i="4"/>
  <c r="BD164" i="4" s="1"/>
  <c r="BE130" i="4"/>
  <c r="BE132" i="4" s="1"/>
  <c r="BJ10" i="2"/>
  <c r="BJ8" i="2"/>
  <c r="BE132" i="2"/>
  <c r="BE134" i="2" s="1"/>
  <c r="BE138" i="2" s="1"/>
  <c r="BD36" i="2"/>
  <c r="BD24" i="2"/>
  <c r="F27" i="54"/>
  <c r="F26" i="54"/>
  <c r="BG118" i="2"/>
  <c r="BG123" i="2" s="1"/>
  <c r="BG13" i="5"/>
  <c r="BB37" i="5"/>
  <c r="BB163" i="4"/>
  <c r="BC163" i="4" s="1"/>
  <c r="BF136" i="4"/>
  <c r="BF139" i="4"/>
  <c r="BF166" i="4"/>
  <c r="BF38" i="5"/>
  <c r="BF160" i="4"/>
  <c r="BC228" i="4"/>
  <c r="BC100" i="5"/>
  <c r="BC26" i="2"/>
  <c r="BB5" i="5"/>
  <c r="BB29" i="5" s="1"/>
  <c r="BA18" i="2"/>
  <c r="BC12" i="5"/>
  <c r="BM46" i="3"/>
  <c r="BM48" i="3" s="1"/>
  <c r="BI9" i="2"/>
  <c r="BI49" i="3"/>
  <c r="AZ105" i="5"/>
  <c r="BA150" i="2"/>
  <c r="BC13" i="2"/>
  <c r="BC11" i="2"/>
  <c r="D27" i="54"/>
  <c r="D26" i="54"/>
  <c r="BF116" i="2"/>
  <c r="BF122" i="2" s="1"/>
  <c r="BF149" i="4"/>
  <c r="BF115" i="2" s="1"/>
  <c r="BF151" i="4"/>
  <c r="BM23" i="3"/>
  <c r="AZ148" i="2"/>
  <c r="AZ142" i="2"/>
  <c r="BB141" i="2" l="1"/>
  <c r="BF37" i="5"/>
  <c r="BB15" i="2"/>
  <c r="BB16" i="2" s="1"/>
  <c r="BE17" i="2"/>
  <c r="BE18" i="2" s="1"/>
  <c r="BE141" i="2"/>
  <c r="BD150" i="2"/>
  <c r="AC18" i="10"/>
  <c r="AC30" i="10" s="1"/>
  <c r="BB148" i="2"/>
  <c r="BB142" i="2"/>
  <c r="BG125" i="2"/>
  <c r="BE233" i="4"/>
  <c r="BH67" i="3"/>
  <c r="BH68" i="3" s="1"/>
  <c r="BH70" i="3" s="1"/>
  <c r="AF80" i="10"/>
  <c r="BJ68" i="3"/>
  <c r="BJ70" i="3" s="1"/>
  <c r="BG142" i="2"/>
  <c r="BG148" i="2"/>
  <c r="BM49" i="3"/>
  <c r="BM9" i="2"/>
  <c r="BG12" i="5"/>
  <c r="BF132" i="2"/>
  <c r="BF134" i="2" s="1"/>
  <c r="BF138" i="2" s="1"/>
  <c r="AZ155" i="2"/>
  <c r="BA30" i="5"/>
  <c r="BF112" i="2"/>
  <c r="BF121" i="2"/>
  <c r="BF14" i="5"/>
  <c r="AC43" i="10"/>
  <c r="AC35" i="10"/>
  <c r="BI138" i="4"/>
  <c r="BJ136" i="4"/>
  <c r="BH20" i="5"/>
  <c r="BH19" i="5" s="1"/>
  <c r="BH102" i="5" s="1"/>
  <c r="BH104" i="5" s="1"/>
  <c r="BG76" i="4"/>
  <c r="BG79" i="4" s="1"/>
  <c r="BG20" i="5"/>
  <c r="BF14" i="4"/>
  <c r="BA15" i="2"/>
  <c r="BA32" i="2"/>
  <c r="BA5" i="5"/>
  <c r="AG79" i="10"/>
  <c r="BB220" i="4"/>
  <c r="BB124" i="4"/>
  <c r="BB126" i="4" s="1"/>
  <c r="BI129" i="2"/>
  <c r="BJ131" i="2"/>
  <c r="BA13" i="2"/>
  <c r="BA11" i="2"/>
  <c r="BB88" i="5"/>
  <c r="BB91" i="5"/>
  <c r="BB105" i="5" s="1"/>
  <c r="BB108" i="5" s="1"/>
  <c r="BB54" i="5"/>
  <c r="BG100" i="2"/>
  <c r="BF89" i="2"/>
  <c r="BF100" i="2" s="1"/>
  <c r="BF24" i="2" s="1"/>
  <c r="BF12" i="2" s="1"/>
  <c r="BE158" i="4"/>
  <c r="BG158" i="4"/>
  <c r="BG164" i="4" s="1"/>
  <c r="BD6" i="4"/>
  <c r="BD13" i="4" s="1"/>
  <c r="AZ34" i="2"/>
  <c r="AZ153" i="2" s="1"/>
  <c r="AZ37" i="2"/>
  <c r="AZ154" i="2"/>
  <c r="BE5" i="5"/>
  <c r="BE29" i="5" s="1"/>
  <c r="BL174" i="4"/>
  <c r="BL7" i="2"/>
  <c r="BL98" i="4"/>
  <c r="BL172" i="4"/>
  <c r="BD170" i="2"/>
  <c r="BJ99" i="4"/>
  <c r="BF118" i="2"/>
  <c r="BF123" i="2" s="1"/>
  <c r="BF13" i="5"/>
  <c r="F31" i="54"/>
  <c r="F34" i="54" s="1"/>
  <c r="F35" i="54" s="1"/>
  <c r="F28" i="54"/>
  <c r="BA221" i="4"/>
  <c r="AZ6" i="4"/>
  <c r="AZ221" i="4" s="1"/>
  <c r="AZ220" i="4"/>
  <c r="AZ124" i="4"/>
  <c r="AZ126" i="4" s="1"/>
  <c r="AZ102" i="5"/>
  <c r="AZ104" i="5" s="1"/>
  <c r="AZ108" i="5" s="1"/>
  <c r="BA104" i="5"/>
  <c r="BA108" i="5" s="1"/>
  <c r="BI159" i="4"/>
  <c r="BJ38" i="5"/>
  <c r="BJ166" i="4"/>
  <c r="AZ43" i="2"/>
  <c r="BE37" i="5"/>
  <c r="BE163" i="4"/>
  <c r="BF163" i="4" s="1"/>
  <c r="BD12" i="2"/>
  <c r="BD23" i="2"/>
  <c r="BB164" i="4"/>
  <c r="BG34" i="5"/>
  <c r="BA49" i="2"/>
  <c r="BA54" i="2" s="1"/>
  <c r="BI15" i="4"/>
  <c r="BI77" i="4" s="1"/>
  <c r="BI102" i="4" s="1"/>
  <c r="BK21" i="5"/>
  <c r="BJ77" i="4"/>
  <c r="BJ21" i="5"/>
  <c r="BI161" i="4"/>
  <c r="BJ113" i="2"/>
  <c r="BD148" i="2"/>
  <c r="BD142" i="2"/>
  <c r="BF35" i="5"/>
  <c r="BF34" i="5" s="1"/>
  <c r="BF132" i="4"/>
  <c r="BC36" i="2"/>
  <c r="BC158" i="2" s="1"/>
  <c r="BD102" i="5"/>
  <c r="BL46" i="3"/>
  <c r="BL48" i="3" s="1"/>
  <c r="BL38" i="3"/>
  <c r="BD18" i="2"/>
  <c r="BC142" i="2"/>
  <c r="BC148" i="2"/>
  <c r="BM5" i="2"/>
  <c r="BM24" i="3"/>
  <c r="BM27" i="3" s="1"/>
  <c r="BA153" i="2"/>
  <c r="D31" i="54"/>
  <c r="D34" i="54" s="1"/>
  <c r="D35" i="54" s="1"/>
  <c r="D28" i="54"/>
  <c r="BI8" i="2"/>
  <c r="BI99" i="4" s="1"/>
  <c r="BI103" i="4" s="1"/>
  <c r="BI10" i="2"/>
  <c r="BE5" i="4"/>
  <c r="BD220" i="4"/>
  <c r="BD124" i="4"/>
  <c r="BD126" i="4" s="1"/>
  <c r="BC5" i="4"/>
  <c r="AZ93" i="4"/>
  <c r="AZ92" i="4" s="1"/>
  <c r="AZ81" i="4"/>
  <c r="AZ224" i="4"/>
  <c r="BC79" i="4"/>
  <c r="BC101" i="4"/>
  <c r="BI150" i="4"/>
  <c r="BJ149" i="4"/>
  <c r="BJ115" i="2" s="1"/>
  <c r="BJ116" i="2"/>
  <c r="BI27" i="5"/>
  <c r="BI107" i="5" s="1"/>
  <c r="BJ107" i="5"/>
  <c r="BG18" i="2"/>
  <c r="BA35" i="4" l="1"/>
  <c r="BA110" i="5"/>
  <c r="BE15" i="2"/>
  <c r="BE16" i="2" s="1"/>
  <c r="BF12" i="5"/>
  <c r="AZ13" i="4"/>
  <c r="BI67" i="3"/>
  <c r="BI68" i="3" s="1"/>
  <c r="BI70" i="3" s="1"/>
  <c r="BI71" i="3" s="1"/>
  <c r="BC105" i="5"/>
  <c r="BG91" i="5"/>
  <c r="BG105" i="5" s="1"/>
  <c r="BG54" i="5"/>
  <c r="BI113" i="2"/>
  <c r="BI162" i="4"/>
  <c r="AZ49" i="2"/>
  <c r="BA51" i="2"/>
  <c r="BA52" i="2" s="1"/>
  <c r="BA53" i="2" s="1"/>
  <c r="BA56" i="2"/>
  <c r="AC19" i="10"/>
  <c r="BA166" i="2"/>
  <c r="BE88" i="5"/>
  <c r="BC6" i="4"/>
  <c r="BC221" i="4" s="1"/>
  <c r="BD221" i="4"/>
  <c r="AZ15" i="2"/>
  <c r="BA16" i="2"/>
  <c r="BA165" i="2"/>
  <c r="BE220" i="4"/>
  <c r="BE124" i="4"/>
  <c r="BE126" i="4" s="1"/>
  <c r="BC224" i="4"/>
  <c r="BC93" i="4"/>
  <c r="BC92" i="4" s="1"/>
  <c r="BC81" i="4"/>
  <c r="BI21" i="5"/>
  <c r="BE91" i="5"/>
  <c r="BE105" i="5" s="1"/>
  <c r="BE108" i="5" s="1"/>
  <c r="BE54" i="5"/>
  <c r="BH158" i="4"/>
  <c r="BG6" i="4"/>
  <c r="BJ158" i="4"/>
  <c r="BJ35" i="5"/>
  <c r="BF125" i="2"/>
  <c r="BH25" i="2"/>
  <c r="BH71" i="3"/>
  <c r="AZ47" i="2"/>
  <c r="AZ46" i="2"/>
  <c r="BE164" i="4"/>
  <c r="BI130" i="2"/>
  <c r="BI139" i="4"/>
  <c r="BI136" i="4"/>
  <c r="BJ71" i="3"/>
  <c r="BJ25" i="2"/>
  <c r="BF76" i="4"/>
  <c r="BF141" i="2"/>
  <c r="BF17" i="2"/>
  <c r="BF18" i="2" s="1"/>
  <c r="BF91" i="5"/>
  <c r="BF54" i="5"/>
  <c r="BL49" i="3"/>
  <c r="BL9" i="2"/>
  <c r="BC158" i="4"/>
  <c r="BC164" i="4" s="1"/>
  <c r="BB6" i="4"/>
  <c r="BG24" i="2"/>
  <c r="BG36" i="2"/>
  <c r="BF20" i="5"/>
  <c r="BF19" i="5" s="1"/>
  <c r="BG19" i="5"/>
  <c r="BC102" i="5"/>
  <c r="BC104" i="5" s="1"/>
  <c r="BD104" i="5"/>
  <c r="BD108" i="5" s="1"/>
  <c r="BD5" i="5"/>
  <c r="BD15" i="2"/>
  <c r="BJ39" i="5"/>
  <c r="BA29" i="5"/>
  <c r="BH93" i="4"/>
  <c r="BH92" i="4" s="1"/>
  <c r="BG93" i="4"/>
  <c r="BG92" i="4" s="1"/>
  <c r="BG224" i="4"/>
  <c r="BG81" i="4"/>
  <c r="BM67" i="3"/>
  <c r="BC220" i="4"/>
  <c r="BC124" i="4"/>
  <c r="BC126" i="4" s="1"/>
  <c r="BF13" i="2"/>
  <c r="BF11" i="2"/>
  <c r="BD11" i="2"/>
  <c r="BD13" i="2"/>
  <c r="BI166" i="4"/>
  <c r="BI160" i="4"/>
  <c r="BI38" i="5"/>
  <c r="AZ157" i="2"/>
  <c r="AZ229" i="4"/>
  <c r="BA38" i="2"/>
  <c r="BA90" i="5"/>
  <c r="BA111" i="5"/>
  <c r="BM8" i="2"/>
  <c r="BM10" i="2"/>
  <c r="BG101" i="5"/>
  <c r="AE14" i="10"/>
  <c r="BG170" i="2" s="1"/>
  <c r="BE148" i="2"/>
  <c r="BE142" i="2"/>
  <c r="BM152" i="4"/>
  <c r="BL152" i="4" s="1"/>
  <c r="BL153" i="4" s="1"/>
  <c r="BM150" i="4"/>
  <c r="BM7" i="2"/>
  <c r="BM129" i="2"/>
  <c r="BM131" i="2" s="1"/>
  <c r="BM174" i="4"/>
  <c r="BM161" i="4"/>
  <c r="BM172" i="4"/>
  <c r="BM138" i="4"/>
  <c r="BM98" i="4"/>
  <c r="BM15" i="4" s="1"/>
  <c r="AG13" i="10"/>
  <c r="AG28" i="10" s="1"/>
  <c r="BM159" i="4"/>
  <c r="BJ89" i="2"/>
  <c r="BJ122" i="2"/>
  <c r="BG5" i="4"/>
  <c r="BJ13" i="5"/>
  <c r="BJ118" i="2"/>
  <c r="BJ123" i="2" s="1"/>
  <c r="BM27" i="5"/>
  <c r="BI116" i="2"/>
  <c r="BI122" i="2" s="1"/>
  <c r="BI151" i="4"/>
  <c r="BI149" i="4"/>
  <c r="BI115" i="2" s="1"/>
  <c r="BA38" i="4"/>
  <c r="AZ35" i="4"/>
  <c r="BA223" i="4"/>
  <c r="BA225" i="4" s="1"/>
  <c r="BJ14" i="5"/>
  <c r="BJ121" i="2"/>
  <c r="BJ112" i="2"/>
  <c r="BJ14" i="4"/>
  <c r="BJ103" i="4"/>
  <c r="BH131" i="2"/>
  <c r="BI131" i="2" s="1"/>
  <c r="BI130" i="4" s="1"/>
  <c r="BJ130" i="4"/>
  <c r="BJ132" i="2"/>
  <c r="AZ30" i="5"/>
  <c r="AZ90" i="5" s="1"/>
  <c r="AZ156" i="2"/>
  <c r="BC108" i="5" l="1"/>
  <c r="BI25" i="2"/>
  <c r="BC13" i="4"/>
  <c r="BJ125" i="2"/>
  <c r="BA62" i="4"/>
  <c r="BA71" i="4" s="1"/>
  <c r="AC21" i="10"/>
  <c r="BA105" i="4"/>
  <c r="BA115" i="5"/>
  <c r="BA226" i="4"/>
  <c r="AC58" i="10"/>
  <c r="AC60" i="10" s="1"/>
  <c r="BA234" i="4"/>
  <c r="BA235" i="4" s="1"/>
  <c r="BA230" i="4"/>
  <c r="AC61" i="10" s="1"/>
  <c r="AZ56" i="2"/>
  <c r="BB72" i="5" s="1"/>
  <c r="AZ50" i="2"/>
  <c r="AZ51" i="2"/>
  <c r="AZ38" i="4"/>
  <c r="AZ39" i="4" s="1"/>
  <c r="AZ223" i="4"/>
  <c r="AZ225" i="4" s="1"/>
  <c r="BM99" i="4"/>
  <c r="BC15" i="2"/>
  <c r="BD16" i="2"/>
  <c r="BD165" i="2"/>
  <c r="BI132" i="4"/>
  <c r="BI35" i="5"/>
  <c r="BI34" i="5" s="1"/>
  <c r="BK20" i="5"/>
  <c r="BK19" i="5" s="1"/>
  <c r="BK102" i="5" s="1"/>
  <c r="BK104" i="5" s="1"/>
  <c r="BI14" i="4"/>
  <c r="BJ20" i="5"/>
  <c r="BJ76" i="4"/>
  <c r="BJ79" i="4" s="1"/>
  <c r="BH132" i="2"/>
  <c r="BH134" i="2" s="1"/>
  <c r="BH138" i="2" s="1"/>
  <c r="BM132" i="2"/>
  <c r="BM134" i="2" s="1"/>
  <c r="BM138" i="2" s="1"/>
  <c r="BJ134" i="2"/>
  <c r="BJ138" i="2" s="1"/>
  <c r="BL161" i="4"/>
  <c r="BM113" i="2"/>
  <c r="BI121" i="2"/>
  <c r="BI112" i="2"/>
  <c r="BI14" i="5"/>
  <c r="BK131" i="2"/>
  <c r="BL131" i="2" s="1"/>
  <c r="BL130" i="4" s="1"/>
  <c r="BM130" i="4"/>
  <c r="AZ233" i="4"/>
  <c r="BD29" i="5"/>
  <c r="BB221" i="4"/>
  <c r="BB13" i="4"/>
  <c r="AZ16" i="2"/>
  <c r="AZ23" i="2"/>
  <c r="AC20" i="10"/>
  <c r="AC49" i="10"/>
  <c r="BA39" i="4"/>
  <c r="BA31" i="5"/>
  <c r="BA88" i="5"/>
  <c r="BA94" i="5" s="1"/>
  <c r="BA95" i="5" s="1"/>
  <c r="BF36" i="2"/>
  <c r="BF158" i="2" s="1"/>
  <c r="AZ110" i="5"/>
  <c r="AZ111" i="5" s="1"/>
  <c r="BL10" i="2"/>
  <c r="BL8" i="2"/>
  <c r="BL99" i="4" s="1"/>
  <c r="BL103" i="4" s="1"/>
  <c r="BH130" i="4"/>
  <c r="BH132" i="4" s="1"/>
  <c r="BG220" i="4"/>
  <c r="BH5" i="4"/>
  <c r="BG124" i="4"/>
  <c r="BG126" i="4" s="1"/>
  <c r="BG13" i="4"/>
  <c r="BF5" i="4"/>
  <c r="BL129" i="2"/>
  <c r="BJ163" i="4"/>
  <c r="BJ164" i="4" s="1"/>
  <c r="BH39" i="5"/>
  <c r="BI39" i="5" s="1"/>
  <c r="BI37" i="5" s="1"/>
  <c r="BG102" i="5"/>
  <c r="BF142" i="2"/>
  <c r="BF148" i="2"/>
  <c r="AF15" i="10"/>
  <c r="BJ100" i="5"/>
  <c r="BJ26" i="2"/>
  <c r="BJ228" i="4"/>
  <c r="BJ229" i="4" s="1"/>
  <c r="BF158" i="4"/>
  <c r="BF164" i="4" s="1"/>
  <c r="BE6" i="4"/>
  <c r="BJ132" i="4"/>
  <c r="BG221" i="4"/>
  <c r="BF6" i="4"/>
  <c r="BF221" i="4" s="1"/>
  <c r="BL27" i="5"/>
  <c r="BL107" i="5" s="1"/>
  <c r="BM107" i="5"/>
  <c r="BJ100" i="2"/>
  <c r="BI89" i="2"/>
  <c r="BI100" i="2" s="1"/>
  <c r="BI24" i="2" s="1"/>
  <c r="BI12" i="2" s="1"/>
  <c r="BG12" i="2"/>
  <c r="BG23" i="2"/>
  <c r="BI100" i="5"/>
  <c r="BI228" i="4"/>
  <c r="BI26" i="2"/>
  <c r="BH100" i="5"/>
  <c r="BH23" i="2"/>
  <c r="BH26" i="2"/>
  <c r="BH228" i="4"/>
  <c r="BH229" i="4" s="1"/>
  <c r="BJ12" i="5"/>
  <c r="BL159" i="4"/>
  <c r="BM166" i="4"/>
  <c r="BM38" i="5"/>
  <c r="BF101" i="5"/>
  <c r="BK67" i="3"/>
  <c r="BK68" i="3" s="1"/>
  <c r="BK70" i="3" s="1"/>
  <c r="AG80" i="10"/>
  <c r="BM68" i="3"/>
  <c r="BM70" i="3" s="1"/>
  <c r="BI118" i="2"/>
  <c r="BI123" i="2" s="1"/>
  <c r="BI13" i="5"/>
  <c r="BL15" i="4"/>
  <c r="BL77" i="4" s="1"/>
  <c r="BL102" i="4" s="1"/>
  <c r="BM77" i="4"/>
  <c r="BM21" i="5"/>
  <c r="BJ37" i="5"/>
  <c r="BJ34" i="5"/>
  <c r="BJ5" i="4" s="1"/>
  <c r="BF105" i="5"/>
  <c r="BG150" i="2"/>
  <c r="BL138" i="4"/>
  <c r="BM136" i="4"/>
  <c r="BL150" i="4"/>
  <c r="BM116" i="2"/>
  <c r="BM149" i="4"/>
  <c r="BM115" i="2" s="1"/>
  <c r="BA42" i="2"/>
  <c r="BA116" i="5" s="1"/>
  <c r="BA163" i="2"/>
  <c r="BF101" i="4"/>
  <c r="BF79" i="4"/>
  <c r="AZ54" i="2"/>
  <c r="AZ52" i="2"/>
  <c r="AZ53" i="2" s="1"/>
  <c r="BJ101" i="5" l="1"/>
  <c r="BI101" i="5" s="1"/>
  <c r="BI12" i="5"/>
  <c r="BI132" i="2"/>
  <c r="BI134" i="2" s="1"/>
  <c r="BI138" i="2" s="1"/>
  <c r="BJ220" i="4"/>
  <c r="BK5" i="4"/>
  <c r="BI5" i="4"/>
  <c r="BJ124" i="4"/>
  <c r="BJ126" i="4" s="1"/>
  <c r="BG5" i="5"/>
  <c r="BG15" i="2"/>
  <c r="BL166" i="4"/>
  <c r="BL160" i="4"/>
  <c r="BL38" i="5"/>
  <c r="BJ233" i="4"/>
  <c r="BM39" i="5"/>
  <c r="BH17" i="2"/>
  <c r="BH18" i="2" s="1"/>
  <c r="BH141" i="2"/>
  <c r="BM112" i="2"/>
  <c r="BM121" i="2"/>
  <c r="BM14" i="5"/>
  <c r="BI20" i="5"/>
  <c r="BI19" i="5" s="1"/>
  <c r="BJ19" i="5"/>
  <c r="BK158" i="4"/>
  <c r="BM158" i="4"/>
  <c r="BJ6" i="4"/>
  <c r="BJ13" i="4" s="1"/>
  <c r="BJ36" i="2"/>
  <c r="BJ24" i="2"/>
  <c r="BK93" i="4"/>
  <c r="BK92" i="4" s="1"/>
  <c r="BJ93" i="4"/>
  <c r="BJ92" i="4" s="1"/>
  <c r="BJ224" i="4"/>
  <c r="BJ81" i="4"/>
  <c r="AC23" i="10"/>
  <c r="AC47" i="10"/>
  <c r="AC25" i="10"/>
  <c r="AC36" i="10"/>
  <c r="BA178" i="2" s="1"/>
  <c r="AC24" i="10"/>
  <c r="AC64" i="10"/>
  <c r="BF224" i="4"/>
  <c r="BF81" i="4"/>
  <c r="BF93" i="4"/>
  <c r="BF92" i="4" s="1"/>
  <c r="AZ62" i="4"/>
  <c r="AZ71" i="4" s="1"/>
  <c r="AZ115" i="5"/>
  <c r="AZ105" i="4"/>
  <c r="BM89" i="2"/>
  <c r="BM122" i="2"/>
  <c r="BH37" i="5"/>
  <c r="BH163" i="4"/>
  <c r="BH164" i="4" s="1"/>
  <c r="BF13" i="4"/>
  <c r="BF220" i="4"/>
  <c r="BF124" i="4"/>
  <c r="BF126" i="4" s="1"/>
  <c r="BK130" i="4"/>
  <c r="BK132" i="4" s="1"/>
  <c r="BL162" i="4"/>
  <c r="BL113" i="2"/>
  <c r="BI76" i="4"/>
  <c r="BA231" i="4"/>
  <c r="AC62" i="10" s="1"/>
  <c r="AF16" i="10"/>
  <c r="AF29" i="10"/>
  <c r="AF14" i="10"/>
  <c r="BJ170" i="2" s="1"/>
  <c r="AF34" i="10"/>
  <c r="BH5" i="5"/>
  <c r="BH29" i="5" s="1"/>
  <c r="BL130" i="2"/>
  <c r="BL116" i="2"/>
  <c r="BL122" i="2" s="1"/>
  <c r="BL149" i="4"/>
  <c r="BL115" i="2" s="1"/>
  <c r="BL151" i="4"/>
  <c r="BJ91" i="5"/>
  <c r="BJ105" i="5" s="1"/>
  <c r="BJ54" i="5"/>
  <c r="AZ32" i="2"/>
  <c r="AZ38" i="2" s="1"/>
  <c r="AZ42" i="2" s="1"/>
  <c r="AZ5" i="5"/>
  <c r="AZ29" i="5" s="1"/>
  <c r="BD88" i="5"/>
  <c r="BJ141" i="2"/>
  <c r="BJ17" i="2"/>
  <c r="BB71" i="5"/>
  <c r="BB63" i="4" s="1"/>
  <c r="BM13" i="5"/>
  <c r="BM118" i="2"/>
  <c r="BM123" i="2" s="1"/>
  <c r="BM35" i="5"/>
  <c r="BM132" i="4"/>
  <c r="BF102" i="5"/>
  <c r="BF104" i="5" s="1"/>
  <c r="BF108" i="5" s="1"/>
  <c r="BG104" i="5"/>
  <c r="BG108" i="5" s="1"/>
  <c r="BI125" i="2"/>
  <c r="BK132" i="2"/>
  <c r="BK134" i="2" s="1"/>
  <c r="BK138" i="2" s="1"/>
  <c r="BC16" i="2"/>
  <c r="BC23" i="2"/>
  <c r="BK25" i="2"/>
  <c r="BK71" i="3"/>
  <c r="AZ226" i="4"/>
  <c r="AZ231" i="4" s="1"/>
  <c r="AZ234" i="4"/>
  <c r="AZ235" i="4" s="1"/>
  <c r="BM71" i="3"/>
  <c r="BM25" i="2"/>
  <c r="BL21" i="5"/>
  <c r="BI17" i="2"/>
  <c r="BI18" i="2" s="1"/>
  <c r="BI141" i="2"/>
  <c r="BA107" i="4"/>
  <c r="BA106" i="4"/>
  <c r="BA111" i="4"/>
  <c r="BA112" i="4" s="1"/>
  <c r="BA48" i="4"/>
  <c r="BA45" i="2"/>
  <c r="BA44" i="2"/>
  <c r="BE221" i="4"/>
  <c r="BE13" i="4"/>
  <c r="BI91" i="5"/>
  <c r="BI54" i="5"/>
  <c r="BG13" i="2"/>
  <c r="BG11" i="2"/>
  <c r="BL136" i="4"/>
  <c r="BL139" i="4"/>
  <c r="BA76" i="5"/>
  <c r="BL67" i="3"/>
  <c r="BL68" i="3" s="1"/>
  <c r="BL70" i="3" s="1"/>
  <c r="BH233" i="4"/>
  <c r="BI13" i="2"/>
  <c r="BI11" i="2"/>
  <c r="BM141" i="2"/>
  <c r="BM17" i="2"/>
  <c r="BH220" i="4"/>
  <c r="BH124" i="4"/>
  <c r="BH126" i="4" s="1"/>
  <c r="AZ230" i="4"/>
  <c r="BM14" i="4"/>
  <c r="BM103" i="4"/>
  <c r="BL132" i="2" l="1"/>
  <c r="BL134" i="2" s="1"/>
  <c r="BL138" i="2" s="1"/>
  <c r="BL141" i="2" s="1"/>
  <c r="BI158" i="4"/>
  <c r="BH6" i="4"/>
  <c r="BJ102" i="5"/>
  <c r="BH142" i="2"/>
  <c r="BH148" i="2"/>
  <c r="BK100" i="5"/>
  <c r="BK23" i="2"/>
  <c r="BK26" i="2"/>
  <c r="BK228" i="4"/>
  <c r="BK229" i="4" s="1"/>
  <c r="BL121" i="2"/>
  <c r="BL14" i="5"/>
  <c r="BL112" i="2"/>
  <c r="BH91" i="5"/>
  <c r="BH105" i="5" s="1"/>
  <c r="BH108" i="5" s="1"/>
  <c r="BH54" i="5"/>
  <c r="BM100" i="2"/>
  <c r="BL89" i="2"/>
  <c r="BL100" i="2" s="1"/>
  <c r="BL24" i="2" s="1"/>
  <c r="BL12" i="2" s="1"/>
  <c r="BJ12" i="2"/>
  <c r="BJ23" i="2"/>
  <c r="BM18" i="2"/>
  <c r="BM100" i="5"/>
  <c r="AG15" i="10"/>
  <c r="BM26" i="2"/>
  <c r="BM228" i="4"/>
  <c r="BM229" i="4" s="1"/>
  <c r="BI36" i="2"/>
  <c r="BI158" i="2" s="1"/>
  <c r="BM163" i="4"/>
  <c r="BK39" i="5"/>
  <c r="BL39" i="5" s="1"/>
  <c r="BL37" i="5" s="1"/>
  <c r="BF15" i="2"/>
  <c r="BG16" i="2"/>
  <c r="BG165" i="2"/>
  <c r="BI142" i="2"/>
  <c r="BI148" i="2"/>
  <c r="BC5" i="5"/>
  <c r="BC29" i="5" s="1"/>
  <c r="BK17" i="2"/>
  <c r="BK18" i="2" s="1"/>
  <c r="BK141" i="2"/>
  <c r="AZ111" i="4"/>
  <c r="AZ112" i="4" s="1"/>
  <c r="AZ107" i="4"/>
  <c r="AZ106" i="4"/>
  <c r="BJ221" i="4"/>
  <c r="BI6" i="4"/>
  <c r="BI221" i="4" s="1"/>
  <c r="BG29" i="5"/>
  <c r="BJ148" i="2"/>
  <c r="BJ142" i="2"/>
  <c r="BL71" i="3"/>
  <c r="BL25" i="2"/>
  <c r="BM34" i="5"/>
  <c r="AZ88" i="5"/>
  <c r="AZ94" i="5" s="1"/>
  <c r="AZ95" i="5" s="1"/>
  <c r="AZ31" i="5"/>
  <c r="AZ76" i="5" s="1"/>
  <c r="AZ82" i="5" s="1"/>
  <c r="BH15" i="2"/>
  <c r="BH16" i="2" s="1"/>
  <c r="BL14" i="4"/>
  <c r="BM20" i="5"/>
  <c r="BM76" i="4"/>
  <c r="BM79" i="4" s="1"/>
  <c r="AZ48" i="4"/>
  <c r="AZ49" i="4" s="1"/>
  <c r="BA49" i="4"/>
  <c r="AZ44" i="2"/>
  <c r="AZ45" i="2"/>
  <c r="BJ150" i="2"/>
  <c r="BH88" i="5"/>
  <c r="AZ116" i="5"/>
  <c r="BM125" i="2"/>
  <c r="BM37" i="5"/>
  <c r="BI220" i="4"/>
  <c r="BI124" i="4"/>
  <c r="BI126" i="4" s="1"/>
  <c r="BK220" i="4"/>
  <c r="BK124" i="4"/>
  <c r="BK126" i="4" s="1"/>
  <c r="AC22" i="10"/>
  <c r="BA108" i="4"/>
  <c r="BA109" i="4"/>
  <c r="BA110" i="4" s="1"/>
  <c r="BM142" i="2"/>
  <c r="BM148" i="2"/>
  <c r="BL35" i="5"/>
  <c r="BL34" i="5" s="1"/>
  <c r="BL132" i="4"/>
  <c r="BM12" i="5"/>
  <c r="BI163" i="4"/>
  <c r="BA19" i="4"/>
  <c r="BA82" i="5"/>
  <c r="BJ18" i="2"/>
  <c r="BL118" i="2"/>
  <c r="BL123" i="2" s="1"/>
  <c r="BL13" i="5"/>
  <c r="BI79" i="4"/>
  <c r="BI101" i="4"/>
  <c r="BL17" i="2" l="1"/>
  <c r="BL18" i="2" s="1"/>
  <c r="BI105" i="5"/>
  <c r="BL12" i="5"/>
  <c r="BI13" i="4"/>
  <c r="BI164" i="4"/>
  <c r="BH221" i="4"/>
  <c r="BH13" i="4"/>
  <c r="BK142" i="2"/>
  <c r="BK148" i="2"/>
  <c r="BM101" i="5"/>
  <c r="BK5" i="5"/>
  <c r="BK29" i="5" s="1"/>
  <c r="BK15" i="2"/>
  <c r="BK16" i="2" s="1"/>
  <c r="AZ108" i="4"/>
  <c r="AZ109" i="4"/>
  <c r="AZ110" i="4" s="1"/>
  <c r="BG88" i="5"/>
  <c r="BJ5" i="5"/>
  <c r="BJ15" i="2"/>
  <c r="BA121" i="5"/>
  <c r="AZ19" i="4"/>
  <c r="BA55" i="4"/>
  <c r="BA21" i="4"/>
  <c r="AG34" i="10"/>
  <c r="AG16" i="10"/>
  <c r="AG14" i="10"/>
  <c r="BM170" i="2" s="1"/>
  <c r="AG29" i="10"/>
  <c r="BK233" i="4"/>
  <c r="BA51" i="4"/>
  <c r="BA237" i="4"/>
  <c r="AC57" i="10"/>
  <c r="BL76" i="4"/>
  <c r="BL148" i="2"/>
  <c r="BL142" i="2"/>
  <c r="BF16" i="2"/>
  <c r="BF23" i="2"/>
  <c r="BM233" i="4"/>
  <c r="BJ11" i="2"/>
  <c r="BJ13" i="2"/>
  <c r="BL100" i="5"/>
  <c r="BL228" i="4"/>
  <c r="BL26" i="2"/>
  <c r="BL125" i="2"/>
  <c r="BL11" i="2"/>
  <c r="BL13" i="2"/>
  <c r="BM93" i="4"/>
  <c r="BM92" i="4" s="1"/>
  <c r="BM224" i="4"/>
  <c r="BM81" i="4"/>
  <c r="AC48" i="10"/>
  <c r="AC65" i="10"/>
  <c r="BI81" i="4"/>
  <c r="BI93" i="4"/>
  <c r="BI92" i="4" s="1"/>
  <c r="BI224" i="4"/>
  <c r="BL91" i="5"/>
  <c r="BL54" i="5"/>
  <c r="BC88" i="5"/>
  <c r="BM36" i="2"/>
  <c r="BM24" i="2"/>
  <c r="BM19" i="5"/>
  <c r="BL20" i="5"/>
  <c r="BL19" i="5" s="1"/>
  <c r="BD78" i="5"/>
  <c r="BB78" i="5"/>
  <c r="AZ237" i="4"/>
  <c r="AZ51" i="4"/>
  <c r="BM164" i="4"/>
  <c r="BM6" i="4" s="1"/>
  <c r="BM91" i="5"/>
  <c r="BM105" i="5" s="1"/>
  <c r="BM54" i="5"/>
  <c r="BM5" i="4"/>
  <c r="BK37" i="5"/>
  <c r="BK163" i="4"/>
  <c r="BK164" i="4" s="1"/>
  <c r="BJ104" i="5"/>
  <c r="BJ108" i="5" s="1"/>
  <c r="BI102" i="5"/>
  <c r="BI104" i="5" s="1"/>
  <c r="BI108" i="5" l="1"/>
  <c r="BL101" i="4"/>
  <c r="BL79" i="4"/>
  <c r="BL101" i="5"/>
  <c r="BF5" i="5"/>
  <c r="BF29" i="5" s="1"/>
  <c r="AZ121" i="5"/>
  <c r="AZ55" i="4"/>
  <c r="AZ21" i="4"/>
  <c r="AZ22" i="4" s="1"/>
  <c r="BK6" i="4"/>
  <c r="BL158" i="4"/>
  <c r="BI15" i="2"/>
  <c r="BJ165" i="2"/>
  <c r="BJ16" i="2"/>
  <c r="AC41" i="10"/>
  <c r="AC63" i="10"/>
  <c r="BM102" i="5"/>
  <c r="BJ29" i="5"/>
  <c r="BK88" i="5"/>
  <c r="BM220" i="4"/>
  <c r="BM13" i="4"/>
  <c r="BL5" i="4"/>
  <c r="BM124" i="4"/>
  <c r="BM126" i="4" s="1"/>
  <c r="BM150" i="2"/>
  <c r="BA22" i="4"/>
  <c r="BK54" i="5"/>
  <c r="BK91" i="5"/>
  <c r="BK105" i="5" s="1"/>
  <c r="BK108" i="5" s="1"/>
  <c r="BL163" i="4"/>
  <c r="BM12" i="2"/>
  <c r="BM23" i="2"/>
  <c r="BL36" i="2"/>
  <c r="BL158" i="2" s="1"/>
  <c r="BM221" i="4"/>
  <c r="BL6" i="4"/>
  <c r="BL221" i="4" s="1"/>
  <c r="BB180" i="4"/>
  <c r="BD180" i="4"/>
  <c r="BA58" i="4"/>
  <c r="BA60" i="4" s="1"/>
  <c r="BL105" i="5" l="1"/>
  <c r="BF88" i="5"/>
  <c r="BM5" i="5"/>
  <c r="BM15" i="2"/>
  <c r="BM11" i="2"/>
  <c r="BM13" i="2"/>
  <c r="BL93" i="4"/>
  <c r="BL92" i="4" s="1"/>
  <c r="BL224" i="4"/>
  <c r="BL81" i="4"/>
  <c r="BL13" i="4"/>
  <c r="BL220" i="4"/>
  <c r="BL124" i="4"/>
  <c r="BL126" i="4" s="1"/>
  <c r="BB189" i="4"/>
  <c r="BB192" i="4" s="1"/>
  <c r="BB211" i="4" s="1"/>
  <c r="BB31" i="2" s="1"/>
  <c r="BB33" i="2" s="1"/>
  <c r="BB187" i="4"/>
  <c r="BB61" i="5"/>
  <c r="AZ52" i="4"/>
  <c r="AZ41" i="4"/>
  <c r="AZ3" i="4" s="1"/>
  <c r="BA52" i="4"/>
  <c r="BA41" i="4"/>
  <c r="BJ88" i="5"/>
  <c r="AZ58" i="4"/>
  <c r="AZ60" i="4" s="1"/>
  <c r="AZ214" i="4"/>
  <c r="AC7" i="10"/>
  <c r="AC53" i="10" s="1"/>
  <c r="BA259" i="4"/>
  <c r="BA260" i="4" s="1"/>
  <c r="BA84" i="5"/>
  <c r="BA72" i="4"/>
  <c r="BA239" i="4"/>
  <c r="BA240" i="4" s="1"/>
  <c r="BA242" i="4" s="1"/>
  <c r="BI16" i="2"/>
  <c r="BI23" i="2"/>
  <c r="BD187" i="4"/>
  <c r="BD189" i="4"/>
  <c r="BD61" i="5"/>
  <c r="BC180" i="4"/>
  <c r="BL102" i="5"/>
  <c r="BL104" i="5" s="1"/>
  <c r="BL108" i="5" s="1"/>
  <c r="BM104" i="5"/>
  <c r="BM108" i="5" s="1"/>
  <c r="BL164" i="4"/>
  <c r="BK221" i="4"/>
  <c r="BK13" i="4"/>
  <c r="BB35" i="2" l="1"/>
  <c r="BB43" i="2" s="1"/>
  <c r="BB98" i="5"/>
  <c r="BB99" i="5" s="1"/>
  <c r="BC187" i="4"/>
  <c r="BD89" i="5"/>
  <c r="BC61" i="5"/>
  <c r="BD60" i="5"/>
  <c r="BC189" i="4"/>
  <c r="BC192" i="4" s="1"/>
  <c r="BC211" i="4" s="1"/>
  <c r="BC31" i="2" s="1"/>
  <c r="BC33" i="2" s="1"/>
  <c r="BD192" i="4"/>
  <c r="BD211" i="4" s="1"/>
  <c r="BD31" i="2" s="1"/>
  <c r="BI5" i="5"/>
  <c r="BI29" i="5" s="1"/>
  <c r="AC54" i="10"/>
  <c r="AC52" i="10"/>
  <c r="AC10" i="10"/>
  <c r="AZ3" i="5"/>
  <c r="AZ3" i="2"/>
  <c r="BB60" i="5"/>
  <c r="BB89" i="5"/>
  <c r="BM29" i="5"/>
  <c r="BD210" i="4"/>
  <c r="BD27" i="2"/>
  <c r="BA3" i="4"/>
  <c r="AZ84" i="5"/>
  <c r="AZ259" i="4"/>
  <c r="AZ260" i="4" s="1"/>
  <c r="AZ72" i="4"/>
  <c r="AZ239" i="4"/>
  <c r="AZ240" i="4" s="1"/>
  <c r="AZ242" i="4" s="1"/>
  <c r="BB210" i="4"/>
  <c r="BB27" i="2"/>
  <c r="BB30" i="2" s="1"/>
  <c r="BB32" i="2" s="1"/>
  <c r="BL15" i="2"/>
  <c r="BM16" i="2"/>
  <c r="BM165" i="2"/>
  <c r="AC44" i="10" l="1"/>
  <c r="AC42" i="10"/>
  <c r="AC45" i="10"/>
  <c r="AC46" i="10"/>
  <c r="BC27" i="2"/>
  <c r="BC30" i="2" s="1"/>
  <c r="BC32" i="2" s="1"/>
  <c r="BC210" i="4"/>
  <c r="BC263" i="4" s="1"/>
  <c r="BD25" i="4"/>
  <c r="BD263" i="4"/>
  <c r="BD33" i="2"/>
  <c r="BB69" i="4"/>
  <c r="BB212" i="4"/>
  <c r="BB74" i="5"/>
  <c r="BA3" i="5"/>
  <c r="BA3" i="2"/>
  <c r="BL16" i="2"/>
  <c r="BL23" i="2"/>
  <c r="BD30" i="2"/>
  <c r="BC98" i="5"/>
  <c r="BC99" i="5" s="1"/>
  <c r="BB25" i="4"/>
  <c r="BB30" i="4" s="1"/>
  <c r="BB263" i="4"/>
  <c r="BB46" i="2"/>
  <c r="BB47" i="2"/>
  <c r="BM88" i="5"/>
  <c r="BD69" i="4"/>
  <c r="BD212" i="4"/>
  <c r="BB34" i="2"/>
  <c r="BB38" i="2" s="1"/>
  <c r="BB42" i="2" s="1"/>
  <c r="BB154" i="2"/>
  <c r="BB155" i="2" s="1"/>
  <c r="BB30" i="5" s="1"/>
  <c r="BI88" i="5"/>
  <c r="BC89" i="5"/>
  <c r="BC60" i="5"/>
  <c r="BC212" i="4" l="1"/>
  <c r="BL5" i="5"/>
  <c r="BL29" i="5" s="1"/>
  <c r="BD32" i="2"/>
  <c r="BB45" i="2"/>
  <c r="BB44" i="2"/>
  <c r="BB48" i="4"/>
  <c r="BB49" i="4" s="1"/>
  <c r="BC69" i="4"/>
  <c r="BD30" i="4"/>
  <c r="BC25" i="4"/>
  <c r="BC30" i="4" s="1"/>
  <c r="BB110" i="5"/>
  <c r="BB111" i="5" s="1"/>
  <c r="BB90" i="5"/>
  <c r="BB94" i="5" s="1"/>
  <c r="BB31" i="5"/>
  <c r="BB76" i="5" s="1"/>
  <c r="BB153" i="2"/>
  <c r="BB35" i="4"/>
  <c r="BD35" i="2"/>
  <c r="BD43" i="2" s="1"/>
  <c r="BD98" i="5"/>
  <c r="BB49" i="2"/>
  <c r="BB95" i="5" l="1"/>
  <c r="BB82" i="5"/>
  <c r="BC78" i="5" s="1"/>
  <c r="BB19" i="4"/>
  <c r="BB51" i="4"/>
  <c r="BB237" i="4"/>
  <c r="BD99" i="5"/>
  <c r="BB105" i="4"/>
  <c r="BB115" i="5"/>
  <c r="BB116" i="5"/>
  <c r="BB62" i="4"/>
  <c r="BB71" i="4" s="1"/>
  <c r="BB38" i="4"/>
  <c r="BB39" i="4" s="1"/>
  <c r="BB223" i="4"/>
  <c r="BB225" i="4" s="1"/>
  <c r="BB51" i="2"/>
  <c r="BB52" i="2" s="1"/>
  <c r="BB56" i="2"/>
  <c r="BC72" i="5" s="1"/>
  <c r="BB54" i="2"/>
  <c r="BD46" i="2"/>
  <c r="AD17" i="10"/>
  <c r="BD47" i="2"/>
  <c r="BC35" i="2"/>
  <c r="BD34" i="2"/>
  <c r="BD38" i="2" s="1"/>
  <c r="BD154" i="2"/>
  <c r="BD155" i="2" s="1"/>
  <c r="BL88" i="5"/>
  <c r="BD163" i="2" l="1"/>
  <c r="BD42" i="2"/>
  <c r="BC155" i="2"/>
  <c r="BD30" i="5"/>
  <c r="BD35" i="4" s="1"/>
  <c r="BB226" i="4"/>
  <c r="BB231" i="4" s="1"/>
  <c r="BB230" i="4"/>
  <c r="BB234" i="4"/>
  <c r="BB235" i="4" s="1"/>
  <c r="AD18" i="10"/>
  <c r="AD30" i="10" s="1"/>
  <c r="BB111" i="4"/>
  <c r="BB112" i="4" s="1"/>
  <c r="BB107" i="4"/>
  <c r="BB106" i="4"/>
  <c r="BD153" i="2"/>
  <c r="AD35" i="10"/>
  <c r="AD43" i="10"/>
  <c r="BB55" i="4"/>
  <c r="BB21" i="4"/>
  <c r="BB22" i="4" s="1"/>
  <c r="BB121" i="5"/>
  <c r="BC37" i="2"/>
  <c r="BC154" i="2"/>
  <c r="BC34" i="2"/>
  <c r="BC43" i="2"/>
  <c r="BC71" i="5"/>
  <c r="BD72" i="5"/>
  <c r="BD71" i="5" s="1"/>
  <c r="BD49" i="2"/>
  <c r="BB53" i="2"/>
  <c r="BC49" i="2" l="1"/>
  <c r="AD19" i="10"/>
  <c r="BD51" i="2"/>
  <c r="BD52" i="2" s="1"/>
  <c r="BD53" i="2" s="1"/>
  <c r="BD56" i="2"/>
  <c r="BD166" i="2"/>
  <c r="BB41" i="4"/>
  <c r="BB3" i="4" s="1"/>
  <c r="BB52" i="4"/>
  <c r="BB58" i="4"/>
  <c r="BB60" i="4" s="1"/>
  <c r="BC30" i="5"/>
  <c r="BC156" i="2"/>
  <c r="BD223" i="4"/>
  <c r="BD225" i="4" s="1"/>
  <c r="BD38" i="4"/>
  <c r="BC35" i="4"/>
  <c r="BD45" i="2"/>
  <c r="BD44" i="2"/>
  <c r="BD48" i="4"/>
  <c r="BC157" i="2"/>
  <c r="BC229" i="4"/>
  <c r="BD63" i="4"/>
  <c r="BD74" i="5"/>
  <c r="BC63" i="4"/>
  <c r="BC74" i="5"/>
  <c r="BD54" i="2"/>
  <c r="BC47" i="2"/>
  <c r="BC46" i="2"/>
  <c r="BC153" i="2"/>
  <c r="BC38" i="2"/>
  <c r="BC42" i="2" s="1"/>
  <c r="BB108" i="4"/>
  <c r="BB109" i="4"/>
  <c r="BB110" i="4" s="1"/>
  <c r="BD90" i="5"/>
  <c r="BD94" i="5" s="1"/>
  <c r="BD110" i="5"/>
  <c r="BD31" i="5"/>
  <c r="BC54" i="2" l="1"/>
  <c r="BD76" i="5"/>
  <c r="BB239" i="4"/>
  <c r="BB240" i="4" s="1"/>
  <c r="BB242" i="4" s="1"/>
  <c r="BB84" i="5"/>
  <c r="BB259" i="4"/>
  <c r="BB260" i="4" s="1"/>
  <c r="BB72" i="4"/>
  <c r="BC90" i="5"/>
  <c r="BC94" i="5" s="1"/>
  <c r="BC31" i="5"/>
  <c r="BC76" i="5" s="1"/>
  <c r="BC82" i="5" s="1"/>
  <c r="BC45" i="2"/>
  <c r="BC44" i="2"/>
  <c r="BC38" i="4"/>
  <c r="BC39" i="4" s="1"/>
  <c r="BC223" i="4"/>
  <c r="BC225" i="4" s="1"/>
  <c r="BC110" i="5"/>
  <c r="BC111" i="5" s="1"/>
  <c r="BD111" i="5"/>
  <c r="BD95" i="5" s="1"/>
  <c r="BC233" i="4"/>
  <c r="AD49" i="10"/>
  <c r="AD20" i="10"/>
  <c r="BD39" i="4"/>
  <c r="BD226" i="4"/>
  <c r="AD58" i="10"/>
  <c r="AD60" i="10" s="1"/>
  <c r="BD234" i="4"/>
  <c r="BD235" i="4" s="1"/>
  <c r="BD230" i="4"/>
  <c r="AD61" i="10" s="1"/>
  <c r="BC52" i="2"/>
  <c r="BC53" i="2" s="1"/>
  <c r="BC48" i="4"/>
  <c r="BC49" i="4" s="1"/>
  <c r="BD49" i="4"/>
  <c r="BB3" i="5"/>
  <c r="BB3" i="2"/>
  <c r="BC56" i="2"/>
  <c r="BE72" i="5" s="1"/>
  <c r="BC51" i="2"/>
  <c r="BC50" i="2"/>
  <c r="BC116" i="5" l="1"/>
  <c r="BC115" i="5"/>
  <c r="BC105" i="4"/>
  <c r="BC62" i="4"/>
  <c r="BC71" i="4" s="1"/>
  <c r="BC226" i="4"/>
  <c r="BC231" i="4" s="1"/>
  <c r="BC234" i="4"/>
  <c r="BC235" i="4" s="1"/>
  <c r="BC230" i="4"/>
  <c r="BD231" i="4"/>
  <c r="AD62" i="10" s="1"/>
  <c r="BD237" i="4"/>
  <c r="BD51" i="4"/>
  <c r="AD57" i="10"/>
  <c r="BC237" i="4"/>
  <c r="BC51" i="4"/>
  <c r="BE71" i="5"/>
  <c r="BE63" i="4" s="1"/>
  <c r="BD62" i="4"/>
  <c r="BD71" i="4" s="1"/>
  <c r="BD116" i="5"/>
  <c r="BD115" i="5"/>
  <c r="BD105" i="4"/>
  <c r="AD21" i="10"/>
  <c r="BC95" i="5"/>
  <c r="BD82" i="5"/>
  <c r="BD19" i="4"/>
  <c r="AD36" i="10" l="1"/>
  <c r="BD178" i="2" s="1"/>
  <c r="AD24" i="10"/>
  <c r="AD47" i="10"/>
  <c r="AD64" i="10"/>
  <c r="AD23" i="10"/>
  <c r="AD25" i="10"/>
  <c r="AD41" i="10"/>
  <c r="AD63" i="10"/>
  <c r="BC111" i="4"/>
  <c r="BC112" i="4" s="1"/>
  <c r="BC107" i="4"/>
  <c r="BC106" i="4"/>
  <c r="BD55" i="4"/>
  <c r="BC19" i="4"/>
  <c r="BD21" i="4"/>
  <c r="BD121" i="5"/>
  <c r="BE78" i="5"/>
  <c r="BG78" i="5"/>
  <c r="BD106" i="4"/>
  <c r="BD107" i="4"/>
  <c r="BD111" i="4"/>
  <c r="BD112" i="4" s="1"/>
  <c r="BD22" i="4" l="1"/>
  <c r="BD108" i="4"/>
  <c r="BD109" i="4"/>
  <c r="BD110" i="4" s="1"/>
  <c r="AD22" i="10"/>
  <c r="BC109" i="4"/>
  <c r="BC110" i="4" s="1"/>
  <c r="BC108" i="4"/>
  <c r="BC55" i="4"/>
  <c r="BC21" i="4"/>
  <c r="BC22" i="4" s="1"/>
  <c r="BC121" i="5"/>
  <c r="BG180" i="4"/>
  <c r="BE180" i="4"/>
  <c r="BD58" i="4"/>
  <c r="BD60" i="4" s="1"/>
  <c r="AD65" i="10" l="1"/>
  <c r="AD48" i="10"/>
  <c r="BD239" i="4"/>
  <c r="BD240" i="4" s="1"/>
  <c r="BD242" i="4" s="1"/>
  <c r="AD7" i="10"/>
  <c r="BD84" i="5"/>
  <c r="BD72" i="4"/>
  <c r="BD259" i="4"/>
  <c r="BD260" i="4" s="1"/>
  <c r="BE189" i="4"/>
  <c r="BE192" i="4" s="1"/>
  <c r="BE211" i="4" s="1"/>
  <c r="BE31" i="2" s="1"/>
  <c r="BE33" i="2" s="1"/>
  <c r="BE61" i="5"/>
  <c r="BE187" i="4"/>
  <c r="BC41" i="4"/>
  <c r="BC3" i="4" s="1"/>
  <c r="BC52" i="4"/>
  <c r="BD41" i="4"/>
  <c r="BD52" i="4"/>
  <c r="BG189" i="4"/>
  <c r="BF180" i="4"/>
  <c r="BG61" i="5"/>
  <c r="BG187" i="4"/>
  <c r="BC58" i="4"/>
  <c r="BC60" i="4" s="1"/>
  <c r="BC214" i="4"/>
  <c r="BD3" i="4" l="1"/>
  <c r="BC84" i="5"/>
  <c r="BC239" i="4"/>
  <c r="BC240" i="4" s="1"/>
  <c r="BC242" i="4" s="1"/>
  <c r="BC72" i="4"/>
  <c r="BC259" i="4"/>
  <c r="BC260" i="4" s="1"/>
  <c r="BG210" i="4"/>
  <c r="BG27" i="2"/>
  <c r="BC3" i="5"/>
  <c r="BC3" i="2"/>
  <c r="AD52" i="10"/>
  <c r="AD53" i="10"/>
  <c r="AD54" i="10"/>
  <c r="AD10" i="10"/>
  <c r="BG89" i="5"/>
  <c r="BG60" i="5"/>
  <c r="BF61" i="5"/>
  <c r="BE27" i="2"/>
  <c r="BE30" i="2" s="1"/>
  <c r="BE32" i="2" s="1"/>
  <c r="BE210" i="4"/>
  <c r="BF187" i="4"/>
  <c r="BE89" i="5"/>
  <c r="BE60" i="5"/>
  <c r="BF189" i="4"/>
  <c r="BF192" i="4" s="1"/>
  <c r="BF211" i="4" s="1"/>
  <c r="BF31" i="2" s="1"/>
  <c r="BF33" i="2" s="1"/>
  <c r="BG192" i="4"/>
  <c r="BG211" i="4" s="1"/>
  <c r="BG31" i="2" s="1"/>
  <c r="BE35" i="2"/>
  <c r="BE43" i="2" s="1"/>
  <c r="BE98" i="5"/>
  <c r="BE99" i="5" s="1"/>
  <c r="BF210" i="4" l="1"/>
  <c r="BF263" i="4" s="1"/>
  <c r="BF27" i="2"/>
  <c r="BF30" i="2" s="1"/>
  <c r="BF32" i="2" s="1"/>
  <c r="BE47" i="2"/>
  <c r="BE46" i="2"/>
  <c r="BE154" i="2"/>
  <c r="BE155" i="2" s="1"/>
  <c r="BE30" i="5" s="1"/>
  <c r="BE34" i="2"/>
  <c r="BE38" i="2" s="1"/>
  <c r="BE42" i="2" s="1"/>
  <c r="BD3" i="2"/>
  <c r="BD3" i="5"/>
  <c r="AD46" i="10"/>
  <c r="AD42" i="10"/>
  <c r="AD44" i="10"/>
  <c r="AD45" i="10"/>
  <c r="BE263" i="4"/>
  <c r="BE25" i="4"/>
  <c r="BE30" i="4" s="1"/>
  <c r="BG33" i="2"/>
  <c r="BF98" i="5"/>
  <c r="BF99" i="5" s="1"/>
  <c r="BF89" i="5"/>
  <c r="BF60" i="5"/>
  <c r="BE69" i="4"/>
  <c r="BE212" i="4"/>
  <c r="BE74" i="5"/>
  <c r="BG69" i="4"/>
  <c r="BG212" i="4"/>
  <c r="BG30" i="2"/>
  <c r="BG263" i="4"/>
  <c r="BG25" i="4"/>
  <c r="BF25" i="4" l="1"/>
  <c r="BF30" i="4" s="1"/>
  <c r="BG30" i="4"/>
  <c r="BE110" i="5"/>
  <c r="BE111" i="5" s="1"/>
  <c r="BE90" i="5"/>
  <c r="BE94" i="5" s="1"/>
  <c r="BE31" i="5"/>
  <c r="BE76" i="5" s="1"/>
  <c r="BE49" i="2"/>
  <c r="BE54" i="2" s="1"/>
  <c r="BG35" i="2"/>
  <c r="BG43" i="2" s="1"/>
  <c r="E38" i="54"/>
  <c r="E37" i="54" s="1"/>
  <c r="BG98" i="5"/>
  <c r="BG32" i="2"/>
  <c r="BF212" i="4"/>
  <c r="BE44" i="2"/>
  <c r="BE45" i="2"/>
  <c r="BE48" i="4"/>
  <c r="BE49" i="4" s="1"/>
  <c r="BF69" i="4"/>
  <c r="BE153" i="2"/>
  <c r="BE35" i="4"/>
  <c r="BE223" i="4" l="1"/>
  <c r="BE225" i="4" s="1"/>
  <c r="BE38" i="4"/>
  <c r="BE39" i="4" s="1"/>
  <c r="BE105" i="4"/>
  <c r="BE62" i="4"/>
  <c r="BE71" i="4" s="1"/>
  <c r="BE116" i="5"/>
  <c r="BE115" i="5"/>
  <c r="BE51" i="4"/>
  <c r="BE237" i="4"/>
  <c r="BE82" i="5"/>
  <c r="BF78" i="5" s="1"/>
  <c r="BE19" i="4"/>
  <c r="BE95" i="5"/>
  <c r="AE17" i="10"/>
  <c r="E41" i="54"/>
  <c r="BG46" i="2"/>
  <c r="BG47" i="2"/>
  <c r="BE56" i="2"/>
  <c r="BF72" i="5" s="1"/>
  <c r="BE51" i="2"/>
  <c r="BE52" i="2" s="1"/>
  <c r="BG99" i="5"/>
  <c r="D37" i="54"/>
  <c r="D38" i="54" s="1"/>
  <c r="F37" i="54"/>
  <c r="F38" i="54" s="1"/>
  <c r="BG154" i="2"/>
  <c r="BG155" i="2" s="1"/>
  <c r="BG34" i="2"/>
  <c r="BF35" i="2"/>
  <c r="BG153" i="2" l="1"/>
  <c r="BE106" i="4"/>
  <c r="BE107" i="4"/>
  <c r="BE111" i="4"/>
  <c r="BE112" i="4" s="1"/>
  <c r="F39" i="54"/>
  <c r="F41" i="54" s="1"/>
  <c r="F43" i="54" s="1"/>
  <c r="F45" i="54" s="1"/>
  <c r="F46" i="54" s="1"/>
  <c r="F48" i="54" s="1"/>
  <c r="BE55" i="4"/>
  <c r="BE21" i="4"/>
  <c r="BE22" i="4" s="1"/>
  <c r="BE121" i="5"/>
  <c r="BF34" i="2"/>
  <c r="BF154" i="2"/>
  <c r="BF37" i="2"/>
  <c r="BF43" i="2"/>
  <c r="AE43" i="10"/>
  <c r="AE35" i="10"/>
  <c r="AE18" i="10"/>
  <c r="AE30" i="10" s="1"/>
  <c r="BG30" i="5"/>
  <c r="BG35" i="4" s="1"/>
  <c r="BF155" i="2"/>
  <c r="BF71" i="5"/>
  <c r="BG72" i="5"/>
  <c r="BG71" i="5" s="1"/>
  <c r="BG49" i="2"/>
  <c r="BG54" i="2" s="1"/>
  <c r="BG38" i="2"/>
  <c r="BE53" i="2"/>
  <c r="D39" i="54"/>
  <c r="D41" i="54" s="1"/>
  <c r="D43" i="54" s="1"/>
  <c r="D45" i="54" s="1"/>
  <c r="D46" i="54" s="1"/>
  <c r="D48" i="54" s="1"/>
  <c r="E43" i="54"/>
  <c r="E39" i="54"/>
  <c r="E40" i="54" s="1"/>
  <c r="BE226" i="4"/>
  <c r="BE231" i="4" s="1"/>
  <c r="BE230" i="4"/>
  <c r="BE234" i="4"/>
  <c r="BE235" i="4" s="1"/>
  <c r="BF47" i="2" l="1"/>
  <c r="BF46" i="2"/>
  <c r="BF153" i="2"/>
  <c r="BF38" i="2"/>
  <c r="BF42" i="2" s="1"/>
  <c r="BE109" i="4"/>
  <c r="BE110" i="4" s="1"/>
  <c r="BE108" i="4"/>
  <c r="BG63" i="4"/>
  <c r="BG74" i="5"/>
  <c r="BF157" i="2"/>
  <c r="BF229" i="4"/>
  <c r="BG110" i="5"/>
  <c r="BG90" i="5"/>
  <c r="BG94" i="5" s="1"/>
  <c r="BG31" i="5"/>
  <c r="BG38" i="4"/>
  <c r="BF35" i="4"/>
  <c r="BG223" i="4"/>
  <c r="BG225" i="4" s="1"/>
  <c r="AE19" i="10"/>
  <c r="BG166" i="2"/>
  <c r="BG51" i="2"/>
  <c r="BG52" i="2" s="1"/>
  <c r="BG56" i="2"/>
  <c r="BF49" i="2"/>
  <c r="BE52" i="4"/>
  <c r="BE41" i="4"/>
  <c r="BE3" i="4" s="1"/>
  <c r="BG163" i="2"/>
  <c r="BG42" i="2"/>
  <c r="BF63" i="4"/>
  <c r="BF74" i="5"/>
  <c r="BE58" i="4"/>
  <c r="BE60" i="4" s="1"/>
  <c r="BF30" i="5"/>
  <c r="BF156" i="2"/>
  <c r="BF50" i="2" l="1"/>
  <c r="BF51" i="2"/>
  <c r="BF56" i="2"/>
  <c r="BH72" i="5" s="1"/>
  <c r="BF90" i="5"/>
  <c r="BF94" i="5" s="1"/>
  <c r="BF31" i="5"/>
  <c r="BF76" i="5" s="1"/>
  <c r="BF82" i="5" s="1"/>
  <c r="BF233" i="4"/>
  <c r="BF54" i="2"/>
  <c r="BF52" i="2"/>
  <c r="BF53" i="2" s="1"/>
  <c r="BF45" i="2"/>
  <c r="BF44" i="2"/>
  <c r="BF110" i="5"/>
  <c r="BF111" i="5" s="1"/>
  <c r="BG111" i="5"/>
  <c r="BG95" i="5" s="1"/>
  <c r="BE3" i="2"/>
  <c r="BE3" i="5"/>
  <c r="BG226" i="4"/>
  <c r="AE58" i="10"/>
  <c r="AE60" i="10" s="1"/>
  <c r="BG230" i="4"/>
  <c r="AE61" i="10" s="1"/>
  <c r="BG234" i="4"/>
  <c r="BG235" i="4" s="1"/>
  <c r="BG76" i="5"/>
  <c r="BG44" i="2"/>
  <c r="BG45" i="2"/>
  <c r="BG48" i="4"/>
  <c r="BG39" i="4"/>
  <c r="BG53" i="2"/>
  <c r="AE20" i="10"/>
  <c r="AE49" i="10"/>
  <c r="BE259" i="4"/>
  <c r="BE260" i="4" s="1"/>
  <c r="BE72" i="4"/>
  <c r="BE239" i="4"/>
  <c r="BE240" i="4" s="1"/>
  <c r="BE242" i="4" s="1"/>
  <c r="BE84" i="5"/>
  <c r="BF38" i="4"/>
  <c r="BF39" i="4" s="1"/>
  <c r="BF223" i="4"/>
  <c r="BF225" i="4" s="1"/>
  <c r="BF230" i="4" s="1"/>
  <c r="BF95" i="5" l="1"/>
  <c r="BG82" i="5"/>
  <c r="BG19" i="4"/>
  <c r="BG231" i="4"/>
  <c r="AE62" i="10" s="1"/>
  <c r="BH71" i="5"/>
  <c r="BH63" i="4" s="1"/>
  <c r="BF226" i="4"/>
  <c r="BF231" i="4" s="1"/>
  <c r="BF234" i="4"/>
  <c r="BF235" i="4" s="1"/>
  <c r="BF105" i="4"/>
  <c r="BF62" i="4"/>
  <c r="BF71" i="4" s="1"/>
  <c r="BF116" i="5"/>
  <c r="BF115" i="5"/>
  <c r="BG49" i="4"/>
  <c r="BF48" i="4"/>
  <c r="BF49" i="4" s="1"/>
  <c r="BG105" i="4"/>
  <c r="BG115" i="5"/>
  <c r="BG116" i="5"/>
  <c r="BG62" i="4"/>
  <c r="BG71" i="4" s="1"/>
  <c r="AE21" i="10"/>
  <c r="BF237" i="4" l="1"/>
  <c r="BF51" i="4"/>
  <c r="BG55" i="4"/>
  <c r="BF19" i="4"/>
  <c r="BG21" i="4"/>
  <c r="BG121" i="5"/>
  <c r="BH78" i="5"/>
  <c r="BJ78" i="5"/>
  <c r="BG111" i="4"/>
  <c r="BG112" i="4" s="1"/>
  <c r="BG106" i="4"/>
  <c r="BG107" i="4"/>
  <c r="E46" i="54"/>
  <c r="E44" i="54"/>
  <c r="AE57" i="10"/>
  <c r="BG237" i="4"/>
  <c r="BG51" i="4"/>
  <c r="AE47" i="10"/>
  <c r="AE23" i="10"/>
  <c r="AE24" i="10"/>
  <c r="AE36" i="10"/>
  <c r="BG178" i="2" s="1"/>
  <c r="AE25" i="10"/>
  <c r="AE64" i="10"/>
  <c r="BF106" i="4"/>
  <c r="BF111" i="4"/>
  <c r="BF112" i="4" s="1"/>
  <c r="BF107" i="4"/>
  <c r="BH180" i="4" l="1"/>
  <c r="BG58" i="4"/>
  <c r="BG60" i="4" s="1"/>
  <c r="BJ180" i="4"/>
  <c r="BG22" i="4"/>
  <c r="AE22" i="10"/>
  <c r="BG109" i="4"/>
  <c r="BG110" i="4" s="1"/>
  <c r="BG108" i="4"/>
  <c r="AE41" i="10"/>
  <c r="AE63" i="10"/>
  <c r="BF55" i="4"/>
  <c r="BF21" i="4"/>
  <c r="BF22" i="4" s="1"/>
  <c r="BF121" i="5"/>
  <c r="BF109" i="4"/>
  <c r="BF110" i="4" s="1"/>
  <c r="BF108" i="4"/>
  <c r="BJ61" i="5" l="1"/>
  <c r="BJ187" i="4"/>
  <c r="BI180" i="4"/>
  <c r="BJ189" i="4"/>
  <c r="BG259" i="4"/>
  <c r="BG260" i="4" s="1"/>
  <c r="BG84" i="5"/>
  <c r="BG239" i="4"/>
  <c r="BG240" i="4" s="1"/>
  <c r="BG242" i="4" s="1"/>
  <c r="AE7" i="10"/>
  <c r="BG72" i="4"/>
  <c r="AE65" i="10"/>
  <c r="AE48" i="10"/>
  <c r="BH61" i="5"/>
  <c r="BH189" i="4"/>
  <c r="BH192" i="4" s="1"/>
  <c r="BH211" i="4" s="1"/>
  <c r="BH31" i="2" s="1"/>
  <c r="BH33" i="2" s="1"/>
  <c r="BH187" i="4"/>
  <c r="BF41" i="4"/>
  <c r="BF3" i="4" s="1"/>
  <c r="BF52" i="4"/>
  <c r="BF58" i="4"/>
  <c r="BF60" i="4" s="1"/>
  <c r="BF214" i="4"/>
  <c r="BG52" i="4"/>
  <c r="BG41" i="4"/>
  <c r="BH27" i="2" l="1"/>
  <c r="BH30" i="2" s="1"/>
  <c r="BH32" i="2" s="1"/>
  <c r="BH210" i="4"/>
  <c r="BG3" i="4"/>
  <c r="BF84" i="5"/>
  <c r="BF72" i="4"/>
  <c r="BF239" i="4"/>
  <c r="BF240" i="4" s="1"/>
  <c r="BF242" i="4" s="1"/>
  <c r="BF259" i="4"/>
  <c r="BF260" i="4" s="1"/>
  <c r="BJ210" i="4"/>
  <c r="BJ27" i="2"/>
  <c r="BH98" i="5"/>
  <c r="BH99" i="5" s="1"/>
  <c r="BH35" i="2"/>
  <c r="BH43" i="2" s="1"/>
  <c r="BH60" i="5"/>
  <c r="BH89" i="5"/>
  <c r="BI189" i="4"/>
  <c r="BI192" i="4" s="1"/>
  <c r="BI211" i="4" s="1"/>
  <c r="BI31" i="2" s="1"/>
  <c r="BI33" i="2" s="1"/>
  <c r="BJ192" i="4"/>
  <c r="BJ211" i="4" s="1"/>
  <c r="BJ31" i="2" s="1"/>
  <c r="BI187" i="4"/>
  <c r="BF3" i="5"/>
  <c r="BF3" i="2"/>
  <c r="AE54" i="10"/>
  <c r="AE10" i="10"/>
  <c r="AE53" i="10"/>
  <c r="AE52" i="10"/>
  <c r="BJ60" i="5"/>
  <c r="BJ89" i="5"/>
  <c r="BI61" i="5"/>
  <c r="BJ33" i="2" l="1"/>
  <c r="BI60" i="5"/>
  <c r="BI89" i="5"/>
  <c r="BH34" i="2"/>
  <c r="BH38" i="2" s="1"/>
  <c r="BH42" i="2" s="1"/>
  <c r="BH154" i="2"/>
  <c r="BH155" i="2" s="1"/>
  <c r="BH30" i="5" s="1"/>
  <c r="BJ212" i="4"/>
  <c r="BJ69" i="4"/>
  <c r="BH263" i="4"/>
  <c r="BH25" i="4"/>
  <c r="BH30" i="4" s="1"/>
  <c r="BH74" i="5"/>
  <c r="BH212" i="4"/>
  <c r="BH69" i="4"/>
  <c r="BH47" i="2"/>
  <c r="BH46" i="2"/>
  <c r="BI210" i="4"/>
  <c r="BI263" i="4" s="1"/>
  <c r="BI27" i="2"/>
  <c r="BI30" i="2" s="1"/>
  <c r="BI32" i="2" s="1"/>
  <c r="BJ30" i="2"/>
  <c r="BJ263" i="4"/>
  <c r="BJ25" i="4"/>
  <c r="BG3" i="5"/>
  <c r="BG3" i="2"/>
  <c r="BI98" i="5"/>
  <c r="BI99" i="5" s="1"/>
  <c r="AE46" i="10"/>
  <c r="AE42" i="10"/>
  <c r="AE45" i="10"/>
  <c r="AE44" i="10"/>
  <c r="BJ35" i="2" l="1"/>
  <c r="BJ43" i="2" s="1"/>
  <c r="BJ98" i="5"/>
  <c r="BH45" i="2"/>
  <c r="BH44" i="2"/>
  <c r="BH48" i="4"/>
  <c r="BH49" i="4" s="1"/>
  <c r="BH153" i="2"/>
  <c r="BH35" i="4"/>
  <c r="BI69" i="4"/>
  <c r="BJ32" i="2"/>
  <c r="BI25" i="4"/>
  <c r="BI30" i="4" s="1"/>
  <c r="BJ30" i="4"/>
  <c r="BI212" i="4"/>
  <c r="BH49" i="2"/>
  <c r="BH54" i="2" s="1"/>
  <c r="BH110" i="5"/>
  <c r="BH111" i="5" s="1"/>
  <c r="BH90" i="5"/>
  <c r="BH94" i="5" s="1"/>
  <c r="BH31" i="5"/>
  <c r="BH76" i="5" s="1"/>
  <c r="BH95" i="5" l="1"/>
  <c r="AF17" i="10"/>
  <c r="BJ47" i="2"/>
  <c r="BJ46" i="2"/>
  <c r="BH56" i="2"/>
  <c r="BI72" i="5" s="1"/>
  <c r="BH51" i="2"/>
  <c r="BH52" i="2" s="1"/>
  <c r="BH53" i="2" s="1"/>
  <c r="BJ99" i="5"/>
  <c r="BJ154" i="2"/>
  <c r="BJ155" i="2" s="1"/>
  <c r="BI35" i="2"/>
  <c r="BJ34" i="2"/>
  <c r="BJ38" i="2" s="1"/>
  <c r="BH223" i="4"/>
  <c r="BH225" i="4" s="1"/>
  <c r="BH38" i="4"/>
  <c r="BH39" i="4" s="1"/>
  <c r="BH237" i="4"/>
  <c r="BH51" i="4"/>
  <c r="BH82" i="5"/>
  <c r="BI78" i="5" s="1"/>
  <c r="BH19" i="4"/>
  <c r="BH115" i="5"/>
  <c r="BH105" i="4"/>
  <c r="BH62" i="4"/>
  <c r="BH71" i="4" s="1"/>
  <c r="BH116" i="5"/>
  <c r="BH21" i="4" l="1"/>
  <c r="BH22" i="4" s="1"/>
  <c r="BH55" i="4"/>
  <c r="BH121" i="5"/>
  <c r="BJ49" i="2"/>
  <c r="AF18" i="10"/>
  <c r="AF30" i="10" s="1"/>
  <c r="AF35" i="10"/>
  <c r="AF43" i="10"/>
  <c r="BJ42" i="2"/>
  <c r="BJ163" i="2"/>
  <c r="BH111" i="4"/>
  <c r="BH112" i="4" s="1"/>
  <c r="BH107" i="4"/>
  <c r="BH106" i="4"/>
  <c r="BI34" i="2"/>
  <c r="BI37" i="2"/>
  <c r="BI154" i="2"/>
  <c r="BI43" i="2"/>
  <c r="BI155" i="2"/>
  <c r="BJ30" i="5"/>
  <c r="BJ35" i="4" s="1"/>
  <c r="BH226" i="4"/>
  <c r="BH231" i="4" s="1"/>
  <c r="BH230" i="4"/>
  <c r="BH234" i="4"/>
  <c r="BH235" i="4" s="1"/>
  <c r="BI71" i="5"/>
  <c r="BJ72" i="5"/>
  <c r="BJ71" i="5" s="1"/>
  <c r="BJ153" i="2"/>
  <c r="BH108" i="4" l="1"/>
  <c r="BH109" i="4"/>
  <c r="BH110" i="4" s="1"/>
  <c r="BI35" i="4"/>
  <c r="BJ38" i="4"/>
  <c r="BJ223" i="4"/>
  <c r="BJ225" i="4" s="1"/>
  <c r="BJ63" i="4"/>
  <c r="BJ74" i="5"/>
  <c r="BI63" i="4"/>
  <c r="BI74" i="5"/>
  <c r="BI30" i="5"/>
  <c r="BI156" i="2"/>
  <c r="BI47" i="2"/>
  <c r="BI46" i="2"/>
  <c r="BH52" i="4"/>
  <c r="BH41" i="4"/>
  <c r="BH3" i="4" s="1"/>
  <c r="BJ51" i="2"/>
  <c r="BJ52" i="2" s="1"/>
  <c r="BJ53" i="2" s="1"/>
  <c r="BI49" i="2"/>
  <c r="BJ166" i="2"/>
  <c r="AF19" i="10"/>
  <c r="BJ56" i="2"/>
  <c r="BJ90" i="5"/>
  <c r="BJ94" i="5" s="1"/>
  <c r="BJ110" i="5"/>
  <c r="BJ31" i="5"/>
  <c r="BJ54" i="2"/>
  <c r="BJ44" i="2"/>
  <c r="BJ45" i="2"/>
  <c r="BJ48" i="4"/>
  <c r="BH58" i="4"/>
  <c r="BH60" i="4" s="1"/>
  <c r="BI157" i="2"/>
  <c r="BI229" i="4"/>
  <c r="BI153" i="2"/>
  <c r="BI38" i="2"/>
  <c r="BI42" i="2" s="1"/>
  <c r="AF49" i="10" l="1"/>
  <c r="AF20" i="10"/>
  <c r="BI233" i="4"/>
  <c r="BJ39" i="4"/>
  <c r="BI90" i="5"/>
  <c r="BI94" i="5" s="1"/>
  <c r="BI31" i="5"/>
  <c r="BI76" i="5" s="1"/>
  <c r="BI82" i="5" s="1"/>
  <c r="BI52" i="2"/>
  <c r="BI53" i="2" s="1"/>
  <c r="BJ49" i="4"/>
  <c r="BI48" i="4"/>
  <c r="BI49" i="4" s="1"/>
  <c r="BJ226" i="4"/>
  <c r="AF58" i="10"/>
  <c r="AF60" i="10" s="1"/>
  <c r="BJ234" i="4"/>
  <c r="BJ235" i="4" s="1"/>
  <c r="BJ230" i="4"/>
  <c r="AF61" i="10" s="1"/>
  <c r="BJ76" i="5"/>
  <c r="BI56" i="2"/>
  <c r="BK72" i="5" s="1"/>
  <c r="BI50" i="2"/>
  <c r="BI51" i="2"/>
  <c r="BI38" i="4"/>
  <c r="BI39" i="4" s="1"/>
  <c r="BI223" i="4"/>
  <c r="BI225" i="4" s="1"/>
  <c r="BI230" i="4" s="1"/>
  <c r="BI110" i="5"/>
  <c r="BI111" i="5" s="1"/>
  <c r="BJ111" i="5"/>
  <c r="BJ95" i="5" s="1"/>
  <c r="BI44" i="2"/>
  <c r="BI45" i="2"/>
  <c r="BH239" i="4"/>
  <c r="BH240" i="4" s="1"/>
  <c r="BH242" i="4" s="1"/>
  <c r="BH259" i="4"/>
  <c r="BH260" i="4" s="1"/>
  <c r="BH72" i="4"/>
  <c r="BH84" i="5"/>
  <c r="BH3" i="5"/>
  <c r="BH3" i="2"/>
  <c r="BI54" i="2"/>
  <c r="BK71" i="5" l="1"/>
  <c r="BK63" i="4" s="1"/>
  <c r="BI237" i="4"/>
  <c r="BI51" i="4"/>
  <c r="BI95" i="5"/>
  <c r="AF21" i="10"/>
  <c r="BJ115" i="5"/>
  <c r="BJ116" i="5"/>
  <c r="BJ105" i="4"/>
  <c r="BJ62" i="4"/>
  <c r="BJ71" i="4" s="1"/>
  <c r="BJ231" i="4"/>
  <c r="AF62" i="10" s="1"/>
  <c r="BI115" i="5"/>
  <c r="BI105" i="4"/>
  <c r="BI116" i="5"/>
  <c r="BI62" i="4"/>
  <c r="BI71" i="4" s="1"/>
  <c r="BJ82" i="5"/>
  <c r="BJ19" i="4"/>
  <c r="BI226" i="4"/>
  <c r="BI231" i="4" s="1"/>
  <c r="BI234" i="4"/>
  <c r="BI235" i="4" s="1"/>
  <c r="AF57" i="10"/>
  <c r="BJ51" i="4"/>
  <c r="BJ237" i="4"/>
  <c r="BK78" i="5" l="1"/>
  <c r="BM78" i="5"/>
  <c r="AF25" i="10"/>
  <c r="AF64" i="10"/>
  <c r="AF24" i="10"/>
  <c r="AF47" i="10"/>
  <c r="AF23" i="10"/>
  <c r="AF36" i="10"/>
  <c r="BJ178" i="2" s="1"/>
  <c r="BI19" i="4"/>
  <c r="BJ55" i="4"/>
  <c r="BJ21" i="4"/>
  <c r="BJ121" i="5"/>
  <c r="AF41" i="10"/>
  <c r="AF63" i="10"/>
  <c r="BI106" i="4"/>
  <c r="BI111" i="4"/>
  <c r="BI112" i="4" s="1"/>
  <c r="BI107" i="4"/>
  <c r="BJ106" i="4"/>
  <c r="BJ107" i="4"/>
  <c r="BJ111" i="4"/>
  <c r="BJ112" i="4" s="1"/>
  <c r="BJ22" i="4" l="1"/>
  <c r="AF22" i="10"/>
  <c r="BJ108" i="4"/>
  <c r="BJ109" i="4"/>
  <c r="BJ110" i="4" s="1"/>
  <c r="BI55" i="4"/>
  <c r="BI21" i="4"/>
  <c r="BI22" i="4" s="1"/>
  <c r="BI121" i="5"/>
  <c r="BI109" i="4"/>
  <c r="BI110" i="4" s="1"/>
  <c r="BI108" i="4"/>
  <c r="BJ58" i="4"/>
  <c r="BJ60" i="4" s="1"/>
  <c r="BM180" i="4"/>
  <c r="BK180" i="4"/>
  <c r="BK61" i="5" l="1"/>
  <c r="BK189" i="4"/>
  <c r="BK192" i="4" s="1"/>
  <c r="BK211" i="4" s="1"/>
  <c r="BK31" i="2" s="1"/>
  <c r="BK33" i="2" s="1"/>
  <c r="BK187" i="4"/>
  <c r="BL180" i="4"/>
  <c r="BM61" i="5"/>
  <c r="BM187" i="4"/>
  <c r="BM189" i="4"/>
  <c r="AF48" i="10"/>
  <c r="AF65" i="10"/>
  <c r="AF7" i="10"/>
  <c r="BJ72" i="4"/>
  <c r="BJ259" i="4"/>
  <c r="BJ260" i="4" s="1"/>
  <c r="BJ84" i="5"/>
  <c r="BJ239" i="4"/>
  <c r="BJ240" i="4" s="1"/>
  <c r="BJ242" i="4" s="1"/>
  <c r="BI52" i="4"/>
  <c r="BI41" i="4"/>
  <c r="BI3" i="4" s="1"/>
  <c r="BJ41" i="4"/>
  <c r="BJ52" i="4"/>
  <c r="BI58" i="4"/>
  <c r="BI60" i="4" s="1"/>
  <c r="BI214" i="4"/>
  <c r="BI72" i="4" l="1"/>
  <c r="BI84" i="5"/>
  <c r="BI239" i="4"/>
  <c r="BI240" i="4" s="1"/>
  <c r="BI242" i="4" s="1"/>
  <c r="BI259" i="4"/>
  <c r="BI260" i="4" s="1"/>
  <c r="BL61" i="5"/>
  <c r="BM60" i="5"/>
  <c r="BM89" i="5"/>
  <c r="BL187" i="4"/>
  <c r="AF54" i="10"/>
  <c r="AF53" i="10"/>
  <c r="AF10" i="10"/>
  <c r="AF52" i="10"/>
  <c r="BM210" i="4"/>
  <c r="BM27" i="2"/>
  <c r="BK210" i="4"/>
  <c r="BK27" i="2"/>
  <c r="BK30" i="2" s="1"/>
  <c r="BK32" i="2" s="1"/>
  <c r="BJ3" i="4"/>
  <c r="BK98" i="5"/>
  <c r="BK99" i="5" s="1"/>
  <c r="BK35" i="2"/>
  <c r="BK43" i="2" s="1"/>
  <c r="BI3" i="5"/>
  <c r="BI3" i="2"/>
  <c r="BK89" i="5"/>
  <c r="BK60" i="5"/>
  <c r="BM192" i="4"/>
  <c r="BM211" i="4" s="1"/>
  <c r="BM31" i="2" s="1"/>
  <c r="BL189" i="4"/>
  <c r="BL192" i="4" s="1"/>
  <c r="BL211" i="4" s="1"/>
  <c r="BL31" i="2" s="1"/>
  <c r="BL33" i="2" s="1"/>
  <c r="BL98" i="5" l="1"/>
  <c r="BL99" i="5" s="1"/>
  <c r="BM33" i="2"/>
  <c r="BM212" i="4"/>
  <c r="BM69" i="4"/>
  <c r="BK69" i="4"/>
  <c r="BK74" i="5"/>
  <c r="BK212" i="4"/>
  <c r="AF46" i="10"/>
  <c r="AF42" i="10"/>
  <c r="AF44" i="10"/>
  <c r="AF45" i="10"/>
  <c r="BM30" i="2"/>
  <c r="BK46" i="2"/>
  <c r="BK47" i="2"/>
  <c r="BJ3" i="5"/>
  <c r="BJ3" i="2"/>
  <c r="BL60" i="5"/>
  <c r="BL89" i="5"/>
  <c r="BK263" i="4"/>
  <c r="BK25" i="4"/>
  <c r="BK30" i="4" s="1"/>
  <c r="BK34" i="2"/>
  <c r="BK38" i="2" s="1"/>
  <c r="BK42" i="2" s="1"/>
  <c r="BK154" i="2"/>
  <c r="BK155" i="2" s="1"/>
  <c r="BK30" i="5" s="1"/>
  <c r="BM263" i="4"/>
  <c r="BM25" i="4"/>
  <c r="BL210" i="4"/>
  <c r="BL263" i="4" s="1"/>
  <c r="BL27" i="2"/>
  <c r="BL30" i="2" s="1"/>
  <c r="BL32" i="2" s="1"/>
  <c r="BL25" i="4" l="1"/>
  <c r="BL30" i="4" s="1"/>
  <c r="BM30" i="4"/>
  <c r="BK45" i="2"/>
  <c r="BK44" i="2"/>
  <c r="BK48" i="4"/>
  <c r="BK49" i="4" s="1"/>
  <c r="BK49" i="2"/>
  <c r="BK54" i="2" s="1"/>
  <c r="BM98" i="5"/>
  <c r="BM35" i="2"/>
  <c r="BL69" i="4"/>
  <c r="BL212" i="4"/>
  <c r="BM32" i="2"/>
  <c r="BK90" i="5"/>
  <c r="BK94" i="5" s="1"/>
  <c r="BK110" i="5"/>
  <c r="BK111" i="5" s="1"/>
  <c r="BK31" i="5"/>
  <c r="BK76" i="5" s="1"/>
  <c r="BK153" i="2"/>
  <c r="BK35" i="4"/>
  <c r="BM34" i="2" l="1"/>
  <c r="BM38" i="2" s="1"/>
  <c r="BM154" i="2"/>
  <c r="BM155" i="2" s="1"/>
  <c r="BL35" i="2"/>
  <c r="BM43" i="2"/>
  <c r="BK115" i="5"/>
  <c r="BK116" i="5"/>
  <c r="BK105" i="4"/>
  <c r="BK62" i="4"/>
  <c r="BK71" i="4" s="1"/>
  <c r="BK95" i="5"/>
  <c r="BM99" i="5"/>
  <c r="BK38" i="4"/>
  <c r="BK39" i="4" s="1"/>
  <c r="BK223" i="4"/>
  <c r="BK225" i="4" s="1"/>
  <c r="BK56" i="2"/>
  <c r="BL72" i="5" s="1"/>
  <c r="BK51" i="2"/>
  <c r="BK52" i="2" s="1"/>
  <c r="BK53" i="2" s="1"/>
  <c r="BK82" i="5"/>
  <c r="BL78" i="5" s="1"/>
  <c r="BK19" i="4"/>
  <c r="BK51" i="4"/>
  <c r="BK237" i="4"/>
  <c r="BM42" i="2" l="1"/>
  <c r="BM163" i="2"/>
  <c r="BK55" i="4"/>
  <c r="BK21" i="4"/>
  <c r="BK22" i="4" s="1"/>
  <c r="BK121" i="5"/>
  <c r="BK226" i="4"/>
  <c r="BK231" i="4" s="1"/>
  <c r="BK234" i="4"/>
  <c r="BK235" i="4" s="1"/>
  <c r="BK230" i="4"/>
  <c r="BM47" i="2"/>
  <c r="BM46" i="2"/>
  <c r="AG17" i="10"/>
  <c r="BL34" i="2"/>
  <c r="BL37" i="2"/>
  <c r="BL154" i="2"/>
  <c r="BL43" i="2"/>
  <c r="BM30" i="5"/>
  <c r="BM35" i="4" s="1"/>
  <c r="BL155" i="2"/>
  <c r="BL71" i="5"/>
  <c r="BM72" i="5"/>
  <c r="BM71" i="5" s="1"/>
  <c r="BK107" i="4"/>
  <c r="BK111" i="4"/>
  <c r="BK112" i="4" s="1"/>
  <c r="BK106" i="4"/>
  <c r="BM153" i="2"/>
  <c r="BL47" i="2" l="1"/>
  <c r="BL46" i="2"/>
  <c r="BK52" i="4"/>
  <c r="BK41" i="4"/>
  <c r="BK3" i="4" s="1"/>
  <c r="BL157" i="2"/>
  <c r="BL229" i="4"/>
  <c r="BM49" i="2"/>
  <c r="BM54" i="2" s="1"/>
  <c r="AG18" i="10"/>
  <c r="AG30" i="10" s="1"/>
  <c r="BM223" i="4"/>
  <c r="BM225" i="4" s="1"/>
  <c r="BL35" i="4"/>
  <c r="BM38" i="4"/>
  <c r="BL63" i="4"/>
  <c r="BL74" i="5"/>
  <c r="BK108" i="4"/>
  <c r="BK109" i="4"/>
  <c r="BK110" i="4" s="1"/>
  <c r="BM63" i="4"/>
  <c r="BM74" i="5"/>
  <c r="BL30" i="5"/>
  <c r="BL156" i="2"/>
  <c r="BL153" i="2"/>
  <c r="BL38" i="2"/>
  <c r="BL42" i="2" s="1"/>
  <c r="BK58" i="4"/>
  <c r="BK60" i="4" s="1"/>
  <c r="BM90" i="5"/>
  <c r="BM94" i="5" s="1"/>
  <c r="BM110" i="5"/>
  <c r="BM31" i="5"/>
  <c r="AG35" i="10"/>
  <c r="AG43" i="10"/>
  <c r="BM44" i="2"/>
  <c r="BM45" i="2"/>
  <c r="BM48" i="4"/>
  <c r="BL45" i="2" l="1"/>
  <c r="BL44" i="2"/>
  <c r="BM226" i="4"/>
  <c r="BM231" i="4" s="1"/>
  <c r="AG62" i="10" s="1"/>
  <c r="AG58" i="10"/>
  <c r="AG60" i="10" s="1"/>
  <c r="BM234" i="4"/>
  <c r="BM235" i="4" s="1"/>
  <c r="BM230" i="4"/>
  <c r="AG61" i="10" s="1"/>
  <c r="BM166" i="2"/>
  <c r="AG19" i="10"/>
  <c r="BM51" i="2"/>
  <c r="BM52" i="2" s="1"/>
  <c r="BL52" i="2" s="1"/>
  <c r="BM56" i="2"/>
  <c r="BL49" i="2"/>
  <c r="BL233" i="4"/>
  <c r="BL90" i="5"/>
  <c r="BL94" i="5" s="1"/>
  <c r="BL31" i="5"/>
  <c r="BL76" i="5" s="1"/>
  <c r="BL82" i="5" s="1"/>
  <c r="BK3" i="2"/>
  <c r="BK3" i="5"/>
  <c r="BL38" i="4"/>
  <c r="BL39" i="4" s="1"/>
  <c r="BL223" i="4"/>
  <c r="BL225" i="4" s="1"/>
  <c r="BM76" i="5"/>
  <c r="BL110" i="5"/>
  <c r="BL111" i="5" s="1"/>
  <c r="BM111" i="5"/>
  <c r="BM95" i="5" s="1"/>
  <c r="BL48" i="4"/>
  <c r="BL49" i="4" s="1"/>
  <c r="BM49" i="4"/>
  <c r="BK239" i="4"/>
  <c r="BK240" i="4" s="1"/>
  <c r="BK242" i="4" s="1"/>
  <c r="BK72" i="4"/>
  <c r="BK84" i="5"/>
  <c r="BK259" i="4"/>
  <c r="BK260" i="4" s="1"/>
  <c r="BM39" i="4"/>
  <c r="AG21" i="10" l="1"/>
  <c r="BM105" i="4"/>
  <c r="BM116" i="5"/>
  <c r="BM62" i="4"/>
  <c r="BM71" i="4" s="1"/>
  <c r="BM115" i="5"/>
  <c r="BL115" i="5"/>
  <c r="BL116" i="5"/>
  <c r="BL62" i="4"/>
  <c r="BL71" i="4" s="1"/>
  <c r="BL105" i="4"/>
  <c r="BL50" i="2"/>
  <c r="BL51" i="2"/>
  <c r="BL56" i="2"/>
  <c r="BL53" i="2"/>
  <c r="BM237" i="4"/>
  <c r="AG57" i="10"/>
  <c r="BM51" i="4"/>
  <c r="BM82" i="5"/>
  <c r="BM19" i="4"/>
  <c r="BM53" i="2"/>
  <c r="BL226" i="4"/>
  <c r="BL231" i="4" s="1"/>
  <c r="BL234" i="4"/>
  <c r="BL235" i="4" s="1"/>
  <c r="BL95" i="5"/>
  <c r="AG49" i="10"/>
  <c r="AG20" i="10"/>
  <c r="BL237" i="4"/>
  <c r="BL51" i="4"/>
  <c r="BL54" i="2"/>
  <c r="BL230" i="4"/>
  <c r="BL19" i="4" l="1"/>
  <c r="BM55" i="4"/>
  <c r="BM21" i="4"/>
  <c r="BM121" i="5"/>
  <c r="AG41" i="10"/>
  <c r="AG63" i="10"/>
  <c r="BL106" i="4"/>
  <c r="BL107" i="4"/>
  <c r="BL111" i="4"/>
  <c r="BL112" i="4" s="1"/>
  <c r="BM106" i="4"/>
  <c r="BM107" i="4"/>
  <c r="BM111" i="4"/>
  <c r="BM112" i="4" s="1"/>
  <c r="AG24" i="10"/>
  <c r="AG47" i="10"/>
  <c r="AG25" i="10"/>
  <c r="AG23" i="10"/>
  <c r="AG36" i="10"/>
  <c r="BM178" i="2" s="1"/>
  <c r="AG64" i="10"/>
  <c r="BM108" i="4" l="1"/>
  <c r="BM109" i="4"/>
  <c r="BM110" i="4" s="1"/>
  <c r="AG22" i="10"/>
  <c r="E48" i="54"/>
  <c r="BL109" i="4"/>
  <c r="BL110" i="4" s="1"/>
  <c r="BL108" i="4"/>
  <c r="BM22" i="4"/>
  <c r="BM58" i="4"/>
  <c r="BM60" i="4" s="1"/>
  <c r="BL55" i="4"/>
  <c r="BL21" i="4"/>
  <c r="BL22" i="4" s="1"/>
  <c r="BL121" i="5"/>
  <c r="BL52" i="4" l="1"/>
  <c r="BL41" i="4"/>
  <c r="BL3" i="4" s="1"/>
  <c r="BL58" i="4"/>
  <c r="BL60" i="4" s="1"/>
  <c r="BL214" i="4"/>
  <c r="AG7" i="10"/>
  <c r="BM72" i="4"/>
  <c r="BM259" i="4"/>
  <c r="BM260" i="4" s="1"/>
  <c r="BM84" i="5"/>
  <c r="BM239" i="4"/>
  <c r="BM240" i="4" s="1"/>
  <c r="BM242" i="4" s="1"/>
  <c r="AG65" i="10"/>
  <c r="AG48" i="10"/>
  <c r="BM52" i="4"/>
  <c r="BM41" i="4"/>
  <c r="BM3" i="4" l="1"/>
  <c r="BL72" i="4"/>
  <c r="BL259" i="4"/>
  <c r="BL260" i="4" s="1"/>
  <c r="BL84" i="5"/>
  <c r="BL239" i="4"/>
  <c r="BL240" i="4" s="1"/>
  <c r="BL242" i="4" s="1"/>
  <c r="AG53" i="10"/>
  <c r="AG10" i="10"/>
  <c r="AG54" i="10"/>
  <c r="AG52" i="10"/>
  <c r="BL3" i="2"/>
  <c r="BL3" i="5"/>
  <c r="BM3" i="5" l="1"/>
  <c r="BM3" i="2"/>
  <c r="AG45" i="10"/>
  <c r="AG44" i="10"/>
  <c r="AG46" i="10"/>
  <c r="AG42" i="10"/>
  <c r="AV120" i="20" l="1"/>
  <c r="AS120" i="20"/>
  <c r="AS116" i="20"/>
  <c r="AS41" i="20" s="1"/>
  <c r="AT41" i="20" l="1"/>
  <c r="AS107" i="20"/>
  <c r="AT116" i="20"/>
  <c r="AT119" i="20" s="1"/>
  <c r="AS124" i="20"/>
  <c r="AT120" i="20" l="1"/>
  <c r="AW120" i="20"/>
  <c r="AS108" i="20"/>
  <c r="AT107" i="20"/>
  <c r="AS105" i="20"/>
  <c r="AS184" i="20"/>
  <c r="AS73" i="20"/>
  <c r="AS206" i="20"/>
  <c r="AS137" i="20"/>
  <c r="AT124" i="20"/>
  <c r="AV125" i="20"/>
  <c r="AS125" i="20"/>
  <c r="AT105" i="20" l="1"/>
  <c r="AT108" i="20"/>
  <c r="AT73" i="20"/>
  <c r="AT184" i="20"/>
  <c r="AT137" i="20"/>
  <c r="AW125" i="20"/>
  <c r="AT125" i="20"/>
  <c r="AS79" i="20"/>
  <c r="AS83" i="20" s="1"/>
  <c r="AS74" i="20"/>
  <c r="AS262" i="20"/>
  <c r="AS263" i="20"/>
  <c r="AT263" i="20" s="1"/>
  <c r="AS264" i="20"/>
  <c r="AT264" i="20" s="1"/>
  <c r="AS217" i="20"/>
  <c r="AT206" i="20"/>
  <c r="AT217" i="20" s="1"/>
  <c r="AS35" i="20"/>
  <c r="AS104" i="20"/>
  <c r="AS37" i="20" l="1"/>
  <c r="AS36" i="20"/>
  <c r="AV101" i="6"/>
  <c r="AS39" i="20"/>
  <c r="AT79" i="20"/>
  <c r="AT83" i="20" s="1"/>
  <c r="AT74" i="20"/>
  <c r="AS265" i="20"/>
  <c r="AS268" i="20" s="1"/>
  <c r="AT262" i="20"/>
  <c r="AT265" i="20" s="1"/>
  <c r="AS80" i="20"/>
  <c r="AS84" i="20" s="1"/>
  <c r="AS306" i="20"/>
  <c r="AT104" i="20"/>
  <c r="AT35" i="20"/>
  <c r="AW101" i="6" l="1"/>
  <c r="AS271" i="20"/>
  <c r="AT268" i="20"/>
  <c r="AT80" i="20"/>
  <c r="AT84" i="20" s="1"/>
  <c r="AT306" i="20"/>
  <c r="AS42" i="20"/>
  <c r="AT36" i="20"/>
  <c r="AV102" i="6"/>
  <c r="AV100" i="6" s="1"/>
  <c r="AV104" i="6" s="1"/>
  <c r="AV126" i="6" s="1"/>
  <c r="AT37" i="20"/>
  <c r="AT39" i="20" s="1"/>
  <c r="AS43" i="20"/>
  <c r="AT43" i="20" s="1"/>
  <c r="AT42" i="20" l="1"/>
  <c r="AT45" i="20" s="1"/>
  <c r="AS45" i="20"/>
  <c r="AT267" i="20"/>
  <c r="AT271" i="20"/>
  <c r="AS273" i="20"/>
  <c r="AS272" i="20"/>
  <c r="AS27" i="20"/>
  <c r="AS30" i="20" s="1"/>
  <c r="AV112" i="6"/>
  <c r="AV114" i="6" s="1"/>
  <c r="AV120" i="6" s="1"/>
  <c r="AV124" i="6" s="1"/>
  <c r="AW124" i="6" s="1"/>
  <c r="AV107" i="6"/>
  <c r="AV108" i="6" s="1"/>
  <c r="AV109" i="6" s="1"/>
  <c r="AW102" i="6"/>
  <c r="AW100" i="6"/>
  <c r="AW104" i="6" s="1"/>
  <c r="AW126" i="6" s="1"/>
  <c r="AT272" i="20" l="1"/>
  <c r="AW107" i="6"/>
  <c r="AW108" i="6" s="1"/>
  <c r="AW109" i="6" s="1"/>
  <c r="AT27" i="20"/>
  <c r="AT30" i="20" s="1"/>
  <c r="AW112" i="6"/>
  <c r="AW114" i="6" s="1"/>
  <c r="AW120" i="6" s="1"/>
  <c r="AT273" i="20"/>
  <c r="AS32" i="20"/>
  <c r="AS31" i="20"/>
  <c r="AV31" i="20"/>
  <c r="AV84" i="6"/>
  <c r="AV85" i="6" s="1"/>
  <c r="AT32" i="20" l="1"/>
  <c r="AT31" i="20"/>
  <c r="AW31" i="20"/>
  <c r="AW84" i="6"/>
  <c r="AW85" i="6" s="1"/>
  <c r="AW86" i="6" s="1"/>
  <c r="AV90" i="6"/>
  <c r="AW90" i="6" s="1"/>
  <c r="AV86" i="6"/>
</calcChain>
</file>

<file path=xl/sharedStrings.xml><?xml version="1.0" encoding="utf-8"?>
<sst xmlns="http://schemas.openxmlformats.org/spreadsheetml/2006/main" count="2963" uniqueCount="1480">
  <si>
    <t>Year End December, £mn</t>
  </si>
  <si>
    <t>Rolls-Royce Holdings PLC</t>
  </si>
  <si>
    <t>Cost of sales</t>
  </si>
  <si>
    <t>Other operating income</t>
  </si>
  <si>
    <t>Research and development costs</t>
  </si>
  <si>
    <t>Share of results of joint ventures and associates</t>
  </si>
  <si>
    <t>Commercial and administrative costs</t>
  </si>
  <si>
    <t>Underlying Revenue</t>
  </si>
  <si>
    <t>Civil Aerospace</t>
  </si>
  <si>
    <t>Marine</t>
  </si>
  <si>
    <t>Power Systems</t>
  </si>
  <si>
    <t>Revenue recognised at exchange rate on date of transaction</t>
  </si>
  <si>
    <t>Effects of acquisition accounting</t>
  </si>
  <si>
    <t>Exceptional restructuring</t>
  </si>
  <si>
    <t>Acquisitions and disposals</t>
  </si>
  <si>
    <t>Financial penalties</t>
  </si>
  <si>
    <t>Other</t>
  </si>
  <si>
    <t>Operating Margin</t>
  </si>
  <si>
    <t>Financing income</t>
  </si>
  <si>
    <t>Financing costs</t>
  </si>
  <si>
    <t>Net financing - reported</t>
  </si>
  <si>
    <t>Profit before tax - reported</t>
  </si>
  <si>
    <t>Underlying adjustments</t>
  </si>
  <si>
    <t>Company underlying adjustments</t>
  </si>
  <si>
    <t>Interest receivable</t>
  </si>
  <si>
    <t>Financing on post-retirement scheme surpluses</t>
  </si>
  <si>
    <t>Net fair value gains on foreign currency contracts</t>
  </si>
  <si>
    <t>Financial RRSAs – FX differences &amp; changes in payments</t>
  </si>
  <si>
    <t>Net fair value gains on commodity contracts</t>
  </si>
  <si>
    <t>Net foreign exchange gains</t>
  </si>
  <si>
    <t>Net financing costs</t>
  </si>
  <si>
    <t>Net financing - underlying</t>
  </si>
  <si>
    <t>Realised losses/(gains) on settled derivative contracts</t>
  </si>
  <si>
    <t>Net unrealised fair value changes to derivative contracts</t>
  </si>
  <si>
    <t>Revaluation of trading assets and liabilities</t>
  </si>
  <si>
    <t>Net post-retirement scheme financing</t>
  </si>
  <si>
    <t>Adjustments to net financing</t>
  </si>
  <si>
    <t>Revenue - reported</t>
  </si>
  <si>
    <t>Revenue - underlying</t>
  </si>
  <si>
    <t>Gross profit - reported</t>
  </si>
  <si>
    <t>Profit before tax - underlying</t>
  </si>
  <si>
    <t>Tax expense</t>
  </si>
  <si>
    <t>- underlying</t>
  </si>
  <si>
    <t>Underlying effective rate</t>
  </si>
  <si>
    <t>Gross margin</t>
  </si>
  <si>
    <t>- % of sales</t>
  </si>
  <si>
    <t>- tax on exceptionals</t>
  </si>
  <si>
    <t>Profit from continuing operations</t>
  </si>
  <si>
    <t>Profit from discontinued operations</t>
  </si>
  <si>
    <t>Net income - underlying</t>
  </si>
  <si>
    <t>EPS, basic (GBp)</t>
  </si>
  <si>
    <t>EPS, diluted (GBp)</t>
  </si>
  <si>
    <t xml:space="preserve">EPS, basic - underlying  (GBp) </t>
  </si>
  <si>
    <t>EPS, diluted - underlying (GBp)</t>
  </si>
  <si>
    <t>Profit on acquisition / reclassification of joint ventures</t>
  </si>
  <si>
    <t>(Loss) / profit on disposal of businesses</t>
  </si>
  <si>
    <t>Gain on reclassification of joint ventures to subsidiaries</t>
  </si>
  <si>
    <t>Effect of currency on contract accounting</t>
  </si>
  <si>
    <t>Pension restructuring</t>
  </si>
  <si>
    <t>Minority interests - reported</t>
  </si>
  <si>
    <t>Minority interests - underlying</t>
  </si>
  <si>
    <t>Growth</t>
  </si>
  <si>
    <t>Payment to shareholders (GBp)</t>
  </si>
  <si>
    <t>Potentially dilutive share options</t>
  </si>
  <si>
    <t>Shares outstanding, mn</t>
  </si>
  <si>
    <t>Weighted average number of ordinary shares</t>
  </si>
  <si>
    <t>Weighted average diluted ordinary shares</t>
  </si>
  <si>
    <t>Intangible assets</t>
  </si>
  <si>
    <t>Property, plant and equipment</t>
  </si>
  <si>
    <t>Investments – joint ventures and associates</t>
  </si>
  <si>
    <t>Investments – other</t>
  </si>
  <si>
    <t>Other financial assets</t>
  </si>
  <si>
    <t>Deferred tax assets</t>
  </si>
  <si>
    <t>Post-retirement scheme surpluses</t>
  </si>
  <si>
    <t>Inventories</t>
  </si>
  <si>
    <t>Trade and other receivables</t>
  </si>
  <si>
    <t>Taxation recoverable</t>
  </si>
  <si>
    <t>Short-term investments</t>
  </si>
  <si>
    <t>Cash and cash equivalents</t>
  </si>
  <si>
    <t>Assets held for sale</t>
  </si>
  <si>
    <t>Non-current assets</t>
  </si>
  <si>
    <t>Current assets</t>
  </si>
  <si>
    <t>Total assets</t>
  </si>
  <si>
    <t>Balance Sheet Check</t>
  </si>
  <si>
    <t>Borrowings</t>
  </si>
  <si>
    <t>Other financial liabilities</t>
  </si>
  <si>
    <t>Trade and other payables</t>
  </si>
  <si>
    <t>Current tax liabilities</t>
  </si>
  <si>
    <t>Provisions for liabilities and charges</t>
  </si>
  <si>
    <t>Current liabilities</t>
  </si>
  <si>
    <t>Non-current tax liabilities</t>
  </si>
  <si>
    <t>Deferred tax liabilities</t>
  </si>
  <si>
    <t>Post-retirement scheme deficits</t>
  </si>
  <si>
    <t>Non-current liabilities</t>
  </si>
  <si>
    <t>Total liabilities</t>
  </si>
  <si>
    <t>Net assets</t>
  </si>
  <si>
    <t>Called-up share capital</t>
  </si>
  <si>
    <t>Share premium account</t>
  </si>
  <si>
    <t>Capital redemption reserve</t>
  </si>
  <si>
    <t>Other reserves</t>
  </si>
  <si>
    <t>Retained earnings</t>
  </si>
  <si>
    <t>Equity attributable to ordinary shareholders</t>
  </si>
  <si>
    <t>Non-controlling interests</t>
  </si>
  <si>
    <t>Total equity</t>
  </si>
  <si>
    <t>Net debt</t>
  </si>
  <si>
    <t>Fair value of swaps hedging fixed rate borrowings</t>
  </si>
  <si>
    <t>Net funds/(debt) excluding fair value of swaps</t>
  </si>
  <si>
    <t>Net funds/(debt) - company defined</t>
  </si>
  <si>
    <t>Borrowings - current &amp; non-current</t>
  </si>
  <si>
    <t>Adjustments to EBIT</t>
  </si>
  <si>
    <t>Interest payable</t>
  </si>
  <si>
    <t>Financial charge relating to financial RRSAs</t>
  </si>
  <si>
    <t>Financing on post-retirement scheme deficits</t>
  </si>
  <si>
    <t>Net foreign exchange losses</t>
  </si>
  <si>
    <t>Other financing charges</t>
  </si>
  <si>
    <t>Net fair value losses on foreign currency contracts</t>
  </si>
  <si>
    <t>Net fair value losses on commodity contracts</t>
  </si>
  <si>
    <t>Shareholder payments</t>
  </si>
  <si>
    <t>Discontinued operations</t>
  </si>
  <si>
    <t>Foreign exchange</t>
  </si>
  <si>
    <t>FCF</t>
  </si>
  <si>
    <t>Check</t>
  </si>
  <si>
    <t>ow/ underlying:</t>
  </si>
  <si>
    <t>Financing income - reported</t>
  </si>
  <si>
    <t>Financing income - underlying</t>
  </si>
  <si>
    <t>Financing costs - underlying</t>
  </si>
  <si>
    <t>Dividends received from joint ventures and associates</t>
  </si>
  <si>
    <t>Amortisation and impairment of intangible assets</t>
  </si>
  <si>
    <t>Impairment of investments</t>
  </si>
  <si>
    <t>Increase/(decrease) in provisions</t>
  </si>
  <si>
    <t>(Increase)/decrease in inventories</t>
  </si>
  <si>
    <t>Decrease/(increase) in trade and other receivables</t>
  </si>
  <si>
    <t>Share-based payments</t>
  </si>
  <si>
    <t>Taxation paid</t>
  </si>
  <si>
    <t>Net cash inflow from operating activities</t>
  </si>
  <si>
    <t>Changes in working capital</t>
  </si>
  <si>
    <t>Accruals for financial penalties with investigating bodies</t>
  </si>
  <si>
    <t>Operating profit - reported</t>
  </si>
  <si>
    <t>Depreciation, amortisation and impairment</t>
  </si>
  <si>
    <t>Adjustments for:</t>
  </si>
  <si>
    <t>Depreciation and impairment of PP&amp;E</t>
  </si>
  <si>
    <t>Pension adjustment</t>
  </si>
  <si>
    <t>Cash funding of pension schemes</t>
  </si>
  <si>
    <t>Net pension expense recognised in EBIT</t>
  </si>
  <si>
    <t xml:space="preserve">Cash flows on other financial assets and liabilities </t>
  </si>
  <si>
    <t>Joint ventures and associates adjustment</t>
  </si>
  <si>
    <t>Additions of intangible assets</t>
  </si>
  <si>
    <t>Disposals of intangible assets</t>
  </si>
  <si>
    <t>Purchases of property, plant and equipment</t>
  </si>
  <si>
    <t>Government grants received</t>
  </si>
  <si>
    <t>Disposals of property, plant and equipment</t>
  </si>
  <si>
    <t>Acquisitions of businesses</t>
  </si>
  <si>
    <t>Disposal of discontinued operations</t>
  </si>
  <si>
    <t>Other investments in joint ventures and associates</t>
  </si>
  <si>
    <t>Net cash outflow from investing activities</t>
  </si>
  <si>
    <t>Net cash inflow from operating activities before tax</t>
  </si>
  <si>
    <t>(Gain)/loss on disposal of PP&amp;E</t>
  </si>
  <si>
    <t>Repayment of loans</t>
  </si>
  <si>
    <t>Proceeds from increase in loans and finance leases</t>
  </si>
  <si>
    <t>Capital element of finance lease payments</t>
  </si>
  <si>
    <t>Interest received</t>
  </si>
  <si>
    <t>Interest paid</t>
  </si>
  <si>
    <t>Interest element of finance lease payments</t>
  </si>
  <si>
    <t>Issue of ordinary shares (net of expenses)</t>
  </si>
  <si>
    <t>Purchase of ordinary shares – share buyback</t>
  </si>
  <si>
    <t>Purchase of ordinary shares – other</t>
  </si>
  <si>
    <t>Net cash (outflow)/inflow from financing activities</t>
  </si>
  <si>
    <t>Operating loss from discontinued operations</t>
  </si>
  <si>
    <t>Cash and cash equivalents of JVs reclassified as joint ops.</t>
  </si>
  <si>
    <t>Change in cash and cash equivalents</t>
  </si>
  <si>
    <t>Cash and cash equivalents at 1 January</t>
  </si>
  <si>
    <t>Exchange gains/(losses) on cash and cash equivalents</t>
  </si>
  <si>
    <t>Cash and cash equivalents at 31 December</t>
  </si>
  <si>
    <t>Depreciation &amp; amortisation</t>
  </si>
  <si>
    <t>Amortisation</t>
  </si>
  <si>
    <t>Impairment</t>
  </si>
  <si>
    <t>Depreciation % of sales</t>
  </si>
  <si>
    <t>Amortisation (other intangibles) % of sales</t>
  </si>
  <si>
    <t>Underlying profit before tax</t>
  </si>
  <si>
    <t>Depreciation and amortisation</t>
  </si>
  <si>
    <t>Movement on net working capital</t>
  </si>
  <si>
    <t>Expenditure on PP&amp;E and intangible assets</t>
  </si>
  <si>
    <t>Trading cash flow</t>
  </si>
  <si>
    <t>Contributions to pensions in excess of underlying PBT charge</t>
  </si>
  <si>
    <t>FCF margin</t>
  </si>
  <si>
    <t>FCF / net income</t>
  </si>
  <si>
    <t>Net interest</t>
  </si>
  <si>
    <t>Tax paid</t>
  </si>
  <si>
    <t>Free cash flow per CFS</t>
  </si>
  <si>
    <t>- Interim</t>
  </si>
  <si>
    <t>- Final</t>
  </si>
  <si>
    <t>Income taxes</t>
  </si>
  <si>
    <t>Income tax expense - reported</t>
  </si>
  <si>
    <t>Income tax expense - underlying</t>
  </si>
  <si>
    <t>Acquisition of non-controlling interest</t>
  </si>
  <si>
    <t>Dividend paid to non-controlling interest</t>
  </si>
  <si>
    <t>Cash tax % of underlying expense</t>
  </si>
  <si>
    <t>Goodwill</t>
  </si>
  <si>
    <t>Certification costs and participation fees</t>
  </si>
  <si>
    <t>Development expenditure</t>
  </si>
  <si>
    <t>Contractural aftermarket rights</t>
  </si>
  <si>
    <t>Customer relationships</t>
  </si>
  <si>
    <t>Software</t>
  </si>
  <si>
    <t>Additions</t>
  </si>
  <si>
    <t>Intangibles NBV</t>
  </si>
  <si>
    <t>(Additions)/disposals of unlisted investments</t>
  </si>
  <si>
    <t>Reclassification of joint ventures to subsidiaries</t>
  </si>
  <si>
    <t>Acquisition of preference shares in subsidiary</t>
  </si>
  <si>
    <t>Net intangibles additions</t>
  </si>
  <si>
    <t>Net PP&amp;E additions</t>
  </si>
  <si>
    <t>Net acquisitions/disposals of businesses and subsidiaries</t>
  </si>
  <si>
    <t>Disposals of businesses</t>
  </si>
  <si>
    <t>Profit for the year - reported</t>
  </si>
  <si>
    <t>Restructuring of IAE</t>
  </si>
  <si>
    <t>Investments in JVs and unlisted investments</t>
  </si>
  <si>
    <t>Release of transition hedging reserve</t>
  </si>
  <si>
    <t>Adjustments to revenues</t>
  </si>
  <si>
    <t>(Increase)/decrease in short-term investments</t>
  </si>
  <si>
    <t>Transfers of hedge reserves to income statement</t>
  </si>
  <si>
    <t>ex Energy</t>
  </si>
  <si>
    <t>inc Energy</t>
  </si>
  <si>
    <t>Increase in share / disposal of joint ventures</t>
  </si>
  <si>
    <t>Net cash of businesses acquired/disposed</t>
  </si>
  <si>
    <t>UK GAAP</t>
  </si>
  <si>
    <t>(Loss) / profit on fixed assets</t>
  </si>
  <si>
    <t>Disposal of fixed assets</t>
  </si>
  <si>
    <t>Net interest payable - joint ventures</t>
  </si>
  <si>
    <t>Net investments in joint ventures and associates</t>
  </si>
  <si>
    <t>Delta vs company reported</t>
  </si>
  <si>
    <t>Other transactions in own shares</t>
  </si>
  <si>
    <t>Restatements</t>
  </si>
  <si>
    <t>n/a</t>
  </si>
  <si>
    <t>Net cash inflow from operating activities before interest &amp; tax</t>
  </si>
  <si>
    <t>Underlying tax rate</t>
  </si>
  <si>
    <t>Tax rate on exceptionals</t>
  </si>
  <si>
    <t>Loans to joint ventures</t>
  </si>
  <si>
    <t>Liabilities associated with assets held for sale</t>
  </si>
  <si>
    <t>ow/ TotalCare net assets</t>
  </si>
  <si>
    <t>Change in equity</t>
  </si>
  <si>
    <t>Payment to shareholders</t>
  </si>
  <si>
    <t>Net interest paid</t>
  </si>
  <si>
    <t>Transition / cash flow hedging reserve</t>
  </si>
  <si>
    <t>Operating margin</t>
  </si>
  <si>
    <t>Organic</t>
  </si>
  <si>
    <t>FX</t>
  </si>
  <si>
    <t>M&amp;A</t>
  </si>
  <si>
    <t>Increase/(repayment) of debt</t>
  </si>
  <si>
    <t>Other &amp; intra-segment</t>
  </si>
  <si>
    <t>nm</t>
  </si>
  <si>
    <t>Exceptional items &amp; acquisition accounting amortisation</t>
  </si>
  <si>
    <t>Margin</t>
  </si>
  <si>
    <t>RB211 22B</t>
  </si>
  <si>
    <t>RB211 524</t>
  </si>
  <si>
    <t>RB211 535</t>
  </si>
  <si>
    <t>Trent 500</t>
  </si>
  <si>
    <t>Trent 700</t>
  </si>
  <si>
    <t>Trent 800</t>
  </si>
  <si>
    <t>Trent 900</t>
  </si>
  <si>
    <t>Trent 1000</t>
  </si>
  <si>
    <t>Trent</t>
  </si>
  <si>
    <t>Civil Large Engines</t>
  </si>
  <si>
    <t>Spey</t>
  </si>
  <si>
    <t>Tay</t>
  </si>
  <si>
    <t>AE3007</t>
  </si>
  <si>
    <t>BR700</t>
  </si>
  <si>
    <t>Civil Small Engines</t>
  </si>
  <si>
    <t>Civil Total</t>
  </si>
  <si>
    <t>RB211</t>
  </si>
  <si>
    <t>V2500</t>
  </si>
  <si>
    <t>Underlying revenue</t>
  </si>
  <si>
    <t>Underlying gross profit</t>
  </si>
  <si>
    <t>Restructuring costs</t>
  </si>
  <si>
    <t>Joint ventures and associates</t>
  </si>
  <si>
    <t>% of sales</t>
  </si>
  <si>
    <t>Underlying EBIT</t>
  </si>
  <si>
    <t xml:space="preserve">Segment revenue </t>
  </si>
  <si>
    <t>Market share</t>
  </si>
  <si>
    <t>Trent 7000</t>
  </si>
  <si>
    <t>On-wing engine deliveries</t>
  </si>
  <si>
    <t>Spares</t>
  </si>
  <si>
    <t>A330ceo deliveries</t>
  </si>
  <si>
    <t>A380 deliveries</t>
  </si>
  <si>
    <t>EBIT bridge</t>
  </si>
  <si>
    <t>Underlying OE revenue</t>
  </si>
  <si>
    <t>Widebody engines: unlinked installed</t>
  </si>
  <si>
    <t>Underlying services revenue</t>
  </si>
  <si>
    <t>Widebody engines</t>
  </si>
  <si>
    <t>Regional</t>
  </si>
  <si>
    <t>Business jet</t>
  </si>
  <si>
    <t>Widebody engines: linked &amp; spares</t>
  </si>
  <si>
    <t>R&amp;D</t>
  </si>
  <si>
    <t>Underlying profit before financing</t>
  </si>
  <si>
    <t>CARs additions</t>
  </si>
  <si>
    <t>PPE and other intangibles</t>
  </si>
  <si>
    <t>JVs, Provisions, Restructuring &amp; Other</t>
  </si>
  <si>
    <t>Trading cash flow pre-working capital</t>
  </si>
  <si>
    <t>TCA debtor move</t>
  </si>
  <si>
    <t>Other working capital movements</t>
  </si>
  <si>
    <t>Civil Trading Cash Flow</t>
  </si>
  <si>
    <t>Amortisation of capitalised costs</t>
  </si>
  <si>
    <t>Impairment of capitalised costs</t>
  </si>
  <si>
    <t>Net research and development cost</t>
  </si>
  <si>
    <t>Entry fees received</t>
  </si>
  <si>
    <t>Entry fees deferred in respect of charges in future years</t>
  </si>
  <si>
    <t>Recognition of previously deferred entry fees</t>
  </si>
  <si>
    <t>Capitalised R&amp;D</t>
  </si>
  <si>
    <t>% of underlying revenue</t>
  </si>
  <si>
    <t>Net charge in income statement - reported</t>
  </si>
  <si>
    <t>Net charge in income statement - underlying</t>
  </si>
  <si>
    <t>Underlying adjustments (acquisition accounting &amp; FX)</t>
  </si>
  <si>
    <t xml:space="preserve">Trade and other payables </t>
  </si>
  <si>
    <t>Period end</t>
  </si>
  <si>
    <t>Days in period</t>
  </si>
  <si>
    <t>Sales</t>
  </si>
  <si>
    <t>Days inventory in hand</t>
  </si>
  <si>
    <t>Days sales outstanding</t>
  </si>
  <si>
    <t>Days payable outstanding</t>
  </si>
  <si>
    <t>TotalCare net debtor</t>
  </si>
  <si>
    <t>TotalCare assets (included in trade and other receivables)</t>
  </si>
  <si>
    <t>TotalCare liabilities (included in trade and other payables)</t>
  </si>
  <si>
    <t>Average share price (£)</t>
  </si>
  <si>
    <t>Average basic shares (m)</t>
  </si>
  <si>
    <t>Market Capitalisation</t>
  </si>
  <si>
    <t>Minorities</t>
  </si>
  <si>
    <t>Enterprise Value</t>
  </si>
  <si>
    <t>Profitability</t>
  </si>
  <si>
    <t>Underlying EBITDA</t>
  </si>
  <si>
    <t>NOPAT</t>
  </si>
  <si>
    <t>Underlying Net Income</t>
  </si>
  <si>
    <t>DPS (p)</t>
  </si>
  <si>
    <t>Payout ratio</t>
  </si>
  <si>
    <t>FCF to equity</t>
  </si>
  <si>
    <t>Sales growth</t>
  </si>
  <si>
    <t>EPS growth</t>
  </si>
  <si>
    <t>Margins</t>
  </si>
  <si>
    <t xml:space="preserve">Net margin </t>
  </si>
  <si>
    <t>P&amp;L tax rate</t>
  </si>
  <si>
    <t>Cash tax rate</t>
  </si>
  <si>
    <t xml:space="preserve">Valuation </t>
  </si>
  <si>
    <t>Price/book</t>
  </si>
  <si>
    <t>P/E</t>
  </si>
  <si>
    <t>EV/sales</t>
  </si>
  <si>
    <t>EV/EBITDA</t>
  </si>
  <si>
    <t>EV/EBIT</t>
  </si>
  <si>
    <t>FCF yield (%)</t>
  </si>
  <si>
    <t>Dividend yield (%)</t>
  </si>
  <si>
    <t>Leverage</t>
  </si>
  <si>
    <t>Net Debt / Equity</t>
  </si>
  <si>
    <t xml:space="preserve">Net Debt / EBITDA </t>
  </si>
  <si>
    <t>Returns</t>
  </si>
  <si>
    <t>Equity</t>
  </si>
  <si>
    <t>Capital employed</t>
  </si>
  <si>
    <t>Capital employed ex goodwill</t>
  </si>
  <si>
    <t>ROCE (post tax)</t>
  </si>
  <si>
    <t>ROCE ex goodwill</t>
  </si>
  <si>
    <t>ROE</t>
  </si>
  <si>
    <t>Pension deficit / (surplus)</t>
  </si>
  <si>
    <t>Net debt / (cash)</t>
  </si>
  <si>
    <t>Net funds of businesses acquired</t>
  </si>
  <si>
    <t>Total net working capital</t>
  </si>
  <si>
    <t>Movement in TotalCare assets</t>
  </si>
  <si>
    <t>Movement in underlying WC</t>
  </si>
  <si>
    <t>Total move in NWC per balance sheet</t>
  </si>
  <si>
    <t>Underlying NWC</t>
  </si>
  <si>
    <t>OE</t>
  </si>
  <si>
    <t>Services</t>
  </si>
  <si>
    <t>Constant FX revenue change</t>
  </si>
  <si>
    <t>Change in Civil Aerospace revenue</t>
  </si>
  <si>
    <t>Revenue bridge</t>
  </si>
  <si>
    <t>OE constant FX</t>
  </si>
  <si>
    <t>AM constant FX</t>
  </si>
  <si>
    <t>Constant FX growth</t>
  </si>
  <si>
    <t>Revenue growth</t>
  </si>
  <si>
    <t>Software &amp; other</t>
  </si>
  <si>
    <t>Transport</t>
  </si>
  <si>
    <t>Helicopters</t>
  </si>
  <si>
    <t>Combat</t>
  </si>
  <si>
    <t>Trainers / Other</t>
  </si>
  <si>
    <t>Depreciation and impairment of PP&amp;E - CFS</t>
  </si>
  <si>
    <t>Other financing income</t>
  </si>
  <si>
    <t>Revenue</t>
  </si>
  <si>
    <t>Prior year revenue</t>
  </si>
  <si>
    <t>Prior year EBIT</t>
  </si>
  <si>
    <t>Volume</t>
  </si>
  <si>
    <t>Trading margin</t>
  </si>
  <si>
    <t>Restructuring</t>
  </si>
  <si>
    <t>EBIT</t>
  </si>
  <si>
    <t>Change in net funds</t>
  </si>
  <si>
    <t>OE growth - constant FX</t>
  </si>
  <si>
    <t>Services growth - constant FX</t>
  </si>
  <si>
    <t>% OE</t>
  </si>
  <si>
    <t>% Services</t>
  </si>
  <si>
    <t>Order book</t>
  </si>
  <si>
    <t>FX - translation</t>
  </si>
  <si>
    <t>ow/ CARs</t>
  </si>
  <si>
    <t>Nuclear</t>
  </si>
  <si>
    <t>Engine deliveries</t>
  </si>
  <si>
    <t xml:space="preserve"> </t>
  </si>
  <si>
    <t>Power Systems underlying revenue</t>
  </si>
  <si>
    <t>Power Systems underlying EBIT</t>
  </si>
  <si>
    <t>Incremental margin</t>
  </si>
  <si>
    <t>TotalCare accounting</t>
  </si>
  <si>
    <t>Industrial</t>
  </si>
  <si>
    <t>Charges / LTSA accounting adjustments</t>
  </si>
  <si>
    <t>Ordinary shares in issue at year end</t>
  </si>
  <si>
    <t>Ordinary shares in issue at start of year</t>
  </si>
  <si>
    <t xml:space="preserve">Purchase and cancellation of ordinary shares </t>
  </si>
  <si>
    <t>Amortisation and impairment of intangibles - CFS</t>
  </si>
  <si>
    <t>Impairment of investments - CFS</t>
  </si>
  <si>
    <t>- Acquisition accounting amortisation</t>
  </si>
  <si>
    <t>- Goodwill impairment</t>
  </si>
  <si>
    <t>Amortisation (acquisition accounting) % of sales</t>
  </si>
  <si>
    <t>B787 deliveries</t>
  </si>
  <si>
    <t>Civil engine installed thrust (Mlbs)</t>
  </si>
  <si>
    <t>A330neo deliveries</t>
  </si>
  <si>
    <t>Effective interest rate on borrowings</t>
  </si>
  <si>
    <t>D&amp;A included in underlying PBT</t>
  </si>
  <si>
    <t>ow/ acquisition accounting</t>
  </si>
  <si>
    <t>Amortisation ex acquisition accounting</t>
  </si>
  <si>
    <t>Average price for issue of shares (£)</t>
  </si>
  <si>
    <t>Average price of redemption of shares (£)</t>
  </si>
  <si>
    <t>Dividend cover</t>
  </si>
  <si>
    <t>Cash from issue of shares (£mn)</t>
  </si>
  <si>
    <t>Cash for purchase of shares (£mn)</t>
  </si>
  <si>
    <t>Additions ex CARs</t>
  </si>
  <si>
    <t>- Other intangibles amortisation &amp; impairment</t>
  </si>
  <si>
    <t>Operating profit</t>
  </si>
  <si>
    <t>ROCE</t>
  </si>
  <si>
    <t>Post tax operating margin</t>
  </si>
  <si>
    <t>Asset turnover</t>
  </si>
  <si>
    <t>CARs amortisation</t>
  </si>
  <si>
    <t xml:space="preserve">Payments to ordinary shareholders in respect of the year </t>
  </si>
  <si>
    <t>Equity dividends paid</t>
  </si>
  <si>
    <t xml:space="preserve">Redemption of B / C Shares </t>
  </si>
  <si>
    <t>Capex / depreciation</t>
  </si>
  <si>
    <t>Beginning NBV</t>
  </si>
  <si>
    <t>Additions - per CFS</t>
  </si>
  <si>
    <t>Depreciation and impairment - per CFS</t>
  </si>
  <si>
    <t>Other movements</t>
  </si>
  <si>
    <t>PP&amp;E NBV</t>
  </si>
  <si>
    <t>BOY TotalCare gross debtor assets</t>
  </si>
  <si>
    <t>New Linked OE additions</t>
  </si>
  <si>
    <t>EOY TotalCare gross debtor assets</t>
  </si>
  <si>
    <t>Change</t>
  </si>
  <si>
    <t>ow/ linked OE cash loss</t>
  </si>
  <si>
    <t>ow/ linked OE profit pull-forward</t>
  </si>
  <si>
    <t>Contract accounting adjustments</t>
  </si>
  <si>
    <t>Lifecycle cost improvements</t>
  </si>
  <si>
    <t>Technical costs</t>
  </si>
  <si>
    <t>FX planning rate adjustment</t>
  </si>
  <si>
    <t>Other operational changes</t>
  </si>
  <si>
    <t>One-off benefit - risk recognition</t>
  </si>
  <si>
    <t>Retrospective contract margin improvements - absolute</t>
  </si>
  <si>
    <t>Effective interest rate on cash</t>
  </si>
  <si>
    <t>PP&amp;E</t>
  </si>
  <si>
    <t>Civil underlying EBITDA</t>
  </si>
  <si>
    <t>RB211 - EOY installed base</t>
  </si>
  <si>
    <t>RB211 - BOY installed base</t>
  </si>
  <si>
    <t>Deliveries</t>
  </si>
  <si>
    <t>Retirements / other</t>
  </si>
  <si>
    <t>Trent 700 - BOY installed base</t>
  </si>
  <si>
    <t>Trent 700 - EOY installed base</t>
  </si>
  <si>
    <t>Trent 800 - BOY installed base</t>
  </si>
  <si>
    <t>Trent 800 - EOY installed base</t>
  </si>
  <si>
    <t>Trent 900 - BOY installed base</t>
  </si>
  <si>
    <t>Trent 900 - EOY installed base</t>
  </si>
  <si>
    <t>Trent 1000 - BOY installed base</t>
  </si>
  <si>
    <t>Trent 1000 - EOY installed base</t>
  </si>
  <si>
    <t>Trent 500 - BOY installed base</t>
  </si>
  <si>
    <t>Trent 500 - EOY installed base</t>
  </si>
  <si>
    <t>On-wing deliveries</t>
  </si>
  <si>
    <t>A320ceo deliveries</t>
  </si>
  <si>
    <t>CARs NBV</t>
  </si>
  <si>
    <t>BOY CARs NBV</t>
  </si>
  <si>
    <t>Average installed base</t>
  </si>
  <si>
    <t>Thrust delivered (Mlbs)</t>
  </si>
  <si>
    <t>Revenue / thrust delivered</t>
  </si>
  <si>
    <t>Business jet OE revenues</t>
  </si>
  <si>
    <t>OE gross profit margin</t>
  </si>
  <si>
    <t>Business jet OE gross profit</t>
  </si>
  <si>
    <t>ow/ V2500 engined</t>
  </si>
  <si>
    <t>V2500 deliveries</t>
  </si>
  <si>
    <t>V2500 OE revenues</t>
  </si>
  <si>
    <t>Revenue per delivery</t>
  </si>
  <si>
    <t>V2500 OE gross profit</t>
  </si>
  <si>
    <t>Increase/(decrease) in trade and other payables</t>
  </si>
  <si>
    <t>Trent XWB-84</t>
  </si>
  <si>
    <t>Trent XWB-97</t>
  </si>
  <si>
    <t>Trent XWB-84 - BOY installed base</t>
  </si>
  <si>
    <t>Trent XWB-84 - EOY installed base</t>
  </si>
  <si>
    <t>Widebody engines: linked &amp; spare engines</t>
  </si>
  <si>
    <t>Widebody engines: unlinked engines</t>
  </si>
  <si>
    <t>Spot FX (GBP:USD)</t>
  </si>
  <si>
    <t xml:space="preserve">Large engine thrust delivered (Mlbs) </t>
  </si>
  <si>
    <t>o/w Linked</t>
  </si>
  <si>
    <t>o/w Unlinked</t>
  </si>
  <si>
    <t>Cash revenue per engine ($mn)</t>
  </si>
  <si>
    <t>Cash revenue per lb thrust ($/lb)</t>
  </si>
  <si>
    <t>Cash revenue per engine (£mn)</t>
  </si>
  <si>
    <t>Spare deliveries</t>
  </si>
  <si>
    <t>On-wing revenue</t>
  </si>
  <si>
    <t>IFRS 15 basis</t>
  </si>
  <si>
    <t>Spares revenue</t>
  </si>
  <si>
    <t>A350-1000 deliveries</t>
  </si>
  <si>
    <t>A350-900 deliveries</t>
  </si>
  <si>
    <t xml:space="preserve">Revenue per spare delivery </t>
  </si>
  <si>
    <t>Revenue per on-wing delivery</t>
  </si>
  <si>
    <t>Spare revenue per lb thrust ($)</t>
  </si>
  <si>
    <t>On-wing revenue per lb thrust ($)</t>
  </si>
  <si>
    <t>Trent XWB-97 underlying revenue</t>
  </si>
  <si>
    <t>y/y %</t>
  </si>
  <si>
    <t>Average thrust per large engine delivered (lbs)</t>
  </si>
  <si>
    <t>Margin %</t>
  </si>
  <si>
    <t>Widebody</t>
  </si>
  <si>
    <t>Large engine</t>
  </si>
  <si>
    <t>Business aviation</t>
  </si>
  <si>
    <t>Effective rate (GBP:USD)</t>
  </si>
  <si>
    <t>BOY Totalcare gross creditor liabilities</t>
  </si>
  <si>
    <t>Amortisation of linked pulled forward profit</t>
  </si>
  <si>
    <t>EOY Totalcare gross creditor liabilities</t>
  </si>
  <si>
    <t>Large engine cost incurred vs engine flying hour impact</t>
  </si>
  <si>
    <t>Corporate-care/regional cost vs engine flying hour impact</t>
  </si>
  <si>
    <t>Spares &amp; overhaul</t>
  </si>
  <si>
    <t>IAE royalty</t>
  </si>
  <si>
    <t>V2500 aftermarket revenues (£m)</t>
  </si>
  <si>
    <t>V2500 aftermarket revenues ($m)</t>
  </si>
  <si>
    <t>Trent 7000 - BOY installed base</t>
  </si>
  <si>
    <t>Trent 7000 - EOY installed base</t>
  </si>
  <si>
    <t>Trent XWB-97 - BOY installed base</t>
  </si>
  <si>
    <t>Trent XWB-97 - EOY installed base</t>
  </si>
  <si>
    <t>Spey - BOY installed base</t>
  </si>
  <si>
    <t>Spey - EOY installed base</t>
  </si>
  <si>
    <t>Tay - BOY installed base</t>
  </si>
  <si>
    <t>Tay - EOY installed base</t>
  </si>
  <si>
    <t>AE3007 - BOY installed base</t>
  </si>
  <si>
    <t>AE3007 - EOY installed base</t>
  </si>
  <si>
    <t>BR700 - BOY installed base</t>
  </si>
  <si>
    <t>BR700 - EOY installed base</t>
  </si>
  <si>
    <t>Spares &amp; overhaul margin</t>
  </si>
  <si>
    <t>IAE royalty margin</t>
  </si>
  <si>
    <t>Revenue / installed thrust (£m)</t>
  </si>
  <si>
    <t>Revenue / installed thrust ($m)</t>
  </si>
  <si>
    <t>Installed thrust (Mlbs)</t>
  </si>
  <si>
    <t>Reduced valuation policy adjustment</t>
  </si>
  <si>
    <t>No amortisation of prior year concession deferral</t>
  </si>
  <si>
    <t>Other contract accounting adjustments difference</t>
  </si>
  <si>
    <t>Business &amp; regional jet</t>
  </si>
  <si>
    <t>IFRS15 profit adjustments</t>
  </si>
  <si>
    <t>Net interest paid - CFS</t>
  </si>
  <si>
    <t>Intangibles ex goodwill</t>
  </si>
  <si>
    <t>Engine installed base model</t>
  </si>
  <si>
    <t>Margin (%)</t>
  </si>
  <si>
    <t>Margin  (%)</t>
  </si>
  <si>
    <t>Aftermarket cash revenue</t>
  </si>
  <si>
    <t>Total cash revenue (£ mn)</t>
  </si>
  <si>
    <t>Total cash revenue ($ mn)</t>
  </si>
  <si>
    <t>Total large engine installed base</t>
  </si>
  <si>
    <t>Blended rate per flying hour ($)</t>
  </si>
  <si>
    <t>Large engine flying hours (000)</t>
  </si>
  <si>
    <t>Adjusted installed base (m lbs)</t>
  </si>
  <si>
    <t>Total Trent adjusted capacity</t>
  </si>
  <si>
    <t>Total Trent installed base</t>
  </si>
  <si>
    <t>Average large engine size (lbs thrust)</t>
  </si>
  <si>
    <t>Civil Aerospace revenue (£ mn)</t>
  </si>
  <si>
    <t>Adjustments under IFRS 15 (£ mn)</t>
  </si>
  <si>
    <t>Underlying services revenue - IFRS 15 (£ mn)</t>
  </si>
  <si>
    <t>IFRS15 basis</t>
  </si>
  <si>
    <t>Standard gross profit</t>
  </si>
  <si>
    <t>SRCs &amp; AFCs</t>
  </si>
  <si>
    <t>OE gross profit</t>
  </si>
  <si>
    <t>AM gross profit</t>
  </si>
  <si>
    <t>Historic</t>
  </si>
  <si>
    <t>Market cap growth</t>
  </si>
  <si>
    <t>Corporate &amp; Regional</t>
  </si>
  <si>
    <t>IFRS15</t>
  </si>
  <si>
    <t>Historic GAAP basis</t>
  </si>
  <si>
    <t>No profit on linked sales</t>
  </si>
  <si>
    <t>No capitalisation of linked engine cash loss</t>
  </si>
  <si>
    <t>No CARs on unlinked contracts</t>
  </si>
  <si>
    <t>Treatment of guarantees</t>
  </si>
  <si>
    <t>Manufacturing sales</t>
  </si>
  <si>
    <t>Total OE</t>
  </si>
  <si>
    <t>Total AM</t>
  </si>
  <si>
    <t>No amortisation of CARs</t>
  </si>
  <si>
    <t>No reversal of Trent 1000 contract impairment</t>
  </si>
  <si>
    <t>Costs to obtain contracts</t>
  </si>
  <si>
    <t xml:space="preserve">Civil OE </t>
  </si>
  <si>
    <t>Civil AM</t>
  </si>
  <si>
    <t>Revenue - IFRS 15</t>
  </si>
  <si>
    <t>Spares profit (£)</t>
  </si>
  <si>
    <t>Spares profit  / engine (£)</t>
  </si>
  <si>
    <t>Revenue adjustments under IFRS 15 (£ mn)</t>
  </si>
  <si>
    <t>Historic GAAP to IFRS15 revenue adjustments</t>
  </si>
  <si>
    <t>Historic GAAP to IFRS15 profit adjustments</t>
  </si>
  <si>
    <t>Underlying gross profit - IFRS15</t>
  </si>
  <si>
    <t>Revenue - historic GAAP</t>
  </si>
  <si>
    <t>Underlying gross profit - historic GAAP</t>
  </si>
  <si>
    <t>Underlying EBIT - historic GAAP</t>
  </si>
  <si>
    <t>Underlying EBIT - IFRS15</t>
  </si>
  <si>
    <t>IFRS 15 historic adjustments</t>
  </si>
  <si>
    <t>Underlying services standard gross profit - IFRS15 (£ mn)</t>
  </si>
  <si>
    <t>Other debtor movements</t>
  </si>
  <si>
    <t>Creditor movements</t>
  </si>
  <si>
    <t>Underlying AM revenue</t>
  </si>
  <si>
    <t>Cash revenue (£ mn)</t>
  </si>
  <si>
    <t>Widebody OE</t>
  </si>
  <si>
    <t>Widebody AM</t>
  </si>
  <si>
    <t>Widebody Spares</t>
  </si>
  <si>
    <t>Business jet &amp; regional</t>
  </si>
  <si>
    <t>Gross cash margin</t>
  </si>
  <si>
    <t>Revenue (£m) - current GAAP</t>
  </si>
  <si>
    <t>o/w regional</t>
  </si>
  <si>
    <t>o/w business aviation</t>
  </si>
  <si>
    <t>y/y (%)</t>
  </si>
  <si>
    <t>RB211 park rate</t>
  </si>
  <si>
    <t>RB211 adjusted capacity</t>
  </si>
  <si>
    <t>1H16</t>
  </si>
  <si>
    <t>2H16</t>
  </si>
  <si>
    <t>1H17</t>
  </si>
  <si>
    <t>Revenue tailwind</t>
  </si>
  <si>
    <t>y/y change %</t>
  </si>
  <si>
    <t>% change (constant FX)</t>
  </si>
  <si>
    <t>Cost of sales - reported</t>
  </si>
  <si>
    <t>Gross profit - underlying</t>
  </si>
  <si>
    <t>Cost of sales - underlying</t>
  </si>
  <si>
    <t>IFRS 15</t>
  </si>
  <si>
    <t>Underlying gross margin (%)</t>
  </si>
  <si>
    <t>Total</t>
  </si>
  <si>
    <t>Headcount</t>
  </si>
  <si>
    <t>Average number of full-time employees</t>
  </si>
  <si>
    <t>Wages, salaries and benefits</t>
  </si>
  <si>
    <t>Social security costs</t>
  </si>
  <si>
    <t>Pensions and other post-retirement scheme benefits</t>
  </si>
  <si>
    <t>Group employment costs</t>
  </si>
  <si>
    <t>Average cost per employee (£000s)</t>
  </si>
  <si>
    <t>Other and corporate</t>
  </si>
  <si>
    <t>Nuclear (inc Energy pre-2013)</t>
  </si>
  <si>
    <t>Sales per employee (£000s)</t>
  </si>
  <si>
    <t>Design</t>
  </si>
  <si>
    <t>Manufacturing</t>
  </si>
  <si>
    <t>Electrical</t>
  </si>
  <si>
    <t>Number of engineers (year end)</t>
  </si>
  <si>
    <t>Segment gross profit</t>
  </si>
  <si>
    <t>Contractual aftermarket rights</t>
  </si>
  <si>
    <t>Index price inflation (%)</t>
  </si>
  <si>
    <t>Large engine revenue</t>
  </si>
  <si>
    <t>Trent 700 cash revenue</t>
  </si>
  <si>
    <t>CARS amortisation</t>
  </si>
  <si>
    <t>Trent 900 cash revenue</t>
  </si>
  <si>
    <t>Trent 1000 cash revenue</t>
  </si>
  <si>
    <t>Trent XWB-84 cash revenue</t>
  </si>
  <si>
    <t>Trent 7000 cash revenue</t>
  </si>
  <si>
    <t>Cash revenue per engine) (£ mn)</t>
  </si>
  <si>
    <t>IFRS 15 revenue adjustment</t>
  </si>
  <si>
    <t>OE revenue - historic GAAP</t>
  </si>
  <si>
    <t>OE revenue - IFRS 15 (£ mn)</t>
  </si>
  <si>
    <t>OE standard gross profit - historic GAAP (£mn)</t>
  </si>
  <si>
    <t>OE gross profit - IFRS 15 (£mn)</t>
  </si>
  <si>
    <t>RRSP shares (%)</t>
  </si>
  <si>
    <t>Required tags</t>
  </si>
  <si>
    <t>net income reported</t>
  </si>
  <si>
    <t>other non operating income/exp.</t>
  </si>
  <si>
    <t>SG&amp;A</t>
  </si>
  <si>
    <t>one time net finance amount</t>
  </si>
  <si>
    <t>Other cash flow</t>
  </si>
  <si>
    <t>RR.L</t>
  </si>
  <si>
    <t>GBp</t>
  </si>
  <si>
    <t>NA</t>
  </si>
  <si>
    <t>Dividends per share (£)</t>
  </si>
  <si>
    <t>ADR Ratio</t>
  </si>
  <si>
    <t>Defence</t>
  </si>
  <si>
    <t>ITP</t>
  </si>
  <si>
    <t>Acquisitions / disposal of businesses</t>
  </si>
  <si>
    <t>Impairment of goodwill / assets</t>
  </si>
  <si>
    <t>Payment of penalties to investigating authorities</t>
  </si>
  <si>
    <t>New segment structure</t>
  </si>
  <si>
    <t>Treatment of participation fees</t>
  </si>
  <si>
    <t>Other timing differences</t>
  </si>
  <si>
    <t>Manufacturing sales / other</t>
  </si>
  <si>
    <t>RRSP participation fees</t>
  </si>
  <si>
    <t>Trent park rate</t>
  </si>
  <si>
    <t>Defence underlying revenue</t>
  </si>
  <si>
    <t>Defence underlying EBIT</t>
  </si>
  <si>
    <t>2H17</t>
  </si>
  <si>
    <t>Cash revenue per lb thrust ($)</t>
  </si>
  <si>
    <t>Cash revenue per engine ($ mn)</t>
  </si>
  <si>
    <t>Cost per shop visit ($m)</t>
  </si>
  <si>
    <t>Major LTSA shop visits</t>
  </si>
  <si>
    <t>Underlying services revenue - prior GAAP (£ mn)</t>
  </si>
  <si>
    <t>Operations</t>
  </si>
  <si>
    <t>Engineering</t>
  </si>
  <si>
    <t>Capex</t>
  </si>
  <si>
    <t>Working capital / other</t>
  </si>
  <si>
    <t>Commercial &amp; Administration</t>
  </si>
  <si>
    <t>Depreciation and other</t>
  </si>
  <si>
    <t xml:space="preserve">Operations </t>
  </si>
  <si>
    <t xml:space="preserve">Engineering </t>
  </si>
  <si>
    <t>1H18</t>
  </si>
  <si>
    <t>B63H849</t>
  </si>
  <si>
    <t>Trading cash margin (%)</t>
  </si>
  <si>
    <t>Growth (%)</t>
  </si>
  <si>
    <t>Group FCF</t>
  </si>
  <si>
    <t>Net working capital</t>
  </si>
  <si>
    <t>n/m</t>
  </si>
  <si>
    <t>Core Business Revenue</t>
  </si>
  <si>
    <t>Non-core businesses</t>
  </si>
  <si>
    <t>Group Underlying Revenue</t>
  </si>
  <si>
    <t>Group Underlying Gross Profit</t>
  </si>
  <si>
    <t>Corporate &amp; Intra-segment</t>
  </si>
  <si>
    <t>Group Underlying Profit before Financing</t>
  </si>
  <si>
    <t>Group Free Cash Flow - company defined</t>
  </si>
  <si>
    <t>Core Gross Profit</t>
  </si>
  <si>
    <t>Core Business Profit before Financing</t>
  </si>
  <si>
    <t>New segment structure - core business</t>
  </si>
  <si>
    <t>o/w non-core businesses</t>
  </si>
  <si>
    <t>o/w core business</t>
  </si>
  <si>
    <t>Civil Aerospace LTSA net assets / (liabilities)</t>
  </si>
  <si>
    <t>Other intangibles</t>
  </si>
  <si>
    <t>Investments in JVs and associates</t>
  </si>
  <si>
    <t>Capital employed (liability approach)</t>
  </si>
  <si>
    <t>Net deferred tax assets</t>
  </si>
  <si>
    <t>Capital employed (MSe)</t>
  </si>
  <si>
    <t>Civil engine deliveries (including spares)</t>
  </si>
  <si>
    <t>IFRS 15 revenues</t>
  </si>
  <si>
    <t xml:space="preserve">Cash revenues </t>
  </si>
  <si>
    <t>Cash yield assumptions ($ per flying hour)</t>
  </si>
  <si>
    <t>Large engine cash revenues ($mn)</t>
  </si>
  <si>
    <t>Large engines: bridge to cash (£mn)</t>
  </si>
  <si>
    <t>RRSP share (£mn)</t>
  </si>
  <si>
    <t>Civil Aerospace net LTSA balance change</t>
  </si>
  <si>
    <t>Other working capital change</t>
  </si>
  <si>
    <t>Company funded R&amp;D cash expenditure in the year</t>
  </si>
  <si>
    <t>core biz</t>
  </si>
  <si>
    <t>ow/ Rolls-Royce engined (per Ascend)</t>
  </si>
  <si>
    <t>Pearl</t>
  </si>
  <si>
    <t>FCF per share (p)</t>
  </si>
  <si>
    <t>Cash revenue per engine (£ mn)</t>
  </si>
  <si>
    <t>o/w business jet</t>
  </si>
  <si>
    <t>OE standard gross profit</t>
  </si>
  <si>
    <t>AM standard gross profit</t>
  </si>
  <si>
    <t>Net funds breakdown</t>
  </si>
  <si>
    <t>Cash at bank and in hand</t>
  </si>
  <si>
    <t>Money market funds</t>
  </si>
  <si>
    <t>Short-term deposits</t>
  </si>
  <si>
    <t>Overdrafts</t>
  </si>
  <si>
    <t>Cash and cash equivalents (per CFS)</t>
  </si>
  <si>
    <t>Other current borrowings</t>
  </si>
  <si>
    <t>Non-current borrowings</t>
  </si>
  <si>
    <t>Finance leases</t>
  </si>
  <si>
    <t>Financial liabilities</t>
  </si>
  <si>
    <t>Net funds/(debt) excluding fair value swaps</t>
  </si>
  <si>
    <t>Net funds/(debt)</t>
  </si>
  <si>
    <t>Cash and cash equivalents (per BS)</t>
  </si>
  <si>
    <t>Net cash revenues (£ mn)</t>
  </si>
  <si>
    <t>Cash model</t>
  </si>
  <si>
    <t>2H18</t>
  </si>
  <si>
    <t>Net Debt / FCF</t>
  </si>
  <si>
    <t>1H19</t>
  </si>
  <si>
    <t>Business &amp; regional jet profit - current GAAP</t>
  </si>
  <si>
    <t>Regional jet</t>
  </si>
  <si>
    <t>Business &amp; regional jet revenue (£m) - IFRS15</t>
  </si>
  <si>
    <t>o/w Business aviation revenue</t>
  </si>
  <si>
    <t>o/w Regional jet revenue</t>
  </si>
  <si>
    <t>Corporate &amp; regional jet gross profit - IFRS15</t>
  </si>
  <si>
    <t>V2500 aftermarket gross profit (£m)</t>
  </si>
  <si>
    <t>o/w large engine</t>
  </si>
  <si>
    <t>Major visit LTSA cash cost (£ mn)</t>
  </si>
  <si>
    <t>o/w FX</t>
  </si>
  <si>
    <t>Right-of-use assets</t>
  </si>
  <si>
    <t>Borrowings and lease liabilities</t>
  </si>
  <si>
    <t>Depreciation of right-of-use assets</t>
  </si>
  <si>
    <t>Depreciation and impairment of right-of-use assets - CFS</t>
  </si>
  <si>
    <t>Gross LTSA cash revenue ($ mn)</t>
  </si>
  <si>
    <t>Capital element of finance leases</t>
  </si>
  <si>
    <t>FCF yield (%) (ex-LTSA creditor moves)</t>
  </si>
  <si>
    <t>FCF to equity (ex-LTSA creditor moves)</t>
  </si>
  <si>
    <t>Working capital model</t>
  </si>
  <si>
    <t>Group FCF (ex-LTSA creditor move)</t>
  </si>
  <si>
    <t>Group FCF (ex-LTSA creditor move, ex underlying WC)</t>
  </si>
  <si>
    <t>Group FCF (ex underlying working capital)</t>
  </si>
  <si>
    <t>Major visit LTSA cash cost ($ mn)</t>
  </si>
  <si>
    <t>% of total</t>
  </si>
  <si>
    <t>o/w contract accounting adjustments</t>
  </si>
  <si>
    <t>o/w flying hour cash receipts timing, deposits &amp; other</t>
  </si>
  <si>
    <t>Europe</t>
  </si>
  <si>
    <t>KEI Tagging</t>
  </si>
  <si>
    <t>Large engine deliveries (#)</t>
  </si>
  <si>
    <t>Civil Aerospace Margin</t>
  </si>
  <si>
    <t>FCF Margin</t>
  </si>
  <si>
    <t>Underlying net finance costs</t>
  </si>
  <si>
    <t xml:space="preserve">o/w LTSA movement </t>
  </si>
  <si>
    <t xml:space="preserve">o/w other WC movement </t>
  </si>
  <si>
    <t>Transactions recognised at exchange rate on date of cash flow and revaluation of trading assets / liabilities</t>
  </si>
  <si>
    <t>2H19</t>
  </si>
  <si>
    <t>1H20</t>
  </si>
  <si>
    <t>Net funds / (debt) ex leases</t>
  </si>
  <si>
    <t>Right of use NBV</t>
  </si>
  <si>
    <t xml:space="preserve">Depreciation and impairment </t>
  </si>
  <si>
    <t>2H20</t>
  </si>
  <si>
    <t>New shares issued</t>
  </si>
  <si>
    <t>Net share issuance</t>
  </si>
  <si>
    <t>1H21</t>
  </si>
  <si>
    <t>2H21</t>
  </si>
  <si>
    <t>% of 2019 levels</t>
  </si>
  <si>
    <t>Net fair value losses on non-hedge accounted interest rate swaps</t>
  </si>
  <si>
    <t>statutory tax rate</t>
  </si>
  <si>
    <t>FCF / Net Income</t>
  </si>
  <si>
    <t>FCF / Net Income (ex-LTSA creditor moves)</t>
  </si>
  <si>
    <t>2026e</t>
  </si>
  <si>
    <t>2027e</t>
  </si>
  <si>
    <t>2028e</t>
  </si>
  <si>
    <t>2029e</t>
  </si>
  <si>
    <t>2030e</t>
  </si>
  <si>
    <t>EV/IC</t>
  </si>
  <si>
    <t>CAGR</t>
  </si>
  <si>
    <t>Shop visits</t>
  </si>
  <si>
    <t>Large engine refurb</t>
  </si>
  <si>
    <t>Large engine non-refurb</t>
  </si>
  <si>
    <t>Business aviation &amp; regional</t>
  </si>
  <si>
    <t>$ per shop visit</t>
  </si>
  <si>
    <t>Total large engine</t>
  </si>
  <si>
    <t>Changes in OCI</t>
  </si>
  <si>
    <t>1H22</t>
  </si>
  <si>
    <t>2H22</t>
  </si>
  <si>
    <t>EBITDA</t>
  </si>
  <si>
    <t>Rolls Royce</t>
  </si>
  <si>
    <t>Operating profit - underlying</t>
  </si>
  <si>
    <t>2022-25e</t>
  </si>
  <si>
    <t>2022-27e</t>
  </si>
  <si>
    <t>Revenue split (%):</t>
  </si>
  <si>
    <t>Revenue split (£m)</t>
  </si>
  <si>
    <t xml:space="preserve">Order intake </t>
  </si>
  <si>
    <t>Book-to-bill</t>
  </si>
  <si>
    <t>Order book coverage (FY1)</t>
  </si>
  <si>
    <t>Conversion ratio (to adj. EBIT)</t>
  </si>
  <si>
    <t xml:space="preserve">Naval </t>
  </si>
  <si>
    <t>Submarines</t>
  </si>
  <si>
    <t>Delivered thrust (on wing only) (Mlbs)</t>
  </si>
  <si>
    <t>Civil engine installed base - IN SERVICE (EX. PARKED / STORAGE)</t>
  </si>
  <si>
    <t>Civil engine installed base - TOTAL (IN SERVICE / STORAGE)</t>
  </si>
  <si>
    <t>Source: Cirium (as at 04/04/2023)</t>
  </si>
  <si>
    <t>ow/ Rolls-Royce engined (per Cirium)</t>
  </si>
  <si>
    <t xml:space="preserve">Spares profit margin </t>
  </si>
  <si>
    <t>Programme analysis (historical deliveries incl spares, forcast excl.)</t>
  </si>
  <si>
    <t>2H26e</t>
  </si>
  <si>
    <t>1H27e</t>
  </si>
  <si>
    <t>2H27e</t>
  </si>
  <si>
    <t>1H28e</t>
  </si>
  <si>
    <t>2H28e</t>
  </si>
  <si>
    <t>1H29e</t>
  </si>
  <si>
    <t>2H29e</t>
  </si>
  <si>
    <t>1H30e</t>
  </si>
  <si>
    <t>2H30e</t>
  </si>
  <si>
    <t>Order intake (£bn)</t>
  </si>
  <si>
    <t>Order book (£bn)</t>
  </si>
  <si>
    <t>Aftermarket revenues</t>
  </si>
  <si>
    <t>Comments</t>
  </si>
  <si>
    <t>Engine flying hours (m)</t>
  </si>
  <si>
    <t>disclosed</t>
  </si>
  <si>
    <t>o/w business, regional &amp; V2500</t>
  </si>
  <si>
    <t>Large engine EFH as % of 2019</t>
  </si>
  <si>
    <t>FX rate</t>
  </si>
  <si>
    <t>disclosed in the press release</t>
  </si>
  <si>
    <t>Invoiced EFH receipts, $</t>
  </si>
  <si>
    <t xml:space="preserve">divided out at FX rate </t>
  </si>
  <si>
    <t>EFH per hour, $</t>
  </si>
  <si>
    <t>implied</t>
  </si>
  <si>
    <t>Invoiced EFH receipts (cash)</t>
  </si>
  <si>
    <t>disclosed in the appendix slides</t>
  </si>
  <si>
    <t>Underlying movement in Civil LTSA creditor</t>
  </si>
  <si>
    <t>disclosed in the press release / funds flow statement</t>
  </si>
  <si>
    <t>Contract catch-ups</t>
  </si>
  <si>
    <t>LTSA revenues, pre-catch-ups</t>
  </si>
  <si>
    <t>CHECK</t>
  </si>
  <si>
    <t>T&amp;M revenues</t>
  </si>
  <si>
    <t>Services revenues (P&amp;L)</t>
  </si>
  <si>
    <t>Civil</t>
  </si>
  <si>
    <t>Currency</t>
  </si>
  <si>
    <t>EV</t>
  </si>
  <si>
    <t>RISK REWARD ANALYSIS</t>
  </si>
  <si>
    <t>Rolls Royce (GBPm)</t>
  </si>
  <si>
    <t>Bear</t>
  </si>
  <si>
    <t>Base</t>
  </si>
  <si>
    <t>Bull</t>
  </si>
  <si>
    <t>Total adjusted revenue</t>
  </si>
  <si>
    <t>EBIT Adjusted</t>
  </si>
  <si>
    <t>EV/EBIT assumptions</t>
  </si>
  <si>
    <t>-Less assets/(liabilities)</t>
  </si>
  <si>
    <t>Equity Value</t>
  </si>
  <si>
    <t>EV/EBIT Price Target</t>
  </si>
  <si>
    <t>Pretax gains/charges</t>
  </si>
  <si>
    <t>Profit before tax adjusted</t>
  </si>
  <si>
    <t>Taxes &amp; Other</t>
  </si>
  <si>
    <t>Tax rate %</t>
  </si>
  <si>
    <t>Net Income adjusted</t>
  </si>
  <si>
    <t>Shares</t>
  </si>
  <si>
    <t>Diluted EPS adjusted</t>
  </si>
  <si>
    <t>Applied P/E</t>
  </si>
  <si>
    <t>P/E Price Target</t>
  </si>
  <si>
    <t>Blended Price target</t>
  </si>
  <si>
    <t>Sales analysis</t>
  </si>
  <si>
    <t>EBIT growth</t>
  </si>
  <si>
    <t>Underlying EPS (p, diluted)</t>
  </si>
  <si>
    <t>Segment underlying EBIT</t>
  </si>
  <si>
    <t>MW tagging [expand]</t>
  </si>
  <si>
    <t xml:space="preserve">Pearl </t>
  </si>
  <si>
    <t>N/A</t>
  </si>
  <si>
    <t xml:space="preserve">Cash and revenue reconciliation </t>
  </si>
  <si>
    <t>CIVIL AFTERMARKET SUMMARY</t>
  </si>
  <si>
    <t>Engine flying hours (EFH)</t>
  </si>
  <si>
    <t>- o/w large engine</t>
  </si>
  <si>
    <t>- o/w business, regional &amp; V2500</t>
  </si>
  <si>
    <t>as % of 2019</t>
  </si>
  <si>
    <t>Shop visit share by type</t>
  </si>
  <si>
    <t>Invoiced EFH receipts (£m)</t>
  </si>
  <si>
    <t>Invoiced EFH receipts ($m)</t>
  </si>
  <si>
    <t>FX conversion rate (GBP/USD)</t>
  </si>
  <si>
    <t>Underlying movement in Civil LTSA creditors</t>
  </si>
  <si>
    <t>Revenue analysis</t>
  </si>
  <si>
    <t>Civil engine deliveries split</t>
  </si>
  <si>
    <t>Large engines</t>
  </si>
  <si>
    <t>Delta to operating profit</t>
  </si>
  <si>
    <t>LTSA revenues, post-catch-ups</t>
  </si>
  <si>
    <t>- as % of AM revenue</t>
  </si>
  <si>
    <t>Combined T1000/XWB/7000</t>
  </si>
  <si>
    <t>Large engine flying hours (m)</t>
  </si>
  <si>
    <t>Power Systems Margin</t>
  </si>
  <si>
    <t>DCF Price target</t>
  </si>
  <si>
    <t>SOTP Price target</t>
  </si>
  <si>
    <t>1H23</t>
  </si>
  <si>
    <t>2H23</t>
  </si>
  <si>
    <t>Divisional Revenue</t>
  </si>
  <si>
    <t>Divisional EBIT (Adj.)</t>
  </si>
  <si>
    <t>Divisional EBIT (Adj.) Margin</t>
  </si>
  <si>
    <t>EV Adjustment</t>
  </si>
  <si>
    <t>as % of total OE deliveries</t>
  </si>
  <si>
    <t>Blended / conversion rate FX (GBP:USD)</t>
  </si>
  <si>
    <t>Inflation factor</t>
  </si>
  <si>
    <t>Year End December, GBP</t>
  </si>
  <si>
    <t>£m</t>
  </si>
  <si>
    <t>Pricing / escalation</t>
  </si>
  <si>
    <t>Inflation factor / flex (%)</t>
  </si>
  <si>
    <t>Cost per shop visit (£m)</t>
  </si>
  <si>
    <t>Trading cash flow conversion</t>
  </si>
  <si>
    <t>T&amp;M revenues (balance for forecasts)</t>
  </si>
  <si>
    <t>On-wing profit (£)</t>
  </si>
  <si>
    <t>On-wing profit / engine (£)</t>
  </si>
  <si>
    <t>On-wing profit margin</t>
  </si>
  <si>
    <t>Growth yoy (%)</t>
  </si>
  <si>
    <t>Check &amp; repairs shop visits</t>
  </si>
  <si>
    <t>Check and repair cash cost (£m)</t>
  </si>
  <si>
    <t>Check and repair cash cost ($ mn)</t>
  </si>
  <si>
    <t>Shop visit model (large engine)</t>
  </si>
  <si>
    <t>Gross profit margin %</t>
  </si>
  <si>
    <t>Implied Civil LTSA revenue incl. contract catch-ups</t>
  </si>
  <si>
    <t>Major LTSA shop visit contract margin (%)</t>
  </si>
  <si>
    <t>Check &amp; repairs shop visit contract margin (%)</t>
  </si>
  <si>
    <t>Shop visit gross profit</t>
  </si>
  <si>
    <t>T&amp;M gross profit</t>
  </si>
  <si>
    <t>Total large engine AM gross profit</t>
  </si>
  <si>
    <t>Shop visit gross profit margin</t>
  </si>
  <si>
    <t>T&amp;M gross profit margin</t>
  </si>
  <si>
    <t>Major LTSA shop visit revenue</t>
  </si>
  <si>
    <t>Total large engine ship visits</t>
  </si>
  <si>
    <t>Other issuance of shares</t>
  </si>
  <si>
    <t>Other revenue</t>
  </si>
  <si>
    <t>Other cash cost (£m)</t>
  </si>
  <si>
    <t>Other cash costs ($m)</t>
  </si>
  <si>
    <t>Other revenue contract margin (%)</t>
  </si>
  <si>
    <t>as % of total costs</t>
  </si>
  <si>
    <t>Total large engine AM revenue</t>
  </si>
  <si>
    <t>Total large engine shop visit revenue (excl. T&amp;M)</t>
  </si>
  <si>
    <t>T&amp;M (large engine)</t>
  </si>
  <si>
    <t>Inflation factor y/y (%)</t>
  </si>
  <si>
    <t>Cost model (large engine)</t>
  </si>
  <si>
    <t>Cash analysis</t>
  </si>
  <si>
    <t>Revenue model</t>
  </si>
  <si>
    <t>Revenue per major shop visit (£m)</t>
  </si>
  <si>
    <t>Revenue per C&amp;R shop visit (£m)</t>
  </si>
  <si>
    <t>Check &amp; repairs shop visit revenue</t>
  </si>
  <si>
    <t>Check and Repairs shop visit revenue excl. RRSP</t>
  </si>
  <si>
    <t>Major LTSA shop visit revenue excl. RRSP</t>
  </si>
  <si>
    <t>Other cost revenue excl. RRSP</t>
  </si>
  <si>
    <t>Total large engine shop visit revenue (excl. T&amp;M and RRSP)</t>
  </si>
  <si>
    <t>Total large engine AM gross profit margin (%) - reported</t>
  </si>
  <si>
    <t>Total large engine AM gross profit margin (%) - underlying</t>
  </si>
  <si>
    <t>Gross profit analysis</t>
  </si>
  <si>
    <t>FCF / Underlying EBIT</t>
  </si>
  <si>
    <t>Capex and R&amp;D as % of D&amp;A</t>
  </si>
  <si>
    <t>1H24</t>
  </si>
  <si>
    <t>2H24</t>
  </si>
  <si>
    <t>Spare engines (as % of total deliveries)</t>
  </si>
  <si>
    <t>ow/ Rolls-Royce engined</t>
  </si>
  <si>
    <t>Trent split (old vs new)</t>
  </si>
  <si>
    <t>Old-gen</t>
  </si>
  <si>
    <t>New-gen</t>
  </si>
  <si>
    <t>Hours flown per year (historics sourced from Cirium)</t>
  </si>
  <si>
    <t>Adjusted in-service installed fleet (# engines)</t>
  </si>
  <si>
    <t>Fleet % under LTSA contract</t>
  </si>
  <si>
    <t>Large engine LTSA in-service fleet (# engines, avg. in-year)</t>
  </si>
  <si>
    <t>Balancing flex for historics</t>
  </si>
  <si>
    <t>- implied £m per 1% of 2019</t>
  </si>
  <si>
    <t>Revenue growth (%)</t>
  </si>
  <si>
    <t>CMD23: growing above market (0-2%)</t>
  </si>
  <si>
    <t>CMD23: 4-5% to 2040, 3% near term, HSD post 2030</t>
  </si>
  <si>
    <t>- Growth (%, yoy)</t>
  </si>
  <si>
    <t>- o/w volume (%, yoy)</t>
  </si>
  <si>
    <t>- o/w price (%, yoy)</t>
  </si>
  <si>
    <t>LTSAs</t>
  </si>
  <si>
    <t>Pearl - BOY installed base</t>
  </si>
  <si>
    <t>Pearl - EOY installed base</t>
  </si>
  <si>
    <t xml:space="preserve">Revenue ($m) </t>
  </si>
  <si>
    <t xml:space="preserve">Fleet growth </t>
  </si>
  <si>
    <t>- volume</t>
  </si>
  <si>
    <t>- pricing</t>
  </si>
  <si>
    <t>Shop visit model (BA/RJ)</t>
  </si>
  <si>
    <t>Implied BJ/RJ LTSA revenue incl. contract catch-ups</t>
  </si>
  <si>
    <t>LTSA flying hours (000)</t>
  </si>
  <si>
    <t>% of revenues</t>
  </si>
  <si>
    <t>Time &amp; Material (£m)</t>
  </si>
  <si>
    <t>LTSAs (£m)</t>
  </si>
  <si>
    <t>Cash (£m)</t>
  </si>
  <si>
    <t>Time &amp; materials (£m)</t>
  </si>
  <si>
    <t>Total BA/RJ shop visits</t>
  </si>
  <si>
    <t>Power Gen</t>
  </si>
  <si>
    <t>Governmental and other</t>
  </si>
  <si>
    <t>Cummins Power Systems Division</t>
  </si>
  <si>
    <t>% change</t>
  </si>
  <si>
    <t>margin (%)</t>
  </si>
  <si>
    <t>Depeciation &amp; Amortization</t>
  </si>
  <si>
    <t>Revenues ($mn)</t>
  </si>
  <si>
    <t>£/$ avg spot</t>
  </si>
  <si>
    <t>Revenue (£m)</t>
  </si>
  <si>
    <t>EBITDA (£m)</t>
  </si>
  <si>
    <t>EBIT (£m)</t>
  </si>
  <si>
    <t>1H25</t>
  </si>
  <si>
    <t>2H25</t>
  </si>
  <si>
    <t>FY24 guidance: growing in-line with market (5-7%)</t>
  </si>
  <si>
    <t>disclosed at £3bn or £30m per 1% in 2019</t>
  </si>
  <si>
    <t>All Other Businesses</t>
  </si>
  <si>
    <t>- o/w scope/other (%, yoy)</t>
  </si>
  <si>
    <t>Funds Flow</t>
  </si>
  <si>
    <t>All Other Businesses (formerly New Markets)</t>
  </si>
  <si>
    <t>CAGR (2025-28)</t>
  </si>
  <si>
    <t>1H26</t>
  </si>
  <si>
    <t>Revenue (org) split (£m)</t>
  </si>
  <si>
    <t>Revenue (org) split (%)</t>
  </si>
  <si>
    <t>Revenue (org)</t>
  </si>
  <si>
    <t>Revenue (org) growth (%)</t>
  </si>
  <si>
    <t>guided at 110-115% in 2025, 115-120% in 2026, 130-140% in 2028</t>
  </si>
  <si>
    <t>Total cash revenue</t>
  </si>
  <si>
    <t>%</t>
  </si>
  <si>
    <t>Guidance (1H26): expect 25% growth in power generation OE revenues to 2030 (previously: 20% to the mid-term, before that: 15-17%).</t>
  </si>
  <si>
    <t>Guidance (1H26): expect 20% OE revenue growth to 2030 (previously: 20% to the mid-term, before that 12-14% mid term, before that (FY24) growing above market (5-7%))</t>
  </si>
  <si>
    <t>Engien List prices (USDm)</t>
  </si>
  <si>
    <t>Diff to calc above (OE vs AM) - actuals out due to spares inclusion</t>
  </si>
  <si>
    <t>Spare implied discount to list price</t>
  </si>
  <si>
    <t>On-wing assumed discount to list price</t>
  </si>
  <si>
    <t>Gross contractual margin improvement</t>
  </si>
  <si>
    <t>Supply chain charges</t>
  </si>
  <si>
    <t xml:space="preserve">Net contractual and operational improvmenets </t>
  </si>
  <si>
    <t>o/w contract catch ups</t>
  </si>
  <si>
    <t>o/w onerous provision releases</t>
  </si>
  <si>
    <t>LTSA revenue catch-ups</t>
  </si>
  <si>
    <t>Underlying EBIT margin excl. contractual adjustments</t>
  </si>
  <si>
    <t xml:space="preserve">20 Bank Street, Canary Wharf </t>
  </si>
  <si>
    <t xml:space="preserve">London E14 4AD </t>
  </si>
  <si>
    <t xml:space="preserve">United Kingdom </t>
  </si>
  <si>
    <t>Tel: +44 (0)20 7425 8000</t>
  </si>
  <si>
    <t>Authors: Ross Law,Marie-Ange Riggio</t>
  </si>
  <si>
    <t>Date: 17 Aug 2026</t>
  </si>
  <si>
    <t>Ticker: RR.L</t>
  </si>
  <si>
    <t>Stock Rating: Overweight</t>
  </si>
  <si>
    <t>Industry: Aerospace &amp; Defence</t>
  </si>
  <si>
    <t>Industry View: Attractive</t>
  </si>
  <si>
    <t>Price as of 17 Aug 2026: 1541.00</t>
  </si>
  <si>
    <t>Target Price: 2000.00</t>
  </si>
  <si>
    <t>e = Morgan Stanley Research estimates unless otherwise noted</t>
  </si>
  <si>
    <t>Source: Morgan Stanley Research unless otherwise noted</t>
  </si>
  <si>
    <t>Stocks ratings are relative to the analyst's industry coverage universe.</t>
  </si>
  <si>
    <t>Morgan Stanley does and seeks to do business with companies covered in Morgan Stanley Research. As a</t>
  </si>
  <si>
    <t>result, investors should be aware that the firm may have a conflict of interest that could affect the</t>
  </si>
  <si>
    <t>objectivity of Morgan Stanley Research. Investors should consider Morgan Stanley Research as only a</t>
  </si>
  <si>
    <t>single factor in making their investment decision.</t>
  </si>
  <si>
    <t>The information and opinions in Morgan Stanley Research were prepared or are disseminated by Morgan</t>
  </si>
  <si>
    <t>Stanley Europe S.E., regulated by Bundesanstalt fuer Finanzdienstleistungsaufsicht (BaFin) and/or Morgan</t>
  </si>
  <si>
    <t>Stanley &amp; Co. International plc, authorized by the Prudential Regulation Authority and regulated by the</t>
  </si>
  <si>
    <t>Financial Conduct Authority and the Prudential Regulation Authority. Morgan Stanley &amp; Co. International</t>
  </si>
  <si>
    <t>plc disseminates in the UK research that it has prepared, and which has been prepared by any of its</t>
  </si>
  <si>
    <t>affiliates, only to persons who (i) are investment professionals falling within Article 19(5) of the</t>
  </si>
  <si>
    <t>Financial Services and Markets Act 2000 (Financial Promotion) Order 2005 (as amended, the “Order”); (ii)</t>
  </si>
  <si>
    <t>are persons who are high net worth entities falling within Article 49(2)(a) to (d) of the Order; or</t>
  </si>
  <si>
    <t>(iii) are persons to whom an invitation or inducement to engage in investment activity (within the</t>
  </si>
  <si>
    <t>meaning of section 21 of the Financial Services and Markets Act 2000, as amended) may otherwise lawfully</t>
  </si>
  <si>
    <t>be communicated or caused to be communicated. As used in this disclosure section, Morgan Stanley</t>
  </si>
  <si>
    <t>includes RMB Morgan Stanley Proprietary Limited, Morgan Stanley Europe S.E., Morgan Stanley &amp; Co</t>
  </si>
  <si>
    <t>International plc and its affiliates.</t>
  </si>
  <si>
    <t>For important disclosures, stock price charts and equity rating histories regarding companies that are</t>
  </si>
  <si>
    <t>the subject of this report, please see the Morgan Stanley Research Disclosure Website at</t>
  </si>
  <si>
    <t>www.morganstanley.com/eqr/disclosures/webapp/generalresearch, or contact your investment representative</t>
  </si>
  <si>
    <t>or Morgan Stanley Research at 1585 Broadway, (Attention: Research Management), New York, NY, 10036 USA.</t>
  </si>
  <si>
    <t>For valuation methodology and risks associated with any recommendation, rating or price target</t>
  </si>
  <si>
    <t>referenced in this research report, please contact the Client Support Team as follows: US/Canada +1 800</t>
  </si>
  <si>
    <t>303-2495; Hong Kong +852 2848-5999; Latin America +1 718 754-5444 (U.S.); London +44 (0)20-7425-8169;</t>
  </si>
  <si>
    <t>Singapore +65 6834-6860; Sydney +61 (0)2-9770-1505; Tokyo +81 (0)3-6836-9000. Alternatively you may</t>
  </si>
  <si>
    <t>contact your investment representative or Morgan Stanley Research at 1585 Broadway, (Attention: Research</t>
  </si>
  <si>
    <t>Management), New York, NY 10036 USA.</t>
  </si>
  <si>
    <t>Analyst Certification</t>
  </si>
  <si>
    <t>The following analysts hereby certify that their views about the companies and their securities</t>
  </si>
  <si>
    <t>discussed in this report are accurately expressed and that they have not received and will not receive</t>
  </si>
  <si>
    <t>direct or indirect compensation in exchange for expressing specific recommendations or views in this</t>
  </si>
  <si>
    <t>report: Ross Law, CFA.</t>
  </si>
  <si>
    <t>.</t>
  </si>
  <si>
    <t>Global Research Conflict Management Policy</t>
  </si>
  <si>
    <t>Morgan Stanley Research has been published in accordance with our conflict management policy, which is</t>
  </si>
  <si>
    <t>available at www.morganstanley.com/institutional/research/conflictpolicies. A Portuguese version of the</t>
  </si>
  <si>
    <t>policy can be found at www.morganstanley.com.br</t>
  </si>
  <si>
    <t>Important Regulatory Disclosures on Subject Companies</t>
  </si>
  <si>
    <t>As of July 31, 2026, Morgan Stanley beneficially owned 1% or more of a class of common equity securities</t>
  </si>
  <si>
    <t>of the following companies covered in Morgan Stanley Research: Rolls-Royce Holdings PLC.</t>
  </si>
  <si>
    <t>In the next 3 months, Morgan Stanley expects to receive or intends to seek compensation for investment</t>
  </si>
  <si>
    <t>banking services from Rolls-Royce Holdings PLC.</t>
  </si>
  <si>
    <t>Within the last 12 months, Morgan Stanley has received compensation for products and services other than</t>
  </si>
  <si>
    <t>investment banking services from Rolls-Royce Holdings PLC.</t>
  </si>
  <si>
    <t>Within the last 12 months, Morgan Stanley has provided or is providing investment banking services to,</t>
  </si>
  <si>
    <t>or has an investment banking client relationship with, the following company: Rolls-Royce Holdings PLC.</t>
  </si>
  <si>
    <t>Within the last 12 months, Morgan Stanley has either provided or is providing non-investment banking,</t>
  </si>
  <si>
    <t>securities-related services to and/or in the past has entered into an agreement to provide services or</t>
  </si>
  <si>
    <t>has a client relationship with the following company: Rolls-Royce Holdings PLC.</t>
  </si>
  <si>
    <t>Morgan Stanley &amp; Co. International plc is a corporate broker to Rolls-Royce Holdings PLC.</t>
  </si>
  <si>
    <t>The equity research analysts or strategists principally responsible for the preparation of Morgan</t>
  </si>
  <si>
    <t>Stanley Research have received compensation based upon various factors, including quality of research,</t>
  </si>
  <si>
    <t>investor client feedback, stock picking, competitive factors, firm revenues and overall investment</t>
  </si>
  <si>
    <t>banking revenues. Equity Research analysts' or strategists' compensation is not linked to investment</t>
  </si>
  <si>
    <t>banking or capital markets transactions performed by Morgan Stanley or the profitability or revenues of</t>
  </si>
  <si>
    <t>particular trading desks.</t>
  </si>
  <si>
    <t>Morgan Stanley and its affiliates do business that relates to companies/instruments covered in Morgan</t>
  </si>
  <si>
    <t>Stanley Research, including market making, providing liquidity, fund management, commercial banking,</t>
  </si>
  <si>
    <t>extension of credit, investment services and investment banking. Morgan Stanley sells to and buys from</t>
  </si>
  <si>
    <t>customers the securities/instruments of companies covered in Morgan Stanley Research on a principal</t>
  </si>
  <si>
    <t>basis. Morgan Stanley may have a position in the debt of the Company or instruments discussed in this</t>
  </si>
  <si>
    <t>report. Morgan Stanley trades or may trade as principal in the debt securities (or in related</t>
  </si>
  <si>
    <t>derivatives) that are the subject of the debt research report.</t>
  </si>
  <si>
    <t>Certain disclosures listed above are also for compliance with applicable regulations in non-US</t>
  </si>
  <si>
    <t>jurisdictions.</t>
  </si>
  <si>
    <t>STOCK RATINGS</t>
  </si>
  <si>
    <t>Morgan Stanley uses a relative rating system using terms such as Overweight, Equal-weight, Not-Rated or</t>
  </si>
  <si>
    <t>Underweight (see definitions below). Morgan Stanley does not assign ratings of Buy, Hold or Sell to the</t>
  </si>
  <si>
    <t>stocks we cover. Overweight, Equal-weight, Not-Rated and Underweight are not the equivalent of buy, hold</t>
  </si>
  <si>
    <t>and sell. Investors should carefully read the definitions of all ratings used in Morgan Stanley</t>
  </si>
  <si>
    <t>Research. In addition, since Morgan Stanley Research contains more complete information concerning the</t>
  </si>
  <si>
    <t>analyst's views, investors should carefully read Morgan Stanley Research, in its entirety, and not infer</t>
  </si>
  <si>
    <t>the contents from the rating alone. In any case, ratings (or research) should not be used or relied</t>
  </si>
  <si>
    <t>upon as investment advice. An investor's decision to buy or sell a stock should depend on individual</t>
  </si>
  <si>
    <t>circumstances (such as the investor's existing holdings) and other considerations.</t>
  </si>
  <si>
    <t>Global Stock Ratings Distribution</t>
  </si>
  <si>
    <t>(as of July 31, 2026)</t>
  </si>
  <si>
    <t>The Stock Ratings described below apply to Morgan Stanley's Fundamental Equity Research and do not apply</t>
  </si>
  <si>
    <t>to Debt Research produced by the Firm.</t>
  </si>
  <si>
    <t>For disclosure purposes only (in accordance with FINRA requirements), we include the category headings</t>
  </si>
  <si>
    <t>of Buy, Hold, and Sell alongside our ratings of Overweight, Equal-weight, Not-Rated and Underweight.</t>
  </si>
  <si>
    <t>Morgan Stanley does not assign ratings of Buy, Hold or Sell to the stocks we cover. Overweight,</t>
  </si>
  <si>
    <t>Equal-weight, Not-Rated and Underweight are not the equivalent of buy, hold, and sell but represent</t>
  </si>
  <si>
    <t>recommended relative weightings (see definitions below). To satisfy regulatory requirements, we</t>
  </si>
  <si>
    <t>correspond Overweight, our most positive stock rating, with a buy recommendation; we correspond</t>
  </si>
  <si>
    <t>Equal-weight and Not-Rated to hold and Underweight to sell recommendations, respectively.</t>
  </si>
  <si>
    <t>Coverage Universe</t>
  </si>
  <si>
    <t>Investment Banking Clients (IBC)</t>
  </si>
  <si>
    <t>Other Material Investment Services Clients (MISC)</t>
  </si>
  <si>
    <t>Stock Rating Category</t>
  </si>
  <si>
    <t>Count</t>
  </si>
  <si>
    <t>% of Total</t>
  </si>
  <si>
    <t>% of Total IBC</t>
  </si>
  <si>
    <t>% of Rating Category</t>
  </si>
  <si>
    <t>% of Total Other MISC</t>
  </si>
  <si>
    <t>Overweight/Buy</t>
  </si>
  <si>
    <t>Equal-weight/Hold</t>
  </si>
  <si>
    <t>Not-Rated/Hold</t>
  </si>
  <si>
    <t>Underweight/Sell</t>
  </si>
  <si>
    <t>Data include common stock and ADRs currently assigned ratings. Investment Banking Clients are companies</t>
  </si>
  <si>
    <t>from whom Morgan Stanley received investment banking compensation in the last 12 months. Due to rounding</t>
  </si>
  <si>
    <t>off of decimals, the percentages provided in the "% of total" column may not add up to exactly 100</t>
  </si>
  <si>
    <t>percent.</t>
  </si>
  <si>
    <t>Analyst Stock Ratings</t>
  </si>
  <si>
    <t>Overweight (O). The stock's total return is expected to exceed the average total return of the analyst's</t>
  </si>
  <si>
    <t>industry (or industry team's) coverage universe, on a risk-adjusted basis, over the next 12-18 months.</t>
  </si>
  <si>
    <t>Equal-weight (E). The stock's total return is expected to be in line with the average total return of</t>
  </si>
  <si>
    <t>the analyst's industry (or industry team's) coverage universe, on a risk-adjusted basis, over the next</t>
  </si>
  <si>
    <t>12-18 months.</t>
  </si>
  <si>
    <t>Not-Rated (NR). Currently the analyst does not have adequate conviction about the stock's total return</t>
  </si>
  <si>
    <t>relative to the average total return of the analyst's industry (or industry team's) coverage universe,</t>
  </si>
  <si>
    <t>on a risk-adjusted basis, over the next 12-18 months.</t>
  </si>
  <si>
    <t>Underweight (U). The stock's total return is expected to be below the average total return of the</t>
  </si>
  <si>
    <t>analyst's industry (or industry team's) coverage universe, on a risk-adjusted basis, over the next 12-18</t>
  </si>
  <si>
    <t>months.</t>
  </si>
  <si>
    <t>Unless otherwise specified, the time frame for price targets included in Morgan Stanley Research is 12</t>
  </si>
  <si>
    <t>to 18 months.</t>
  </si>
  <si>
    <t>Analyst Industry Views</t>
  </si>
  <si>
    <t>Attractive (A): The analyst expects the performance of his or her industry coverage universe over the</t>
  </si>
  <si>
    <t>next 12-18 months to be attractive vs. the relevant broad market benchmark, as indicated below.</t>
  </si>
  <si>
    <t>In-Line (I): The analyst expects the performance of his or her industry coverage universe over the next</t>
  </si>
  <si>
    <t>12-18 months to be in line with the relevant broad market benchmark, as indicated below.</t>
  </si>
  <si>
    <t>Cautious (C): The analyst views the performance of his or her industry coverage universe over the next</t>
  </si>
  <si>
    <t>12-18 months with caution vs. the relevant broad market benchmark, as indicated below.</t>
  </si>
  <si>
    <t>Benchmarks for each region are as follows: North America - S&amp;P 500; Latin America - relevant MSCI</t>
  </si>
  <si>
    <t>country index or MSCI Latin America Index; Europe - MSCI Europe; Japan - TOPIX; Asia - relevant MSCI</t>
  </si>
  <si>
    <t>country index or MSCI sub-regional index or MSCI AC Asia Pacific ex Japan Index.</t>
  </si>
  <si>
    <t>Stock Price, Price Target and Rating History (See Rating Definitions)</t>
  </si>
  <si>
    <t>Important Disclosures for Morgan Stanley Smith Barney LLC Customers</t>
  </si>
  <si>
    <t>Important disclosures regarding any material conflict of interest that can reasonably be expected to</t>
  </si>
  <si>
    <t>have influenced Morgan Stanley Smith Barney LLC's choice of a third-party research provider or the</t>
  </si>
  <si>
    <t>subject company of a third-party research report, are available on the Morgan Stanley Wealth Management</t>
  </si>
  <si>
    <t>disclosure website at www.morganstanley.com/online/researchdisclosures. For Morgan Stanley specific</t>
  </si>
  <si>
    <t>disclosures, you may refer to https://www.morganstanley.com/eqr/disclosures/webapp/generalresearch.</t>
  </si>
  <si>
    <t>Each Morgan Stanley research report is reviewed and approved on behalf of Morgan Stanley Smith Barney</t>
  </si>
  <si>
    <t>LLC. This review and approval is conducted by the same person who reviews the research report on behalf</t>
  </si>
  <si>
    <t>of Morgan Stanley. This could create a conflict of interest.</t>
  </si>
  <si>
    <t>Other Important Disclosures</t>
  </si>
  <si>
    <t>Morgan Stanley Research policy is to update research reports as and when the Research Analyst and</t>
  </si>
  <si>
    <t>Research Management deem appropriate, based on developments with the issuer, the sector, or the market</t>
  </si>
  <si>
    <t>that may have a material impact on the research views or opinions stated therein. In addition, certain</t>
  </si>
  <si>
    <t>Research publications are intended to be updated on a regular periodic basis</t>
  </si>
  <si>
    <t>(weekly/monthly/quarterly/annual) and will ordinarily be updated with that frequency, unless the</t>
  </si>
  <si>
    <t>Research Analyst and Research Management determine that a different publication schedule is appropriate</t>
  </si>
  <si>
    <t>based on current conditions.</t>
  </si>
  <si>
    <t>Morgan Stanley is not acting as a municipal advisor and the opinions or views contained herein are not</t>
  </si>
  <si>
    <t>intended to be, and do not constitute, advice within the meaning of Section 975 of the Dodd-Frank Wall</t>
  </si>
  <si>
    <t>Street Reform and Consumer Protection Act.</t>
  </si>
  <si>
    <t>Morgan Stanley produces an equity research product called a "Tactical Idea." Views contained in a</t>
  </si>
  <si>
    <t>"Tactical Idea" on a particular stock may be contrary to the recommendations or views expressed in</t>
  </si>
  <si>
    <t>research on the same stock. This may be the result of differing time horizons, methodologies, market</t>
  </si>
  <si>
    <t>events, or other factors. For all research available on a particular stock, please contact your sales</t>
  </si>
  <si>
    <t>representative or go to Matrix at http://www.morganstanley.com/matrix.</t>
  </si>
  <si>
    <t>Morgan Stanley Research is provided to our clients through our proprietary research portal on Matrix and</t>
  </si>
  <si>
    <t>also distributed electronically by Morgan Stanley to clients. Certain, but not all, Morgan Stanley</t>
  </si>
  <si>
    <t>Research products are also made available to clients through third-party vendors or redistributed to</t>
  </si>
  <si>
    <t>clients through alternate electronic means as a convenience. For access to all available Morgan Stanley</t>
  </si>
  <si>
    <t>Research, please contact your sales representative or go to Matrix at</t>
  </si>
  <si>
    <t>http://www.morganstanley.com/matrix.</t>
  </si>
  <si>
    <t>Any access and/or use of Morgan Stanley Research is subject to Morgan Stanley's Terms of Use</t>
  </si>
  <si>
    <t>(http://www.morganstanley.com/terms.html). By accessing and/or using Morgan Stanley Research, you are</t>
  </si>
  <si>
    <t>indicating that you have read and agree to be bound by our Terms of Use</t>
  </si>
  <si>
    <t>(http://www.morganstanley.com/terms.html). In addition you consent to Morgan Stanley processing your</t>
  </si>
  <si>
    <t>personal data and using cookies in accordance with our Privacy Policy and our Global Cookies Policy</t>
  </si>
  <si>
    <t>(http://www.morganstanley.com/privacy_pledge.html), including for the purposes of setting your</t>
  </si>
  <si>
    <t>preferences and to collect readership data so that we can deliver better and more personalized service</t>
  </si>
  <si>
    <t>and products to you. To find out more information about how Morgan Stanley processes personal data, how</t>
  </si>
  <si>
    <t>we use cookies and how to reject cookies see our Privacy Policy and our Global Cookies Policy</t>
  </si>
  <si>
    <t>(http://www.morganstanley.com/privacy_pledge.html). Please use the provided link to review the Terms and</t>
  </si>
  <si>
    <t>Conditions and Most Important Terms and Conditions for Morgan Stanley India Company Private Limited</t>
  </si>
  <si>
    <t>(https://www.morganstanley.com/assets/pdfs/about-us-global-offices/india/Terms_and_conditions.pdf) and</t>
  </si>
  <si>
    <t>the following link to review the audit report</t>
  </si>
  <si>
    <t>(https://ny.matrix.ms.com/eqr/research/webapp/researchdocs/MSICPL_Morgan_Stanley_Research_Audit_Report.pdf).</t>
  </si>
  <si>
    <t>If you do not agree to our Terms of Use and/or if you do not wish to provide your consent to Morgan</t>
  </si>
  <si>
    <t>Stanley processing your personal data or using cookies please do not access our research.</t>
  </si>
  <si>
    <t>Morgan Stanley Research does not provide individually tailored investment advice. Morgan Stanley</t>
  </si>
  <si>
    <t>Research has been prepared without regard to the circumstances and objectives of those who receive it.</t>
  </si>
  <si>
    <t>Morgan Stanley recommends that investors independently evaluate particular investments and strategies,</t>
  </si>
  <si>
    <t>and encourages investors to seek the advice of a financial adviser. The appropriateness of an investment</t>
  </si>
  <si>
    <t>or strategy will depend on an investor's circumstances and objectives. The securities, instruments, or</t>
  </si>
  <si>
    <t>strategies discussed in Morgan Stanley Research may not be suitable for all investors, and certain</t>
  </si>
  <si>
    <t>investors may not be eligible to purchase or participate in some or all of them. Morgan Stanley Research</t>
  </si>
  <si>
    <t>is not an offer to buy or sell or the solicitation of an offer to buy or sell any security/instrument or</t>
  </si>
  <si>
    <t>to participate in any particular trading strategy. The value of and income from your investments may</t>
  </si>
  <si>
    <t>vary because of changes in interest rates, foreign exchange rates, default rates, prepayment rates,</t>
  </si>
  <si>
    <t>securities/instruments prices, market indexes, operational or financial conditions of companies or other</t>
  </si>
  <si>
    <t>factors. There may be time limitations on the exercise of options or other rights in</t>
  </si>
  <si>
    <t>securities/instruments transactions. Past performance is not necessarily a guide to future performance.</t>
  </si>
  <si>
    <t>Estimates of future performance are based on assumptions that may not be realized. If provided, and</t>
  </si>
  <si>
    <t>unless otherwise stated, the closing price on the cover page is that of the primary exchange for the</t>
  </si>
  <si>
    <t>subject company's securities/instruments.</t>
  </si>
  <si>
    <t>The fixed income research analysts, strategists or economists principally responsible for the</t>
  </si>
  <si>
    <t>preparation of Morgan Stanley Research have received compensation based upon various factors, including</t>
  </si>
  <si>
    <t>quality, accuracy and value of research, firm profitability or revenues (which include fixed income</t>
  </si>
  <si>
    <t>trading and capital markets profitability or revenues), client feedback and competitive factors. Fixed</t>
  </si>
  <si>
    <t>Income Research analysts', strategists' or economists' compensation is not linked to investment banking</t>
  </si>
  <si>
    <t>or capital markets transactions performed by Morgan Stanley or the profitability or revenues of</t>
  </si>
  <si>
    <t>The "Important Regulatory Disclosures on Subject Companies" section in Morgan Stanley Research lists all</t>
  </si>
  <si>
    <t>companies mentioned where Morgan Stanley owns 1% or more of a class of common equity securities of the</t>
  </si>
  <si>
    <t>companies. For all other companies mentioned in Morgan Stanley Research, Morgan Stanley may have an</t>
  </si>
  <si>
    <t>investment of less than 1% in securities/instruments or derivatives of securities/instruments of</t>
  </si>
  <si>
    <t>companies and may trade them in ways different from those discussed in Morgan Stanley Research.</t>
  </si>
  <si>
    <t>Employees of Morgan Stanley not involved in the preparation of Morgan Stanley Research may have</t>
  </si>
  <si>
    <t>investments in securities/instruments or derivatives of securities/instruments of companies mentioned</t>
  </si>
  <si>
    <t>and may trade them in ways different from those discussed in Morgan Stanley Research. Derivatives may be</t>
  </si>
  <si>
    <t>issued by Morgan Stanley or associated persons.</t>
  </si>
  <si>
    <t>With the exception of information regarding Morgan Stanley, Morgan Stanley Research is based on public</t>
  </si>
  <si>
    <t>information. Morgan Stanley makes every effort to use reliable, comprehensive information, but we make</t>
  </si>
  <si>
    <t>no representation that it is accurate or complete. We have no obligation to tell you when opinions or</t>
  </si>
  <si>
    <t>information in Morgan Stanley Research change apart from when we intend to discontinue equity research</t>
  </si>
  <si>
    <t>coverage of a subject company. Facts and views presented in Morgan Stanley Research have not been</t>
  </si>
  <si>
    <t>reviewed by, and may not reflect information known to, professionals in other Morgan Stanley business</t>
  </si>
  <si>
    <t>areas, including investment banking personnel.</t>
  </si>
  <si>
    <t>Morgan Stanley Research personnel may participate in company events such as site visits and are</t>
  </si>
  <si>
    <t>generally prohibited from accepting payment by the company of associated expenses unless pre-approved by</t>
  </si>
  <si>
    <t>authorized members of Research management.</t>
  </si>
  <si>
    <t>Morgan Stanley may make investment decisions that are inconsistent with the recommendations or views in</t>
  </si>
  <si>
    <t>this report.</t>
  </si>
  <si>
    <t>To our readers based in Taiwan or trading in Taiwan securities/instruments: Information on</t>
  </si>
  <si>
    <t>securities/instruments that trade in Taiwan is distributed by Morgan Stanley Taiwan Limited ("MSTL").</t>
  </si>
  <si>
    <t>Such information is for your reference only. The reader should independently evaluate the investment</t>
  </si>
  <si>
    <t>risks and is solely responsible for their investment decisions. Morgan Stanley Research may not be</t>
  </si>
  <si>
    <t>distributed to the public media or quoted or used by the public media without the express written</t>
  </si>
  <si>
    <t>consent of Morgan Stanley. Any non-customer reader within the scope of Article 7-1 of the Taiwan Stock</t>
  </si>
  <si>
    <t>Exchange Recommendation Regulations accessing and/or receiving Morgan Stanley Research is not permitted</t>
  </si>
  <si>
    <t>to provide Morgan Stanley Research to any third party (including but not limited to related parties,</t>
  </si>
  <si>
    <t>affiliated companies and any other third parties) or engage in any activities regarding Morgan Stanley</t>
  </si>
  <si>
    <t>Research which may create or give the appearance of creating a conflict of interest. Information on</t>
  </si>
  <si>
    <t>securities/instruments that do not trade in Taiwan is for informational purposes only and is not to be</t>
  </si>
  <si>
    <t>construed as a recommendation or a solicitation to trade in such securities/instruments. MSTL may not</t>
  </si>
  <si>
    <t>execute transactions for clients in these securities/instruments.</t>
  </si>
  <si>
    <t>Morgan Stanley is not incorporated under PRC law and the research in relation to this report is</t>
  </si>
  <si>
    <t>conducted outside the PRC. Morgan Stanley Research does not constitute an offer to sell or the</t>
  </si>
  <si>
    <t>solicitation of an offer to buy any securities in the PRC. PRC investors shall have the relevant</t>
  </si>
  <si>
    <t>qualifications to invest in such securities and shall be responsible for obtaining all relevant</t>
  </si>
  <si>
    <t>approvals, licenses, verifications and/or registrations from the relevant governmental authorities</t>
  </si>
  <si>
    <t>themselves. Neither this report nor any part of it is intended as, or shall constitute, provision of any</t>
  </si>
  <si>
    <t>consultancy or advisory service of securities investment as defined under PRC law. Such information is</t>
  </si>
  <si>
    <t>provided for your reference only.</t>
  </si>
  <si>
    <t>Morgan Stanley Research is disseminated in Brazil by Morgan Stanley C.T.V.M. S.A. located at Av.</t>
  </si>
  <si>
    <t>Brigadeiro Faria Lima, 3600, 6th floor, São Paulo - SP, Brazil; and is regulated by the Comissão de</t>
  </si>
  <si>
    <t>Valores Mobiliários; in Mexico by Morgan Stanley México, Casa de Bolsa, S.A. de C.V which is regulated</t>
  </si>
  <si>
    <t>by Comision Nacional Bancaria y de Valores. Paseo de los Tamarindos 90, Torre 1, Col. Bosques de las</t>
  </si>
  <si>
    <t>Lomas Floor 29, 05120 Mexico City; in Japan by Morgan Stanley MUFG Securities Co., Ltd. and, for</t>
  </si>
  <si>
    <t>Commodities related research reports only, Morgan Stanley Capital Group Japan Co., Ltd; in Hong Kong by</t>
  </si>
  <si>
    <t>Morgan Stanley Asia Limited (which accepts responsibility for its contents) and by Morgan Stanley Bank</t>
  </si>
  <si>
    <t>Asia Limited; in Singapore by Morgan Stanley Asia (Singapore) Pte. (Registration number 199206298Z)</t>
  </si>
  <si>
    <t>and/or Morgan Stanley Asia (Singapore) Securities Pte Ltd (Registration number 200008434H), regulated by</t>
  </si>
  <si>
    <t>the Monetary Authority of Singapore (which accepts legal responsibility for its contents and should be</t>
  </si>
  <si>
    <t>contacted with respect to any matters arising from, or in connection with, Morgan Stanley Research) and</t>
  </si>
  <si>
    <t>by Morgan Stanley Bank Asia Limited, Singapore Branch (Registration number T14FC0118J); in Australia to</t>
  </si>
  <si>
    <t>"wholesale clients" within the meaning of the Australian Corporations Act by Morgan Stanley Australia</t>
  </si>
  <si>
    <t>Limited A.B.N. 67 003 734 576, holder of Australian financial services license No. 233742, which accepts</t>
  </si>
  <si>
    <t>responsibility for its contents; in Australia to "wholesale clients" and "retail clients" within the</t>
  </si>
  <si>
    <t>meaning of the Australian Corporations Act by Morgan Stanley Wealth Management Australia Pty Ltd (A.B.N.</t>
  </si>
  <si>
    <t>19 009 145 555, holder of Australian financial services license No. 240813, which accepts responsibility</t>
  </si>
  <si>
    <t>for its contents; in Korea by Morgan Stanley &amp; Co International plc, Seoul Branch; in India by Morgan</t>
  </si>
  <si>
    <t>Stanley India Company Private Limited having Corporate Identification No (CIN) U22990MH1998PTC115305,</t>
  </si>
  <si>
    <t>regulated by the Securities and Exchange Board of India (“SEBI”) and holder of licenses as a Research</t>
  </si>
  <si>
    <t>Analyst (SEBI Registration No. INH000001105); Stock Broker (SEBI Stock Broker Registration No.</t>
  </si>
  <si>
    <t>INZ000244438), Merchant Banker (SEBI Registration No. INM000011203), and depository participant with</t>
  </si>
  <si>
    <t>National Securities Depository Limited (SEBI Registration No. IN-DP-NSDL-567-2021) having registered</t>
  </si>
  <si>
    <t>office at Altimus, Level 39 &amp; 40, Pandurang Budhkar Marg, Worli, Mumbai 400018, India; Telephone no.</t>
  </si>
  <si>
    <t>+91-22-61181000; Compliance Officer Details: Mr. Tejarshi Hardas, Tel. No.: +91-22-61181000 or Email:</t>
  </si>
  <si>
    <t>tejarshi.hardas@morganstanley.com; Grievance officer details: Mr. Tejarshi Hardas, Tel. No.:</t>
  </si>
  <si>
    <t>+91-22-61181000 or Email: msic-compliance@morganstanley.com. Morgan Stanley India Company Private</t>
  </si>
  <si>
    <t>Limited (MSICPL) may use AI tools in providing research services. All recommendations contained herein</t>
  </si>
  <si>
    <t>are made by the duly qualified research analysts; in Canada by Morgan Stanley Canada Limited; in Germany</t>
  </si>
  <si>
    <t>and the European Economic Area where required by Morgan Stanley Europe S.E., authorised and regulated by</t>
  </si>
  <si>
    <t>Bundesanstalt fuer Finanzdienstleistungsaufsicht (BaFin) under the reference number 149169; in the US by</t>
  </si>
  <si>
    <t>Morgan Stanley &amp; Co. LLC, which accepts responsibility for its contents. Morgan Stanley &amp; Co.</t>
  </si>
  <si>
    <t>International plc, authorized by the Prudential Regulation Authority and regulated by the Financial</t>
  </si>
  <si>
    <t>Conduct Authority and the Prudential Regulation Authority, disseminates in the UK research that it has</t>
  </si>
  <si>
    <t>prepared, and research which has been prepared by any of its affiliates, only to persons who (i) are</t>
  </si>
  <si>
    <t>investment professionals falling within Article 19(5) of the Financial Services and Markets Act 2000</t>
  </si>
  <si>
    <t>(Financial Promotion) Order 2005 (as amended, the “Order”); (ii) are persons who are high net worth</t>
  </si>
  <si>
    <t>entities falling within Article 49(2)(a) to (d) of the Order; or (iii) are persons to whom an invitation</t>
  </si>
  <si>
    <t>or inducement to engage in investment activity (within the meaning of section 21 of the Financial</t>
  </si>
  <si>
    <t>Services and Markets Act 2000, as amended) may otherwise lawfully be communicated or caused to be</t>
  </si>
  <si>
    <t>communicated. RMB Morgan Stanley Proprietary Limited is a member of the JSE Limited and A2X (Pty) Ltd.</t>
  </si>
  <si>
    <t>RMB Morgan Stanley Proprietary Limited is a joint venture owned equally by Morgan Stanley International</t>
  </si>
  <si>
    <t>Holdings Inc. and RMB Investment Advisory (Proprietary) Limited, which is wholly owned by FirstRand</t>
  </si>
  <si>
    <t>Limited. The information in Morgan Stanley Research is being disseminated by Morgan Stanley Saudi</t>
  </si>
  <si>
    <t>Arabia, regulated by the Capital Market Authority in the Kingdom of Saudi Arabia, and is directed at</t>
  </si>
  <si>
    <t>Sophisticated investors only.</t>
  </si>
  <si>
    <t>The information in Morgan Stanley Research is being communicated by Morgan Stanley &amp; Co. International</t>
  </si>
  <si>
    <t>plc (DIFC Branch), regulated by the Dubai Financial Services Authority (the DFSA) or by Morgan Stanley &amp;</t>
  </si>
  <si>
    <t>Co. International plc (ADGM Branch), regulated by the Financial Services Regulatory Authority Abu Dhabi</t>
  </si>
  <si>
    <t>(the FSRA), and is directed at Professional Clients only, as defined by the DFSA or the FSRA,</t>
  </si>
  <si>
    <t>respectively. The financial products or financial services to which this research relates will only be</t>
  </si>
  <si>
    <t>made available to a customer who we are satisfied meets the regulatory criteria of a Professional</t>
  </si>
  <si>
    <t>Client. A distribution of the different MS Research ratings or recommendations, in percentage terms for</t>
  </si>
  <si>
    <t>Investments in each sector covered, is available upon request from your sales representative.</t>
  </si>
  <si>
    <t>plc (QFC Branch), regulated by the Qatar Financial Centre Regulatory Authority (the QFCRA), and is</t>
  </si>
  <si>
    <t>directed at business customers and market counterparties only and is not intended for Retail Customers</t>
  </si>
  <si>
    <t>as defined by the QFCRA.</t>
  </si>
  <si>
    <t>As required by the Capital Markets Board of Turkey, investment information, comments and recommendations</t>
  </si>
  <si>
    <t>stated here, are not within the scope of investment advisory activity. Investment advisory service is</t>
  </si>
  <si>
    <t>provided exclusively to persons based on their risk and income preferences by the authorized firms.</t>
  </si>
  <si>
    <t>Comments and recommendations stated here are general in nature. These opinions may not fit to your</t>
  </si>
  <si>
    <t>financial status, risk and return preferences. For this reason, to make an investment decision by</t>
  </si>
  <si>
    <t>relying solely to this information stated here may not bring about outcomes that fit your expectations.</t>
  </si>
  <si>
    <t>The trademarks and service marks contained in Morgan Stanley Research are the property of their</t>
  </si>
  <si>
    <t>respective owners. Third-party data providers make no warranties or representations relating to the</t>
  </si>
  <si>
    <t>accuracy, completeness, or timeliness of the data they provide and shall not have liability for any</t>
  </si>
  <si>
    <t>damages relating to such data. The Global Industry Classification Standard (GICS) was developed by and</t>
  </si>
  <si>
    <t>is the exclusive property of MSCI and S&amp;P.</t>
  </si>
  <si>
    <t>Morgan Stanley Research, or any portion thereof may not be reprinted, sold or redistributed without the</t>
  </si>
  <si>
    <t>written consent of Morgan Stanley.</t>
  </si>
  <si>
    <t>Indicators and trackers referenced in Morgan Stanley Research may not be used as, or treated as, a</t>
  </si>
  <si>
    <t>benchmark under Regulation EU 2016/1011, or any other similar framework.</t>
  </si>
  <si>
    <t>The issuers and/or fixed income products recommended or discussed in certain fixed income research</t>
  </si>
  <si>
    <t>reports may not be continuously followed. Accordingly, investors should regard those fixed income</t>
  </si>
  <si>
    <t>research reports as providing stand-alone analysis and should not expect continuing analysis or</t>
  </si>
  <si>
    <t>additional reports relating to such issuers and/or individual fixed income products.</t>
  </si>
  <si>
    <t>Morgan Stanley may hold, from time to time, material financial and commercial interests regarding the</t>
  </si>
  <si>
    <t>company subject to the Research report.</t>
  </si>
  <si>
    <t>Registration granted by SEBI and certification from the National Institute of Securities Markets (NISM)</t>
  </si>
  <si>
    <t>in no way guarantee performance of the intermediary or provide any assurance of returns to investors.</t>
  </si>
  <si>
    <t>Investment in securities market are subject to market risks. Read all the related documents carefully</t>
  </si>
  <si>
    <t>before investing.</t>
  </si>
  <si>
    <t>© Copyright 2026 Morgan Stanley</t>
  </si>
  <si>
    <t>MacroVersion</t>
  </si>
  <si>
    <t>6.10</t>
  </si>
  <si>
    <t>PublishDate</t>
  </si>
  <si>
    <t>08/17/26 10:49</t>
  </si>
  <si>
    <t>Discipline</t>
  </si>
  <si>
    <t>Research</t>
  </si>
  <si>
    <t>ResearchTopic</t>
  </si>
  <si>
    <t>Company</t>
  </si>
  <si>
    <t>DocType</t>
  </si>
  <si>
    <t>Model</t>
  </si>
  <si>
    <t>SubjectCode</t>
  </si>
  <si>
    <t>Description</t>
  </si>
  <si>
    <t>KeepVersions</t>
  </si>
  <si>
    <t>All</t>
  </si>
  <si>
    <t>Rating</t>
  </si>
  <si>
    <t>Overweight / Attractive</t>
  </si>
  <si>
    <t>CurrYearTotalRevenue*</t>
  </si>
  <si>
    <t>CurrYearEPS*</t>
  </si>
  <si>
    <t>NextYearTotalRevenue*</t>
  </si>
  <si>
    <t>NextYearEPS*</t>
  </si>
  <si>
    <t>FollowingYearTotalRevenue*</t>
  </si>
  <si>
    <t>FollowingYearEPS*</t>
  </si>
  <si>
    <t>5YearGrowthRate</t>
  </si>
  <si>
    <t>UpdateReason</t>
  </si>
  <si>
    <t>Regular Update</t>
  </si>
  <si>
    <t>Authors</t>
  </si>
  <si>
    <t>MSA0J802, MSA7L876</t>
  </si>
  <si>
    <t>Tickers</t>
  </si>
  <si>
    <t>CUSIP</t>
  </si>
  <si>
    <t>G76311102</t>
  </si>
  <si>
    <t>RIC</t>
  </si>
  <si>
    <t>SEDOL</t>
  </si>
  <si>
    <t>Current Stock Price</t>
  </si>
  <si>
    <t>1541.00</t>
  </si>
  <si>
    <t>PathName</t>
  </si>
  <si>
    <t>L:\aerospace\1_Companies\Rolls\0_Models\rolls royce - Copy for publishing.xlsm</t>
  </si>
  <si>
    <t>Distribution</t>
  </si>
  <si>
    <t>0</t>
  </si>
  <si>
    <t>Deleted</t>
  </si>
  <si>
    <t>NO</t>
  </si>
  <si>
    <t>EmailAlert</t>
  </si>
  <si>
    <t>YES</t>
  </si>
  <si>
    <t>CurrQtrEPS</t>
  </si>
  <si>
    <t>CYEnd</t>
  </si>
  <si>
    <t>CQEnd</t>
  </si>
  <si>
    <t>CurrYearTotalRevenueActual*</t>
  </si>
  <si>
    <t>NextYearTotalRevenueActual*</t>
  </si>
  <si>
    <t>FollowingYearTotalRevenueActual*</t>
  </si>
  <si>
    <t>Multiplier</t>
  </si>
  <si>
    <t>1000000</t>
  </si>
  <si>
    <t>TemplateRegion</t>
  </si>
  <si>
    <t>ObjectType</t>
  </si>
  <si>
    <t>excel</t>
  </si>
  <si>
    <t>LanguageCode</t>
  </si>
  <si>
    <t>en-US</t>
  </si>
  <si>
    <t>SubmitterUserId</t>
  </si>
  <si>
    <t>giridhak</t>
  </si>
  <si>
    <t>IndustryId</t>
  </si>
  <si>
    <t>1700000864</t>
  </si>
  <si>
    <t>TickerRegion</t>
  </si>
  <si>
    <t>4</t>
  </si>
  <si>
    <t>AdditionalInstructions</t>
  </si>
  <si>
    <t>*Estimated</t>
  </si>
  <si>
    <t>OwnerTeam</t>
  </si>
  <si>
    <t>I1700000864</t>
  </si>
  <si>
    <t>[BRO MSA]</t>
  </si>
  <si>
    <t>[DOCDAT 2026-08-17]</t>
  </si>
  <si>
    <t>[DOCTIME 10:49]</t>
  </si>
  <si>
    <t>[PSYM RR.L(S&amp;P) (None)]</t>
  </si>
  <si>
    <t>[COU United Kingdom]</t>
  </si>
  <si>
    <t>[PRODUCT MODEL]</t>
  </si>
  <si>
    <t>[ANA MSA7L876]</t>
  </si>
  <si>
    <t>[HL RR.L Model]</t>
  </si>
  <si>
    <t>[IND Aerospace &amp; Defence]</t>
  </si>
  <si>
    <t>[EMAIL_ALERT YES]</t>
  </si>
  <si>
    <t>[PANA  MSA0J802]</t>
  </si>
  <si>
    <t>[DISCIPLINE Company]</t>
  </si>
  <si>
    <t>[SUPPRESSED NO]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</si>
</sst>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8">
    <numFmt numFmtId="164" formatCode="_(* #,##0.00_);_(* \(#,##0.00\);_(* &quot;-&quot;??_);_(@_)"/>
    <numFmt numFmtId="165" formatCode="_(&quot;£&quot;* #,##0.00_);_(&quot;£&quot;* \(#,##0.00\);_(&quot;£&quot;* &quot;-&quot;??_);_(@_)"/>
    <numFmt numFmtId="166" formatCode="#,##0_);\(#,##0\);\-\-_)"/>
    <numFmt numFmtId="167" formatCode="General&quot;e&quot;"/>
    <numFmt numFmtId="168" formatCode="0.0%"/>
    <numFmt numFmtId="169" formatCode="#,##0.0_);\(#,##0.0\);\-\-_)"/>
    <numFmt numFmtId="170" formatCode="#,##0.00_);\(#,##0.00\);\-\-_)"/>
    <numFmt numFmtId="171" formatCode="dd/mm/yy;@"/>
    <numFmt numFmtId="172" formatCode="#,##0.0&quot;x&quot;_);\(#,##0.0\)&quot;x&quot;;\-\-_)"/>
    <numFmt numFmtId="173" formatCode="_(* #,##0_);_(* \(#,##0\);_(* &quot;-&quot;??_);_(@_)"/>
    <numFmt numFmtId="174" formatCode="#,##0;\(#,##0\);\-\-"/>
    <numFmt numFmtId="175" formatCode="#,##0.0000_);\(#,##0.0000\);\-\-_)"/>
    <numFmt numFmtId="176" formatCode="_ * #,##0.00_ ;_ * \-#,##0.00_ ;_ * &quot;-&quot;??_ ;_ @_ "/>
    <numFmt numFmtId="177" formatCode="#,##0.000_);\(#,##0.000\);\-\-_)"/>
    <numFmt numFmtId="178" formatCode="0.0"/>
    <numFmt numFmtId="179" formatCode="#,##0.000000000000"/>
    <numFmt numFmtId="180" formatCode="0&quot;bps&quot;"/>
    <numFmt numFmtId="181" formatCode="#,##0.00000_);\(#,##0.00000\);\-\-_)"/>
    <numFmt numFmtId="182" formatCode="0.0\x"/>
    <numFmt numFmtId="183" formatCode="&quot;For the year ended 31 December &quot;yyyy"/>
    <numFmt numFmtId="184" formatCode="&quot;for the year ended December 31, &quot;General_)"/>
    <numFmt numFmtId="185" formatCode="#,##0_);\(#,##0\);&quot;–&quot;_);@_)"/>
    <numFmt numFmtId="186" formatCode="#,##0;\(#,##0\)"/>
    <numFmt numFmtId="187" formatCode="#,##0.0;\(#,##0.0\)"/>
    <numFmt numFmtId="188" formatCode="_-* #,##0_-;\-* #,##0_-;_-* &quot;-&quot;??_-;_-@_-"/>
    <numFmt numFmtId="189" formatCode="#,##0.0"/>
    <numFmt numFmtId="190" formatCode="#,##0.000"/>
    <numFmt numFmtId="191" formatCode="_(* #,##0.0_);_(* \(#,##0.0\);_(* &quot;-&quot;??_);_(@_)"/>
  </numFmts>
  <fonts count="84">
    <font>
      <sz val="8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theme="1"/>
      <name val="Arial"/>
      <family val="2"/>
    </font>
    <font>
      <b/>
      <sz val="8"/>
      <color theme="0"/>
      <name val="Arial"/>
      <family val="2"/>
    </font>
    <font>
      <sz val="9"/>
      <color theme="1"/>
      <name val="Arial"/>
      <family val="2"/>
    </font>
    <font>
      <sz val="8"/>
      <color theme="0"/>
      <name val="Arial"/>
      <family val="2"/>
    </font>
    <font>
      <b/>
      <sz val="8"/>
      <color theme="1"/>
      <name val="Arial"/>
      <family val="2"/>
    </font>
    <font>
      <sz val="8"/>
      <color rgb="FF0070C0"/>
      <name val="Arial"/>
      <family val="2"/>
    </font>
    <font>
      <i/>
      <sz val="8"/>
      <color theme="1"/>
      <name val="Arial"/>
      <family val="2"/>
    </font>
    <font>
      <b/>
      <i/>
      <sz val="8"/>
      <color theme="1"/>
      <name val="Arial"/>
      <family val="2"/>
    </font>
    <font>
      <sz val="8"/>
      <name val="Arial"/>
      <family val="2"/>
    </font>
    <font>
      <i/>
      <sz val="8"/>
      <color rgb="FFFF0000"/>
      <name val="Arial"/>
      <family val="2"/>
    </font>
    <font>
      <b/>
      <sz val="8"/>
      <color rgb="FF0070C0"/>
      <name val="Arial"/>
      <family val="2"/>
    </font>
    <font>
      <b/>
      <sz val="8"/>
      <color rgb="FFFF0000"/>
      <name val="Arial"/>
      <family val="2"/>
    </font>
    <font>
      <b/>
      <sz val="8"/>
      <name val="Arial"/>
      <family val="2"/>
    </font>
    <font>
      <sz val="8"/>
      <color rgb="FFFF0000"/>
      <name val="Arial"/>
      <family val="2"/>
    </font>
    <font>
      <i/>
      <sz val="8"/>
      <name val="Arial"/>
      <family val="2"/>
    </font>
    <font>
      <b/>
      <sz val="9"/>
      <color theme="1"/>
      <name val="Arial"/>
      <family val="2"/>
    </font>
    <font>
      <b/>
      <u/>
      <sz val="8"/>
      <color theme="1"/>
      <name val="Arial"/>
      <family val="2"/>
    </font>
    <font>
      <sz val="8"/>
      <color theme="1" tint="0.499984740745262"/>
      <name val="Arial"/>
      <family val="2"/>
    </font>
    <font>
      <sz val="9"/>
      <color theme="1" tint="0.499984740745262"/>
      <name val="Arial"/>
      <family val="2"/>
    </font>
    <font>
      <sz val="9"/>
      <name val="Arial"/>
      <family val="2"/>
    </font>
    <font>
      <u/>
      <sz val="8"/>
      <color theme="1"/>
      <name val="Arial"/>
      <family val="2"/>
    </font>
    <font>
      <sz val="8"/>
      <color theme="4"/>
      <name val="Arial"/>
      <family val="2"/>
    </font>
    <font>
      <sz val="8"/>
      <color theme="6" tint="-0.249977111117893"/>
      <name val="Arial"/>
      <family val="2"/>
    </font>
    <font>
      <sz val="9"/>
      <color theme="6" tint="-0.249977111117893"/>
      <name val="Arial"/>
      <family val="2"/>
    </font>
    <font>
      <b/>
      <sz val="8"/>
      <color theme="1" tint="0.499984740745262"/>
      <name val="Arial"/>
      <family val="2"/>
    </font>
    <font>
      <b/>
      <sz val="9"/>
      <color theme="1" tint="0.499984740745262"/>
      <name val="Arial"/>
      <family val="2"/>
    </font>
    <font>
      <b/>
      <sz val="9"/>
      <name val="Arial"/>
      <family val="2"/>
    </font>
    <font>
      <b/>
      <sz val="8"/>
      <color theme="4"/>
      <name val="Arial"/>
      <family val="2"/>
    </font>
    <font>
      <sz val="8"/>
      <color rgb="FFC0000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MS Sans Serif"/>
      <family val="2"/>
    </font>
    <font>
      <b/>
      <sz val="10"/>
      <color indexed="8"/>
      <name val="Times New Roman"/>
      <family val="1"/>
    </font>
    <font>
      <sz val="9"/>
      <name val="Times New Roman"/>
      <family val="1"/>
    </font>
    <font>
      <sz val="10"/>
      <color indexed="8"/>
      <name val="Times New Roman"/>
      <family val="1"/>
    </font>
    <font>
      <i/>
      <sz val="8"/>
      <name val="Times New Roman"/>
      <family val="1"/>
    </font>
    <font>
      <sz val="7.65"/>
      <color theme="1"/>
      <name val="Arial"/>
      <family val="2"/>
    </font>
    <font>
      <sz val="9"/>
      <color theme="4"/>
      <name val="Arial"/>
      <family val="2"/>
    </font>
    <font>
      <sz val="10"/>
      <color theme="1"/>
      <name val="Arial"/>
      <family val="2"/>
    </font>
    <font>
      <sz val="10"/>
      <name val="Helv"/>
      <charset val="204"/>
    </font>
    <font>
      <u/>
      <sz val="10"/>
      <color theme="10"/>
      <name val="Arial"/>
      <family val="2"/>
    </font>
    <font>
      <sz val="12"/>
      <name val="바탕체"/>
      <family val="3"/>
    </font>
    <font>
      <sz val="8"/>
      <color theme="6"/>
      <name val="Arial"/>
      <family val="2"/>
    </font>
    <font>
      <sz val="9"/>
      <color rgb="FFC00000"/>
      <name val="Arial"/>
      <family val="2"/>
    </font>
    <font>
      <sz val="10"/>
      <name val="Arial"/>
      <family val="2"/>
    </font>
    <font>
      <i/>
      <sz val="8"/>
      <color theme="4"/>
      <name val="Arial"/>
      <family val="2"/>
    </font>
    <font>
      <sz val="9"/>
      <color rgb="FFFFFF00"/>
      <name val="Arial"/>
      <family val="2"/>
    </font>
    <font>
      <u/>
      <sz val="11"/>
      <color theme="10"/>
      <name val="Calibri"/>
      <family val="2"/>
      <scheme val="minor"/>
    </font>
    <font>
      <b/>
      <i/>
      <sz val="8"/>
      <color theme="0"/>
      <name val="Arial"/>
      <family val="2"/>
    </font>
    <font>
      <sz val="8"/>
      <color theme="0" tint="-0.499984740745262"/>
      <name val="Arial"/>
      <family val="2"/>
    </font>
    <font>
      <b/>
      <i/>
      <sz val="8"/>
      <name val="Arial"/>
      <family val="2"/>
    </font>
    <font>
      <b/>
      <i/>
      <sz val="8"/>
      <color theme="4"/>
      <name val="Arial"/>
      <family val="2"/>
    </font>
    <font>
      <b/>
      <sz val="12"/>
      <color theme="0"/>
      <name val="Arial"/>
      <family val="2"/>
    </font>
    <font>
      <sz val="12"/>
      <color theme="0"/>
      <name val="Arial"/>
      <family val="2"/>
    </font>
    <font>
      <sz val="12"/>
      <color theme="1"/>
      <name val="Arial"/>
      <family val="2"/>
    </font>
    <font>
      <sz val="12"/>
      <name val="Arial"/>
      <family val="2"/>
    </font>
    <font>
      <i/>
      <sz val="12"/>
      <color theme="1"/>
      <name val="Arial"/>
      <family val="2"/>
    </font>
    <font>
      <sz val="12"/>
      <color rgb="FFFF0000"/>
      <name val="Arial"/>
      <family val="2"/>
    </font>
    <font>
      <b/>
      <sz val="10"/>
      <name val="Arial"/>
      <family val="2"/>
    </font>
    <font>
      <b/>
      <sz val="12"/>
      <color theme="1"/>
      <name val="Arial"/>
      <family val="2"/>
    </font>
    <font>
      <b/>
      <sz val="12"/>
      <name val="Arial"/>
      <family val="2"/>
    </font>
    <font>
      <b/>
      <sz val="9"/>
      <color theme="4"/>
      <name val="Arial"/>
      <family val="2"/>
    </font>
    <font>
      <sz val="8"/>
      <name val="Malgun Gothic"/>
      <family val="2"/>
    </font>
    <font>
      <strike/>
      <sz val="8"/>
      <color theme="1"/>
      <name val="Arial"/>
      <family val="2"/>
    </font>
    <font>
      <strike/>
      <sz val="8"/>
      <color theme="4"/>
      <name val="Arial"/>
      <family val="2"/>
    </font>
    <font>
      <strike/>
      <sz val="8"/>
      <name val="Arial"/>
      <family val="2"/>
    </font>
    <font>
      <b/>
      <sz val="14"/>
      <color theme="0"/>
      <name val="Arial"/>
      <family val="2"/>
    </font>
    <font>
      <sz val="10"/>
      <color theme="0"/>
      <name val="Arial"/>
      <family val="2"/>
    </font>
    <font>
      <b/>
      <sz val="8"/>
      <color theme="6"/>
      <name val="Arial"/>
      <family val="2"/>
    </font>
    <font>
      <sz val="10"/>
      <color rgb="FF000000"/>
      <name val="Arial"/>
      <family val="2"/>
    </font>
    <font>
      <i/>
      <sz val="10"/>
      <color rgb="FF000000"/>
      <name val="Arial"/>
      <family val="2"/>
    </font>
    <font>
      <b/>
      <sz val="12"/>
      <color rgb="FF000080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rgb="FF1075A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C000"/>
        <bgColor indexed="64"/>
      </patternFill>
    </fill>
  </fills>
  <borders count="34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8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/>
      <right style="dotted">
        <color indexed="64"/>
      </right>
      <top/>
      <bottom/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dotted">
        <color auto="1"/>
      </right>
      <top style="thin">
        <color indexed="64"/>
      </top>
      <bottom/>
      <diagonal/>
    </border>
    <border>
      <left/>
      <right style="dotted">
        <color auto="1"/>
      </right>
      <top/>
      <bottom style="thin">
        <color auto="1"/>
      </bottom>
      <diagonal/>
    </border>
    <border>
      <left/>
      <right style="dotted">
        <color auto="1"/>
      </right>
      <top style="thin">
        <color indexed="64"/>
      </top>
      <bottom style="medium">
        <color indexed="64"/>
      </bottom>
      <diagonal/>
    </border>
    <border>
      <left/>
      <right style="dotted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dashed">
        <color indexed="64"/>
      </bottom>
      <diagonal/>
    </border>
    <border>
      <left style="thin">
        <color indexed="64"/>
      </left>
      <right/>
      <top/>
      <bottom style="dashed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 style="thin">
        <color indexed="64"/>
      </right>
      <top/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thin">
        <color indexed="64"/>
      </bottom>
      <diagonal/>
    </border>
    <border>
      <left style="dotted">
        <color indexed="64"/>
      </left>
      <right style="thin">
        <color indexed="64"/>
      </right>
      <top/>
      <bottom/>
      <diagonal/>
    </border>
    <border>
      <left style="dotted">
        <color indexed="64"/>
      </left>
      <right style="thin">
        <color indexed="64"/>
      </right>
      <top/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/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dotted">
        <color auto="1"/>
      </right>
      <top/>
      <bottom style="dashed">
        <color indexed="64"/>
      </bottom>
      <diagonal/>
    </border>
    <border>
      <left style="dotted">
        <color indexed="64"/>
      </left>
      <right style="thin">
        <color indexed="64"/>
      </right>
      <top/>
      <bottom style="dashed">
        <color indexed="64"/>
      </bottom>
      <diagonal/>
    </border>
    <border>
      <left style="dotted">
        <color indexed="64"/>
      </left>
      <right/>
      <top/>
      <bottom/>
      <diagonal/>
    </border>
  </borders>
  <cellStyleXfs count="60">
    <xf numFmtId="166" fontId="0" fillId="0" borderId="0"/>
    <xf numFmtId="9" fontId="11" fillId="0" borderId="0" applyFont="0" applyFill="0" applyBorder="0" applyAlignment="0" applyProtection="0"/>
    <xf numFmtId="0" fontId="10" fillId="0" borderId="0"/>
    <xf numFmtId="174" fontId="14" fillId="0" borderId="0"/>
    <xf numFmtId="174" fontId="14" fillId="0" borderId="0"/>
    <xf numFmtId="0" fontId="42" fillId="0" borderId="0"/>
    <xf numFmtId="0" fontId="41" fillId="6" borderId="0" applyNumberFormat="0" applyFont="0" applyBorder="0" applyAlignment="0" applyProtection="0"/>
    <xf numFmtId="165" fontId="42" fillId="0" borderId="0" applyFont="0" applyFill="0" applyBorder="0" applyAlignment="0" applyProtection="0"/>
    <xf numFmtId="0" fontId="42" fillId="0" borderId="0"/>
    <xf numFmtId="0" fontId="43" fillId="0" borderId="0"/>
    <xf numFmtId="0" fontId="43" fillId="0" borderId="0"/>
    <xf numFmtId="0" fontId="44" fillId="0" borderId="0"/>
    <xf numFmtId="0" fontId="45" fillId="0" borderId="0">
      <alignment vertical="center"/>
    </xf>
    <xf numFmtId="0" fontId="46" fillId="0" borderId="0"/>
    <xf numFmtId="0" fontId="46" fillId="0" borderId="9">
      <alignment horizontal="centerContinuous"/>
    </xf>
    <xf numFmtId="0" fontId="47" fillId="0" borderId="9"/>
    <xf numFmtId="0" fontId="41" fillId="0" borderId="0"/>
    <xf numFmtId="165" fontId="41" fillId="0" borderId="0" applyFont="0" applyFill="0" applyBorder="0" applyAlignment="0" applyProtection="0"/>
    <xf numFmtId="165" fontId="41" fillId="0" borderId="0" applyFont="0" applyFill="0" applyBorder="0" applyAlignment="0" applyProtection="0"/>
    <xf numFmtId="165" fontId="41" fillId="0" borderId="0" applyFont="0" applyFill="0" applyBorder="0" applyAlignment="0" applyProtection="0"/>
    <xf numFmtId="0" fontId="9" fillId="0" borderId="0"/>
    <xf numFmtId="9" fontId="9" fillId="0" borderId="0" applyFont="0" applyFill="0" applyBorder="0" applyAlignment="0" applyProtection="0"/>
    <xf numFmtId="165" fontId="41" fillId="0" borderId="0" applyFont="0" applyFill="0" applyBorder="0" applyAlignment="0" applyProtection="0"/>
    <xf numFmtId="0" fontId="41" fillId="0" borderId="0"/>
    <xf numFmtId="0" fontId="4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5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164" fontId="41" fillId="0" borderId="0" applyFont="0" applyFill="0" applyBorder="0" applyAlignment="0" applyProtection="0"/>
    <xf numFmtId="0" fontId="52" fillId="0" borderId="0" applyNumberFormat="0" applyFill="0" applyBorder="0" applyAlignment="0" applyProtection="0"/>
    <xf numFmtId="176" fontId="41" fillId="0" borderId="0" applyFont="0" applyFill="0" applyBorder="0" applyAlignment="0" applyProtection="0"/>
    <xf numFmtId="0" fontId="41" fillId="0" borderId="0" applyFont="0" applyFill="0" applyBorder="0" applyAlignment="0" applyProtection="0"/>
    <xf numFmtId="0" fontId="41" fillId="6" borderId="0" applyNumberFormat="0" applyFont="0" applyBorder="0" applyAlignment="0" applyProtection="0"/>
    <xf numFmtId="0" fontId="53" fillId="0" borderId="0"/>
    <xf numFmtId="165" fontId="41" fillId="0" borderId="0" applyFont="0" applyFill="0" applyBorder="0" applyAlignment="0" applyProtection="0"/>
    <xf numFmtId="0" fontId="56" fillId="0" borderId="0"/>
    <xf numFmtId="165" fontId="56" fillId="0" borderId="0" applyFont="0" applyFill="0" applyBorder="0" applyAlignment="0" applyProtection="0"/>
    <xf numFmtId="164" fontId="12" fillId="0" borderId="0" applyFont="0" applyFill="0" applyBorder="0" applyAlignment="0" applyProtection="0"/>
    <xf numFmtId="0" fontId="8" fillId="0" borderId="0"/>
    <xf numFmtId="0" fontId="59" fillId="0" borderId="0" applyNumberFormat="0" applyFill="0" applyBorder="0" applyAlignment="0" applyProtection="0"/>
    <xf numFmtId="9" fontId="8" fillId="0" borderId="0" applyFont="0" applyFill="0" applyBorder="0" applyAlignment="0" applyProtection="0"/>
    <xf numFmtId="0" fontId="7" fillId="0" borderId="0"/>
    <xf numFmtId="9" fontId="7" fillId="0" borderId="0" applyFont="0" applyFill="0" applyBorder="0" applyAlignment="0" applyProtection="0"/>
    <xf numFmtId="0" fontId="6" fillId="0" borderId="0"/>
    <xf numFmtId="9" fontId="6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1" fillId="0" borderId="0" applyNumberFormat="0" applyFill="0" applyBorder="0" applyAlignment="0" applyProtection="0"/>
    <xf numFmtId="0" fontId="3" fillId="0" borderId="0"/>
    <xf numFmtId="9" fontId="3" fillId="0" borderId="0" applyFont="0" applyFill="0" applyBorder="0" applyAlignment="0" applyProtection="0"/>
    <xf numFmtId="0" fontId="41" fillId="0" borderId="0"/>
    <xf numFmtId="0" fontId="2" fillId="0" borderId="0"/>
    <xf numFmtId="9" fontId="2" fillId="0" borderId="0" applyFont="0" applyFill="0" applyBorder="0" applyAlignment="0" applyProtection="0"/>
    <xf numFmtId="0" fontId="41" fillId="0" borderId="0"/>
    <xf numFmtId="0" fontId="1" fillId="0" borderId="0"/>
    <xf numFmtId="9" fontId="1" fillId="0" borderId="0" applyFont="0" applyFill="0" applyBorder="0" applyAlignment="0" applyProtection="0"/>
  </cellStyleXfs>
  <cellXfs count="1169">
    <xf numFmtId="166" fontId="0" fillId="0" borderId="0" xfId="0"/>
    <xf numFmtId="167" fontId="13" fillId="2" borderId="0" xfId="0" applyNumberFormat="1" applyFont="1" applyFill="1"/>
    <xf numFmtId="166" fontId="16" fillId="0" borderId="0" xfId="0" applyFont="1"/>
    <xf numFmtId="166" fontId="17" fillId="0" borderId="0" xfId="0" applyFont="1"/>
    <xf numFmtId="166" fontId="16" fillId="0" borderId="1" xfId="0" applyFont="1" applyBorder="1"/>
    <xf numFmtId="166" fontId="0" fillId="0" borderId="1" xfId="0" applyBorder="1"/>
    <xf numFmtId="9" fontId="0" fillId="0" borderId="0" xfId="1" applyFont="1"/>
    <xf numFmtId="168" fontId="0" fillId="0" borderId="0" xfId="1" applyNumberFormat="1" applyFont="1"/>
    <xf numFmtId="166" fontId="13" fillId="2" borderId="2" xfId="0" applyFont="1" applyFill="1" applyBorder="1"/>
    <xf numFmtId="166" fontId="16" fillId="0" borderId="3" xfId="0" applyFont="1" applyBorder="1"/>
    <xf numFmtId="166" fontId="20" fillId="0" borderId="0" xfId="0" applyFont="1"/>
    <xf numFmtId="0" fontId="13" fillId="2" borderId="2" xfId="0" applyNumberFormat="1" applyFont="1" applyFill="1" applyBorder="1"/>
    <xf numFmtId="166" fontId="16" fillId="0" borderId="4" xfId="0" applyFont="1" applyBorder="1"/>
    <xf numFmtId="166" fontId="0" fillId="0" borderId="0" xfId="0" applyAlignment="1">
      <alignment horizontal="left" indent="2"/>
    </xf>
    <xf numFmtId="166" fontId="0" fillId="0" borderId="3" xfId="0" applyBorder="1"/>
    <xf numFmtId="170" fontId="0" fillId="0" borderId="0" xfId="0" applyNumberFormat="1"/>
    <xf numFmtId="166" fontId="28" fillId="0" borderId="0" xfId="0" applyFont="1"/>
    <xf numFmtId="9" fontId="16" fillId="0" borderId="0" xfId="1" applyFont="1"/>
    <xf numFmtId="168" fontId="16" fillId="0" borderId="0" xfId="1" applyNumberFormat="1" applyFont="1" applyBorder="1"/>
    <xf numFmtId="166" fontId="14" fillId="0" borderId="0" xfId="0" applyFont="1"/>
    <xf numFmtId="168" fontId="20" fillId="0" borderId="0" xfId="1" applyNumberFormat="1" applyFont="1" applyBorder="1"/>
    <xf numFmtId="166" fontId="25" fillId="0" borderId="0" xfId="0" applyFont="1"/>
    <xf numFmtId="166" fontId="24" fillId="0" borderId="3" xfId="0" applyFont="1" applyBorder="1"/>
    <xf numFmtId="170" fontId="0" fillId="3" borderId="0" xfId="0" applyNumberFormat="1" applyFill="1"/>
    <xf numFmtId="169" fontId="0" fillId="0" borderId="0" xfId="0" applyNumberFormat="1"/>
    <xf numFmtId="166" fontId="0" fillId="3" borderId="0" xfId="0" applyFill="1"/>
    <xf numFmtId="166" fontId="17" fillId="3" borderId="0" xfId="0" applyFont="1" applyFill="1"/>
    <xf numFmtId="166" fontId="24" fillId="0" borderId="0" xfId="0" applyFont="1"/>
    <xf numFmtId="166" fontId="16" fillId="0" borderId="0" xfId="0" applyFont="1" applyAlignment="1">
      <alignment horizontal="left"/>
    </xf>
    <xf numFmtId="9" fontId="0" fillId="0" borderId="0" xfId="1" applyFont="1" applyAlignment="1">
      <alignment horizontal="left"/>
    </xf>
    <xf numFmtId="168" fontId="0" fillId="0" borderId="0" xfId="1" applyNumberFormat="1" applyFont="1" applyBorder="1"/>
    <xf numFmtId="166" fontId="16" fillId="3" borderId="0" xfId="0" applyFont="1" applyFill="1"/>
    <xf numFmtId="9" fontId="0" fillId="3" borderId="0" xfId="1" applyFont="1" applyFill="1"/>
    <xf numFmtId="9" fontId="0" fillId="3" borderId="0" xfId="0" applyNumberFormat="1" applyFill="1"/>
    <xf numFmtId="168" fontId="0" fillId="0" borderId="0" xfId="1" applyNumberFormat="1" applyFont="1" applyAlignment="1">
      <alignment horizontal="left" indent="2"/>
    </xf>
    <xf numFmtId="168" fontId="12" fillId="0" borderId="0" xfId="1" applyNumberFormat="1" applyFont="1" applyBorder="1"/>
    <xf numFmtId="9" fontId="0" fillId="0" borderId="0" xfId="1" applyFont="1" applyAlignment="1">
      <alignment horizontal="left" indent="1"/>
    </xf>
    <xf numFmtId="166" fontId="16" fillId="3" borderId="3" xfId="0" applyFont="1" applyFill="1" applyBorder="1"/>
    <xf numFmtId="166" fontId="14" fillId="3" borderId="0" xfId="0" applyFont="1" applyFill="1"/>
    <xf numFmtId="168" fontId="0" fillId="3" borderId="0" xfId="1" applyNumberFormat="1" applyFont="1" applyFill="1"/>
    <xf numFmtId="166" fontId="20" fillId="3" borderId="0" xfId="0" applyFont="1" applyFill="1"/>
    <xf numFmtId="166" fontId="0" fillId="5" borderId="0" xfId="0" applyFill="1"/>
    <xf numFmtId="166" fontId="29" fillId="0" borderId="0" xfId="0" applyFont="1" applyAlignment="1">
      <alignment horizontal="left" indent="3"/>
    </xf>
    <xf numFmtId="9" fontId="25" fillId="0" borderId="0" xfId="1" applyFont="1" applyFill="1"/>
    <xf numFmtId="9" fontId="16" fillId="0" borderId="0" xfId="1" applyFont="1" applyFill="1"/>
    <xf numFmtId="168" fontId="12" fillId="0" borderId="0" xfId="1" applyNumberFormat="1" applyFont="1" applyFill="1" applyBorder="1"/>
    <xf numFmtId="166" fontId="24" fillId="3" borderId="1" xfId="0" applyFont="1" applyFill="1" applyBorder="1"/>
    <xf numFmtId="166" fontId="20" fillId="0" borderId="0" xfId="0" applyFont="1" applyAlignment="1">
      <alignment vertical="center"/>
    </xf>
    <xf numFmtId="166" fontId="39" fillId="0" borderId="0" xfId="0" applyFont="1"/>
    <xf numFmtId="166" fontId="33" fillId="3" borderId="0" xfId="0" applyFont="1" applyFill="1"/>
    <xf numFmtId="9" fontId="20" fillId="3" borderId="0" xfId="1" applyFont="1" applyFill="1"/>
    <xf numFmtId="166" fontId="24" fillId="3" borderId="0" xfId="0" applyFont="1" applyFill="1"/>
    <xf numFmtId="166" fontId="39" fillId="3" borderId="0" xfId="0" applyFont="1" applyFill="1"/>
    <xf numFmtId="168" fontId="0" fillId="3" borderId="0" xfId="0" applyNumberFormat="1" applyFill="1"/>
    <xf numFmtId="168" fontId="0" fillId="0" borderId="0" xfId="1" applyNumberFormat="1" applyFont="1" applyFill="1" applyBorder="1"/>
    <xf numFmtId="166" fontId="0" fillId="0" borderId="0" xfId="0" applyAlignment="1">
      <alignment vertical="center"/>
    </xf>
    <xf numFmtId="166" fontId="33" fillId="0" borderId="0" xfId="0" applyFont="1"/>
    <xf numFmtId="169" fontId="25" fillId="3" borderId="0" xfId="0" applyNumberFormat="1" applyFont="1" applyFill="1"/>
    <xf numFmtId="168" fontId="20" fillId="3" borderId="0" xfId="1" applyNumberFormat="1" applyFont="1" applyFill="1"/>
    <xf numFmtId="9" fontId="25" fillId="3" borderId="0" xfId="1" applyFont="1" applyFill="1"/>
    <xf numFmtId="166" fontId="25" fillId="3" borderId="0" xfId="0" applyFont="1" applyFill="1"/>
    <xf numFmtId="166" fontId="18" fillId="3" borderId="0" xfId="0" applyFont="1" applyFill="1"/>
    <xf numFmtId="166" fontId="16" fillId="3" borderId="4" xfId="0" applyFont="1" applyFill="1" applyBorder="1"/>
    <xf numFmtId="9" fontId="16" fillId="3" borderId="0" xfId="1" applyFont="1" applyFill="1"/>
    <xf numFmtId="168" fontId="16" fillId="3" borderId="0" xfId="1" applyNumberFormat="1" applyFont="1" applyFill="1"/>
    <xf numFmtId="166" fontId="0" fillId="3" borderId="0" xfId="0" applyFill="1" applyAlignment="1">
      <alignment horizontal="left"/>
    </xf>
    <xf numFmtId="166" fontId="0" fillId="3" borderId="0" xfId="0" applyFill="1" applyAlignment="1">
      <alignment horizontal="left" indent="1"/>
    </xf>
    <xf numFmtId="166" fontId="16" fillId="3" borderId="0" xfId="0" applyFont="1" applyFill="1" applyAlignment="1">
      <alignment horizontal="left" indent="2"/>
    </xf>
    <xf numFmtId="166" fontId="16" fillId="3" borderId="1" xfId="0" applyFont="1" applyFill="1" applyBorder="1"/>
    <xf numFmtId="166" fontId="29" fillId="3" borderId="0" xfId="0" applyFont="1" applyFill="1"/>
    <xf numFmtId="166" fontId="36" fillId="3" borderId="0" xfId="0" applyFont="1" applyFill="1"/>
    <xf numFmtId="166" fontId="16" fillId="3" borderId="2" xfId="0" applyFont="1" applyFill="1" applyBorder="1"/>
    <xf numFmtId="166" fontId="16" fillId="3" borderId="0" xfId="0" applyFont="1" applyFill="1" applyAlignment="1">
      <alignment horizontal="left"/>
    </xf>
    <xf numFmtId="169" fontId="0" fillId="3" borderId="0" xfId="0" applyNumberFormat="1" applyFill="1"/>
    <xf numFmtId="9" fontId="33" fillId="3" borderId="0" xfId="1" applyFont="1" applyFill="1"/>
    <xf numFmtId="166" fontId="21" fillId="3" borderId="0" xfId="0" applyFont="1" applyFill="1"/>
    <xf numFmtId="166" fontId="22" fillId="3" borderId="0" xfId="0" applyFont="1" applyFill="1"/>
    <xf numFmtId="177" fontId="0" fillId="3" borderId="0" xfId="0" applyNumberFormat="1" applyFill="1"/>
    <xf numFmtId="166" fontId="0" fillId="3" borderId="1" xfId="0" applyFill="1" applyBorder="1"/>
    <xf numFmtId="169" fontId="16" fillId="3" borderId="0" xfId="0" applyNumberFormat="1" applyFont="1" applyFill="1"/>
    <xf numFmtId="166" fontId="20" fillId="3" borderId="0" xfId="0" applyFont="1" applyFill="1" applyAlignment="1">
      <alignment horizontal="left" indent="1"/>
    </xf>
    <xf numFmtId="169" fontId="20" fillId="3" borderId="0" xfId="0" applyNumberFormat="1" applyFont="1" applyFill="1"/>
    <xf numFmtId="166" fontId="24" fillId="3" borderId="4" xfId="0" applyFont="1" applyFill="1" applyBorder="1"/>
    <xf numFmtId="169" fontId="24" fillId="3" borderId="4" xfId="0" applyNumberFormat="1" applyFont="1" applyFill="1" applyBorder="1"/>
    <xf numFmtId="166" fontId="24" fillId="3" borderId="3" xfId="0" applyFont="1" applyFill="1" applyBorder="1"/>
    <xf numFmtId="169" fontId="24" fillId="3" borderId="3" xfId="0" applyNumberFormat="1" applyFont="1" applyFill="1" applyBorder="1"/>
    <xf numFmtId="169" fontId="24" fillId="3" borderId="0" xfId="0" applyNumberFormat="1" applyFont="1" applyFill="1"/>
    <xf numFmtId="168" fontId="20" fillId="3" borderId="0" xfId="1" applyNumberFormat="1" applyFont="1" applyFill="1" applyBorder="1"/>
    <xf numFmtId="168" fontId="12" fillId="3" borderId="0" xfId="1" applyNumberFormat="1" applyFont="1" applyFill="1"/>
    <xf numFmtId="166" fontId="24" fillId="3" borderId="2" xfId="0" applyFont="1" applyFill="1" applyBorder="1"/>
    <xf numFmtId="166" fontId="34" fillId="3" borderId="0" xfId="0" applyFont="1" applyFill="1"/>
    <xf numFmtId="169" fontId="29" fillId="3" borderId="0" xfId="0" applyNumberFormat="1" applyFont="1" applyFill="1"/>
    <xf numFmtId="9" fontId="17" fillId="3" borderId="0" xfId="1" applyFont="1" applyFill="1"/>
    <xf numFmtId="166" fontId="0" fillId="3" borderId="0" xfId="0" applyFill="1" applyAlignment="1">
      <alignment horizontal="left" indent="2"/>
    </xf>
    <xf numFmtId="166" fontId="0" fillId="3" borderId="3" xfId="0" applyFill="1" applyBorder="1"/>
    <xf numFmtId="168" fontId="0" fillId="3" borderId="0" xfId="1" applyNumberFormat="1" applyFont="1" applyFill="1" applyAlignment="1">
      <alignment horizontal="left" indent="2"/>
    </xf>
    <xf numFmtId="168" fontId="0" fillId="3" borderId="0" xfId="1" applyNumberFormat="1" applyFont="1" applyFill="1" applyBorder="1"/>
    <xf numFmtId="168" fontId="16" fillId="3" borderId="0" xfId="1" applyNumberFormat="1" applyFont="1" applyFill="1" applyBorder="1"/>
    <xf numFmtId="168" fontId="12" fillId="3" borderId="0" xfId="1" applyNumberFormat="1" applyFont="1" applyFill="1" applyBorder="1"/>
    <xf numFmtId="166" fontId="28" fillId="3" borderId="0" xfId="0" applyFont="1" applyFill="1"/>
    <xf numFmtId="166" fontId="29" fillId="3" borderId="0" xfId="0" applyFont="1" applyFill="1" applyAlignment="1">
      <alignment horizontal="left" indent="1"/>
    </xf>
    <xf numFmtId="166" fontId="20" fillId="3" borderId="0" xfId="0" applyFont="1" applyFill="1" applyAlignment="1">
      <alignment horizontal="left"/>
    </xf>
    <xf numFmtId="170" fontId="20" fillId="3" borderId="0" xfId="0" applyNumberFormat="1" applyFont="1" applyFill="1"/>
    <xf numFmtId="9" fontId="20" fillId="3" borderId="0" xfId="0" applyNumberFormat="1" applyFont="1" applyFill="1"/>
    <xf numFmtId="168" fontId="14" fillId="3" borderId="0" xfId="1" applyNumberFormat="1" applyFont="1" applyFill="1"/>
    <xf numFmtId="167" fontId="13" fillId="3" borderId="0" xfId="0" applyNumberFormat="1" applyFont="1" applyFill="1"/>
    <xf numFmtId="166" fontId="37" fillId="3" borderId="0" xfId="0" applyFont="1" applyFill="1"/>
    <xf numFmtId="166" fontId="30" fillId="3" borderId="0" xfId="0" applyFont="1" applyFill="1"/>
    <xf numFmtId="166" fontId="31" fillId="3" borderId="0" xfId="0" applyFont="1" applyFill="1"/>
    <xf numFmtId="9" fontId="29" fillId="3" borderId="0" xfId="1" applyFont="1" applyFill="1"/>
    <xf numFmtId="166" fontId="35" fillId="3" borderId="0" xfId="0" applyFont="1" applyFill="1"/>
    <xf numFmtId="169" fontId="35" fillId="3" borderId="0" xfId="0" applyNumberFormat="1" applyFont="1" applyFill="1"/>
    <xf numFmtId="9" fontId="24" fillId="3" borderId="0" xfId="1" applyFont="1" applyFill="1"/>
    <xf numFmtId="166" fontId="24" fillId="3" borderId="3" xfId="0" applyFont="1" applyFill="1" applyBorder="1" applyAlignment="1">
      <alignment horizontal="left"/>
    </xf>
    <xf numFmtId="9" fontId="0" fillId="3" borderId="0" xfId="1" applyFont="1" applyFill="1" applyBorder="1"/>
    <xf numFmtId="9" fontId="14" fillId="3" borderId="0" xfId="1" applyFont="1" applyFill="1"/>
    <xf numFmtId="9" fontId="16" fillId="3" borderId="0" xfId="1" applyFont="1" applyFill="1" applyBorder="1"/>
    <xf numFmtId="166" fontId="28" fillId="3" borderId="0" xfId="0" applyFont="1" applyFill="1" applyAlignment="1">
      <alignment horizontal="left"/>
    </xf>
    <xf numFmtId="166" fontId="36" fillId="3" borderId="0" xfId="0" applyFont="1" applyFill="1" applyAlignment="1">
      <alignment horizontal="left"/>
    </xf>
    <xf numFmtId="9" fontId="36" fillId="3" borderId="0" xfId="1" applyFont="1" applyFill="1"/>
    <xf numFmtId="166" fontId="0" fillId="3" borderId="0" xfId="0" quotePrefix="1" applyFill="1" applyAlignment="1">
      <alignment horizontal="left" indent="1"/>
    </xf>
    <xf numFmtId="168" fontId="20" fillId="3" borderId="0" xfId="0" applyNumberFormat="1" applyFont="1" applyFill="1"/>
    <xf numFmtId="166" fontId="29" fillId="3" borderId="0" xfId="0" applyFont="1" applyFill="1" applyAlignment="1">
      <alignment horizontal="left" indent="2"/>
    </xf>
    <xf numFmtId="166" fontId="40" fillId="3" borderId="0" xfId="0" applyFont="1" applyFill="1"/>
    <xf numFmtId="9" fontId="40" fillId="3" borderId="0" xfId="0" applyNumberFormat="1" applyFont="1" applyFill="1"/>
    <xf numFmtId="166" fontId="23" fillId="3" borderId="0" xfId="0" applyFont="1" applyFill="1"/>
    <xf numFmtId="166" fontId="16" fillId="3" borderId="0" xfId="1" applyNumberFormat="1" applyFont="1" applyFill="1"/>
    <xf numFmtId="168" fontId="33" fillId="3" borderId="0" xfId="1" applyNumberFormat="1" applyFont="1" applyFill="1"/>
    <xf numFmtId="170" fontId="0" fillId="3" borderId="0" xfId="0" applyNumberFormat="1" applyFill="1" applyAlignment="1">
      <alignment horizontal="left" indent="2"/>
    </xf>
    <xf numFmtId="166" fontId="27" fillId="3" borderId="0" xfId="0" applyFont="1" applyFill="1"/>
    <xf numFmtId="9" fontId="27" fillId="3" borderId="0" xfId="1" applyFont="1" applyFill="1"/>
    <xf numFmtId="9" fontId="54" fillId="3" borderId="0" xfId="1" applyFont="1" applyFill="1"/>
    <xf numFmtId="168" fontId="24" fillId="3" borderId="0" xfId="1" applyNumberFormat="1" applyFont="1" applyFill="1"/>
    <xf numFmtId="9" fontId="30" fillId="3" borderId="0" xfId="1" applyFont="1" applyFill="1"/>
    <xf numFmtId="166" fontId="48" fillId="3" borderId="0" xfId="0" applyFont="1" applyFill="1" applyAlignment="1">
      <alignment vertical="center" wrapText="1"/>
    </xf>
    <xf numFmtId="9" fontId="48" fillId="3" borderId="0" xfId="1" applyFont="1" applyFill="1" applyAlignment="1">
      <alignment vertical="center" wrapText="1"/>
    </xf>
    <xf numFmtId="166" fontId="55" fillId="3" borderId="0" xfId="0" applyFont="1" applyFill="1"/>
    <xf numFmtId="168" fontId="27" fillId="3" borderId="0" xfId="1" applyNumberFormat="1" applyFont="1" applyFill="1"/>
    <xf numFmtId="166" fontId="0" fillId="3" borderId="0" xfId="1" applyNumberFormat="1" applyFont="1" applyFill="1"/>
    <xf numFmtId="175" fontId="0" fillId="3" borderId="0" xfId="0" applyNumberFormat="1" applyFill="1"/>
    <xf numFmtId="170" fontId="14" fillId="3" borderId="0" xfId="0" applyNumberFormat="1" applyFont="1" applyFill="1"/>
    <xf numFmtId="9" fontId="20" fillId="3" borderId="0" xfId="1" applyFont="1" applyFill="1" applyAlignment="1">
      <alignment horizontal="right"/>
    </xf>
    <xf numFmtId="9" fontId="24" fillId="3" borderId="0" xfId="1" applyFont="1" applyFill="1" applyAlignment="1">
      <alignment horizontal="right"/>
    </xf>
    <xf numFmtId="166" fontId="19" fillId="3" borderId="0" xfId="0" applyFont="1" applyFill="1"/>
    <xf numFmtId="166" fontId="16" fillId="3" borderId="0" xfId="0" applyFont="1" applyFill="1" applyAlignment="1">
      <alignment horizontal="left" indent="1"/>
    </xf>
    <xf numFmtId="166" fontId="18" fillId="3" borderId="0" xfId="0" applyFont="1" applyFill="1" applyAlignment="1">
      <alignment horizontal="left" indent="1"/>
    </xf>
    <xf numFmtId="166" fontId="18" fillId="3" borderId="0" xfId="0" quotePrefix="1" applyFont="1" applyFill="1" applyAlignment="1">
      <alignment horizontal="left" indent="1"/>
    </xf>
    <xf numFmtId="166" fontId="19" fillId="3" borderId="0" xfId="0" applyFont="1" applyFill="1" applyAlignment="1">
      <alignment horizontal="left" indent="1"/>
    </xf>
    <xf numFmtId="166" fontId="0" fillId="3" borderId="0" xfId="0" quotePrefix="1" applyFill="1" applyAlignment="1">
      <alignment horizontal="left" indent="2"/>
    </xf>
    <xf numFmtId="166" fontId="32" fillId="3" borderId="0" xfId="0" applyFont="1" applyFill="1"/>
    <xf numFmtId="166" fontId="0" fillId="3" borderId="0" xfId="0" applyFill="1" applyAlignment="1">
      <alignment horizontal="left" indent="3"/>
    </xf>
    <xf numFmtId="166" fontId="26" fillId="3" borderId="0" xfId="0" applyFont="1" applyFill="1"/>
    <xf numFmtId="166" fontId="26" fillId="3" borderId="0" xfId="0" applyFont="1" applyFill="1" applyAlignment="1">
      <alignment horizontal="right"/>
    </xf>
    <xf numFmtId="166" fontId="18" fillId="3" borderId="0" xfId="0" applyFont="1" applyFill="1" applyAlignment="1">
      <alignment horizontal="left" indent="2"/>
    </xf>
    <xf numFmtId="166" fontId="19" fillId="3" borderId="0" xfId="0" applyFont="1" applyFill="1" applyAlignment="1">
      <alignment horizontal="left" indent="2"/>
    </xf>
    <xf numFmtId="166" fontId="20" fillId="3" borderId="0" xfId="0" applyFont="1" applyFill="1" applyAlignment="1">
      <alignment horizontal="left" indent="2"/>
    </xf>
    <xf numFmtId="166" fontId="20" fillId="3" borderId="0" xfId="0" applyFont="1" applyFill="1" applyAlignment="1">
      <alignment horizontal="center"/>
    </xf>
    <xf numFmtId="179" fontId="30" fillId="3" borderId="0" xfId="0" applyNumberFormat="1" applyFont="1" applyFill="1"/>
    <xf numFmtId="9" fontId="20" fillId="0" borderId="0" xfId="1" applyFont="1"/>
    <xf numFmtId="9" fontId="33" fillId="0" borderId="0" xfId="1" applyFont="1"/>
    <xf numFmtId="0" fontId="13" fillId="7" borderId="13" xfId="0" applyNumberFormat="1" applyFont="1" applyFill="1" applyBorder="1"/>
    <xf numFmtId="169" fontId="25" fillId="0" borderId="0" xfId="0" applyNumberFormat="1" applyFont="1"/>
    <xf numFmtId="9" fontId="61" fillId="3" borderId="0" xfId="1" applyFont="1" applyFill="1"/>
    <xf numFmtId="9" fontId="36" fillId="0" borderId="0" xfId="1" applyFont="1" applyFill="1"/>
    <xf numFmtId="9" fontId="29" fillId="0" borderId="0" xfId="1" applyFont="1" applyFill="1"/>
    <xf numFmtId="168" fontId="20" fillId="0" borderId="0" xfId="1" applyNumberFormat="1" applyFont="1" applyFill="1"/>
    <xf numFmtId="166" fontId="20" fillId="0" borderId="13" xfId="0" applyFont="1" applyBorder="1"/>
    <xf numFmtId="3" fontId="20" fillId="0" borderId="0" xfId="0" applyNumberFormat="1" applyFont="1"/>
    <xf numFmtId="3" fontId="24" fillId="0" borderId="0" xfId="0" applyNumberFormat="1" applyFont="1"/>
    <xf numFmtId="9" fontId="0" fillId="0" borderId="0" xfId="0" applyNumberFormat="1"/>
    <xf numFmtId="3" fontId="0" fillId="3" borderId="0" xfId="0" applyNumberFormat="1" applyFill="1"/>
    <xf numFmtId="3" fontId="0" fillId="3" borderId="0" xfId="1" applyNumberFormat="1" applyFont="1" applyFill="1"/>
    <xf numFmtId="3" fontId="16" fillId="3" borderId="0" xfId="0" applyNumberFormat="1" applyFont="1" applyFill="1"/>
    <xf numFmtId="169" fontId="33" fillId="0" borderId="0" xfId="0" applyNumberFormat="1" applyFont="1"/>
    <xf numFmtId="9" fontId="14" fillId="0" borderId="0" xfId="1" applyFont="1" applyFill="1"/>
    <xf numFmtId="169" fontId="14" fillId="0" borderId="0" xfId="0" applyNumberFormat="1" applyFont="1"/>
    <xf numFmtId="9" fontId="0" fillId="0" borderId="0" xfId="1" applyFont="1" applyFill="1"/>
    <xf numFmtId="168" fontId="0" fillId="0" borderId="0" xfId="1" applyNumberFormat="1" applyFont="1" applyFill="1"/>
    <xf numFmtId="167" fontId="13" fillId="7" borderId="0" xfId="0" applyNumberFormat="1" applyFont="1" applyFill="1"/>
    <xf numFmtId="167" fontId="13" fillId="7" borderId="13" xfId="0" applyNumberFormat="1" applyFont="1" applyFill="1" applyBorder="1"/>
    <xf numFmtId="170" fontId="33" fillId="0" borderId="0" xfId="0" applyNumberFormat="1" applyFont="1"/>
    <xf numFmtId="166" fontId="39" fillId="0" borderId="3" xfId="0" applyFont="1" applyBorder="1"/>
    <xf numFmtId="9" fontId="33" fillId="0" borderId="0" xfId="1" applyFont="1" applyFill="1"/>
    <xf numFmtId="168" fontId="33" fillId="0" borderId="0" xfId="1" applyNumberFormat="1" applyFont="1" applyFill="1"/>
    <xf numFmtId="166" fontId="24" fillId="0" borderId="1" xfId="0" applyFont="1" applyBorder="1"/>
    <xf numFmtId="166" fontId="0" fillId="0" borderId="0" xfId="0" applyAlignment="1">
      <alignment horizontal="left" indent="1"/>
    </xf>
    <xf numFmtId="9" fontId="20" fillId="0" borderId="0" xfId="1" applyFont="1" applyFill="1"/>
    <xf numFmtId="9" fontId="20" fillId="0" borderId="0" xfId="1" applyFont="1" applyFill="1" applyAlignment="1">
      <alignment horizontal="right"/>
    </xf>
    <xf numFmtId="177" fontId="0" fillId="0" borderId="0" xfId="0" applyNumberFormat="1"/>
    <xf numFmtId="181" fontId="0" fillId="0" borderId="0" xfId="0" applyNumberFormat="1"/>
    <xf numFmtId="166" fontId="24" fillId="0" borderId="4" xfId="0" applyFont="1" applyBorder="1"/>
    <xf numFmtId="166" fontId="16" fillId="0" borderId="0" xfId="0" applyFont="1" applyAlignment="1">
      <alignment horizontal="left" indent="1"/>
    </xf>
    <xf numFmtId="166" fontId="19" fillId="0" borderId="0" xfId="0" applyFont="1"/>
    <xf numFmtId="166" fontId="18" fillId="0" borderId="0" xfId="0" applyFont="1" applyAlignment="1">
      <alignment horizontal="left" indent="1"/>
    </xf>
    <xf numFmtId="168" fontId="12" fillId="0" borderId="0" xfId="1" applyNumberFormat="1" applyFont="1" applyFill="1"/>
    <xf numFmtId="167" fontId="15" fillId="7" borderId="0" xfId="0" applyNumberFormat="1" applyFont="1" applyFill="1" applyAlignment="1">
      <alignment horizontal="right"/>
    </xf>
    <xf numFmtId="168" fontId="62" fillId="0" borderId="0" xfId="1" applyNumberFormat="1" applyFont="1" applyFill="1" applyBorder="1"/>
    <xf numFmtId="168" fontId="24" fillId="0" borderId="0" xfId="1" applyNumberFormat="1" applyFont="1" applyFill="1" applyBorder="1"/>
    <xf numFmtId="166" fontId="62" fillId="0" borderId="0" xfId="0" applyFont="1"/>
    <xf numFmtId="168" fontId="20" fillId="0" borderId="0" xfId="1" applyNumberFormat="1" applyFont="1" applyFill="1" applyBorder="1"/>
    <xf numFmtId="166" fontId="26" fillId="0" borderId="0" xfId="0" applyFont="1"/>
    <xf numFmtId="168" fontId="20" fillId="0" borderId="0" xfId="1" applyNumberFormat="1" applyFont="1" applyFill="1" applyAlignment="1">
      <alignment horizontal="right"/>
    </xf>
    <xf numFmtId="168" fontId="24" fillId="0" borderId="0" xfId="1" applyNumberFormat="1" applyFont="1" applyFill="1"/>
    <xf numFmtId="169" fontId="20" fillId="0" borderId="0" xfId="0" applyNumberFormat="1" applyFont="1"/>
    <xf numFmtId="166" fontId="39" fillId="0" borderId="4" xfId="0" applyFont="1" applyBorder="1"/>
    <xf numFmtId="168" fontId="39" fillId="0" borderId="0" xfId="1" applyNumberFormat="1" applyFont="1" applyFill="1" applyBorder="1"/>
    <xf numFmtId="166" fontId="20" fillId="0" borderId="6" xfId="0" applyFont="1" applyBorder="1"/>
    <xf numFmtId="166" fontId="29" fillId="0" borderId="0" xfId="0" applyFont="1"/>
    <xf numFmtId="166" fontId="36" fillId="0" borderId="0" xfId="0" applyFont="1"/>
    <xf numFmtId="166" fontId="33" fillId="0" borderId="6" xfId="0" applyFont="1" applyBorder="1"/>
    <xf numFmtId="166" fontId="0" fillId="0" borderId="7" xfId="0" applyBorder="1"/>
    <xf numFmtId="9" fontId="20" fillId="0" borderId="0" xfId="1" applyFont="1" applyFill="1" applyBorder="1"/>
    <xf numFmtId="167" fontId="15" fillId="7" borderId="14" xfId="0" applyNumberFormat="1" applyFont="1" applyFill="1" applyBorder="1" applyAlignment="1">
      <alignment horizontal="right"/>
    </xf>
    <xf numFmtId="166" fontId="26" fillId="0" borderId="14" xfId="0" applyFont="1" applyBorder="1"/>
    <xf numFmtId="168" fontId="0" fillId="0" borderId="14" xfId="1" applyNumberFormat="1" applyFont="1" applyFill="1" applyBorder="1"/>
    <xf numFmtId="167" fontId="13" fillId="7" borderId="17" xfId="0" applyNumberFormat="1" applyFont="1" applyFill="1" applyBorder="1"/>
    <xf numFmtId="166" fontId="20" fillId="0" borderId="14" xfId="0" applyFont="1" applyBorder="1"/>
    <xf numFmtId="9" fontId="20" fillId="0" borderId="14" xfId="1" applyFont="1" applyFill="1" applyBorder="1"/>
    <xf numFmtId="166" fontId="24" fillId="0" borderId="14" xfId="0" applyFont="1" applyBorder="1"/>
    <xf numFmtId="166" fontId="33" fillId="0" borderId="7" xfId="0" applyFont="1" applyBorder="1"/>
    <xf numFmtId="166" fontId="20" fillId="0" borderId="4" xfId="0" applyFont="1" applyBorder="1"/>
    <xf numFmtId="9" fontId="24" fillId="0" borderId="0" xfId="1" applyFont="1" applyFill="1"/>
    <xf numFmtId="9" fontId="24" fillId="0" borderId="0" xfId="1" applyFont="1" applyFill="1" applyBorder="1"/>
    <xf numFmtId="170" fontId="20" fillId="0" borderId="0" xfId="0" applyNumberFormat="1" applyFont="1"/>
    <xf numFmtId="170" fontId="20" fillId="0" borderId="6" xfId="0" applyNumberFormat="1" applyFont="1" applyBorder="1"/>
    <xf numFmtId="169" fontId="24" fillId="0" borderId="0" xfId="0" applyNumberFormat="1" applyFont="1"/>
    <xf numFmtId="166" fontId="24" fillId="0" borderId="16" xfId="0" applyFont="1" applyBorder="1"/>
    <xf numFmtId="166" fontId="24" fillId="0" borderId="18" xfId="0" applyFont="1" applyBorder="1"/>
    <xf numFmtId="9" fontId="24" fillId="0" borderId="14" xfId="1" applyFont="1" applyFill="1" applyBorder="1"/>
    <xf numFmtId="168" fontId="20" fillId="0" borderId="14" xfId="1" applyNumberFormat="1" applyFont="1" applyFill="1" applyBorder="1"/>
    <xf numFmtId="168" fontId="24" fillId="0" borderId="14" xfId="1" applyNumberFormat="1" applyFont="1" applyFill="1" applyBorder="1"/>
    <xf numFmtId="170" fontId="20" fillId="0" borderId="14" xfId="0" applyNumberFormat="1" applyFont="1" applyBorder="1"/>
    <xf numFmtId="166" fontId="24" fillId="0" borderId="19" xfId="0" applyFont="1" applyBorder="1"/>
    <xf numFmtId="169" fontId="24" fillId="0" borderId="14" xfId="0" applyNumberFormat="1" applyFont="1" applyBorder="1"/>
    <xf numFmtId="169" fontId="20" fillId="0" borderId="14" xfId="0" applyNumberFormat="1" applyFont="1" applyBorder="1"/>
    <xf numFmtId="169" fontId="33" fillId="0" borderId="14" xfId="0" applyNumberFormat="1" applyFont="1" applyBorder="1"/>
    <xf numFmtId="166" fontId="33" fillId="0" borderId="14" xfId="0" applyFont="1" applyBorder="1"/>
    <xf numFmtId="166" fontId="39" fillId="0" borderId="14" xfId="0" applyFont="1" applyBorder="1"/>
    <xf numFmtId="170" fontId="33" fillId="0" borderId="14" xfId="0" applyNumberFormat="1" applyFont="1" applyBorder="1"/>
    <xf numFmtId="166" fontId="57" fillId="0" borderId="0" xfId="0" applyFont="1"/>
    <xf numFmtId="166" fontId="57" fillId="0" borderId="14" xfId="0" applyFont="1" applyBorder="1"/>
    <xf numFmtId="166" fontId="39" fillId="0" borderId="16" xfId="0" applyFont="1" applyBorder="1"/>
    <xf numFmtId="166" fontId="33" fillId="0" borderId="13" xfId="0" applyFont="1" applyBorder="1"/>
    <xf numFmtId="166" fontId="33" fillId="0" borderId="17" xfId="0" applyFont="1" applyBorder="1"/>
    <xf numFmtId="166" fontId="39" fillId="0" borderId="18" xfId="0" applyFont="1" applyBorder="1"/>
    <xf numFmtId="168" fontId="33" fillId="0" borderId="0" xfId="1" applyNumberFormat="1" applyFont="1" applyFill="1" applyBorder="1"/>
    <xf numFmtId="168" fontId="57" fillId="0" borderId="0" xfId="1" applyNumberFormat="1" applyFont="1" applyFill="1" applyBorder="1"/>
    <xf numFmtId="168" fontId="33" fillId="0" borderId="14" xfId="1" applyNumberFormat="1" applyFont="1" applyFill="1" applyBorder="1"/>
    <xf numFmtId="168" fontId="57" fillId="0" borderId="14" xfId="1" applyNumberFormat="1" applyFont="1" applyFill="1" applyBorder="1"/>
    <xf numFmtId="166" fontId="39" fillId="0" borderId="1" xfId="0" applyFont="1" applyBorder="1"/>
    <xf numFmtId="166" fontId="39" fillId="0" borderId="19" xfId="0" applyFont="1" applyBorder="1"/>
    <xf numFmtId="9" fontId="33" fillId="0" borderId="0" xfId="1" applyFont="1" applyFill="1" applyBorder="1"/>
    <xf numFmtId="9" fontId="33" fillId="0" borderId="14" xfId="1" applyFont="1" applyFill="1" applyBorder="1"/>
    <xf numFmtId="169" fontId="39" fillId="0" borderId="14" xfId="0" applyNumberFormat="1" applyFont="1" applyBorder="1"/>
    <xf numFmtId="166" fontId="20" fillId="0" borderId="16" xfId="0" applyFont="1" applyBorder="1"/>
    <xf numFmtId="166" fontId="24" fillId="0" borderId="17" xfId="0" applyFont="1" applyBorder="1"/>
    <xf numFmtId="3" fontId="16" fillId="0" borderId="0" xfId="0" applyNumberFormat="1" applyFont="1"/>
    <xf numFmtId="168" fontId="0" fillId="0" borderId="0" xfId="0" applyNumberFormat="1"/>
    <xf numFmtId="168" fontId="0" fillId="0" borderId="0" xfId="0" applyNumberFormat="1" applyAlignment="1">
      <alignment horizontal="left" indent="1"/>
    </xf>
    <xf numFmtId="9" fontId="0" fillId="0" borderId="0" xfId="0" applyNumberFormat="1" applyAlignment="1">
      <alignment horizontal="left"/>
    </xf>
    <xf numFmtId="175" fontId="20" fillId="3" borderId="0" xfId="0" applyNumberFormat="1" applyFont="1" applyFill="1"/>
    <xf numFmtId="168" fontId="20" fillId="0" borderId="0" xfId="0" applyNumberFormat="1" applyFont="1"/>
    <xf numFmtId="9" fontId="20" fillId="0" borderId="0" xfId="0" applyNumberFormat="1" applyFont="1"/>
    <xf numFmtId="182" fontId="20" fillId="0" borderId="0" xfId="0" applyNumberFormat="1" applyFont="1"/>
    <xf numFmtId="9" fontId="39" fillId="0" borderId="0" xfId="1" applyFont="1" applyFill="1"/>
    <xf numFmtId="3" fontId="0" fillId="0" borderId="0" xfId="0" applyNumberFormat="1"/>
    <xf numFmtId="169" fontId="24" fillId="0" borderId="0" xfId="0" applyNumberFormat="1" applyFont="1" applyAlignment="1">
      <alignment horizontal="right"/>
    </xf>
    <xf numFmtId="166" fontId="20" fillId="3" borderId="1" xfId="0" applyFont="1" applyFill="1" applyBorder="1"/>
    <xf numFmtId="168" fontId="24" fillId="3" borderId="0" xfId="1" applyNumberFormat="1" applyFont="1" applyFill="1" applyAlignment="1">
      <alignment horizontal="right"/>
    </xf>
    <xf numFmtId="3" fontId="20" fillId="3" borderId="0" xfId="1" applyNumberFormat="1" applyFont="1" applyFill="1"/>
    <xf numFmtId="3" fontId="20" fillId="3" borderId="0" xfId="0" applyNumberFormat="1" applyFont="1" applyFill="1"/>
    <xf numFmtId="168" fontId="20" fillId="3" borderId="0" xfId="1" applyNumberFormat="1" applyFont="1" applyFill="1" applyAlignment="1">
      <alignment horizontal="right"/>
    </xf>
    <xf numFmtId="183" fontId="13" fillId="7" borderId="1" xfId="52" applyNumberFormat="1" applyFont="1" applyFill="1" applyBorder="1" applyAlignment="1">
      <alignment horizontal="left"/>
    </xf>
    <xf numFmtId="0" fontId="13" fillId="7" borderId="1" xfId="52" applyFont="1" applyFill="1" applyBorder="1"/>
    <xf numFmtId="0" fontId="13" fillId="0" borderId="0" xfId="52" applyFont="1"/>
    <xf numFmtId="0" fontId="20" fillId="0" borderId="0" xfId="52" applyFont="1"/>
    <xf numFmtId="0" fontId="24" fillId="0" borderId="0" xfId="52" applyFont="1"/>
    <xf numFmtId="178" fontId="24" fillId="0" borderId="0" xfId="52" applyNumberFormat="1" applyFont="1"/>
    <xf numFmtId="184" fontId="26" fillId="0" borderId="0" xfId="52" applyNumberFormat="1" applyFont="1" applyAlignment="1">
      <alignment horizontal="left" indent="1"/>
    </xf>
    <xf numFmtId="0" fontId="26" fillId="0" borderId="0" xfId="52" applyFont="1"/>
    <xf numFmtId="178" fontId="26" fillId="0" borderId="0" xfId="52" applyNumberFormat="1" applyFont="1"/>
    <xf numFmtId="184" fontId="24" fillId="0" borderId="0" xfId="52" applyNumberFormat="1" applyFont="1" applyAlignment="1">
      <alignment horizontal="left"/>
    </xf>
    <xf numFmtId="9" fontId="24" fillId="0" borderId="0" xfId="53" applyFont="1"/>
    <xf numFmtId="2" fontId="24" fillId="0" borderId="0" xfId="52" applyNumberFormat="1" applyFont="1"/>
    <xf numFmtId="184" fontId="24" fillId="0" borderId="0" xfId="52" applyNumberFormat="1" applyFont="1"/>
    <xf numFmtId="185" fontId="24" fillId="0" borderId="0" xfId="52" applyNumberFormat="1" applyFont="1"/>
    <xf numFmtId="185" fontId="26" fillId="0" borderId="0" xfId="52" applyNumberFormat="1" applyFont="1" applyAlignment="1">
      <alignment horizontal="right"/>
    </xf>
    <xf numFmtId="1" fontId="24" fillId="0" borderId="0" xfId="52" applyNumberFormat="1" applyFont="1"/>
    <xf numFmtId="1" fontId="26" fillId="0" borderId="0" xfId="52" applyNumberFormat="1" applyFont="1"/>
    <xf numFmtId="185" fontId="26" fillId="0" borderId="0" xfId="52" applyNumberFormat="1" applyFont="1"/>
    <xf numFmtId="184" fontId="24" fillId="0" borderId="4" xfId="52" applyNumberFormat="1" applyFont="1" applyBorder="1"/>
    <xf numFmtId="185" fontId="24" fillId="0" borderId="4" xfId="52" applyNumberFormat="1" applyFont="1" applyBorder="1"/>
    <xf numFmtId="184" fontId="20" fillId="0" borderId="0" xfId="52" applyNumberFormat="1" applyFont="1"/>
    <xf numFmtId="185" fontId="20" fillId="0" borderId="0" xfId="52" applyNumberFormat="1" applyFont="1" applyAlignment="1">
      <alignment horizontal="right"/>
    </xf>
    <xf numFmtId="184" fontId="24" fillId="0" borderId="1" xfId="52" applyNumberFormat="1" applyFont="1" applyBorder="1"/>
    <xf numFmtId="185" fontId="24" fillId="0" borderId="1" xfId="52" applyNumberFormat="1" applyFont="1" applyBorder="1"/>
    <xf numFmtId="168" fontId="26" fillId="3" borderId="0" xfId="1" applyNumberFormat="1" applyFont="1" applyFill="1"/>
    <xf numFmtId="168" fontId="62" fillId="3" borderId="0" xfId="1" applyNumberFormat="1" applyFont="1" applyFill="1" applyBorder="1"/>
    <xf numFmtId="172" fontId="20" fillId="3" borderId="0" xfId="0" applyNumberFormat="1" applyFont="1" applyFill="1"/>
    <xf numFmtId="173" fontId="20" fillId="3" borderId="0" xfId="0" applyNumberFormat="1" applyFont="1" applyFill="1"/>
    <xf numFmtId="9" fontId="31" fillId="3" borderId="0" xfId="1" applyFont="1" applyFill="1"/>
    <xf numFmtId="166" fontId="20" fillId="3" borderId="3" xfId="0" applyFont="1" applyFill="1" applyBorder="1"/>
    <xf numFmtId="166" fontId="20" fillId="3" borderId="0" xfId="0" applyFont="1" applyFill="1" applyAlignment="1">
      <alignment horizontal="right"/>
    </xf>
    <xf numFmtId="166" fontId="31" fillId="3" borderId="0" xfId="0" applyFont="1" applyFill="1" applyAlignment="1">
      <alignment horizontal="right"/>
    </xf>
    <xf numFmtId="170" fontId="20" fillId="3" borderId="0" xfId="0" applyNumberFormat="1" applyFont="1" applyFill="1" applyAlignment="1">
      <alignment horizontal="right"/>
    </xf>
    <xf numFmtId="166" fontId="13" fillId="10" borderId="0" xfId="0" applyFont="1" applyFill="1"/>
    <xf numFmtId="0" fontId="13" fillId="10" borderId="0" xfId="0" applyNumberFormat="1" applyFont="1" applyFill="1"/>
    <xf numFmtId="0" fontId="13" fillId="10" borderId="13" xfId="0" applyNumberFormat="1" applyFont="1" applyFill="1" applyBorder="1"/>
    <xf numFmtId="166" fontId="15" fillId="10" borderId="0" xfId="0" applyFont="1" applyFill="1" applyAlignment="1">
      <alignment horizontal="right"/>
    </xf>
    <xf numFmtId="167" fontId="15" fillId="10" borderId="0" xfId="0" applyNumberFormat="1" applyFont="1" applyFill="1" applyAlignment="1">
      <alignment horizontal="right"/>
    </xf>
    <xf numFmtId="166" fontId="13" fillId="10" borderId="2" xfId="0" applyFont="1" applyFill="1" applyBorder="1"/>
    <xf numFmtId="0" fontId="13" fillId="10" borderId="2" xfId="0" applyNumberFormat="1" applyFont="1" applyFill="1" applyBorder="1"/>
    <xf numFmtId="166" fontId="15" fillId="10" borderId="2" xfId="0" applyFont="1" applyFill="1" applyBorder="1" applyAlignment="1">
      <alignment horizontal="right"/>
    </xf>
    <xf numFmtId="0" fontId="13" fillId="10" borderId="0" xfId="0" applyNumberFormat="1" applyFont="1" applyFill="1" applyAlignment="1">
      <alignment horizontal="right"/>
    </xf>
    <xf numFmtId="0" fontId="13" fillId="10" borderId="14" xfId="0" applyNumberFormat="1" applyFont="1" applyFill="1" applyBorder="1" applyAlignment="1">
      <alignment horizontal="right"/>
    </xf>
    <xf numFmtId="167" fontId="15" fillId="10" borderId="14" xfId="0" applyNumberFormat="1" applyFont="1" applyFill="1" applyBorder="1" applyAlignment="1">
      <alignment horizontal="right"/>
    </xf>
    <xf numFmtId="0" fontId="13" fillId="10" borderId="17" xfId="0" applyNumberFormat="1" applyFont="1" applyFill="1" applyBorder="1"/>
    <xf numFmtId="167" fontId="13" fillId="10" borderId="17" xfId="0" applyNumberFormat="1" applyFont="1" applyFill="1" applyBorder="1"/>
    <xf numFmtId="0" fontId="24" fillId="10" borderId="2" xfId="0" applyNumberFormat="1" applyFont="1" applyFill="1" applyBorder="1"/>
    <xf numFmtId="0" fontId="24" fillId="10" borderId="17" xfId="0" applyNumberFormat="1" applyFont="1" applyFill="1" applyBorder="1"/>
    <xf numFmtId="167" fontId="24" fillId="10" borderId="17" xfId="0" applyNumberFormat="1" applyFont="1" applyFill="1" applyBorder="1"/>
    <xf numFmtId="0" fontId="13" fillId="10" borderId="17" xfId="0" applyNumberFormat="1" applyFont="1" applyFill="1" applyBorder="1" applyAlignment="1">
      <alignment horizontal="right"/>
    </xf>
    <xf numFmtId="166" fontId="15" fillId="10" borderId="0" xfId="0" applyFont="1" applyFill="1"/>
    <xf numFmtId="167" fontId="13" fillId="10" borderId="0" xfId="0" applyNumberFormat="1" applyFont="1" applyFill="1"/>
    <xf numFmtId="9" fontId="33" fillId="0" borderId="0" xfId="0" applyNumberFormat="1" applyFont="1"/>
    <xf numFmtId="9" fontId="25" fillId="0" borderId="0" xfId="0" applyNumberFormat="1" applyFont="1"/>
    <xf numFmtId="168" fontId="63" fillId="0" borderId="0" xfId="1" applyNumberFormat="1" applyFont="1" applyFill="1" applyBorder="1"/>
    <xf numFmtId="166" fontId="33" fillId="3" borderId="0" xfId="0" applyFont="1" applyFill="1" applyAlignment="1">
      <alignment horizontal="right"/>
    </xf>
    <xf numFmtId="170" fontId="33" fillId="3" borderId="0" xfId="0" applyNumberFormat="1" applyFont="1" applyFill="1" applyAlignment="1">
      <alignment horizontal="right"/>
    </xf>
    <xf numFmtId="170" fontId="25" fillId="3" borderId="0" xfId="0" applyNumberFormat="1" applyFont="1" applyFill="1" applyAlignment="1">
      <alignment horizontal="right"/>
    </xf>
    <xf numFmtId="166" fontId="20" fillId="10" borderId="2" xfId="0" applyFont="1" applyFill="1" applyBorder="1"/>
    <xf numFmtId="166" fontId="13" fillId="10" borderId="0" xfId="0" applyFont="1" applyFill="1" applyAlignment="1">
      <alignment horizontal="right"/>
    </xf>
    <xf numFmtId="166" fontId="13" fillId="7" borderId="0" xfId="0" applyFont="1" applyFill="1" applyAlignment="1">
      <alignment horizontal="right"/>
    </xf>
    <xf numFmtId="171" fontId="20" fillId="3" borderId="0" xfId="0" applyNumberFormat="1" applyFont="1" applyFill="1"/>
    <xf numFmtId="166" fontId="26" fillId="3" borderId="4" xfId="0" applyFont="1" applyFill="1" applyBorder="1"/>
    <xf numFmtId="169" fontId="24" fillId="10" borderId="2" xfId="0" applyNumberFormat="1" applyFont="1" applyFill="1" applyBorder="1"/>
    <xf numFmtId="166" fontId="31" fillId="3" borderId="1" xfId="0" applyFont="1" applyFill="1" applyBorder="1"/>
    <xf numFmtId="166" fontId="38" fillId="3" borderId="0" xfId="0" applyFont="1" applyFill="1"/>
    <xf numFmtId="166" fontId="20" fillId="0" borderId="3" xfId="0" applyFont="1" applyBorder="1"/>
    <xf numFmtId="166" fontId="38" fillId="3" borderId="3" xfId="0" applyFont="1" applyFill="1" applyBorder="1"/>
    <xf numFmtId="166" fontId="0" fillId="0" borderId="4" xfId="0" applyBorder="1"/>
    <xf numFmtId="166" fontId="14" fillId="0" borderId="3" xfId="0" applyFont="1" applyBorder="1"/>
    <xf numFmtId="166" fontId="14" fillId="0" borderId="1" xfId="0" applyFont="1" applyBorder="1"/>
    <xf numFmtId="168" fontId="33" fillId="0" borderId="0" xfId="0" applyNumberFormat="1" applyFont="1"/>
    <xf numFmtId="168" fontId="24" fillId="0" borderId="0" xfId="1" applyNumberFormat="1" applyFont="1" applyBorder="1"/>
    <xf numFmtId="168" fontId="24" fillId="3" borderId="0" xfId="1" applyNumberFormat="1" applyFont="1" applyFill="1" applyBorder="1"/>
    <xf numFmtId="166" fontId="25" fillId="0" borderId="0" xfId="0" applyFont="1" applyAlignment="1">
      <alignment vertical="center"/>
    </xf>
    <xf numFmtId="169" fontId="39" fillId="0" borderId="4" xfId="0" applyNumberFormat="1" applyFont="1" applyBorder="1"/>
    <xf numFmtId="169" fontId="39" fillId="0" borderId="3" xfId="0" applyNumberFormat="1" applyFont="1" applyBorder="1"/>
    <xf numFmtId="168" fontId="31" fillId="3" borderId="0" xfId="0" applyNumberFormat="1" applyFont="1" applyFill="1"/>
    <xf numFmtId="9" fontId="16" fillId="0" borderId="0" xfId="0" applyNumberFormat="1" applyFont="1"/>
    <xf numFmtId="1" fontId="25" fillId="0" borderId="0" xfId="1" applyNumberFormat="1" applyFont="1" applyFill="1"/>
    <xf numFmtId="168" fontId="14" fillId="0" borderId="0" xfId="0" applyNumberFormat="1" applyFont="1"/>
    <xf numFmtId="166" fontId="39" fillId="0" borderId="0" xfId="1" applyNumberFormat="1" applyFont="1" applyFill="1"/>
    <xf numFmtId="0" fontId="41" fillId="3" borderId="0" xfId="54" applyFill="1"/>
    <xf numFmtId="0" fontId="41" fillId="0" borderId="0" xfId="54"/>
    <xf numFmtId="0" fontId="64" fillId="2" borderId="6" xfId="54" applyFont="1" applyFill="1" applyBorder="1"/>
    <xf numFmtId="0" fontId="65" fillId="2" borderId="0" xfId="54" applyFont="1" applyFill="1"/>
    <xf numFmtId="0" fontId="64" fillId="2" borderId="0" xfId="54" applyFont="1" applyFill="1" applyAlignment="1">
      <alignment horizontal="center"/>
    </xf>
    <xf numFmtId="0" fontId="64" fillId="2" borderId="7" xfId="54" applyFont="1" applyFill="1" applyBorder="1" applyAlignment="1">
      <alignment horizontal="center"/>
    </xf>
    <xf numFmtId="0" fontId="64" fillId="2" borderId="8" xfId="54" applyFont="1" applyFill="1" applyBorder="1"/>
    <xf numFmtId="0" fontId="64" fillId="2" borderId="13" xfId="54" applyFont="1" applyFill="1" applyBorder="1" applyAlignment="1">
      <alignment horizontal="center"/>
    </xf>
    <xf numFmtId="0" fontId="66" fillId="3" borderId="10" xfId="54" applyFont="1" applyFill="1" applyBorder="1"/>
    <xf numFmtId="186" fontId="67" fillId="3" borderId="0" xfId="54" applyNumberFormat="1" applyFont="1" applyFill="1" applyAlignment="1">
      <alignment horizontal="center"/>
    </xf>
    <xf numFmtId="186" fontId="67" fillId="3" borderId="6" xfId="54" applyNumberFormat="1" applyFont="1" applyFill="1" applyBorder="1" applyAlignment="1">
      <alignment horizontal="center"/>
    </xf>
    <xf numFmtId="186" fontId="67" fillId="3" borderId="7" xfId="54" applyNumberFormat="1" applyFont="1" applyFill="1" applyBorder="1" applyAlignment="1">
      <alignment horizontal="center"/>
    </xf>
    <xf numFmtId="3" fontId="41" fillId="0" borderId="0" xfId="54" applyNumberFormat="1"/>
    <xf numFmtId="0" fontId="68" fillId="3" borderId="10" xfId="54" applyFont="1" applyFill="1" applyBorder="1" applyAlignment="1">
      <alignment horizontal="left" indent="1"/>
    </xf>
    <xf numFmtId="9" fontId="69" fillId="3" borderId="6" xfId="1" applyFont="1" applyFill="1" applyBorder="1" applyAlignment="1">
      <alignment horizontal="center"/>
    </xf>
    <xf numFmtId="9" fontId="67" fillId="3" borderId="0" xfId="1" applyFont="1" applyFill="1" applyBorder="1" applyAlignment="1">
      <alignment horizontal="center"/>
    </xf>
    <xf numFmtId="9" fontId="69" fillId="3" borderId="7" xfId="1" applyFont="1" applyFill="1" applyBorder="1" applyAlignment="1">
      <alignment horizontal="center"/>
    </xf>
    <xf numFmtId="0" fontId="66" fillId="3" borderId="10" xfId="54" applyFont="1" applyFill="1" applyBorder="1" applyAlignment="1">
      <alignment horizontal="left"/>
    </xf>
    <xf numFmtId="0" fontId="68" fillId="3" borderId="21" xfId="54" applyFont="1" applyFill="1" applyBorder="1" applyAlignment="1">
      <alignment horizontal="left" indent="1"/>
    </xf>
    <xf numFmtId="186" fontId="67" fillId="3" borderId="21" xfId="54" applyNumberFormat="1" applyFont="1" applyFill="1" applyBorder="1" applyAlignment="1">
      <alignment horizontal="center"/>
    </xf>
    <xf numFmtId="0" fontId="70" fillId="3" borderId="0" xfId="54" applyFont="1" applyFill="1"/>
    <xf numFmtId="0" fontId="71" fillId="3" borderId="11" xfId="54" applyFont="1" applyFill="1" applyBorder="1"/>
    <xf numFmtId="186" fontId="72" fillId="3" borderId="13" xfId="54" applyNumberFormat="1" applyFont="1" applyFill="1" applyBorder="1" applyAlignment="1">
      <alignment horizontal="center"/>
    </xf>
    <xf numFmtId="186" fontId="72" fillId="3" borderId="8" xfId="54" applyNumberFormat="1" applyFont="1" applyFill="1" applyBorder="1" applyAlignment="1">
      <alignment horizontal="center"/>
    </xf>
    <xf numFmtId="186" fontId="72" fillId="3" borderId="20" xfId="54" applyNumberFormat="1" applyFont="1" applyFill="1" applyBorder="1" applyAlignment="1">
      <alignment horizontal="center"/>
    </xf>
    <xf numFmtId="0" fontId="70" fillId="0" borderId="0" xfId="54" applyFont="1"/>
    <xf numFmtId="3" fontId="70" fillId="0" borderId="0" xfId="54" applyNumberFormat="1" applyFont="1"/>
    <xf numFmtId="186" fontId="66" fillId="3" borderId="0" xfId="54" applyNumberFormat="1" applyFont="1" applyFill="1" applyAlignment="1">
      <alignment horizontal="center"/>
    </xf>
    <xf numFmtId="186" fontId="66" fillId="3" borderId="6" xfId="54" applyNumberFormat="1" applyFont="1" applyFill="1" applyBorder="1" applyAlignment="1">
      <alignment horizontal="center"/>
    </xf>
    <xf numFmtId="186" fontId="66" fillId="3" borderId="7" xfId="54" applyNumberFormat="1" applyFont="1" applyFill="1" applyBorder="1" applyAlignment="1">
      <alignment horizontal="center"/>
    </xf>
    <xf numFmtId="186" fontId="41" fillId="0" borderId="0" xfId="54" applyNumberFormat="1"/>
    <xf numFmtId="168" fontId="41" fillId="3" borderId="0" xfId="1" applyNumberFormat="1" applyFont="1" applyFill="1" applyBorder="1"/>
    <xf numFmtId="168" fontId="66" fillId="3" borderId="10" xfId="1" applyNumberFormat="1" applyFont="1" applyFill="1" applyBorder="1" applyAlignment="1">
      <alignment horizontal="left" indent="1"/>
    </xf>
    <xf numFmtId="168" fontId="66" fillId="3" borderId="0" xfId="1" applyNumberFormat="1" applyFont="1" applyFill="1" applyBorder="1" applyAlignment="1">
      <alignment horizontal="center"/>
    </xf>
    <xf numFmtId="168" fontId="69" fillId="3" borderId="6" xfId="1" applyNumberFormat="1" applyFont="1" applyFill="1" applyBorder="1" applyAlignment="1">
      <alignment horizontal="center"/>
    </xf>
    <xf numFmtId="168" fontId="69" fillId="3" borderId="7" xfId="1" applyNumberFormat="1" applyFont="1" applyFill="1" applyBorder="1" applyAlignment="1">
      <alignment horizontal="center"/>
    </xf>
    <xf numFmtId="168" fontId="41" fillId="0" borderId="0" xfId="1" applyNumberFormat="1" applyFont="1" applyFill="1" applyBorder="1"/>
    <xf numFmtId="168" fontId="41" fillId="0" borderId="0" xfId="1" applyNumberFormat="1" applyFont="1"/>
    <xf numFmtId="168" fontId="66" fillId="3" borderId="21" xfId="1" applyNumberFormat="1" applyFont="1" applyFill="1" applyBorder="1" applyAlignment="1">
      <alignment horizontal="left" indent="1"/>
    </xf>
    <xf numFmtId="168" fontId="66" fillId="3" borderId="23" xfId="1" applyNumberFormat="1" applyFont="1" applyFill="1" applyBorder="1" applyAlignment="1">
      <alignment horizontal="center"/>
    </xf>
    <xf numFmtId="168" fontId="66" fillId="3" borderId="10" xfId="1" applyNumberFormat="1" applyFont="1" applyFill="1" applyBorder="1"/>
    <xf numFmtId="168" fontId="66" fillId="3" borderId="6" xfId="1" applyNumberFormat="1" applyFont="1" applyFill="1" applyBorder="1" applyAlignment="1">
      <alignment horizontal="center"/>
    </xf>
    <xf numFmtId="168" fontId="66" fillId="3" borderId="7" xfId="1" applyNumberFormat="1" applyFont="1" applyFill="1" applyBorder="1" applyAlignment="1">
      <alignment horizontal="center"/>
    </xf>
    <xf numFmtId="168" fontId="71" fillId="3" borderId="10" xfId="1" applyNumberFormat="1" applyFont="1" applyFill="1" applyBorder="1"/>
    <xf numFmtId="187" fontId="69" fillId="3" borderId="6" xfId="54" applyNumberFormat="1" applyFont="1" applyFill="1" applyBorder="1" applyAlignment="1">
      <alignment horizontal="center"/>
    </xf>
    <xf numFmtId="187" fontId="66" fillId="3" borderId="0" xfId="54" applyNumberFormat="1" applyFont="1" applyFill="1" applyAlignment="1">
      <alignment horizontal="center"/>
    </xf>
    <xf numFmtId="187" fontId="69" fillId="3" borderId="7" xfId="54" applyNumberFormat="1" applyFont="1" applyFill="1" applyBorder="1" applyAlignment="1">
      <alignment horizontal="center"/>
    </xf>
    <xf numFmtId="168" fontId="66" fillId="3" borderId="10" xfId="1" quotePrefix="1" applyNumberFormat="1" applyFont="1" applyFill="1" applyBorder="1"/>
    <xf numFmtId="168" fontId="71" fillId="3" borderId="21" xfId="1" applyNumberFormat="1" applyFont="1" applyFill="1" applyBorder="1"/>
    <xf numFmtId="168" fontId="71" fillId="3" borderId="23" xfId="1" applyNumberFormat="1" applyFont="1" applyFill="1" applyBorder="1" applyAlignment="1">
      <alignment horizontal="center"/>
    </xf>
    <xf numFmtId="186" fontId="71" fillId="3" borderId="22" xfId="54" applyNumberFormat="1" applyFont="1" applyFill="1" applyBorder="1" applyAlignment="1">
      <alignment horizontal="center"/>
    </xf>
    <xf numFmtId="186" fontId="71" fillId="3" borderId="23" xfId="54" applyNumberFormat="1" applyFont="1" applyFill="1" applyBorder="1" applyAlignment="1">
      <alignment horizontal="center"/>
    </xf>
    <xf numFmtId="186" fontId="71" fillId="3" borderId="24" xfId="54" applyNumberFormat="1" applyFont="1" applyFill="1" applyBorder="1" applyAlignment="1">
      <alignment horizontal="center"/>
    </xf>
    <xf numFmtId="168" fontId="71" fillId="3" borderId="11" xfId="1" applyNumberFormat="1" applyFont="1" applyFill="1" applyBorder="1" applyAlignment="1">
      <alignment horizontal="left" indent="1"/>
    </xf>
    <xf numFmtId="168" fontId="66" fillId="3" borderId="13" xfId="1" applyNumberFormat="1" applyFont="1" applyFill="1" applyBorder="1" applyAlignment="1">
      <alignment horizontal="center"/>
    </xf>
    <xf numFmtId="186" fontId="71" fillId="3" borderId="8" xfId="54" applyNumberFormat="1" applyFont="1" applyFill="1" applyBorder="1" applyAlignment="1">
      <alignment horizontal="center"/>
    </xf>
    <xf numFmtId="186" fontId="71" fillId="3" borderId="13" xfId="54" applyNumberFormat="1" applyFont="1" applyFill="1" applyBorder="1" applyAlignment="1">
      <alignment horizontal="center"/>
    </xf>
    <xf numFmtId="186" fontId="71" fillId="3" borderId="20" xfId="54" applyNumberFormat="1" applyFont="1" applyFill="1" applyBorder="1" applyAlignment="1">
      <alignment horizontal="center"/>
    </xf>
    <xf numFmtId="168" fontId="71" fillId="3" borderId="10" xfId="1" applyNumberFormat="1" applyFont="1" applyFill="1" applyBorder="1" applyAlignment="1">
      <alignment horizontal="left" indent="1"/>
    </xf>
    <xf numFmtId="186" fontId="71" fillId="3" borderId="6" xfId="54" applyNumberFormat="1" applyFont="1" applyFill="1" applyBorder="1" applyAlignment="1">
      <alignment horizontal="center"/>
    </xf>
    <xf numFmtId="186" fontId="71" fillId="3" borderId="0" xfId="54" applyNumberFormat="1" applyFont="1" applyFill="1" applyAlignment="1">
      <alignment horizontal="center"/>
    </xf>
    <xf numFmtId="186" fontId="71" fillId="3" borderId="7" xfId="54" applyNumberFormat="1" applyFont="1" applyFill="1" applyBorder="1" applyAlignment="1">
      <alignment horizontal="center"/>
    </xf>
    <xf numFmtId="0" fontId="71" fillId="3" borderId="10" xfId="54" applyFont="1" applyFill="1" applyBorder="1"/>
    <xf numFmtId="2" fontId="71" fillId="3" borderId="0" xfId="54" applyNumberFormat="1" applyFont="1" applyFill="1" applyAlignment="1">
      <alignment horizontal="center"/>
    </xf>
    <xf numFmtId="2" fontId="71" fillId="3" borderId="6" xfId="54" applyNumberFormat="1" applyFont="1" applyFill="1" applyBorder="1" applyAlignment="1">
      <alignment horizontal="center"/>
    </xf>
    <xf numFmtId="2" fontId="71" fillId="3" borderId="7" xfId="54" applyNumberFormat="1" applyFont="1" applyFill="1" applyBorder="1" applyAlignment="1">
      <alignment horizontal="center"/>
    </xf>
    <xf numFmtId="9" fontId="41" fillId="0" borderId="0" xfId="43" applyFont="1"/>
    <xf numFmtId="0" fontId="66" fillId="3" borderId="21" xfId="54" applyFont="1" applyFill="1" applyBorder="1"/>
    <xf numFmtId="0" fontId="41" fillId="3" borderId="21" xfId="54" applyFill="1" applyBorder="1"/>
    <xf numFmtId="187" fontId="69" fillId="3" borderId="23" xfId="54" applyNumberFormat="1" applyFont="1" applyFill="1" applyBorder="1" applyAlignment="1">
      <alignment horizontal="center"/>
    </xf>
    <xf numFmtId="187" fontId="66" fillId="3" borderId="23" xfId="54" applyNumberFormat="1" applyFont="1" applyFill="1" applyBorder="1" applyAlignment="1">
      <alignment horizontal="center"/>
    </xf>
    <xf numFmtId="187" fontId="69" fillId="3" borderId="24" xfId="54" applyNumberFormat="1" applyFont="1" applyFill="1" applyBorder="1" applyAlignment="1">
      <alignment horizontal="center"/>
    </xf>
    <xf numFmtId="0" fontId="41" fillId="3" borderId="25" xfId="54" applyFill="1" applyBorder="1"/>
    <xf numFmtId="0" fontId="71" fillId="3" borderId="12" xfId="54" applyFont="1" applyFill="1" applyBorder="1"/>
    <xf numFmtId="186" fontId="71" fillId="3" borderId="12" xfId="54" applyNumberFormat="1" applyFont="1" applyFill="1" applyBorder="1" applyAlignment="1">
      <alignment horizontal="center"/>
    </xf>
    <xf numFmtId="186" fontId="71" fillId="3" borderId="1" xfId="54" applyNumberFormat="1" applyFont="1" applyFill="1" applyBorder="1" applyAlignment="1">
      <alignment horizontal="center"/>
    </xf>
    <xf numFmtId="186" fontId="71" fillId="3" borderId="15" xfId="54" applyNumberFormat="1" applyFont="1" applyFill="1" applyBorder="1" applyAlignment="1">
      <alignment horizontal="center"/>
    </xf>
    <xf numFmtId="3" fontId="14" fillId="0" borderId="0" xfId="0" applyNumberFormat="1" applyFont="1"/>
    <xf numFmtId="166" fontId="0" fillId="3" borderId="0" xfId="0" applyFill="1" applyAlignment="1">
      <alignment vertical="center"/>
    </xf>
    <xf numFmtId="9" fontId="39" fillId="3" borderId="0" xfId="1" applyFont="1" applyFill="1"/>
    <xf numFmtId="166" fontId="73" fillId="3" borderId="0" xfId="0" applyFont="1" applyFill="1"/>
    <xf numFmtId="9" fontId="33" fillId="3" borderId="0" xfId="1" applyFont="1" applyFill="1" applyBorder="1"/>
    <xf numFmtId="166" fontId="36" fillId="8" borderId="0" xfId="0" applyFont="1" applyFill="1"/>
    <xf numFmtId="9" fontId="54" fillId="0" borderId="0" xfId="1" applyFont="1" applyFill="1"/>
    <xf numFmtId="166" fontId="30" fillId="0" borderId="0" xfId="0" applyFont="1"/>
    <xf numFmtId="166" fontId="49" fillId="0" borderId="0" xfId="0" applyFont="1"/>
    <xf numFmtId="166" fontId="20" fillId="5" borderId="0" xfId="0" applyFont="1" applyFill="1"/>
    <xf numFmtId="166" fontId="18" fillId="5" borderId="0" xfId="0" applyFont="1" applyFill="1" applyAlignment="1">
      <alignment horizontal="left" indent="2"/>
    </xf>
    <xf numFmtId="178" fontId="24" fillId="4" borderId="0" xfId="52" applyNumberFormat="1" applyFont="1" applyFill="1"/>
    <xf numFmtId="178" fontId="26" fillId="4" borderId="0" xfId="52" applyNumberFormat="1" applyFont="1" applyFill="1"/>
    <xf numFmtId="9" fontId="24" fillId="4" borderId="0" xfId="53" applyFont="1" applyFill="1"/>
    <xf numFmtId="0" fontId="20" fillId="4" borderId="0" xfId="52" applyFont="1" applyFill="1"/>
    <xf numFmtId="2" fontId="24" fillId="4" borderId="0" xfId="52" applyNumberFormat="1" applyFont="1" applyFill="1"/>
    <xf numFmtId="185" fontId="24" fillId="4" borderId="0" xfId="52" applyNumberFormat="1" applyFont="1" applyFill="1"/>
    <xf numFmtId="185" fontId="26" fillId="4" borderId="0" xfId="52" applyNumberFormat="1" applyFont="1" applyFill="1" applyAlignment="1">
      <alignment horizontal="right"/>
    </xf>
    <xf numFmtId="1" fontId="24" fillId="4" borderId="0" xfId="52" applyNumberFormat="1" applyFont="1" applyFill="1"/>
    <xf numFmtId="185" fontId="26" fillId="4" borderId="0" xfId="52" applyNumberFormat="1" applyFont="1" applyFill="1"/>
    <xf numFmtId="185" fontId="24" fillId="4" borderId="4" xfId="52" applyNumberFormat="1" applyFont="1" applyFill="1" applyBorder="1"/>
    <xf numFmtId="185" fontId="20" fillId="4" borderId="0" xfId="52" applyNumberFormat="1" applyFont="1" applyFill="1" applyAlignment="1">
      <alignment horizontal="right"/>
    </xf>
    <xf numFmtId="185" fontId="24" fillId="4" borderId="1" xfId="52" applyNumberFormat="1" applyFont="1" applyFill="1" applyBorder="1"/>
    <xf numFmtId="188" fontId="0" fillId="0" borderId="0" xfId="40" applyNumberFormat="1" applyFont="1" applyFill="1"/>
    <xf numFmtId="166" fontId="24" fillId="3" borderId="0" xfId="0" applyFont="1" applyFill="1" applyAlignment="1">
      <alignment horizontal="left"/>
    </xf>
    <xf numFmtId="166" fontId="24" fillId="5" borderId="0" xfId="0" applyFont="1" applyFill="1" applyAlignment="1">
      <alignment horizontal="left"/>
    </xf>
    <xf numFmtId="9" fontId="36" fillId="5" borderId="0" xfId="1" applyFont="1" applyFill="1"/>
    <xf numFmtId="9" fontId="36" fillId="7" borderId="0" xfId="1" applyFont="1" applyFill="1"/>
    <xf numFmtId="166" fontId="24" fillId="3" borderId="0" xfId="0" quotePrefix="1" applyFont="1" applyFill="1" applyAlignment="1">
      <alignment horizontal="left" indent="1"/>
    </xf>
    <xf numFmtId="166" fontId="20" fillId="3" borderId="0" xfId="0" quotePrefix="1" applyFont="1" applyFill="1" applyAlignment="1">
      <alignment horizontal="left" indent="1"/>
    </xf>
    <xf numFmtId="170" fontId="24" fillId="3" borderId="0" xfId="0" applyNumberFormat="1" applyFont="1" applyFill="1"/>
    <xf numFmtId="170" fontId="20" fillId="5" borderId="0" xfId="0" applyNumberFormat="1" applyFont="1" applyFill="1"/>
    <xf numFmtId="166" fontId="16" fillId="5" borderId="0" xfId="0" applyFont="1" applyFill="1" applyAlignment="1">
      <alignment horizontal="left"/>
    </xf>
    <xf numFmtId="9" fontId="33" fillId="3" borderId="0" xfId="0" applyNumberFormat="1" applyFont="1" applyFill="1"/>
    <xf numFmtId="3" fontId="0" fillId="3" borderId="0" xfId="0" applyNumberFormat="1" applyFill="1" applyAlignment="1">
      <alignment horizontal="left"/>
    </xf>
    <xf numFmtId="3" fontId="14" fillId="3" borderId="0" xfId="0" applyNumberFormat="1" applyFont="1" applyFill="1"/>
    <xf numFmtId="3" fontId="24" fillId="3" borderId="0" xfId="0" applyNumberFormat="1" applyFont="1" applyFill="1" applyAlignment="1">
      <alignment horizontal="left"/>
    </xf>
    <xf numFmtId="3" fontId="24" fillId="3" borderId="0" xfId="0" applyNumberFormat="1" applyFont="1" applyFill="1"/>
    <xf numFmtId="3" fontId="31" fillId="3" borderId="0" xfId="0" applyNumberFormat="1" applyFont="1" applyFill="1"/>
    <xf numFmtId="189" fontId="20" fillId="3" borderId="0" xfId="1" applyNumberFormat="1" applyFont="1" applyFill="1"/>
    <xf numFmtId="189" fontId="33" fillId="3" borderId="0" xfId="1" applyNumberFormat="1" applyFont="1" applyFill="1"/>
    <xf numFmtId="186" fontId="72" fillId="3" borderId="0" xfId="54" applyNumberFormat="1" applyFont="1" applyFill="1" applyAlignment="1">
      <alignment horizontal="center"/>
    </xf>
    <xf numFmtId="9" fontId="67" fillId="3" borderId="6" xfId="54" applyNumberFormat="1" applyFont="1" applyFill="1" applyBorder="1" applyAlignment="1">
      <alignment horizontal="center"/>
    </xf>
    <xf numFmtId="9" fontId="67" fillId="3" borderId="7" xfId="54" applyNumberFormat="1" applyFont="1" applyFill="1" applyBorder="1" applyAlignment="1">
      <alignment horizontal="center"/>
    </xf>
    <xf numFmtId="0" fontId="41" fillId="3" borderId="11" xfId="54" applyFill="1" applyBorder="1"/>
    <xf numFmtId="9" fontId="67" fillId="3" borderId="22" xfId="54" applyNumberFormat="1" applyFont="1" applyFill="1" applyBorder="1" applyAlignment="1">
      <alignment horizontal="center"/>
    </xf>
    <xf numFmtId="9" fontId="67" fillId="3" borderId="23" xfId="1" applyFont="1" applyFill="1" applyBorder="1" applyAlignment="1">
      <alignment horizontal="center"/>
    </xf>
    <xf numFmtId="9" fontId="67" fillId="3" borderId="24" xfId="54" applyNumberFormat="1" applyFont="1" applyFill="1" applyBorder="1" applyAlignment="1">
      <alignment horizontal="center"/>
    </xf>
    <xf numFmtId="168" fontId="66" fillId="3" borderId="22" xfId="1" applyNumberFormat="1" applyFont="1" applyFill="1" applyBorder="1" applyAlignment="1">
      <alignment horizontal="center"/>
    </xf>
    <xf numFmtId="168" fontId="66" fillId="3" borderId="24" xfId="1" applyNumberFormat="1" applyFont="1" applyFill="1" applyBorder="1" applyAlignment="1">
      <alignment horizontal="center"/>
    </xf>
    <xf numFmtId="180" fontId="74" fillId="0" borderId="0" xfId="43" applyNumberFormat="1" applyFont="1" applyBorder="1" applyAlignment="1">
      <alignment horizontal="center"/>
    </xf>
    <xf numFmtId="168" fontId="39" fillId="0" borderId="14" xfId="1" applyNumberFormat="1" applyFont="1" applyFill="1" applyBorder="1"/>
    <xf numFmtId="170" fontId="75" fillId="3" borderId="0" xfId="0" applyNumberFormat="1" applyFont="1" applyFill="1" applyAlignment="1">
      <alignment horizontal="left" indent="2"/>
    </xf>
    <xf numFmtId="170" fontId="75" fillId="3" borderId="0" xfId="0" applyNumberFormat="1" applyFont="1" applyFill="1"/>
    <xf numFmtId="170" fontId="76" fillId="0" borderId="0" xfId="0" applyNumberFormat="1" applyFont="1"/>
    <xf numFmtId="166" fontId="75" fillId="0" borderId="0" xfId="0" applyFont="1"/>
    <xf numFmtId="166" fontId="77" fillId="0" borderId="0" xfId="0" applyFont="1"/>
    <xf numFmtId="170" fontId="77" fillId="0" borderId="0" xfId="0" applyNumberFormat="1" applyFont="1"/>
    <xf numFmtId="0" fontId="13" fillId="9" borderId="0" xfId="0" applyNumberFormat="1" applyFont="1" applyFill="1"/>
    <xf numFmtId="166" fontId="13" fillId="9" borderId="0" xfId="0" applyFont="1" applyFill="1"/>
    <xf numFmtId="166" fontId="15" fillId="9" borderId="0" xfId="0" applyFont="1" applyFill="1" applyAlignment="1">
      <alignment horizontal="right"/>
    </xf>
    <xf numFmtId="167" fontId="15" fillId="9" borderId="0" xfId="0" applyNumberFormat="1" applyFont="1" applyFill="1" applyAlignment="1">
      <alignment horizontal="right"/>
    </xf>
    <xf numFmtId="166" fontId="78" fillId="9" borderId="0" xfId="0" applyFont="1" applyFill="1"/>
    <xf numFmtId="9" fontId="30" fillId="3" borderId="0" xfId="0" applyNumberFormat="1" applyFont="1" applyFill="1"/>
    <xf numFmtId="166" fontId="0" fillId="3" borderId="23" xfId="0" applyFill="1" applyBorder="1"/>
    <xf numFmtId="166" fontId="20" fillId="3" borderId="23" xfId="0" applyFont="1" applyFill="1" applyBorder="1"/>
    <xf numFmtId="168" fontId="20" fillId="3" borderId="23" xfId="0" applyNumberFormat="1" applyFont="1" applyFill="1" applyBorder="1"/>
    <xf numFmtId="168" fontId="31" fillId="3" borderId="23" xfId="0" applyNumberFormat="1" applyFont="1" applyFill="1" applyBorder="1"/>
    <xf numFmtId="168" fontId="14" fillId="0" borderId="23" xfId="0" applyNumberFormat="1" applyFont="1" applyBorder="1"/>
    <xf numFmtId="166" fontId="16" fillId="3" borderId="23" xfId="0" applyFont="1" applyFill="1" applyBorder="1"/>
    <xf numFmtId="166" fontId="24" fillId="3" borderId="23" xfId="0" applyFont="1" applyFill="1" applyBorder="1"/>
    <xf numFmtId="166" fontId="16" fillId="0" borderId="23" xfId="0" applyFont="1" applyBorder="1"/>
    <xf numFmtId="3" fontId="24" fillId="0" borderId="0" xfId="1" applyNumberFormat="1" applyFont="1" applyFill="1"/>
    <xf numFmtId="173" fontId="20" fillId="3" borderId="0" xfId="40" applyNumberFormat="1" applyFont="1" applyFill="1"/>
    <xf numFmtId="173" fontId="0" fillId="0" borderId="0" xfId="40" applyNumberFormat="1" applyFont="1" applyFill="1"/>
    <xf numFmtId="9" fontId="28" fillId="3" borderId="13" xfId="1" applyFont="1" applyFill="1" applyBorder="1"/>
    <xf numFmtId="9" fontId="0" fillId="3" borderId="13" xfId="1" applyFont="1" applyFill="1" applyBorder="1"/>
    <xf numFmtId="168" fontId="0" fillId="3" borderId="13" xfId="1" applyNumberFormat="1" applyFont="1" applyFill="1" applyBorder="1"/>
    <xf numFmtId="166" fontId="0" fillId="3" borderId="13" xfId="0" applyFill="1" applyBorder="1"/>
    <xf numFmtId="166" fontId="0" fillId="0" borderId="13" xfId="0" applyBorder="1"/>
    <xf numFmtId="3" fontId="14" fillId="3" borderId="0" xfId="1" applyNumberFormat="1" applyFont="1" applyFill="1"/>
    <xf numFmtId="189" fontId="0" fillId="3" borderId="0" xfId="0" applyNumberFormat="1" applyFill="1"/>
    <xf numFmtId="189" fontId="20" fillId="3" borderId="0" xfId="0" applyNumberFormat="1" applyFont="1" applyFill="1"/>
    <xf numFmtId="189" fontId="14" fillId="3" borderId="0" xfId="1" applyNumberFormat="1" applyFont="1" applyFill="1"/>
    <xf numFmtId="3" fontId="20" fillId="3" borderId="0" xfId="1" applyNumberFormat="1" applyFont="1" applyFill="1" applyBorder="1"/>
    <xf numFmtId="3" fontId="14" fillId="3" borderId="0" xfId="1" applyNumberFormat="1" applyFont="1" applyFill="1" applyBorder="1"/>
    <xf numFmtId="3" fontId="38" fillId="3" borderId="0" xfId="1" applyNumberFormat="1" applyFont="1" applyFill="1"/>
    <xf numFmtId="3" fontId="27" fillId="3" borderId="0" xfId="1" applyNumberFormat="1" applyFont="1" applyFill="1"/>
    <xf numFmtId="9" fontId="12" fillId="3" borderId="0" xfId="1" applyFont="1" applyFill="1" applyBorder="1"/>
    <xf numFmtId="3" fontId="0" fillId="3" borderId="0" xfId="0" applyNumberFormat="1" applyFill="1" applyAlignment="1">
      <alignment horizontal="left" indent="1"/>
    </xf>
    <xf numFmtId="3" fontId="12" fillId="0" borderId="0" xfId="1" applyNumberFormat="1" applyFont="1" applyFill="1"/>
    <xf numFmtId="166" fontId="58" fillId="0" borderId="0" xfId="0" applyFont="1"/>
    <xf numFmtId="9" fontId="41" fillId="3" borderId="0" xfId="1" applyFont="1" applyFill="1" applyAlignment="1">
      <alignment horizontal="center"/>
    </xf>
    <xf numFmtId="186" fontId="72" fillId="0" borderId="13" xfId="54" applyNumberFormat="1" applyFont="1" applyBorder="1" applyAlignment="1">
      <alignment horizontal="center"/>
    </xf>
    <xf numFmtId="167" fontId="13" fillId="10" borderId="13" xfId="0" applyNumberFormat="1" applyFont="1" applyFill="1" applyBorder="1"/>
    <xf numFmtId="166" fontId="15" fillId="10" borderId="13" xfId="0" applyFont="1" applyFill="1" applyBorder="1" applyAlignment="1">
      <alignment horizontal="right"/>
    </xf>
    <xf numFmtId="167" fontId="24" fillId="10" borderId="13" xfId="0" applyNumberFormat="1" applyFont="1" applyFill="1" applyBorder="1"/>
    <xf numFmtId="166" fontId="15" fillId="7" borderId="13" xfId="0" applyFont="1" applyFill="1" applyBorder="1" applyAlignment="1">
      <alignment horizontal="right"/>
    </xf>
    <xf numFmtId="0" fontId="24" fillId="10" borderId="13" xfId="0" applyNumberFormat="1" applyFont="1" applyFill="1" applyBorder="1"/>
    <xf numFmtId="169" fontId="24" fillId="10" borderId="13" xfId="0" applyNumberFormat="1" applyFont="1" applyFill="1" applyBorder="1"/>
    <xf numFmtId="169" fontId="13" fillId="7" borderId="13" xfId="0" applyNumberFormat="1" applyFont="1" applyFill="1" applyBorder="1"/>
    <xf numFmtId="167" fontId="13" fillId="2" borderId="13" xfId="0" applyNumberFormat="1" applyFont="1" applyFill="1" applyBorder="1" applyAlignment="1">
      <alignment horizontal="right"/>
    </xf>
    <xf numFmtId="166" fontId="13" fillId="10" borderId="13" xfId="0" applyFont="1" applyFill="1" applyBorder="1"/>
    <xf numFmtId="166" fontId="24" fillId="3" borderId="13" xfId="0" applyFont="1" applyFill="1" applyBorder="1"/>
    <xf numFmtId="166" fontId="39" fillId="0" borderId="13" xfId="0" applyFont="1" applyBorder="1"/>
    <xf numFmtId="167" fontId="13" fillId="2" borderId="13" xfId="0" applyNumberFormat="1" applyFont="1" applyFill="1" applyBorder="1"/>
    <xf numFmtId="167" fontId="13" fillId="7" borderId="0" xfId="0" applyNumberFormat="1" applyFont="1" applyFill="1" applyAlignment="1">
      <alignment horizontal="right"/>
    </xf>
    <xf numFmtId="167" fontId="13" fillId="7" borderId="14" xfId="0" applyNumberFormat="1" applyFont="1" applyFill="1" applyBorder="1" applyAlignment="1">
      <alignment horizontal="right"/>
    </xf>
    <xf numFmtId="166" fontId="0" fillId="0" borderId="14" xfId="0" applyBorder="1"/>
    <xf numFmtId="166" fontId="0" fillId="0" borderId="19" xfId="0" applyBorder="1"/>
    <xf numFmtId="166" fontId="16" fillId="0" borderId="14" xfId="0" applyFont="1" applyBorder="1"/>
    <xf numFmtId="166" fontId="25" fillId="0" borderId="14" xfId="0" applyFont="1" applyBorder="1"/>
    <xf numFmtId="167" fontId="13" fillId="7" borderId="14" xfId="0" applyNumberFormat="1" applyFont="1" applyFill="1" applyBorder="1"/>
    <xf numFmtId="168" fontId="12" fillId="0" borderId="14" xfId="1" applyNumberFormat="1" applyFont="1" applyFill="1" applyBorder="1"/>
    <xf numFmtId="168" fontId="25" fillId="0" borderId="14" xfId="1" applyNumberFormat="1" applyFont="1" applyFill="1" applyBorder="1"/>
    <xf numFmtId="9" fontId="16" fillId="0" borderId="14" xfId="1" applyFont="1" applyFill="1" applyBorder="1"/>
    <xf numFmtId="0" fontId="13" fillId="10" borderId="14" xfId="0" applyNumberFormat="1" applyFont="1" applyFill="1" applyBorder="1"/>
    <xf numFmtId="0" fontId="13" fillId="10" borderId="26" xfId="0" applyNumberFormat="1" applyFont="1" applyFill="1" applyBorder="1"/>
    <xf numFmtId="167" fontId="15" fillId="10" borderId="26" xfId="0" applyNumberFormat="1" applyFont="1" applyFill="1" applyBorder="1" applyAlignment="1">
      <alignment horizontal="right"/>
    </xf>
    <xf numFmtId="166" fontId="0" fillId="0" borderId="26" xfId="0" applyBorder="1"/>
    <xf numFmtId="167" fontId="13" fillId="10" borderId="27" xfId="0" applyNumberFormat="1" applyFont="1" applyFill="1" applyBorder="1"/>
    <xf numFmtId="166" fontId="24" fillId="0" borderId="28" xfId="0" applyFont="1" applyBorder="1"/>
    <xf numFmtId="166" fontId="24" fillId="0" borderId="26" xfId="0" applyFont="1" applyBorder="1"/>
    <xf numFmtId="9" fontId="20" fillId="0" borderId="26" xfId="1" applyFont="1" applyFill="1" applyBorder="1"/>
    <xf numFmtId="166" fontId="24" fillId="0" borderId="29" xfId="0" applyFont="1" applyBorder="1"/>
    <xf numFmtId="166" fontId="20" fillId="0" borderId="26" xfId="0" applyFont="1" applyBorder="1"/>
    <xf numFmtId="166" fontId="24" fillId="0" borderId="30" xfId="0" applyFont="1" applyBorder="1"/>
    <xf numFmtId="168" fontId="24" fillId="0" borderId="26" xfId="1" applyNumberFormat="1" applyFont="1" applyFill="1" applyBorder="1"/>
    <xf numFmtId="168" fontId="20" fillId="0" borderId="26" xfId="1" applyNumberFormat="1" applyFont="1" applyFill="1" applyBorder="1"/>
    <xf numFmtId="168" fontId="0" fillId="0" borderId="26" xfId="1" applyNumberFormat="1" applyFont="1" applyFill="1" applyBorder="1"/>
    <xf numFmtId="169" fontId="20" fillId="0" borderId="26" xfId="0" applyNumberFormat="1" applyFont="1" applyBorder="1"/>
    <xf numFmtId="166" fontId="15" fillId="10" borderId="14" xfId="0" applyFont="1" applyFill="1" applyBorder="1" applyAlignment="1">
      <alignment horizontal="right"/>
    </xf>
    <xf numFmtId="9" fontId="20" fillId="0" borderId="26" xfId="1" applyFont="1" applyFill="1" applyBorder="1" applyAlignment="1">
      <alignment horizontal="right"/>
    </xf>
    <xf numFmtId="9" fontId="24" fillId="0" borderId="26" xfId="1" applyFont="1" applyFill="1" applyBorder="1" applyAlignment="1">
      <alignment horizontal="right"/>
    </xf>
    <xf numFmtId="168" fontId="20" fillId="0" borderId="26" xfId="1" applyNumberFormat="1" applyFont="1" applyFill="1" applyBorder="1" applyAlignment="1">
      <alignment horizontal="right"/>
    </xf>
    <xf numFmtId="0" fontId="13" fillId="10" borderId="27" xfId="0" applyNumberFormat="1" applyFont="1" applyFill="1" applyBorder="1"/>
    <xf numFmtId="166" fontId="17" fillId="0" borderId="14" xfId="0" applyFont="1" applyBorder="1"/>
    <xf numFmtId="166" fontId="15" fillId="10" borderId="26" xfId="0" applyFont="1" applyFill="1" applyBorder="1" applyAlignment="1">
      <alignment horizontal="right"/>
    </xf>
    <xf numFmtId="166" fontId="62" fillId="0" borderId="14" xfId="0" applyFont="1" applyBorder="1"/>
    <xf numFmtId="166" fontId="17" fillId="0" borderId="26" xfId="0" applyFont="1" applyBorder="1"/>
    <xf numFmtId="166" fontId="26" fillId="0" borderId="26" xfId="0" applyFont="1" applyBorder="1"/>
    <xf numFmtId="167" fontId="13" fillId="7" borderId="26" xfId="0" applyNumberFormat="1" applyFont="1" applyFill="1" applyBorder="1"/>
    <xf numFmtId="167" fontId="15" fillId="7" borderId="26" xfId="0" applyNumberFormat="1" applyFont="1" applyFill="1" applyBorder="1" applyAlignment="1">
      <alignment horizontal="right"/>
    </xf>
    <xf numFmtId="167" fontId="13" fillId="7" borderId="27" xfId="0" applyNumberFormat="1" applyFont="1" applyFill="1" applyBorder="1"/>
    <xf numFmtId="166" fontId="0" fillId="0" borderId="28" xfId="0" applyBorder="1"/>
    <xf numFmtId="166" fontId="39" fillId="0" borderId="26" xfId="0" applyFont="1" applyBorder="1"/>
    <xf numFmtId="9" fontId="33" fillId="0" borderId="26" xfId="1" applyFont="1" applyFill="1" applyBorder="1"/>
    <xf numFmtId="166" fontId="16" fillId="0" borderId="26" xfId="0" applyFont="1" applyBorder="1"/>
    <xf numFmtId="166" fontId="39" fillId="0" borderId="29" xfId="0" applyFont="1" applyBorder="1"/>
    <xf numFmtId="166" fontId="25" fillId="0" borderId="26" xfId="0" applyFont="1" applyBorder="1"/>
    <xf numFmtId="166" fontId="39" fillId="0" borderId="30" xfId="0" applyFont="1" applyBorder="1"/>
    <xf numFmtId="168" fontId="39" fillId="0" borderId="26" xfId="1" applyNumberFormat="1" applyFont="1" applyFill="1" applyBorder="1"/>
    <xf numFmtId="168" fontId="33" fillId="0" borderId="26" xfId="1" applyNumberFormat="1" applyFont="1" applyFill="1" applyBorder="1"/>
    <xf numFmtId="168" fontId="12" fillId="0" borderId="26" xfId="1" applyNumberFormat="1" applyFont="1" applyFill="1" applyBorder="1"/>
    <xf numFmtId="168" fontId="25" fillId="0" borderId="26" xfId="1" applyNumberFormat="1" applyFont="1" applyFill="1" applyBorder="1"/>
    <xf numFmtId="166" fontId="23" fillId="0" borderId="26" xfId="0" applyFont="1" applyBorder="1"/>
    <xf numFmtId="9" fontId="16" fillId="0" borderId="26" xfId="1" applyFont="1" applyFill="1" applyBorder="1"/>
    <xf numFmtId="166" fontId="15" fillId="7" borderId="17" xfId="0" applyFont="1" applyFill="1" applyBorder="1" applyAlignment="1">
      <alignment horizontal="right"/>
    </xf>
    <xf numFmtId="168" fontId="63" fillId="0" borderId="14" xfId="1" applyNumberFormat="1" applyFont="1" applyFill="1" applyBorder="1"/>
    <xf numFmtId="9" fontId="0" fillId="0" borderId="14" xfId="1" applyFont="1" applyFill="1" applyBorder="1"/>
    <xf numFmtId="9" fontId="25" fillId="0" borderId="14" xfId="0" applyNumberFormat="1" applyFont="1" applyBorder="1"/>
    <xf numFmtId="9" fontId="14" fillId="0" borderId="14" xfId="1" applyFont="1" applyFill="1" applyBorder="1"/>
    <xf numFmtId="166" fontId="25" fillId="3" borderId="14" xfId="0" applyFont="1" applyFill="1" applyBorder="1"/>
    <xf numFmtId="9" fontId="25" fillId="0" borderId="14" xfId="1" applyFont="1" applyFill="1" applyBorder="1"/>
    <xf numFmtId="166" fontId="0" fillId="3" borderId="14" xfId="0" applyFill="1" applyBorder="1"/>
    <xf numFmtId="166" fontId="33" fillId="3" borderId="14" xfId="0" applyFont="1" applyFill="1" applyBorder="1" applyAlignment="1">
      <alignment horizontal="right"/>
    </xf>
    <xf numFmtId="170" fontId="33" fillId="3" borderId="14" xfId="0" applyNumberFormat="1" applyFont="1" applyFill="1" applyBorder="1" applyAlignment="1">
      <alignment horizontal="right"/>
    </xf>
    <xf numFmtId="170" fontId="25" fillId="3" borderId="14" xfId="0" applyNumberFormat="1" applyFont="1" applyFill="1" applyBorder="1" applyAlignment="1">
      <alignment horizontal="right"/>
    </xf>
    <xf numFmtId="9" fontId="33" fillId="3" borderId="14" xfId="1" applyFont="1" applyFill="1" applyBorder="1"/>
    <xf numFmtId="166" fontId="39" fillId="3" borderId="14" xfId="0" applyFont="1" applyFill="1" applyBorder="1"/>
    <xf numFmtId="166" fontId="33" fillId="3" borderId="14" xfId="0" applyFont="1" applyFill="1" applyBorder="1"/>
    <xf numFmtId="189" fontId="33" fillId="3" borderId="14" xfId="1" applyNumberFormat="1" applyFont="1" applyFill="1" applyBorder="1"/>
    <xf numFmtId="168" fontId="33" fillId="3" borderId="14" xfId="1" applyNumberFormat="1" applyFont="1" applyFill="1" applyBorder="1"/>
    <xf numFmtId="166" fontId="15" fillId="7" borderId="27" xfId="0" applyFont="1" applyFill="1" applyBorder="1" applyAlignment="1">
      <alignment horizontal="right"/>
    </xf>
    <xf numFmtId="166" fontId="33" fillId="0" borderId="26" xfId="0" applyFont="1" applyBorder="1"/>
    <xf numFmtId="168" fontId="57" fillId="0" borderId="26" xfId="1" applyNumberFormat="1" applyFont="1" applyFill="1" applyBorder="1"/>
    <xf numFmtId="168" fontId="63" fillId="0" borderId="26" xfId="1" applyNumberFormat="1" applyFont="1" applyFill="1" applyBorder="1"/>
    <xf numFmtId="168" fontId="21" fillId="0" borderId="26" xfId="1" applyNumberFormat="1" applyFont="1" applyFill="1" applyBorder="1"/>
    <xf numFmtId="9" fontId="0" fillId="0" borderId="26" xfId="1" applyFont="1" applyFill="1" applyBorder="1"/>
    <xf numFmtId="9" fontId="25" fillId="0" borderId="26" xfId="0" applyNumberFormat="1" applyFont="1" applyBorder="1"/>
    <xf numFmtId="169" fontId="33" fillId="0" borderId="26" xfId="0" applyNumberFormat="1" applyFont="1" applyBorder="1"/>
    <xf numFmtId="172" fontId="33" fillId="0" borderId="26" xfId="0" applyNumberFormat="1" applyFont="1" applyBorder="1" applyAlignment="1">
      <alignment horizontal="right"/>
    </xf>
    <xf numFmtId="170" fontId="33" fillId="0" borderId="26" xfId="0" applyNumberFormat="1" applyFont="1" applyBorder="1"/>
    <xf numFmtId="9" fontId="14" fillId="0" borderId="26" xfId="1" applyFont="1" applyFill="1" applyBorder="1"/>
    <xf numFmtId="166" fontId="39" fillId="0" borderId="28" xfId="0" applyFont="1" applyBorder="1"/>
    <xf numFmtId="168" fontId="23" fillId="0" borderId="26" xfId="1" applyNumberFormat="1" applyFont="1" applyFill="1" applyBorder="1"/>
    <xf numFmtId="166" fontId="25" fillId="3" borderId="26" xfId="0" applyFont="1" applyFill="1" applyBorder="1"/>
    <xf numFmtId="9" fontId="25" fillId="0" borderId="26" xfId="1" applyFont="1" applyFill="1" applyBorder="1"/>
    <xf numFmtId="166" fontId="0" fillId="3" borderId="26" xfId="0" applyFill="1" applyBorder="1"/>
    <xf numFmtId="166" fontId="33" fillId="3" borderId="26" xfId="0" applyFont="1" applyFill="1" applyBorder="1" applyAlignment="1">
      <alignment horizontal="right"/>
    </xf>
    <xf numFmtId="170" fontId="33" fillId="3" borderId="26" xfId="0" applyNumberFormat="1" applyFont="1" applyFill="1" applyBorder="1" applyAlignment="1">
      <alignment horizontal="right"/>
    </xf>
    <xf numFmtId="170" fontId="25" fillId="3" borderId="26" xfId="0" applyNumberFormat="1" applyFont="1" applyFill="1" applyBorder="1" applyAlignment="1">
      <alignment horizontal="right"/>
    </xf>
    <xf numFmtId="9" fontId="33" fillId="3" borderId="26" xfId="1" applyFont="1" applyFill="1" applyBorder="1"/>
    <xf numFmtId="166" fontId="39" fillId="3" borderId="26" xfId="0" applyFont="1" applyFill="1" applyBorder="1"/>
    <xf numFmtId="166" fontId="33" fillId="3" borderId="26" xfId="0" applyFont="1" applyFill="1" applyBorder="1"/>
    <xf numFmtId="189" fontId="33" fillId="3" borderId="26" xfId="1" applyNumberFormat="1" applyFont="1" applyFill="1" applyBorder="1"/>
    <xf numFmtId="168" fontId="33" fillId="3" borderId="26" xfId="1" applyNumberFormat="1" applyFont="1" applyFill="1" applyBorder="1"/>
    <xf numFmtId="166" fontId="15" fillId="10" borderId="17" xfId="0" applyFont="1" applyFill="1" applyBorder="1" applyAlignment="1">
      <alignment horizontal="right"/>
    </xf>
    <xf numFmtId="166" fontId="24" fillId="3" borderId="14" xfId="0" applyFont="1" applyFill="1" applyBorder="1"/>
    <xf numFmtId="166" fontId="20" fillId="3" borderId="14" xfId="0" applyFont="1" applyFill="1" applyBorder="1"/>
    <xf numFmtId="168" fontId="26" fillId="3" borderId="14" xfId="1" applyNumberFormat="1" applyFont="1" applyFill="1" applyBorder="1"/>
    <xf numFmtId="166" fontId="24" fillId="3" borderId="18" xfId="0" applyFont="1" applyFill="1" applyBorder="1"/>
    <xf numFmtId="168" fontId="62" fillId="3" borderId="14" xfId="1" applyNumberFormat="1" applyFont="1" applyFill="1" applyBorder="1"/>
    <xf numFmtId="169" fontId="24" fillId="3" borderId="14" xfId="0" applyNumberFormat="1" applyFont="1" applyFill="1" applyBorder="1"/>
    <xf numFmtId="169" fontId="24" fillId="3" borderId="18" xfId="0" applyNumberFormat="1" applyFont="1" applyFill="1" applyBorder="1"/>
    <xf numFmtId="169" fontId="20" fillId="3" borderId="14" xfId="0" applyNumberFormat="1" applyFont="1" applyFill="1" applyBorder="1"/>
    <xf numFmtId="9" fontId="20" fillId="3" borderId="14" xfId="0" applyNumberFormat="1" applyFont="1" applyFill="1" applyBorder="1"/>
    <xf numFmtId="9" fontId="20" fillId="3" borderId="14" xfId="1" applyFont="1" applyFill="1" applyBorder="1" applyAlignment="1">
      <alignment horizontal="right"/>
    </xf>
    <xf numFmtId="169" fontId="20" fillId="3" borderId="14" xfId="0" applyNumberFormat="1" applyFont="1" applyFill="1" applyBorder="1" applyAlignment="1">
      <alignment horizontal="right"/>
    </xf>
    <xf numFmtId="172" fontId="20" fillId="3" borderId="14" xfId="0" applyNumberFormat="1" applyFont="1" applyFill="1" applyBorder="1" applyAlignment="1">
      <alignment horizontal="right"/>
    </xf>
    <xf numFmtId="170" fontId="20" fillId="3" borderId="14" xfId="0" applyNumberFormat="1" applyFont="1" applyFill="1" applyBorder="1"/>
    <xf numFmtId="9" fontId="31" fillId="3" borderId="14" xfId="1" applyFont="1" applyFill="1" applyBorder="1"/>
    <xf numFmtId="166" fontId="24" fillId="3" borderId="19" xfId="0" applyFont="1" applyFill="1" applyBorder="1"/>
    <xf numFmtId="168" fontId="20" fillId="3" borderId="14" xfId="1" applyNumberFormat="1" applyFont="1" applyFill="1" applyBorder="1"/>
    <xf numFmtId="168" fontId="20" fillId="3" borderId="14" xfId="1" applyNumberFormat="1" applyFont="1" applyFill="1" applyBorder="1" applyAlignment="1">
      <alignment horizontal="right"/>
    </xf>
    <xf numFmtId="168" fontId="24" fillId="3" borderId="14" xfId="1" applyNumberFormat="1" applyFont="1" applyFill="1" applyBorder="1"/>
    <xf numFmtId="9" fontId="20" fillId="3" borderId="14" xfId="1" applyFont="1" applyFill="1" applyBorder="1"/>
    <xf numFmtId="166" fontId="20" fillId="3" borderId="14" xfId="0" applyFont="1" applyFill="1" applyBorder="1" applyAlignment="1">
      <alignment horizontal="right"/>
    </xf>
    <xf numFmtId="170" fontId="20" fillId="3" borderId="14" xfId="0" applyNumberFormat="1" applyFont="1" applyFill="1" applyBorder="1" applyAlignment="1">
      <alignment horizontal="right"/>
    </xf>
    <xf numFmtId="189" fontId="20" fillId="3" borderId="14" xfId="1" applyNumberFormat="1" applyFont="1" applyFill="1" applyBorder="1"/>
    <xf numFmtId="166" fontId="15" fillId="10" borderId="27" xfId="0" applyFont="1" applyFill="1" applyBorder="1" applyAlignment="1">
      <alignment horizontal="right"/>
    </xf>
    <xf numFmtId="166" fontId="24" fillId="3" borderId="26" xfId="0" applyFont="1" applyFill="1" applyBorder="1"/>
    <xf numFmtId="166" fontId="20" fillId="3" borderId="26" xfId="0" applyFont="1" applyFill="1" applyBorder="1"/>
    <xf numFmtId="168" fontId="26" fillId="3" borderId="26" xfId="1" applyNumberFormat="1" applyFont="1" applyFill="1" applyBorder="1"/>
    <xf numFmtId="166" fontId="24" fillId="3" borderId="30" xfId="0" applyFont="1" applyFill="1" applyBorder="1"/>
    <xf numFmtId="168" fontId="62" fillId="3" borderId="26" xfId="1" applyNumberFormat="1" applyFont="1" applyFill="1" applyBorder="1"/>
    <xf numFmtId="169" fontId="24" fillId="3" borderId="26" xfId="0" applyNumberFormat="1" applyFont="1" applyFill="1" applyBorder="1"/>
    <xf numFmtId="169" fontId="24" fillId="3" borderId="30" xfId="0" applyNumberFormat="1" applyFont="1" applyFill="1" applyBorder="1"/>
    <xf numFmtId="169" fontId="20" fillId="3" borderId="26" xfId="0" applyNumberFormat="1" applyFont="1" applyFill="1" applyBorder="1"/>
    <xf numFmtId="9" fontId="20" fillId="3" borderId="26" xfId="0" applyNumberFormat="1" applyFont="1" applyFill="1" applyBorder="1"/>
    <xf numFmtId="9" fontId="20" fillId="3" borderId="26" xfId="1" applyFont="1" applyFill="1" applyBorder="1" applyAlignment="1">
      <alignment horizontal="right"/>
    </xf>
    <xf numFmtId="169" fontId="20" fillId="3" borderId="26" xfId="0" applyNumberFormat="1" applyFont="1" applyFill="1" applyBorder="1" applyAlignment="1">
      <alignment horizontal="right"/>
    </xf>
    <xf numFmtId="172" fontId="20" fillId="3" borderId="26" xfId="0" applyNumberFormat="1" applyFont="1" applyFill="1" applyBorder="1" applyAlignment="1">
      <alignment horizontal="right"/>
    </xf>
    <xf numFmtId="167" fontId="24" fillId="10" borderId="27" xfId="0" applyNumberFormat="1" applyFont="1" applyFill="1" applyBorder="1"/>
    <xf numFmtId="170" fontId="20" fillId="3" borderId="26" xfId="0" applyNumberFormat="1" applyFont="1" applyFill="1" applyBorder="1"/>
    <xf numFmtId="9" fontId="31" fillId="3" borderId="26" xfId="1" applyFont="1" applyFill="1" applyBorder="1"/>
    <xf numFmtId="166" fontId="24" fillId="3" borderId="28" xfId="0" applyFont="1" applyFill="1" applyBorder="1"/>
    <xf numFmtId="168" fontId="20" fillId="3" borderId="26" xfId="1" applyNumberFormat="1" applyFont="1" applyFill="1" applyBorder="1"/>
    <xf numFmtId="168" fontId="20" fillId="3" borderId="26" xfId="1" applyNumberFormat="1" applyFont="1" applyFill="1" applyBorder="1" applyAlignment="1">
      <alignment horizontal="right"/>
    </xf>
    <xf numFmtId="168" fontId="24" fillId="3" borderId="26" xfId="1" applyNumberFormat="1" applyFont="1" applyFill="1" applyBorder="1"/>
    <xf numFmtId="9" fontId="20" fillId="3" borderId="26" xfId="1" applyFont="1" applyFill="1" applyBorder="1"/>
    <xf numFmtId="166" fontId="20" fillId="3" borderId="26" xfId="0" applyFont="1" applyFill="1" applyBorder="1" applyAlignment="1">
      <alignment horizontal="right"/>
    </xf>
    <xf numFmtId="170" fontId="20" fillId="3" borderId="26" xfId="0" applyNumberFormat="1" applyFont="1" applyFill="1" applyBorder="1" applyAlignment="1">
      <alignment horizontal="right"/>
    </xf>
    <xf numFmtId="189" fontId="20" fillId="3" borderId="26" xfId="1" applyNumberFormat="1" applyFont="1" applyFill="1" applyBorder="1"/>
    <xf numFmtId="172" fontId="20" fillId="3" borderId="14" xfId="0" applyNumberFormat="1" applyFont="1" applyFill="1" applyBorder="1"/>
    <xf numFmtId="166" fontId="31" fillId="3" borderId="14" xfId="0" applyFont="1" applyFill="1" applyBorder="1"/>
    <xf numFmtId="172" fontId="20" fillId="3" borderId="26" xfId="0" applyNumberFormat="1" applyFont="1" applyFill="1" applyBorder="1"/>
    <xf numFmtId="0" fontId="24" fillId="10" borderId="27" xfId="0" applyNumberFormat="1" applyFont="1" applyFill="1" applyBorder="1"/>
    <xf numFmtId="166" fontId="31" fillId="3" borderId="26" xfId="0" applyFont="1" applyFill="1" applyBorder="1"/>
    <xf numFmtId="166" fontId="26" fillId="3" borderId="14" xfId="0" applyFont="1" applyFill="1" applyBorder="1"/>
    <xf numFmtId="166" fontId="20" fillId="5" borderId="14" xfId="0" applyFont="1" applyFill="1" applyBorder="1"/>
    <xf numFmtId="0" fontId="13" fillId="7" borderId="27" xfId="0" applyNumberFormat="1" applyFont="1" applyFill="1" applyBorder="1"/>
    <xf numFmtId="166" fontId="57" fillId="0" borderId="26" xfId="0" applyFont="1" applyBorder="1"/>
    <xf numFmtId="166" fontId="33" fillId="5" borderId="26" xfId="0" applyFont="1" applyFill="1" applyBorder="1"/>
    <xf numFmtId="166" fontId="14" fillId="0" borderId="26" xfId="0" applyFont="1" applyBorder="1"/>
    <xf numFmtId="0" fontId="13" fillId="7" borderId="17" xfId="0" applyNumberFormat="1" applyFont="1" applyFill="1" applyBorder="1"/>
    <xf numFmtId="166" fontId="33" fillId="5" borderId="14" xfId="0" applyFont="1" applyFill="1" applyBorder="1"/>
    <xf numFmtId="166" fontId="14" fillId="0" borderId="14" xfId="0" applyFont="1" applyBorder="1"/>
    <xf numFmtId="166" fontId="26" fillId="3" borderId="26" xfId="0" applyFont="1" applyFill="1" applyBorder="1"/>
    <xf numFmtId="166" fontId="20" fillId="5" borderId="26" xfId="0" applyFont="1" applyFill="1" applyBorder="1"/>
    <xf numFmtId="166" fontId="20" fillId="3" borderId="14" xfId="0" applyFont="1" applyFill="1" applyBorder="1" applyAlignment="1">
      <alignment horizontal="center"/>
    </xf>
    <xf numFmtId="166" fontId="20" fillId="3" borderId="26" xfId="0" applyFont="1" applyFill="1" applyBorder="1" applyAlignment="1">
      <alignment horizontal="center"/>
    </xf>
    <xf numFmtId="166" fontId="13" fillId="10" borderId="14" xfId="0" applyFont="1" applyFill="1" applyBorder="1" applyAlignment="1">
      <alignment horizontal="right"/>
    </xf>
    <xf numFmtId="166" fontId="24" fillId="3" borderId="16" xfId="0" applyFont="1" applyFill="1" applyBorder="1"/>
    <xf numFmtId="171" fontId="20" fillId="3" borderId="14" xfId="0" applyNumberFormat="1" applyFont="1" applyFill="1" applyBorder="1"/>
    <xf numFmtId="169" fontId="24" fillId="10" borderId="17" xfId="0" applyNumberFormat="1" applyFont="1" applyFill="1" applyBorder="1"/>
    <xf numFmtId="166" fontId="13" fillId="7" borderId="26" xfId="0" applyFont="1" applyFill="1" applyBorder="1" applyAlignment="1">
      <alignment horizontal="right"/>
    </xf>
    <xf numFmtId="3" fontId="33" fillId="0" borderId="26" xfId="0" applyNumberFormat="1" applyFont="1" applyBorder="1"/>
    <xf numFmtId="171" fontId="33" fillId="0" borderId="26" xfId="0" applyNumberFormat="1" applyFont="1" applyBorder="1"/>
    <xf numFmtId="172" fontId="33" fillId="0" borderId="26" xfId="0" applyNumberFormat="1" applyFont="1" applyBorder="1"/>
    <xf numFmtId="169" fontId="13" fillId="7" borderId="27" xfId="0" applyNumberFormat="1" applyFont="1" applyFill="1" applyBorder="1"/>
    <xf numFmtId="168" fontId="25" fillId="3" borderId="26" xfId="1" applyNumberFormat="1" applyFont="1" applyFill="1" applyBorder="1"/>
    <xf numFmtId="166" fontId="13" fillId="7" borderId="14" xfId="0" applyFont="1" applyFill="1" applyBorder="1" applyAlignment="1">
      <alignment horizontal="right"/>
    </xf>
    <xf numFmtId="3" fontId="33" fillId="0" borderId="14" xfId="0" applyNumberFormat="1" applyFont="1" applyBorder="1"/>
    <xf numFmtId="171" fontId="33" fillId="0" borderId="14" xfId="0" applyNumberFormat="1" applyFont="1" applyBorder="1"/>
    <xf numFmtId="172" fontId="33" fillId="0" borderId="14" xfId="0" applyNumberFormat="1" applyFont="1" applyBorder="1"/>
    <xf numFmtId="169" fontId="13" fillId="7" borderId="17" xfId="0" applyNumberFormat="1" applyFont="1" applyFill="1" applyBorder="1"/>
    <xf numFmtId="166" fontId="13" fillId="10" borderId="26" xfId="0" applyFont="1" applyFill="1" applyBorder="1" applyAlignment="1">
      <alignment horizontal="right"/>
    </xf>
    <xf numFmtId="166" fontId="24" fillId="3" borderId="29" xfId="0" applyFont="1" applyFill="1" applyBorder="1"/>
    <xf numFmtId="171" fontId="20" fillId="3" borderId="26" xfId="0" applyNumberFormat="1" applyFont="1" applyFill="1" applyBorder="1"/>
    <xf numFmtId="169" fontId="24" fillId="10" borderId="27" xfId="0" applyNumberFormat="1" applyFont="1" applyFill="1" applyBorder="1"/>
    <xf numFmtId="166" fontId="38" fillId="3" borderId="14" xfId="0" applyFont="1" applyFill="1" applyBorder="1"/>
    <xf numFmtId="166" fontId="31" fillId="3" borderId="19" xfId="0" applyFont="1" applyFill="1" applyBorder="1"/>
    <xf numFmtId="166" fontId="38" fillId="3" borderId="26" xfId="0" applyFont="1" applyFill="1" applyBorder="1"/>
    <xf numFmtId="166" fontId="31" fillId="3" borderId="28" xfId="0" applyFont="1" applyFill="1" applyBorder="1"/>
    <xf numFmtId="167" fontId="13" fillId="2" borderId="17" xfId="0" applyNumberFormat="1" applyFont="1" applyFill="1" applyBorder="1" applyAlignment="1">
      <alignment horizontal="right"/>
    </xf>
    <xf numFmtId="166" fontId="29" fillId="0" borderId="14" xfId="0" applyFont="1" applyBorder="1"/>
    <xf numFmtId="166" fontId="16" fillId="0" borderId="18" xfId="0" applyFont="1" applyBorder="1"/>
    <xf numFmtId="166" fontId="0" fillId="0" borderId="16" xfId="0" applyBorder="1"/>
    <xf numFmtId="168" fontId="33" fillId="0" borderId="14" xfId="0" applyNumberFormat="1" applyFont="1" applyBorder="1"/>
    <xf numFmtId="3" fontId="33" fillId="3" borderId="14" xfId="1" applyNumberFormat="1" applyFont="1" applyFill="1" applyBorder="1"/>
    <xf numFmtId="166" fontId="14" fillId="0" borderId="18" xfId="0" applyFont="1" applyBorder="1"/>
    <xf numFmtId="166" fontId="16" fillId="0" borderId="19" xfId="0" applyFont="1" applyBorder="1"/>
    <xf numFmtId="166" fontId="14" fillId="0" borderId="19" xfId="0" applyFont="1" applyBorder="1"/>
    <xf numFmtId="167" fontId="13" fillId="2" borderId="27" xfId="0" applyNumberFormat="1" applyFont="1" applyFill="1" applyBorder="1" applyAlignment="1">
      <alignment horizontal="right"/>
    </xf>
    <xf numFmtId="166" fontId="29" fillId="0" borderId="26" xfId="0" applyFont="1" applyBorder="1"/>
    <xf numFmtId="166" fontId="16" fillId="0" borderId="30" xfId="0" applyFont="1" applyBorder="1"/>
    <xf numFmtId="166" fontId="0" fillId="0" borderId="29" xfId="0" applyBorder="1"/>
    <xf numFmtId="168" fontId="33" fillId="0" borderId="26" xfId="0" applyNumberFormat="1" applyFont="1" applyBorder="1"/>
    <xf numFmtId="3" fontId="33" fillId="3" borderId="26" xfId="1" applyNumberFormat="1" applyFont="1" applyFill="1" applyBorder="1"/>
    <xf numFmtId="166" fontId="14" fillId="0" borderId="30" xfId="0" applyFont="1" applyBorder="1"/>
    <xf numFmtId="166" fontId="16" fillId="0" borderId="28" xfId="0" applyFont="1" applyBorder="1"/>
    <xf numFmtId="166" fontId="14" fillId="0" borderId="28" xfId="0" applyFont="1" applyBorder="1"/>
    <xf numFmtId="168" fontId="20" fillId="0" borderId="14" xfId="0" applyNumberFormat="1" applyFont="1" applyBorder="1"/>
    <xf numFmtId="3" fontId="20" fillId="3" borderId="14" xfId="1" applyNumberFormat="1" applyFont="1" applyFill="1" applyBorder="1"/>
    <xf numFmtId="9" fontId="0" fillId="3" borderId="14" xfId="1" applyFont="1" applyFill="1" applyBorder="1"/>
    <xf numFmtId="166" fontId="14" fillId="3" borderId="14" xfId="0" applyFont="1" applyFill="1" applyBorder="1"/>
    <xf numFmtId="168" fontId="20" fillId="0" borderId="26" xfId="0" applyNumberFormat="1" applyFont="1" applyBorder="1"/>
    <xf numFmtId="3" fontId="20" fillId="3" borderId="26" xfId="1" applyNumberFormat="1" applyFont="1" applyFill="1" applyBorder="1"/>
    <xf numFmtId="9" fontId="0" fillId="3" borderId="26" xfId="1" applyFont="1" applyFill="1" applyBorder="1"/>
    <xf numFmtId="166" fontId="14" fillId="3" borderId="26" xfId="0" applyFont="1" applyFill="1" applyBorder="1"/>
    <xf numFmtId="3" fontId="20" fillId="3" borderId="14" xfId="0" applyNumberFormat="1" applyFont="1" applyFill="1" applyBorder="1"/>
    <xf numFmtId="166" fontId="13" fillId="10" borderId="17" xfId="0" applyFont="1" applyFill="1" applyBorder="1"/>
    <xf numFmtId="0" fontId="13" fillId="2" borderId="27" xfId="0" applyNumberFormat="1" applyFont="1" applyFill="1" applyBorder="1" applyAlignment="1">
      <alignment horizontal="right"/>
    </xf>
    <xf numFmtId="9" fontId="24" fillId="0" borderId="26" xfId="1" applyFont="1" applyFill="1" applyBorder="1"/>
    <xf numFmtId="3" fontId="20" fillId="3" borderId="26" xfId="0" applyNumberFormat="1" applyFont="1" applyFill="1" applyBorder="1"/>
    <xf numFmtId="166" fontId="13" fillId="10" borderId="27" xfId="0" applyFont="1" applyFill="1" applyBorder="1"/>
    <xf numFmtId="166" fontId="0" fillId="0" borderId="14" xfId="0" applyBorder="1" applyAlignment="1">
      <alignment vertical="center"/>
    </xf>
    <xf numFmtId="166" fontId="25" fillId="0" borderId="14" xfId="0" applyFont="1" applyBorder="1" applyAlignment="1">
      <alignment vertical="center"/>
    </xf>
    <xf numFmtId="173" fontId="0" fillId="0" borderId="14" xfId="40" applyNumberFormat="1" applyFont="1" applyFill="1" applyBorder="1"/>
    <xf numFmtId="170" fontId="76" fillId="0" borderId="14" xfId="0" applyNumberFormat="1" applyFont="1" applyBorder="1"/>
    <xf numFmtId="9" fontId="33" fillId="0" borderId="14" xfId="0" applyNumberFormat="1" applyFont="1" applyBorder="1"/>
    <xf numFmtId="170" fontId="0" fillId="0" borderId="14" xfId="0" applyNumberFormat="1" applyBorder="1"/>
    <xf numFmtId="9" fontId="33" fillId="3" borderId="14" xfId="0" applyNumberFormat="1" applyFont="1" applyFill="1" applyBorder="1"/>
    <xf numFmtId="169" fontId="39" fillId="0" borderId="16" xfId="0" applyNumberFormat="1" applyFont="1" applyBorder="1"/>
    <xf numFmtId="169" fontId="39" fillId="0" borderId="18" xfId="0" applyNumberFormat="1" applyFont="1" applyBorder="1"/>
    <xf numFmtId="168" fontId="25" fillId="0" borderId="14" xfId="0" applyNumberFormat="1" applyFont="1" applyBorder="1"/>
    <xf numFmtId="166" fontId="39" fillId="0" borderId="17" xfId="0" applyFont="1" applyBorder="1"/>
    <xf numFmtId="169" fontId="33" fillId="3" borderId="14" xfId="0" applyNumberFormat="1" applyFont="1" applyFill="1" applyBorder="1"/>
    <xf numFmtId="166" fontId="0" fillId="0" borderId="26" xfId="0" applyBorder="1" applyAlignment="1">
      <alignment vertical="center"/>
    </xf>
    <xf numFmtId="166" fontId="25" fillId="0" borderId="26" xfId="0" applyFont="1" applyBorder="1" applyAlignment="1">
      <alignment vertical="center"/>
    </xf>
    <xf numFmtId="173" fontId="0" fillId="0" borderId="26" xfId="40" applyNumberFormat="1" applyFont="1" applyFill="1" applyBorder="1"/>
    <xf numFmtId="170" fontId="25" fillId="0" borderId="26" xfId="0" applyNumberFormat="1" applyFont="1" applyBorder="1"/>
    <xf numFmtId="170" fontId="76" fillId="0" borderId="26" xfId="0" applyNumberFormat="1" applyFont="1" applyBorder="1"/>
    <xf numFmtId="9" fontId="33" fillId="0" borderId="26" xfId="0" applyNumberFormat="1" applyFont="1" applyBorder="1"/>
    <xf numFmtId="170" fontId="0" fillId="0" borderId="26" xfId="0" applyNumberFormat="1" applyBorder="1"/>
    <xf numFmtId="9" fontId="33" fillId="3" borderId="26" xfId="0" applyNumberFormat="1" applyFont="1" applyFill="1" applyBorder="1"/>
    <xf numFmtId="169" fontId="39" fillId="0" borderId="29" xfId="0" applyNumberFormat="1" applyFont="1" applyBorder="1"/>
    <xf numFmtId="169" fontId="39" fillId="0" borderId="30" xfId="0" applyNumberFormat="1" applyFont="1" applyBorder="1"/>
    <xf numFmtId="169" fontId="39" fillId="0" borderId="26" xfId="0" applyNumberFormat="1" applyFont="1" applyBorder="1"/>
    <xf numFmtId="168" fontId="25" fillId="0" borderId="26" xfId="0" applyNumberFormat="1" applyFont="1" applyBorder="1"/>
    <xf numFmtId="166" fontId="39" fillId="0" borderId="27" xfId="0" applyFont="1" applyBorder="1"/>
    <xf numFmtId="169" fontId="33" fillId="3" borderId="26" xfId="0" applyNumberFormat="1" applyFont="1" applyFill="1" applyBorder="1"/>
    <xf numFmtId="167" fontId="13" fillId="10" borderId="14" xfId="0" applyNumberFormat="1" applyFont="1" applyFill="1" applyBorder="1"/>
    <xf numFmtId="166" fontId="20" fillId="0" borderId="14" xfId="0" applyFont="1" applyBorder="1" applyAlignment="1">
      <alignment vertical="center"/>
    </xf>
    <xf numFmtId="168" fontId="20" fillId="3" borderId="14" xfId="0" applyNumberFormat="1" applyFont="1" applyFill="1" applyBorder="1"/>
    <xf numFmtId="173" fontId="20" fillId="3" borderId="14" xfId="40" applyNumberFormat="1" applyFont="1" applyFill="1" applyBorder="1"/>
    <xf numFmtId="170" fontId="77" fillId="0" borderId="14" xfId="0" applyNumberFormat="1" applyFont="1" applyBorder="1"/>
    <xf numFmtId="169" fontId="24" fillId="3" borderId="16" xfId="0" applyNumberFormat="1" applyFont="1" applyFill="1" applyBorder="1"/>
    <xf numFmtId="166" fontId="24" fillId="3" borderId="17" xfId="0" applyFont="1" applyFill="1" applyBorder="1"/>
    <xf numFmtId="167" fontId="13" fillId="10" borderId="26" xfId="0" applyNumberFormat="1" applyFont="1" applyFill="1" applyBorder="1"/>
    <xf numFmtId="166" fontId="20" fillId="0" borderId="26" xfId="0" applyFont="1" applyBorder="1" applyAlignment="1">
      <alignment vertical="center"/>
    </xf>
    <xf numFmtId="168" fontId="20" fillId="3" borderId="26" xfId="0" applyNumberFormat="1" applyFont="1" applyFill="1" applyBorder="1"/>
    <xf numFmtId="173" fontId="20" fillId="3" borderId="26" xfId="40" applyNumberFormat="1" applyFont="1" applyFill="1" applyBorder="1"/>
    <xf numFmtId="170" fontId="77" fillId="0" borderId="26" xfId="0" applyNumberFormat="1" applyFont="1" applyBorder="1"/>
    <xf numFmtId="169" fontId="24" fillId="3" borderId="29" xfId="0" applyNumberFormat="1" applyFont="1" applyFill="1" applyBorder="1"/>
    <xf numFmtId="166" fontId="24" fillId="3" borderId="27" xfId="0" applyFont="1" applyFill="1" applyBorder="1"/>
    <xf numFmtId="9" fontId="20" fillId="0" borderId="14" xfId="1" applyFont="1" applyBorder="1"/>
    <xf numFmtId="168" fontId="20" fillId="0" borderId="14" xfId="1" applyNumberFormat="1" applyFont="1" applyBorder="1"/>
    <xf numFmtId="167" fontId="13" fillId="2" borderId="14" xfId="0" applyNumberFormat="1" applyFont="1" applyFill="1" applyBorder="1"/>
    <xf numFmtId="9" fontId="16" fillId="0" borderId="14" xfId="0" applyNumberFormat="1" applyFont="1" applyBorder="1"/>
    <xf numFmtId="9" fontId="16" fillId="3" borderId="14" xfId="1" applyFont="1" applyFill="1" applyBorder="1"/>
    <xf numFmtId="166" fontId="16" fillId="3" borderId="14" xfId="0" applyFont="1" applyFill="1" applyBorder="1"/>
    <xf numFmtId="9" fontId="36" fillId="0" borderId="14" xfId="1" applyFont="1" applyFill="1" applyBorder="1"/>
    <xf numFmtId="9" fontId="36" fillId="7" borderId="14" xfId="1" applyFont="1" applyFill="1" applyBorder="1"/>
    <xf numFmtId="166" fontId="36" fillId="0" borderId="14" xfId="0" applyFont="1" applyBorder="1"/>
    <xf numFmtId="190" fontId="24" fillId="3" borderId="14" xfId="0" applyNumberFormat="1" applyFont="1" applyFill="1" applyBorder="1"/>
    <xf numFmtId="170" fontId="39" fillId="3" borderId="14" xfId="0" applyNumberFormat="1" applyFont="1" applyFill="1" applyBorder="1"/>
    <xf numFmtId="9" fontId="39" fillId="3" borderId="14" xfId="1" applyFont="1" applyFill="1" applyBorder="1"/>
    <xf numFmtId="188" fontId="0" fillId="0" borderId="14" xfId="40" applyNumberFormat="1" applyFont="1" applyFill="1" applyBorder="1"/>
    <xf numFmtId="9" fontId="61" fillId="0" borderId="14" xfId="1" applyFont="1" applyFill="1" applyBorder="1"/>
    <xf numFmtId="9" fontId="0" fillId="0" borderId="14" xfId="0" applyNumberFormat="1" applyBorder="1"/>
    <xf numFmtId="9" fontId="39" fillId="0" borderId="14" xfId="1" applyFont="1" applyFill="1" applyBorder="1"/>
    <xf numFmtId="166" fontId="39" fillId="0" borderId="14" xfId="1" applyNumberFormat="1" applyFont="1" applyFill="1" applyBorder="1"/>
    <xf numFmtId="169" fontId="0" fillId="0" borderId="14" xfId="0" applyNumberFormat="1" applyBorder="1"/>
    <xf numFmtId="9" fontId="25" fillId="3" borderId="14" xfId="1" applyFont="1" applyFill="1" applyBorder="1"/>
    <xf numFmtId="1" fontId="25" fillId="0" borderId="14" xfId="1" applyNumberFormat="1" applyFont="1" applyFill="1" applyBorder="1"/>
    <xf numFmtId="189" fontId="33" fillId="0" borderId="14" xfId="1" applyNumberFormat="1" applyFont="1" applyFill="1" applyBorder="1"/>
    <xf numFmtId="3" fontId="0" fillId="3" borderId="14" xfId="0" applyNumberFormat="1" applyFill="1" applyBorder="1"/>
    <xf numFmtId="4" fontId="0" fillId="3" borderId="14" xfId="0" applyNumberFormat="1" applyFill="1" applyBorder="1"/>
    <xf numFmtId="191" fontId="33" fillId="3" borderId="14" xfId="40" applyNumberFormat="1" applyFont="1" applyFill="1" applyBorder="1"/>
    <xf numFmtId="3" fontId="39" fillId="3" borderId="14" xfId="0" applyNumberFormat="1" applyFont="1" applyFill="1" applyBorder="1"/>
    <xf numFmtId="3" fontId="39" fillId="3" borderId="14" xfId="1" applyNumberFormat="1" applyFont="1" applyFill="1" applyBorder="1"/>
    <xf numFmtId="167" fontId="13" fillId="2" borderId="17" xfId="0" applyNumberFormat="1" applyFont="1" applyFill="1" applyBorder="1"/>
    <xf numFmtId="166" fontId="16" fillId="0" borderId="16" xfId="0" applyFont="1" applyBorder="1"/>
    <xf numFmtId="166" fontId="0" fillId="0" borderId="17" xfId="0" applyBorder="1"/>
    <xf numFmtId="168" fontId="14" fillId="0" borderId="31" xfId="0" applyNumberFormat="1" applyFont="1" applyBorder="1"/>
    <xf numFmtId="168" fontId="14" fillId="0" borderId="14" xfId="0" applyNumberFormat="1" applyFont="1" applyBorder="1"/>
    <xf numFmtId="168" fontId="0" fillId="0" borderId="14" xfId="0" applyNumberFormat="1" applyBorder="1"/>
    <xf numFmtId="166" fontId="16" fillId="0" borderId="31" xfId="0" applyFont="1" applyBorder="1"/>
    <xf numFmtId="167" fontId="13" fillId="2" borderId="26" xfId="0" applyNumberFormat="1" applyFont="1" applyFill="1" applyBorder="1"/>
    <xf numFmtId="9" fontId="16" fillId="0" borderId="26" xfId="0" applyNumberFormat="1" applyFont="1" applyBorder="1"/>
    <xf numFmtId="9" fontId="16" fillId="3" borderId="26" xfId="1" applyFont="1" applyFill="1" applyBorder="1"/>
    <xf numFmtId="166" fontId="16" fillId="3" borderId="26" xfId="0" applyFont="1" applyFill="1" applyBorder="1"/>
    <xf numFmtId="9" fontId="36" fillId="0" borderId="26" xfId="1" applyFont="1" applyFill="1" applyBorder="1"/>
    <xf numFmtId="9" fontId="36" fillId="7" borderId="26" xfId="1" applyFont="1" applyFill="1" applyBorder="1"/>
    <xf numFmtId="166" fontId="36" fillId="0" borderId="26" xfId="0" applyFont="1" applyBorder="1"/>
    <xf numFmtId="190" fontId="24" fillId="3" borderId="26" xfId="0" applyNumberFormat="1" applyFont="1" applyFill="1" applyBorder="1"/>
    <xf numFmtId="170" fontId="39" fillId="3" borderId="26" xfId="0" applyNumberFormat="1" applyFont="1" applyFill="1" applyBorder="1"/>
    <xf numFmtId="9" fontId="39" fillId="3" borderId="26" xfId="1" applyFont="1" applyFill="1" applyBorder="1"/>
    <xf numFmtId="188" fontId="0" fillId="0" borderId="26" xfId="40" applyNumberFormat="1" applyFont="1" applyFill="1" applyBorder="1"/>
    <xf numFmtId="9" fontId="61" fillId="0" borderId="26" xfId="1" applyFont="1" applyFill="1" applyBorder="1"/>
    <xf numFmtId="9" fontId="0" fillId="0" borderId="26" xfId="0" applyNumberFormat="1" applyBorder="1"/>
    <xf numFmtId="9" fontId="39" fillId="0" borderId="26" xfId="1" applyFont="1" applyFill="1" applyBorder="1"/>
    <xf numFmtId="166" fontId="39" fillId="0" borderId="26" xfId="1" applyNumberFormat="1" applyFont="1" applyFill="1" applyBorder="1"/>
    <xf numFmtId="169" fontId="0" fillId="0" borderId="26" xfId="0" applyNumberFormat="1" applyBorder="1"/>
    <xf numFmtId="9" fontId="25" fillId="3" borderId="26" xfId="1" applyFont="1" applyFill="1" applyBorder="1"/>
    <xf numFmtId="1" fontId="25" fillId="0" borderId="26" xfId="1" applyNumberFormat="1" applyFont="1" applyFill="1" applyBorder="1"/>
    <xf numFmtId="189" fontId="33" fillId="0" borderId="26" xfId="1" applyNumberFormat="1" applyFont="1" applyFill="1" applyBorder="1"/>
    <xf numFmtId="3" fontId="0" fillId="3" borderId="26" xfId="0" applyNumberFormat="1" applyFill="1" applyBorder="1"/>
    <xf numFmtId="4" fontId="0" fillId="3" borderId="26" xfId="0" applyNumberFormat="1" applyFill="1" applyBorder="1"/>
    <xf numFmtId="9" fontId="25" fillId="3" borderId="26" xfId="0" applyNumberFormat="1" applyFont="1" applyFill="1" applyBorder="1"/>
    <xf numFmtId="191" fontId="33" fillId="3" borderId="26" xfId="40" applyNumberFormat="1" applyFont="1" applyFill="1" applyBorder="1"/>
    <xf numFmtId="3" fontId="39" fillId="3" borderId="26" xfId="0" applyNumberFormat="1" applyFont="1" applyFill="1" applyBorder="1"/>
    <xf numFmtId="3" fontId="39" fillId="3" borderId="26" xfId="1" applyNumberFormat="1" applyFont="1" applyFill="1" applyBorder="1"/>
    <xf numFmtId="167" fontId="13" fillId="2" borderId="27" xfId="0" applyNumberFormat="1" applyFont="1" applyFill="1" applyBorder="1"/>
    <xf numFmtId="166" fontId="16" fillId="0" borderId="29" xfId="0" applyFont="1" applyBorder="1"/>
    <xf numFmtId="9" fontId="23" fillId="0" borderId="26" xfId="1" applyFont="1" applyFill="1" applyBorder="1"/>
    <xf numFmtId="166" fontId="0" fillId="0" borderId="27" xfId="0" applyBorder="1"/>
    <xf numFmtId="168" fontId="14" fillId="0" borderId="32" xfId="0" applyNumberFormat="1" applyFont="1" applyBorder="1"/>
    <xf numFmtId="168" fontId="14" fillId="0" borderId="26" xfId="0" applyNumberFormat="1" applyFont="1" applyBorder="1"/>
    <xf numFmtId="168" fontId="0" fillId="0" borderId="26" xfId="0" applyNumberFormat="1" applyBorder="1"/>
    <xf numFmtId="166" fontId="16" fillId="0" borderId="32" xfId="0" applyFont="1" applyBorder="1"/>
    <xf numFmtId="9" fontId="29" fillId="0" borderId="26" xfId="1" applyFont="1" applyFill="1" applyBorder="1"/>
    <xf numFmtId="166" fontId="39" fillId="0" borderId="29" xfId="0" applyFont="1" applyBorder="1" applyAlignment="1">
      <alignment horizontal="right"/>
    </xf>
    <xf numFmtId="166" fontId="39" fillId="0" borderId="30" xfId="0" applyFont="1" applyBorder="1" applyAlignment="1">
      <alignment horizontal="right"/>
    </xf>
    <xf numFmtId="166" fontId="16" fillId="3" borderId="18" xfId="0" applyFont="1" applyFill="1" applyBorder="1"/>
    <xf numFmtId="168" fontId="12" fillId="3" borderId="14" xfId="1" applyNumberFormat="1" applyFont="1" applyFill="1" applyBorder="1"/>
    <xf numFmtId="168" fontId="0" fillId="3" borderId="14" xfId="1" applyNumberFormat="1" applyFont="1" applyFill="1" applyBorder="1"/>
    <xf numFmtId="9" fontId="12" fillId="3" borderId="14" xfId="1" applyFont="1" applyFill="1" applyBorder="1"/>
    <xf numFmtId="9" fontId="36" fillId="3" borderId="14" xfId="1" applyFont="1" applyFill="1" applyBorder="1"/>
    <xf numFmtId="9" fontId="36" fillId="5" borderId="14" xfId="1" applyFont="1" applyFill="1" applyBorder="1"/>
    <xf numFmtId="170" fontId="24" fillId="3" borderId="14" xfId="0" applyNumberFormat="1" applyFont="1" applyFill="1" applyBorder="1"/>
    <xf numFmtId="3" fontId="24" fillId="3" borderId="14" xfId="0" applyNumberFormat="1" applyFont="1" applyFill="1" applyBorder="1"/>
    <xf numFmtId="9" fontId="24" fillId="3" borderId="14" xfId="1" applyFont="1" applyFill="1" applyBorder="1"/>
    <xf numFmtId="9" fontId="0" fillId="3" borderId="14" xfId="0" applyNumberFormat="1" applyFill="1" applyBorder="1"/>
    <xf numFmtId="9" fontId="61" fillId="3" borderId="14" xfId="1" applyFont="1" applyFill="1" applyBorder="1"/>
    <xf numFmtId="166" fontId="29" fillId="3" borderId="14" xfId="0" applyFont="1" applyFill="1" applyBorder="1"/>
    <xf numFmtId="9" fontId="29" fillId="3" borderId="14" xfId="1" applyFont="1" applyFill="1" applyBorder="1"/>
    <xf numFmtId="166" fontId="16" fillId="3" borderId="14" xfId="1" applyNumberFormat="1" applyFont="1" applyFill="1" applyBorder="1"/>
    <xf numFmtId="189" fontId="20" fillId="0" borderId="14" xfId="1" applyNumberFormat="1" applyFont="1" applyFill="1" applyBorder="1"/>
    <xf numFmtId="191" fontId="20" fillId="3" borderId="14" xfId="40" applyNumberFormat="1" applyFont="1" applyFill="1" applyBorder="1"/>
    <xf numFmtId="3" fontId="20" fillId="0" borderId="14" xfId="0" applyNumberFormat="1" applyFont="1" applyBorder="1"/>
    <xf numFmtId="3" fontId="24" fillId="3" borderId="14" xfId="1" applyNumberFormat="1" applyFont="1" applyFill="1" applyBorder="1"/>
    <xf numFmtId="170" fontId="0" fillId="3" borderId="14" xfId="0" applyNumberFormat="1" applyFill="1" applyBorder="1"/>
    <xf numFmtId="170" fontId="75" fillId="0" borderId="14" xfId="0" applyNumberFormat="1" applyFont="1" applyBorder="1"/>
    <xf numFmtId="9" fontId="14" fillId="3" borderId="14" xfId="1" applyFont="1" applyFill="1" applyBorder="1"/>
    <xf numFmtId="166" fontId="0" fillId="3" borderId="17" xfId="0" applyFill="1" applyBorder="1"/>
    <xf numFmtId="168" fontId="31" fillId="3" borderId="31" xfId="0" applyNumberFormat="1" applyFont="1" applyFill="1" applyBorder="1"/>
    <xf numFmtId="168" fontId="31" fillId="3" borderId="14" xfId="0" applyNumberFormat="1" applyFont="1" applyFill="1" applyBorder="1"/>
    <xf numFmtId="166" fontId="24" fillId="3" borderId="31" xfId="0" applyFont="1" applyFill="1" applyBorder="1"/>
    <xf numFmtId="166" fontId="16" fillId="3" borderId="30" xfId="0" applyFont="1" applyFill="1" applyBorder="1"/>
    <xf numFmtId="168" fontId="12" fillId="3" borderId="26" xfId="1" applyNumberFormat="1" applyFont="1" applyFill="1" applyBorder="1"/>
    <xf numFmtId="168" fontId="0" fillId="3" borderId="26" xfId="1" applyNumberFormat="1" applyFont="1" applyFill="1" applyBorder="1"/>
    <xf numFmtId="9" fontId="12" fillId="3" borderId="26" xfId="1" applyFont="1" applyFill="1" applyBorder="1"/>
    <xf numFmtId="9" fontId="36" fillId="3" borderId="26" xfId="1" applyFont="1" applyFill="1" applyBorder="1"/>
    <xf numFmtId="9" fontId="36" fillId="5" borderId="26" xfId="1" applyFont="1" applyFill="1" applyBorder="1"/>
    <xf numFmtId="170" fontId="24" fillId="3" borderId="26" xfId="0" applyNumberFormat="1" applyFont="1" applyFill="1" applyBorder="1"/>
    <xf numFmtId="9" fontId="24" fillId="3" borderId="26" xfId="1" applyFont="1" applyFill="1" applyBorder="1"/>
    <xf numFmtId="9" fontId="0" fillId="3" borderId="26" xfId="0" applyNumberFormat="1" applyFill="1" applyBorder="1"/>
    <xf numFmtId="9" fontId="61" fillId="3" borderId="26" xfId="1" applyFont="1" applyFill="1" applyBorder="1"/>
    <xf numFmtId="166" fontId="29" fillId="3" borderId="26" xfId="0" applyFont="1" applyFill="1" applyBorder="1"/>
    <xf numFmtId="166" fontId="16" fillId="3" borderId="26" xfId="1" applyNumberFormat="1" applyFont="1" applyFill="1" applyBorder="1"/>
    <xf numFmtId="189" fontId="20" fillId="0" borderId="26" xfId="1" applyNumberFormat="1" applyFont="1" applyFill="1" applyBorder="1"/>
    <xf numFmtId="191" fontId="20" fillId="3" borderId="26" xfId="40" applyNumberFormat="1" applyFont="1" applyFill="1" applyBorder="1"/>
    <xf numFmtId="3" fontId="24" fillId="3" borderId="26" xfId="0" applyNumberFormat="1" applyFont="1" applyFill="1" applyBorder="1"/>
    <xf numFmtId="3" fontId="20" fillId="0" borderId="26" xfId="0" applyNumberFormat="1" applyFont="1" applyBorder="1"/>
    <xf numFmtId="3" fontId="24" fillId="3" borderId="26" xfId="1" applyNumberFormat="1" applyFont="1" applyFill="1" applyBorder="1"/>
    <xf numFmtId="170" fontId="0" fillId="3" borderId="26" xfId="0" applyNumberFormat="1" applyFill="1" applyBorder="1"/>
    <xf numFmtId="170" fontId="75" fillId="0" borderId="26" xfId="0" applyNumberFormat="1" applyFont="1" applyBorder="1"/>
    <xf numFmtId="9" fontId="14" fillId="3" borderId="26" xfId="1" applyFont="1" applyFill="1" applyBorder="1"/>
    <xf numFmtId="166" fontId="0" fillId="3" borderId="27" xfId="0" applyFill="1" applyBorder="1"/>
    <xf numFmtId="168" fontId="31" fillId="3" borderId="32" xfId="0" applyNumberFormat="1" applyFont="1" applyFill="1" applyBorder="1"/>
    <xf numFmtId="168" fontId="31" fillId="3" borderId="26" xfId="0" applyNumberFormat="1" applyFont="1" applyFill="1" applyBorder="1"/>
    <xf numFmtId="166" fontId="24" fillId="3" borderId="32" xfId="0" applyFont="1" applyFill="1" applyBorder="1"/>
    <xf numFmtId="168" fontId="0" fillId="0" borderId="14" xfId="1" applyNumberFormat="1" applyFont="1" applyBorder="1"/>
    <xf numFmtId="9" fontId="40" fillId="3" borderId="14" xfId="0" applyNumberFormat="1" applyFont="1" applyFill="1" applyBorder="1"/>
    <xf numFmtId="166" fontId="36" fillId="8" borderId="14" xfId="0" applyFont="1" applyFill="1" applyBorder="1"/>
    <xf numFmtId="169" fontId="25" fillId="3" borderId="14" xfId="0" applyNumberFormat="1" applyFont="1" applyFill="1" applyBorder="1"/>
    <xf numFmtId="189" fontId="20" fillId="3" borderId="14" xfId="0" applyNumberFormat="1" applyFont="1" applyFill="1" applyBorder="1"/>
    <xf numFmtId="168" fontId="0" fillId="3" borderId="17" xfId="1" applyNumberFormat="1" applyFont="1" applyFill="1" applyBorder="1"/>
    <xf numFmtId="168" fontId="20" fillId="3" borderId="31" xfId="0" applyNumberFormat="1" applyFont="1" applyFill="1" applyBorder="1"/>
    <xf numFmtId="9" fontId="29" fillId="3" borderId="26" xfId="1" applyFont="1" applyFill="1" applyBorder="1"/>
    <xf numFmtId="170" fontId="25" fillId="3" borderId="26" xfId="0" applyNumberFormat="1" applyFont="1" applyFill="1" applyBorder="1"/>
    <xf numFmtId="167" fontId="60" fillId="10" borderId="27" xfId="0" applyNumberFormat="1" applyFont="1" applyFill="1" applyBorder="1"/>
    <xf numFmtId="166" fontId="18" fillId="3" borderId="26" xfId="0" applyFont="1" applyFill="1" applyBorder="1"/>
    <xf numFmtId="0" fontId="0" fillId="3" borderId="27" xfId="1" applyNumberFormat="1" applyFont="1" applyFill="1" applyBorder="1"/>
    <xf numFmtId="168" fontId="20" fillId="3" borderId="32" xfId="0" applyNumberFormat="1" applyFont="1" applyFill="1" applyBorder="1"/>
    <xf numFmtId="168" fontId="0" fillId="0" borderId="26" xfId="1" applyNumberFormat="1" applyFont="1" applyBorder="1"/>
    <xf numFmtId="9" fontId="40" fillId="3" borderId="26" xfId="0" applyNumberFormat="1" applyFont="1" applyFill="1" applyBorder="1"/>
    <xf numFmtId="166" fontId="36" fillId="8" borderId="26" xfId="0" applyFont="1" applyFill="1" applyBorder="1"/>
    <xf numFmtId="169" fontId="25" fillId="3" borderId="26" xfId="0" applyNumberFormat="1" applyFont="1" applyFill="1" applyBorder="1"/>
    <xf numFmtId="189" fontId="20" fillId="3" borderId="26" xfId="0" applyNumberFormat="1" applyFont="1" applyFill="1" applyBorder="1"/>
    <xf numFmtId="170" fontId="75" fillId="3" borderId="26" xfId="0" applyNumberFormat="1" applyFont="1" applyFill="1" applyBorder="1"/>
    <xf numFmtId="168" fontId="0" fillId="3" borderId="27" xfId="1" applyNumberFormat="1" applyFont="1" applyFill="1" applyBorder="1"/>
    <xf numFmtId="3" fontId="16" fillId="0" borderId="14" xfId="0" applyNumberFormat="1" applyFont="1" applyBorder="1"/>
    <xf numFmtId="3" fontId="16" fillId="0" borderId="26" xfId="0" applyNumberFormat="1" applyFont="1" applyBorder="1"/>
    <xf numFmtId="166" fontId="0" fillId="3" borderId="19" xfId="0" applyFill="1" applyBorder="1"/>
    <xf numFmtId="175" fontId="20" fillId="3" borderId="14" xfId="0" applyNumberFormat="1" applyFont="1" applyFill="1" applyBorder="1"/>
    <xf numFmtId="3" fontId="24" fillId="0" borderId="14" xfId="0" applyNumberFormat="1" applyFont="1" applyBorder="1"/>
    <xf numFmtId="9" fontId="20" fillId="0" borderId="14" xfId="0" applyNumberFormat="1" applyFont="1" applyBorder="1"/>
    <xf numFmtId="182" fontId="20" fillId="0" borderId="14" xfId="0" applyNumberFormat="1" applyFont="1" applyBorder="1"/>
    <xf numFmtId="175" fontId="0" fillId="3" borderId="14" xfId="0" applyNumberFormat="1" applyFill="1" applyBorder="1"/>
    <xf numFmtId="166" fontId="0" fillId="3" borderId="28" xfId="0" applyFill="1" applyBorder="1"/>
    <xf numFmtId="175" fontId="20" fillId="3" borderId="26" xfId="0" applyNumberFormat="1" applyFont="1" applyFill="1" applyBorder="1"/>
    <xf numFmtId="3" fontId="24" fillId="0" borderId="26" xfId="0" applyNumberFormat="1" applyFont="1" applyBorder="1"/>
    <xf numFmtId="9" fontId="20" fillId="0" borderId="26" xfId="0" applyNumberFormat="1" applyFont="1" applyBorder="1"/>
    <xf numFmtId="169" fontId="24" fillId="0" borderId="26" xfId="0" applyNumberFormat="1" applyFont="1" applyBorder="1"/>
    <xf numFmtId="182" fontId="20" fillId="0" borderId="26" xfId="0" applyNumberFormat="1" applyFont="1" applyBorder="1"/>
    <xf numFmtId="175" fontId="0" fillId="3" borderId="26" xfId="0" applyNumberFormat="1" applyFill="1" applyBorder="1"/>
    <xf numFmtId="169" fontId="24" fillId="0" borderId="14" xfId="0" applyNumberFormat="1" applyFont="1" applyBorder="1" applyAlignment="1">
      <alignment horizontal="right"/>
    </xf>
    <xf numFmtId="166" fontId="16" fillId="3" borderId="28" xfId="0" applyFont="1" applyFill="1" applyBorder="1"/>
    <xf numFmtId="166" fontId="24" fillId="0" borderId="26" xfId="0" applyFont="1" applyBorder="1" applyAlignment="1">
      <alignment horizontal="right"/>
    </xf>
    <xf numFmtId="169" fontId="24" fillId="0" borderId="26" xfId="0" applyNumberFormat="1" applyFont="1" applyBorder="1" applyAlignment="1">
      <alignment horizontal="right"/>
    </xf>
    <xf numFmtId="3" fontId="0" fillId="0" borderId="26" xfId="0" applyNumberFormat="1" applyBorder="1"/>
    <xf numFmtId="166" fontId="20" fillId="3" borderId="19" xfId="0" applyFont="1" applyFill="1" applyBorder="1"/>
    <xf numFmtId="166" fontId="20" fillId="3" borderId="28" xfId="0" applyFont="1" applyFill="1" applyBorder="1"/>
    <xf numFmtId="0" fontId="13" fillId="10" borderId="13" xfId="0" applyNumberFormat="1" applyFont="1" applyFill="1" applyBorder="1" applyAlignment="1">
      <alignment horizontal="right"/>
    </xf>
    <xf numFmtId="167" fontId="13" fillId="7" borderId="17" xfId="0" applyNumberFormat="1" applyFont="1" applyFill="1" applyBorder="1" applyAlignment="1">
      <alignment horizontal="right"/>
    </xf>
    <xf numFmtId="167" fontId="13" fillId="7" borderId="13" xfId="0" applyNumberFormat="1" applyFont="1" applyFill="1" applyBorder="1" applyAlignment="1">
      <alignment horizontal="right"/>
    </xf>
    <xf numFmtId="9" fontId="24" fillId="3" borderId="0" xfId="1" applyFont="1" applyFill="1" applyBorder="1"/>
    <xf numFmtId="9" fontId="20" fillId="3" borderId="0" xfId="1" applyFont="1" applyFill="1" applyBorder="1"/>
    <xf numFmtId="3" fontId="24" fillId="3" borderId="0" xfId="1" applyNumberFormat="1" applyFont="1" applyFill="1" applyBorder="1"/>
    <xf numFmtId="190" fontId="24" fillId="3" borderId="0" xfId="0" applyNumberFormat="1" applyFont="1" applyFill="1"/>
    <xf numFmtId="170" fontId="75" fillId="0" borderId="0" xfId="0" applyNumberFormat="1" applyFont="1"/>
    <xf numFmtId="169" fontId="20" fillId="0" borderId="0" xfId="0" applyNumberFormat="1" applyFont="1" applyAlignment="1">
      <alignment horizontal="right"/>
    </xf>
    <xf numFmtId="9" fontId="39" fillId="0" borderId="0" xfId="1" applyFont="1" applyFill="1" applyBorder="1"/>
    <xf numFmtId="168" fontId="39" fillId="3" borderId="14" xfId="1" applyNumberFormat="1" applyFont="1" applyFill="1" applyBorder="1"/>
    <xf numFmtId="168" fontId="20" fillId="3" borderId="0" xfId="1" applyNumberFormat="1" applyFont="1" applyFill="1" applyBorder="1" applyAlignment="1">
      <alignment horizontal="right"/>
    </xf>
    <xf numFmtId="9" fontId="20" fillId="3" borderId="0" xfId="1" applyFont="1" applyFill="1" applyBorder="1" applyAlignment="1">
      <alignment horizontal="right"/>
    </xf>
    <xf numFmtId="9" fontId="20" fillId="0" borderId="14" xfId="1" applyFont="1" applyFill="1" applyBorder="1" applyAlignment="1">
      <alignment horizontal="right"/>
    </xf>
    <xf numFmtId="166" fontId="39" fillId="3" borderId="17" xfId="0" applyFont="1" applyFill="1" applyBorder="1"/>
    <xf numFmtId="169" fontId="33" fillId="0" borderId="14" xfId="0" applyNumberFormat="1" applyFont="1" applyBorder="1" applyAlignment="1">
      <alignment horizontal="right"/>
    </xf>
    <xf numFmtId="9" fontId="33" fillId="0" borderId="14" xfId="1" applyFont="1" applyFill="1" applyBorder="1" applyAlignment="1">
      <alignment horizontal="right"/>
    </xf>
    <xf numFmtId="169" fontId="20" fillId="3" borderId="0" xfId="0" applyNumberFormat="1" applyFont="1" applyFill="1" applyAlignment="1">
      <alignment horizontal="right"/>
    </xf>
    <xf numFmtId="169" fontId="39" fillId="0" borderId="0" xfId="0" applyNumberFormat="1" applyFont="1"/>
    <xf numFmtId="9" fontId="25" fillId="0" borderId="0" xfId="1" applyFont="1" applyFill="1" applyBorder="1"/>
    <xf numFmtId="169" fontId="33" fillId="3" borderId="0" xfId="0" applyNumberFormat="1" applyFont="1" applyFill="1"/>
    <xf numFmtId="189" fontId="20" fillId="0" borderId="0" xfId="1" applyNumberFormat="1" applyFont="1" applyFill="1" applyBorder="1"/>
    <xf numFmtId="191" fontId="20" fillId="3" borderId="0" xfId="40" applyNumberFormat="1" applyFont="1" applyFill="1" applyBorder="1"/>
    <xf numFmtId="9" fontId="29" fillId="0" borderId="0" xfId="1" applyFont="1" applyFill="1" applyBorder="1"/>
    <xf numFmtId="170" fontId="39" fillId="3" borderId="0" xfId="0" applyNumberFormat="1" applyFont="1" applyFill="1"/>
    <xf numFmtId="9" fontId="39" fillId="3" borderId="0" xfId="1" applyFont="1" applyFill="1" applyBorder="1"/>
    <xf numFmtId="9" fontId="61" fillId="0" borderId="0" xfId="1" applyFont="1" applyFill="1" applyBorder="1"/>
    <xf numFmtId="189" fontId="33" fillId="0" borderId="0" xfId="1" applyNumberFormat="1" applyFont="1" applyFill="1" applyBorder="1"/>
    <xf numFmtId="191" fontId="33" fillId="3" borderId="0" xfId="40" applyNumberFormat="1" applyFont="1" applyFill="1" applyBorder="1"/>
    <xf numFmtId="3" fontId="39" fillId="3" borderId="0" xfId="0" applyNumberFormat="1" applyFont="1" applyFill="1"/>
    <xf numFmtId="3" fontId="33" fillId="0" borderId="0" xfId="0" applyNumberFormat="1" applyFont="1"/>
    <xf numFmtId="3" fontId="33" fillId="3" borderId="0" xfId="1" applyNumberFormat="1" applyFont="1" applyFill="1" applyBorder="1"/>
    <xf numFmtId="3" fontId="39" fillId="3" borderId="0" xfId="1" applyNumberFormat="1" applyFont="1" applyFill="1" applyBorder="1"/>
    <xf numFmtId="166" fontId="39" fillId="0" borderId="4" xfId="0" applyFont="1" applyBorder="1" applyAlignment="1">
      <alignment horizontal="right"/>
    </xf>
    <xf numFmtId="166" fontId="39" fillId="0" borderId="3" xfId="0" applyFont="1" applyBorder="1" applyAlignment="1">
      <alignment horizontal="right"/>
    </xf>
    <xf numFmtId="9" fontId="14" fillId="0" borderId="0" xfId="1" applyFont="1" applyFill="1" applyBorder="1"/>
    <xf numFmtId="166" fontId="39" fillId="3" borderId="18" xfId="0" applyFont="1" applyFill="1" applyBorder="1"/>
    <xf numFmtId="168" fontId="25" fillId="0" borderId="0" xfId="1" applyNumberFormat="1" applyFont="1" applyFill="1" applyBorder="1"/>
    <xf numFmtId="168" fontId="20" fillId="0" borderId="0" xfId="1" applyNumberFormat="1" applyFont="1" applyFill="1" applyBorder="1" applyAlignment="1">
      <alignment horizontal="right"/>
    </xf>
    <xf numFmtId="168" fontId="20" fillId="0" borderId="14" xfId="1" applyNumberFormat="1" applyFont="1" applyFill="1" applyBorder="1" applyAlignment="1">
      <alignment horizontal="right"/>
    </xf>
    <xf numFmtId="168" fontId="26" fillId="3" borderId="0" xfId="1" applyNumberFormat="1" applyFont="1" applyFill="1" applyBorder="1"/>
    <xf numFmtId="171" fontId="33" fillId="0" borderId="0" xfId="0" applyNumberFormat="1" applyFont="1"/>
    <xf numFmtId="172" fontId="33" fillId="0" borderId="0" xfId="0" applyNumberFormat="1" applyFont="1"/>
    <xf numFmtId="168" fontId="33" fillId="3" borderId="0" xfId="1" applyNumberFormat="1" applyFont="1" applyFill="1" applyBorder="1"/>
    <xf numFmtId="166" fontId="33" fillId="5" borderId="0" xfId="0" applyFont="1" applyFill="1"/>
    <xf numFmtId="172" fontId="20" fillId="3" borderId="0" xfId="0" applyNumberFormat="1" applyFont="1" applyFill="1" applyAlignment="1">
      <alignment horizontal="right"/>
    </xf>
    <xf numFmtId="169" fontId="33" fillId="3" borderId="14" xfId="0" applyNumberFormat="1" applyFont="1" applyFill="1" applyBorder="1" applyAlignment="1">
      <alignment horizontal="right"/>
    </xf>
    <xf numFmtId="9" fontId="33" fillId="3" borderId="14" xfId="1" applyFont="1" applyFill="1" applyBorder="1" applyAlignment="1">
      <alignment horizontal="right"/>
    </xf>
    <xf numFmtId="172" fontId="33" fillId="3" borderId="14" xfId="0" applyNumberFormat="1" applyFont="1" applyFill="1" applyBorder="1" applyAlignment="1">
      <alignment horizontal="right"/>
    </xf>
    <xf numFmtId="172" fontId="33" fillId="0" borderId="0" xfId="0" applyNumberFormat="1" applyFont="1" applyAlignment="1">
      <alignment horizontal="right"/>
    </xf>
    <xf numFmtId="173" fontId="20" fillId="0" borderId="26" xfId="40" applyNumberFormat="1" applyFont="1" applyFill="1" applyBorder="1"/>
    <xf numFmtId="0" fontId="79" fillId="7" borderId="0" xfId="54" applyFont="1" applyFill="1"/>
    <xf numFmtId="170" fontId="20" fillId="0" borderId="26" xfId="0" applyNumberFormat="1" applyFont="1" applyBorder="1"/>
    <xf numFmtId="169" fontId="24" fillId="0" borderId="16" xfId="0" applyNumberFormat="1" applyFont="1" applyBorder="1"/>
    <xf numFmtId="169" fontId="24" fillId="0" borderId="29" xfId="0" applyNumberFormat="1" applyFont="1" applyBorder="1"/>
    <xf numFmtId="169" fontId="24" fillId="0" borderId="18" xfId="0" applyNumberFormat="1" applyFont="1" applyBorder="1"/>
    <xf numFmtId="169" fontId="24" fillId="0" borderId="30" xfId="0" applyNumberFormat="1" applyFont="1" applyBorder="1"/>
    <xf numFmtId="164" fontId="0" fillId="0" borderId="26" xfId="40" applyFont="1" applyFill="1" applyBorder="1"/>
    <xf numFmtId="171" fontId="20" fillId="0" borderId="14" xfId="0" applyNumberFormat="1" applyFont="1" applyBorder="1"/>
    <xf numFmtId="171" fontId="20" fillId="0" borderId="26" xfId="0" applyNumberFormat="1" applyFont="1" applyBorder="1"/>
    <xf numFmtId="168" fontId="16" fillId="3" borderId="0" xfId="0" applyNumberFormat="1" applyFont="1" applyFill="1"/>
    <xf numFmtId="168" fontId="25" fillId="0" borderId="0" xfId="0" applyNumberFormat="1" applyFont="1"/>
    <xf numFmtId="166" fontId="20" fillId="0" borderId="0" xfId="0" applyFont="1" applyAlignment="1">
      <alignment horizontal="left" indent="1"/>
    </xf>
    <xf numFmtId="9" fontId="0" fillId="3" borderId="0" xfId="0" applyNumberFormat="1" applyFill="1" applyAlignment="1">
      <alignment horizontal="left" indent="1"/>
    </xf>
    <xf numFmtId="170" fontId="16" fillId="0" borderId="26" xfId="0" applyNumberFormat="1" applyFont="1" applyBorder="1"/>
    <xf numFmtId="166" fontId="20" fillId="3" borderId="13" xfId="0" applyFont="1" applyFill="1" applyBorder="1"/>
    <xf numFmtId="166" fontId="20" fillId="3" borderId="17" xfId="0" applyFont="1" applyFill="1" applyBorder="1"/>
    <xf numFmtId="166" fontId="20" fillId="3" borderId="27" xfId="0" applyFont="1" applyFill="1" applyBorder="1"/>
    <xf numFmtId="166" fontId="33" fillId="0" borderId="27" xfId="0" applyFont="1" applyBorder="1"/>
    <xf numFmtId="9" fontId="29" fillId="3" borderId="0" xfId="0" applyNumberFormat="1" applyFont="1" applyFill="1" applyAlignment="1">
      <alignment horizontal="left" indent="2"/>
    </xf>
    <xf numFmtId="9" fontId="29" fillId="3" borderId="0" xfId="0" applyNumberFormat="1" applyFont="1" applyFill="1"/>
    <xf numFmtId="9" fontId="29" fillId="3" borderId="14" xfId="0" applyNumberFormat="1" applyFont="1" applyFill="1" applyBorder="1"/>
    <xf numFmtId="9" fontId="29" fillId="3" borderId="26" xfId="0" applyNumberFormat="1" applyFont="1" applyFill="1" applyBorder="1"/>
    <xf numFmtId="9" fontId="29" fillId="0" borderId="14" xfId="0" applyNumberFormat="1" applyFont="1" applyBorder="1"/>
    <xf numFmtId="9" fontId="29" fillId="0" borderId="0" xfId="0" applyNumberFormat="1" applyFont="1"/>
    <xf numFmtId="168" fontId="14" fillId="3" borderId="0" xfId="0" applyNumberFormat="1" applyFont="1" applyFill="1"/>
    <xf numFmtId="9" fontId="0" fillId="3" borderId="0" xfId="0" quotePrefix="1" applyNumberFormat="1" applyFill="1" applyAlignment="1">
      <alignment horizontal="left" indent="2"/>
    </xf>
    <xf numFmtId="9" fontId="14" fillId="3" borderId="0" xfId="0" applyNumberFormat="1" applyFont="1" applyFill="1"/>
    <xf numFmtId="9" fontId="0" fillId="3" borderId="0" xfId="0" quotePrefix="1" applyNumberFormat="1" applyFill="1" applyAlignment="1">
      <alignment horizontal="left" indent="3"/>
    </xf>
    <xf numFmtId="166" fontId="16" fillId="3" borderId="13" xfId="0" applyFont="1" applyFill="1" applyBorder="1"/>
    <xf numFmtId="166" fontId="16" fillId="3" borderId="17" xfId="0" applyFont="1" applyFill="1" applyBorder="1"/>
    <xf numFmtId="166" fontId="16" fillId="3" borderId="27" xfId="0" applyFont="1" applyFill="1" applyBorder="1"/>
    <xf numFmtId="166" fontId="16" fillId="0" borderId="17" xfId="0" applyFont="1" applyBorder="1"/>
    <xf numFmtId="166" fontId="16" fillId="0" borderId="27" xfId="0" applyFont="1" applyBorder="1"/>
    <xf numFmtId="166" fontId="16" fillId="0" borderId="13" xfId="0" applyFont="1" applyBorder="1"/>
    <xf numFmtId="9" fontId="80" fillId="3" borderId="0" xfId="1" applyFont="1" applyFill="1"/>
    <xf numFmtId="168" fontId="20" fillId="3" borderId="0" xfId="0" applyNumberFormat="1" applyFont="1" applyFill="1" applyAlignment="1">
      <alignment horizontal="left" indent="1"/>
    </xf>
    <xf numFmtId="166" fontId="16" fillId="8" borderId="14" xfId="0" applyFont="1" applyFill="1" applyBorder="1"/>
    <xf numFmtId="166" fontId="23" fillId="8" borderId="26" xfId="0" applyFont="1" applyFill="1" applyBorder="1"/>
    <xf numFmtId="166" fontId="23" fillId="8" borderId="0" xfId="0" applyFont="1" applyFill="1"/>
    <xf numFmtId="9" fontId="0" fillId="0" borderId="0" xfId="1" applyFont="1" applyFill="1" applyBorder="1"/>
    <xf numFmtId="164" fontId="33" fillId="3" borderId="0" xfId="40" applyFont="1" applyFill="1" applyBorder="1"/>
    <xf numFmtId="164" fontId="33" fillId="3" borderId="14" xfId="40" applyFont="1" applyFill="1" applyBorder="1"/>
    <xf numFmtId="164" fontId="33" fillId="3" borderId="26" xfId="40" applyFont="1" applyFill="1" applyBorder="1"/>
    <xf numFmtId="9" fontId="0" fillId="0" borderId="14" xfId="0" applyNumberFormat="1" applyBorder="1" applyAlignment="1">
      <alignment horizontal="right"/>
    </xf>
    <xf numFmtId="9" fontId="0" fillId="0" borderId="0" xfId="0" applyNumberFormat="1" applyAlignment="1">
      <alignment horizontal="right"/>
    </xf>
    <xf numFmtId="168" fontId="24" fillId="3" borderId="0" xfId="0" applyNumberFormat="1" applyFont="1" applyFill="1"/>
    <xf numFmtId="168" fontId="24" fillId="3" borderId="14" xfId="0" applyNumberFormat="1" applyFont="1" applyFill="1" applyBorder="1"/>
    <xf numFmtId="168" fontId="24" fillId="3" borderId="26" xfId="0" applyNumberFormat="1" applyFont="1" applyFill="1" applyBorder="1"/>
    <xf numFmtId="168" fontId="24" fillId="0" borderId="14" xfId="0" applyNumberFormat="1" applyFont="1" applyBorder="1"/>
    <xf numFmtId="168" fontId="24" fillId="0" borderId="26" xfId="0" applyNumberFormat="1" applyFont="1" applyBorder="1"/>
    <xf numFmtId="168" fontId="39" fillId="0" borderId="0" xfId="0" applyNumberFormat="1" applyFont="1"/>
    <xf numFmtId="168" fontId="39" fillId="0" borderId="14" xfId="0" applyNumberFormat="1" applyFont="1" applyBorder="1"/>
    <xf numFmtId="168" fontId="39" fillId="0" borderId="26" xfId="0" applyNumberFormat="1" applyFont="1" applyBorder="1"/>
    <xf numFmtId="164" fontId="20" fillId="3" borderId="0" xfId="40" applyFont="1" applyFill="1" applyBorder="1"/>
    <xf numFmtId="164" fontId="13" fillId="7" borderId="13" xfId="40" applyFont="1" applyFill="1" applyBorder="1"/>
    <xf numFmtId="164" fontId="13" fillId="7" borderId="17" xfId="40" applyFont="1" applyFill="1" applyBorder="1"/>
    <xf numFmtId="164" fontId="13" fillId="7" borderId="27" xfId="40" applyFont="1" applyFill="1" applyBorder="1"/>
    <xf numFmtId="166" fontId="24" fillId="0" borderId="0" xfId="1" applyNumberFormat="1" applyFont="1" applyFill="1"/>
    <xf numFmtId="171" fontId="20" fillId="0" borderId="0" xfId="0" applyNumberFormat="1" applyFont="1"/>
    <xf numFmtId="9" fontId="16" fillId="3" borderId="0" xfId="0" applyNumberFormat="1" applyFont="1" applyFill="1"/>
    <xf numFmtId="9" fontId="24" fillId="3" borderId="0" xfId="0" applyNumberFormat="1" applyFont="1" applyFill="1"/>
    <xf numFmtId="9" fontId="24" fillId="3" borderId="14" xfId="0" applyNumberFormat="1" applyFont="1" applyFill="1" applyBorder="1"/>
    <xf numFmtId="9" fontId="24" fillId="3" borderId="26" xfId="0" applyNumberFormat="1" applyFont="1" applyFill="1" applyBorder="1"/>
    <xf numFmtId="9" fontId="39" fillId="0" borderId="14" xfId="0" applyNumberFormat="1" applyFont="1" applyBorder="1"/>
    <xf numFmtId="9" fontId="39" fillId="0" borderId="26" xfId="0" applyNumberFormat="1" applyFont="1" applyBorder="1"/>
    <xf numFmtId="9" fontId="39" fillId="3" borderId="0" xfId="0" applyNumberFormat="1" applyFont="1" applyFill="1"/>
    <xf numFmtId="3" fontId="39" fillId="0" borderId="14" xfId="0" applyNumberFormat="1" applyFont="1" applyBorder="1"/>
    <xf numFmtId="3" fontId="16" fillId="3" borderId="0" xfId="1" applyNumberFormat="1" applyFont="1" applyFill="1"/>
    <xf numFmtId="3" fontId="24" fillId="3" borderId="0" xfId="1" applyNumberFormat="1" applyFont="1" applyFill="1"/>
    <xf numFmtId="3" fontId="39" fillId="0" borderId="0" xfId="0" applyNumberFormat="1" applyFont="1"/>
    <xf numFmtId="166" fontId="33" fillId="0" borderId="33" xfId="0" applyFont="1" applyBorder="1"/>
    <xf numFmtId="166" fontId="33" fillId="0" borderId="5" xfId="0" applyFont="1" applyBorder="1"/>
    <xf numFmtId="9" fontId="33" fillId="3" borderId="0" xfId="1" applyFont="1" applyFill="1" applyBorder="1" applyAlignment="1">
      <alignment horizontal="right"/>
    </xf>
    <xf numFmtId="0" fontId="13" fillId="7" borderId="1" xfId="52" applyFont="1" applyFill="1" applyBorder="1" applyAlignment="1">
      <alignment horizontal="right"/>
    </xf>
    <xf numFmtId="168" fontId="0" fillId="0" borderId="26" xfId="1" applyNumberFormat="1" applyFont="1" applyFill="1" applyBorder="1" applyAlignment="1">
      <alignment horizontal="right"/>
    </xf>
    <xf numFmtId="168" fontId="0" fillId="0" borderId="0" xfId="1" applyNumberFormat="1" applyFont="1" applyFill="1" applyBorder="1" applyAlignment="1">
      <alignment horizontal="right"/>
    </xf>
    <xf numFmtId="168" fontId="0" fillId="0" borderId="14" xfId="1" applyNumberFormat="1" applyFont="1" applyFill="1" applyBorder="1" applyAlignment="1">
      <alignment horizontal="right"/>
    </xf>
    <xf numFmtId="172" fontId="20" fillId="0" borderId="26" xfId="0" applyNumberFormat="1" applyFont="1" applyBorder="1" applyAlignment="1">
      <alignment horizontal="right"/>
    </xf>
    <xf numFmtId="167" fontId="13" fillId="9" borderId="0" xfId="0" applyNumberFormat="1" applyFont="1" applyFill="1"/>
    <xf numFmtId="168" fontId="0" fillId="0" borderId="0" xfId="0" applyNumberFormat="1" applyAlignment="1">
      <alignment horizontal="right"/>
    </xf>
    <xf numFmtId="172" fontId="0" fillId="0" borderId="0" xfId="0" applyNumberFormat="1"/>
    <xf numFmtId="164" fontId="20" fillId="0" borderId="0" xfId="40" applyFont="1" applyFill="1"/>
    <xf numFmtId="169" fontId="25" fillId="0" borderId="26" xfId="0" applyNumberFormat="1" applyFont="1" applyBorder="1"/>
    <xf numFmtId="172" fontId="20" fillId="0" borderId="0" xfId="0" applyNumberFormat="1" applyFont="1" applyAlignment="1">
      <alignment horizontal="right"/>
    </xf>
    <xf numFmtId="166" fontId="20" fillId="3" borderId="33" xfId="0" applyFont="1" applyFill="1" applyBorder="1"/>
    <xf numFmtId="166" fontId="20" fillId="3" borderId="5" xfId="0" applyFont="1" applyFill="1" applyBorder="1"/>
    <xf numFmtId="166" fontId="20" fillId="3" borderId="6" xfId="0" applyFont="1" applyFill="1" applyBorder="1"/>
    <xf numFmtId="168" fontId="33" fillId="3" borderId="26" xfId="0" applyNumberFormat="1" applyFont="1" applyFill="1" applyBorder="1"/>
    <xf numFmtId="168" fontId="33" fillId="3" borderId="0" xfId="0" applyNumberFormat="1" applyFont="1" applyFill="1"/>
    <xf numFmtId="170" fontId="24" fillId="0" borderId="0" xfId="0" applyNumberFormat="1" applyFont="1"/>
    <xf numFmtId="9" fontId="24" fillId="0" borderId="0" xfId="1" applyFont="1"/>
    <xf numFmtId="173" fontId="25" fillId="0" borderId="26" xfId="40" applyNumberFormat="1" applyFont="1" applyFill="1" applyBorder="1"/>
    <xf numFmtId="173" fontId="25" fillId="0" borderId="0" xfId="40" applyNumberFormat="1" applyFont="1" applyFill="1"/>
    <xf numFmtId="173" fontId="25" fillId="0" borderId="14" xfId="40" applyNumberFormat="1" applyFont="1" applyFill="1" applyBorder="1"/>
    <xf numFmtId="186" fontId="69" fillId="3" borderId="7" xfId="54" applyNumberFormat="1" applyFont="1" applyFill="1" applyBorder="1" applyAlignment="1">
      <alignment horizontal="center"/>
    </xf>
    <xf numFmtId="186" fontId="69" fillId="3" borderId="6" xfId="54" applyNumberFormat="1" applyFont="1" applyFill="1" applyBorder="1" applyAlignment="1">
      <alignment horizontal="center"/>
    </xf>
    <xf numFmtId="168" fontId="67" fillId="3" borderId="7" xfId="1" applyNumberFormat="1" applyFont="1" applyFill="1" applyBorder="1" applyAlignment="1">
      <alignment horizontal="center"/>
    </xf>
    <xf numFmtId="168" fontId="67" fillId="3" borderId="6" xfId="1" applyNumberFormat="1" applyFont="1" applyFill="1" applyBorder="1" applyAlignment="1">
      <alignment horizontal="center"/>
    </xf>
    <xf numFmtId="9" fontId="41" fillId="3" borderId="0" xfId="1" applyFont="1" applyFill="1"/>
    <xf numFmtId="166" fontId="20" fillId="11" borderId="26" xfId="0" applyFont="1" applyFill="1" applyBorder="1"/>
    <xf numFmtId="168" fontId="16" fillId="0" borderId="14" xfId="1" applyNumberFormat="1" applyFont="1" applyFill="1" applyBorder="1"/>
    <xf numFmtId="168" fontId="16" fillId="3" borderId="14" xfId="1" applyNumberFormat="1" applyFont="1" applyFill="1" applyBorder="1"/>
    <xf numFmtId="168" fontId="18" fillId="0" borderId="14" xfId="1" applyNumberFormat="1" applyFont="1" applyFill="1" applyBorder="1"/>
    <xf numFmtId="168" fontId="19" fillId="0" borderId="14" xfId="1" applyNumberFormat="1" applyFont="1" applyFill="1" applyBorder="1"/>
    <xf numFmtId="169" fontId="16" fillId="0" borderId="14" xfId="0" applyNumberFormat="1" applyFont="1" applyBorder="1"/>
    <xf numFmtId="169" fontId="16" fillId="0" borderId="18" xfId="0" applyNumberFormat="1" applyFont="1" applyBorder="1"/>
    <xf numFmtId="169" fontId="0" fillId="3" borderId="14" xfId="0" applyNumberFormat="1" applyFill="1" applyBorder="1" applyAlignment="1">
      <alignment horizontal="right"/>
    </xf>
    <xf numFmtId="9" fontId="0" fillId="3" borderId="14" xfId="1" applyFont="1" applyFill="1" applyBorder="1" applyAlignment="1">
      <alignment horizontal="right"/>
    </xf>
    <xf numFmtId="169" fontId="0" fillId="3" borderId="14" xfId="0" applyNumberFormat="1" applyFill="1" applyBorder="1"/>
    <xf numFmtId="172" fontId="0" fillId="3" borderId="14" xfId="0" applyNumberFormat="1" applyFill="1" applyBorder="1" applyAlignment="1">
      <alignment horizontal="right"/>
    </xf>
    <xf numFmtId="167" fontId="16" fillId="10" borderId="17" xfId="0" applyNumberFormat="1" applyFont="1" applyFill="1" applyBorder="1"/>
    <xf numFmtId="166" fontId="16" fillId="3" borderId="19" xfId="0" applyFont="1" applyFill="1" applyBorder="1"/>
    <xf numFmtId="166" fontId="24" fillId="0" borderId="27" xfId="0" applyFont="1" applyBorder="1"/>
    <xf numFmtId="169" fontId="20" fillId="0" borderId="14" xfId="0" applyNumberFormat="1" applyFont="1" applyBorder="1" applyAlignment="1">
      <alignment horizontal="right"/>
    </xf>
    <xf numFmtId="166" fontId="24" fillId="0" borderId="13" xfId="0" applyFont="1" applyBorder="1"/>
    <xf numFmtId="166" fontId="24" fillId="0" borderId="14" xfId="1" applyNumberFormat="1" applyFont="1" applyFill="1" applyBorder="1"/>
    <xf numFmtId="166" fontId="24" fillId="0" borderId="26" xfId="1" applyNumberFormat="1" applyFont="1" applyFill="1" applyBorder="1"/>
    <xf numFmtId="166" fontId="24" fillId="0" borderId="29" xfId="0" applyFont="1" applyBorder="1" applyAlignment="1">
      <alignment horizontal="right"/>
    </xf>
    <xf numFmtId="166" fontId="24" fillId="0" borderId="30" xfId="0" applyFont="1" applyBorder="1" applyAlignment="1">
      <alignment horizontal="right"/>
    </xf>
    <xf numFmtId="166" fontId="24" fillId="0" borderId="3" xfId="0" applyFont="1" applyBorder="1" applyAlignment="1">
      <alignment horizontal="right"/>
    </xf>
    <xf numFmtId="166" fontId="24" fillId="0" borderId="4" xfId="0" applyFont="1" applyBorder="1" applyAlignment="1">
      <alignment horizontal="right"/>
    </xf>
    <xf numFmtId="9" fontId="24" fillId="0" borderId="0" xfId="53" applyFont="1" applyFill="1"/>
    <xf numFmtId="166" fontId="20" fillId="11" borderId="0" xfId="0" applyFont="1" applyFill="1"/>
    <xf numFmtId="166" fontId="23" fillId="0" borderId="28" xfId="0" applyFont="1" applyBorder="1"/>
    <xf numFmtId="166" fontId="17" fillId="3" borderId="14" xfId="0" applyFont="1" applyFill="1" applyBorder="1"/>
    <xf numFmtId="168" fontId="24" fillId="0" borderId="0" xfId="0" applyNumberFormat="1" applyFont="1"/>
    <xf numFmtId="169" fontId="24" fillId="0" borderId="4" xfId="0" applyNumberFormat="1" applyFont="1" applyBorder="1"/>
    <xf numFmtId="169" fontId="24" fillId="0" borderId="3" xfId="0" applyNumberFormat="1" applyFont="1" applyBorder="1"/>
    <xf numFmtId="9" fontId="33" fillId="0" borderId="26" xfId="1" applyFont="1" applyBorder="1"/>
    <xf numFmtId="168" fontId="16" fillId="0" borderId="0" xfId="0" applyNumberFormat="1" applyFont="1"/>
    <xf numFmtId="166" fontId="22" fillId="3" borderId="14" xfId="0" applyFont="1" applyFill="1" applyBorder="1"/>
    <xf numFmtId="167" fontId="13" fillId="0" borderId="0" xfId="0" applyNumberFormat="1" applyFont="1"/>
    <xf numFmtId="166" fontId="48" fillId="0" borderId="0" xfId="0" applyFont="1" applyAlignment="1">
      <alignment vertical="center" wrapText="1"/>
    </xf>
    <xf numFmtId="189" fontId="0" fillId="0" borderId="0" xfId="0" applyNumberFormat="1"/>
    <xf numFmtId="9" fontId="17" fillId="0" borderId="14" xfId="0" applyNumberFormat="1" applyFont="1" applyBorder="1"/>
    <xf numFmtId="9" fontId="17" fillId="0" borderId="26" xfId="0" applyNumberFormat="1" applyFont="1" applyBorder="1"/>
    <xf numFmtId="9" fontId="17" fillId="0" borderId="0" xfId="1" applyFont="1" applyFill="1"/>
    <xf numFmtId="166" fontId="22" fillId="0" borderId="14" xfId="0" applyFont="1" applyBorder="1"/>
    <xf numFmtId="166" fontId="20" fillId="4" borderId="0" xfId="0" applyFont="1" applyFill="1"/>
    <xf numFmtId="169" fontId="20" fillId="4" borderId="0" xfId="0" applyNumberFormat="1" applyFont="1" applyFill="1"/>
    <xf numFmtId="169" fontId="20" fillId="4" borderId="14" xfId="0" applyNumberFormat="1" applyFont="1" applyFill="1" applyBorder="1"/>
    <xf numFmtId="169" fontId="20" fillId="4" borderId="26" xfId="0" applyNumberFormat="1" applyFont="1" applyFill="1" applyBorder="1"/>
    <xf numFmtId="169" fontId="20" fillId="4" borderId="14" xfId="0" applyNumberFormat="1" applyFont="1" applyFill="1" applyBorder="1" applyAlignment="1">
      <alignment horizontal="right"/>
    </xf>
    <xf numFmtId="9" fontId="29" fillId="3" borderId="0" xfId="0" applyNumberFormat="1" applyFont="1" applyFill="1" applyAlignment="1">
      <alignment horizontal="left" indent="1"/>
    </xf>
    <xf numFmtId="3" fontId="0" fillId="3" borderId="0" xfId="0" applyNumberFormat="1" applyFill="1" applyAlignment="1">
      <alignment horizontal="left" indent="2"/>
    </xf>
    <xf numFmtId="3" fontId="33" fillId="0" borderId="14" xfId="1" applyNumberFormat="1" applyFont="1" applyFill="1" applyBorder="1"/>
    <xf numFmtId="3" fontId="33" fillId="0" borderId="26" xfId="1" applyNumberFormat="1" applyFont="1" applyFill="1" applyBorder="1"/>
    <xf numFmtId="3" fontId="33" fillId="0" borderId="0" xfId="1" applyNumberFormat="1" applyFont="1" applyFill="1" applyBorder="1"/>
    <xf numFmtId="3" fontId="0" fillId="0" borderId="14" xfId="0" applyNumberFormat="1" applyBorder="1"/>
    <xf numFmtId="3" fontId="12" fillId="0" borderId="0" xfId="1" applyNumberFormat="1" applyFont="1"/>
    <xf numFmtId="3" fontId="12" fillId="0" borderId="26" xfId="1" applyNumberFormat="1" applyFont="1" applyBorder="1"/>
    <xf numFmtId="3" fontId="16" fillId="3" borderId="0" xfId="0" applyNumberFormat="1" applyFont="1" applyFill="1" applyAlignment="1">
      <alignment horizontal="left"/>
    </xf>
    <xf numFmtId="3" fontId="39" fillId="0" borderId="14" xfId="1" applyNumberFormat="1" applyFont="1" applyFill="1" applyBorder="1"/>
    <xf numFmtId="3" fontId="39" fillId="0" borderId="26" xfId="1" applyNumberFormat="1" applyFont="1" applyFill="1" applyBorder="1"/>
    <xf numFmtId="3" fontId="39" fillId="0" borderId="0" xfId="1" applyNumberFormat="1" applyFont="1" applyFill="1" applyBorder="1"/>
    <xf numFmtId="3" fontId="25" fillId="0" borderId="26" xfId="1" applyNumberFormat="1" applyFont="1" applyFill="1" applyBorder="1"/>
    <xf numFmtId="168" fontId="16" fillId="3" borderId="0" xfId="0" applyNumberFormat="1" applyFont="1" applyFill="1" applyAlignment="1">
      <alignment horizontal="left"/>
    </xf>
    <xf numFmtId="49" fontId="81" fillId="0" borderId="0" xfId="0" applyNumberFormat="1" applyFont="1"/>
    <xf numFmtId="166" fontId="50" fillId="0" borderId="0" xfId="0" applyFont="1"/>
    <xf numFmtId="49" fontId="82" fillId="0" borderId="0" xfId="0" applyNumberFormat="1" applyFont="1"/>
    <xf numFmtId="49" fontId="50" fillId="0" borderId="0" xfId="0" applyNumberFormat="1" applyFont="1"/>
    <xf numFmtId="49" fontId="83" fillId="0" borderId="0" xfId="0" applyNumberFormat="1" applyFont="1"/>
    <xf numFmtId="49" fontId="50" fillId="0" borderId="12" xfId="0" applyNumberFormat="1" applyFont="1" applyBorder="1"/>
    <xf numFmtId="49" fontId="0" fillId="0" borderId="0" xfId="0" applyNumberFormat="1" applyAlignment="1">
      <alignment horizontal="left" vertical="center"/>
    </xf>
    <xf numFmtId="49" fontId="0" fillId="0" borderId="0" xfId="0" applyNumberFormat="1"/>
    <xf numFmtId="2" fontId="81" fillId="0" borderId="0" xfId="0" applyNumberFormat="1" applyFont="1"/>
    <xf numFmtId="49" fontId="50" fillId="0" borderId="12" xfId="0" applyNumberFormat="1" applyFont="1" applyBorder="1"/>
    <xf numFmtId="167" fontId="64" fillId="2" borderId="13" xfId="54" applyNumberFormat="1" applyFont="1" applyFill="1" applyBorder="1" applyAlignment="1">
      <alignment horizontal="center"/>
    </xf>
    <xf numFmtId="167" fontId="64" fillId="2" borderId="20" xfId="54" applyNumberFormat="1" applyFont="1" applyFill="1" applyBorder="1" applyAlignment="1">
      <alignment horizontal="center"/>
    </xf>
    <xf numFmtId="9" fontId="50" fillId="0" borderId="12" xfId="0" applyNumberFormat="1" applyFont="1" applyBorder="1"/>
  </cellXfs>
  <cellStyles count="60">
    <cellStyle name="_x000a_386grabber=M" xfId="57" xr:uid="{B505A4FB-B142-44E9-BA8D-5C34BDED5F86}"/>
    <cellStyle name="_3 stage GG model" xfId="24" xr:uid="{00000000-0005-0000-0000-000000000000}"/>
    <cellStyle name="_3 stage GG model 2" xfId="25" xr:uid="{00000000-0005-0000-0000-000001000000}"/>
    <cellStyle name="_MWA RR_1-pager " xfId="26" xr:uid="{00000000-0005-0000-0000-000002000000}"/>
    <cellStyle name="_RRS1_1_1-pager " xfId="27" xr:uid="{00000000-0005-0000-0000-000003000000}"/>
    <cellStyle name="_RRS10_1_1-pager " xfId="28" xr:uid="{00000000-0005-0000-0000-000004000000}"/>
    <cellStyle name="_SUMMARY " xfId="8" xr:uid="{00000000-0005-0000-0000-000005000000}"/>
    <cellStyle name="_SUMMARY  2" xfId="29" xr:uid="{00000000-0005-0000-0000-000006000000}"/>
    <cellStyle name="_SUMMARY _1-pager " xfId="30" xr:uid="{00000000-0005-0000-0000-000007000000}"/>
    <cellStyle name="0_Capex &amp; Depreciation " xfId="9" xr:uid="{00000000-0005-0000-0000-000008000000}"/>
    <cellStyle name="0_Valuing BP " xfId="10" xr:uid="{00000000-0005-0000-0000-000009000000}"/>
    <cellStyle name="c_HardInc " xfId="11" xr:uid="{00000000-0005-0000-0000-00000A000000}"/>
    <cellStyle name="Comma" xfId="40" builtinId="3"/>
    <cellStyle name="Comma 2" xfId="31" xr:uid="{00000000-0005-0000-0000-00000C000000}"/>
    <cellStyle name="Currency 2" xfId="7" xr:uid="{00000000-0005-0000-0000-00000D000000}"/>
    <cellStyle name="Currency 3" xfId="17" xr:uid="{00000000-0005-0000-0000-00000E000000}"/>
    <cellStyle name="Currency 4" xfId="18" xr:uid="{00000000-0005-0000-0000-00000F000000}"/>
    <cellStyle name="Currency 5" xfId="19" xr:uid="{00000000-0005-0000-0000-000010000000}"/>
    <cellStyle name="Currency 6" xfId="22" xr:uid="{00000000-0005-0000-0000-000011000000}"/>
    <cellStyle name="Currency 7" xfId="37" xr:uid="{00000000-0005-0000-0000-000012000000}"/>
    <cellStyle name="Currency 8" xfId="39" xr:uid="{00000000-0005-0000-0000-000013000000}"/>
    <cellStyle name="Hyperlink 2" xfId="32" xr:uid="{00000000-0005-0000-0000-000014000000}"/>
    <cellStyle name="Hyperlink 3" xfId="42" xr:uid="{00000000-0005-0000-0000-000015000000}"/>
    <cellStyle name="Millares_2AV_M_M " xfId="33" xr:uid="{00000000-0005-0000-0000-000016000000}"/>
    <cellStyle name="Moneda [0]_2AV_M_M " xfId="34" xr:uid="{00000000-0005-0000-0000-000017000000}"/>
    <cellStyle name="Normal" xfId="0" builtinId="0"/>
    <cellStyle name="Normal - Style1 2 2" xfId="54" xr:uid="{E678C002-BE78-4270-99B9-5BCE3D1CEE1B}"/>
    <cellStyle name="Normal 10" xfId="44" xr:uid="{00000000-0005-0000-0000-000019000000}"/>
    <cellStyle name="Normal 11" xfId="46" xr:uid="{00000000-0005-0000-0000-00001A000000}"/>
    <cellStyle name="Normal 12" xfId="48" xr:uid="{00000000-0005-0000-0000-00001B000000}"/>
    <cellStyle name="Normal 13" xfId="52" xr:uid="{B1E985DF-98DC-4F19-8953-955F4536D58B}"/>
    <cellStyle name="Normal 14" xfId="55" xr:uid="{02C3B23B-499D-4E86-BC24-F770733CCF1F}"/>
    <cellStyle name="Normal 15" xfId="58" xr:uid="{7A5C9236-F92C-4058-8C21-8C06F5741CC7}"/>
    <cellStyle name="Normal 2" xfId="2" xr:uid="{00000000-0005-0000-0000-00001C000000}"/>
    <cellStyle name="Normal 2 2" xfId="23" xr:uid="{00000000-0005-0000-0000-00001D000000}"/>
    <cellStyle name="Normal 3" xfId="4" xr:uid="{00000000-0005-0000-0000-00001E000000}"/>
    <cellStyle name="Normal 36 2" xfId="51" xr:uid="{00000000-0005-0000-0000-00001F000000}"/>
    <cellStyle name="Normal 4" xfId="5" xr:uid="{00000000-0005-0000-0000-000020000000}"/>
    <cellStyle name="Normal 5" xfId="16" xr:uid="{00000000-0005-0000-0000-000021000000}"/>
    <cellStyle name="Normal 6" xfId="20" xr:uid="{00000000-0005-0000-0000-000022000000}"/>
    <cellStyle name="Normal 7" xfId="3" xr:uid="{00000000-0005-0000-0000-000023000000}"/>
    <cellStyle name="Normal 8" xfId="38" xr:uid="{00000000-0005-0000-0000-000024000000}"/>
    <cellStyle name="Normal 9" xfId="41" xr:uid="{00000000-0005-0000-0000-000025000000}"/>
    <cellStyle name="p " xfId="12" xr:uid="{00000000-0005-0000-0000-000026000000}"/>
    <cellStyle name="Percent" xfId="1" builtinId="5"/>
    <cellStyle name="Percent 10" xfId="59" xr:uid="{D60FB7EE-BE07-4F72-A92E-F877F5FA738C}"/>
    <cellStyle name="Percent 2" xfId="21" xr:uid="{00000000-0005-0000-0000-000028000000}"/>
    <cellStyle name="Percent 3" xfId="43" xr:uid="{00000000-0005-0000-0000-000029000000}"/>
    <cellStyle name="Percent 4" xfId="45" xr:uid="{00000000-0005-0000-0000-00002A000000}"/>
    <cellStyle name="Percent 5" xfId="47" xr:uid="{00000000-0005-0000-0000-00002B000000}"/>
    <cellStyle name="Percent 6" xfId="49" xr:uid="{00000000-0005-0000-0000-00002C000000}"/>
    <cellStyle name="Percent 7" xfId="50" xr:uid="{00000000-0005-0000-0000-00002D000000}"/>
    <cellStyle name="Percent 8" xfId="53" xr:uid="{D789F98B-5B48-4488-A929-82E64ECEBE5E}"/>
    <cellStyle name="Percent 9" xfId="56" xr:uid="{4C8C3EDF-CCED-4CA0-8D6D-F37409197D2F}"/>
    <cellStyle name="RRSInstruction" xfId="6" xr:uid="{00000000-0005-0000-0000-00002E000000}"/>
    <cellStyle name="RRSInstruction 2" xfId="35" xr:uid="{00000000-0005-0000-0000-00002F000000}"/>
    <cellStyle name="s_HardInc " xfId="13" xr:uid="{00000000-0005-0000-0000-000030000000}"/>
    <cellStyle name="s_Valuation " xfId="14" xr:uid="{00000000-0005-0000-0000-000031000000}"/>
    <cellStyle name="ssp " xfId="15" xr:uid="{00000000-0005-0000-0000-000032000000}"/>
    <cellStyle name="표준_0N-HANDLING " xfId="36" xr:uid="{00000000-0005-0000-0000-000033000000}"/>
  </cellStyles>
  <dxfs count="9">
    <dxf>
      <font>
        <color rgb="FF00B050"/>
      </font>
    </dxf>
    <dxf>
      <font>
        <color rgb="FFFF0000"/>
      </font>
    </dxf>
    <dxf>
      <font>
        <color rgb="FFFF9900"/>
      </font>
    </dxf>
    <dxf>
      <font>
        <color rgb="FF00B050"/>
      </font>
    </dxf>
    <dxf>
      <font>
        <color rgb="FFFF0000"/>
      </font>
    </dxf>
    <dxf>
      <font>
        <color rgb="FFFF9900"/>
      </font>
    </dxf>
    <dxf>
      <font>
        <color rgb="FF00B050"/>
      </font>
    </dxf>
    <dxf>
      <font>
        <color rgb="FFFF0000"/>
      </font>
    </dxf>
    <dxf>
      <font>
        <color rgb="FFFF9900"/>
      </font>
    </dxf>
  </dxfs>
  <tableStyles count="0" defaultTableStyle="TableStyleMedium2" defaultPivotStyle="PivotStyleLight16"/>
  <colors>
    <mruColors>
      <color rgb="FFC5D9F1"/>
      <color rgb="FF0984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gif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63500</xdr:colOff>
      <xdr:row>0</xdr:row>
      <xdr:rowOff>0</xdr:rowOff>
    </xdr:from>
    <xdr:to>
      <xdr:col>3</xdr:col>
      <xdr:colOff>25618</xdr:colOff>
      <xdr:row>1</xdr:row>
      <xdr:rowOff>41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A76E98D-0338-186D-D6CD-F9332FCEFC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00" y="0"/>
          <a:ext cx="1562318" cy="295316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127000</xdr:colOff>
      <xdr:row>185</xdr:row>
      <xdr:rowOff>0</xdr:rowOff>
    </xdr:from>
    <xdr:to>
      <xdr:col>12</xdr:col>
      <xdr:colOff>222250</xdr:colOff>
      <xdr:row>212</xdr:row>
      <xdr:rowOff>104775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8B7F6855-62AA-7696-52F0-FB6AE08C38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0" y="29613225"/>
          <a:ext cx="6496050" cy="39624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62</xdr:col>
      <xdr:colOff>167640</xdr:colOff>
      <xdr:row>47</xdr:row>
      <xdr:rowOff>15240</xdr:rowOff>
    </xdr:from>
    <xdr:to>
      <xdr:col>66</xdr:col>
      <xdr:colOff>7620</xdr:colOff>
      <xdr:row>61</xdr:row>
      <xdr:rowOff>83820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5DCCA12F-1A10-459A-B1B0-8AA9D66B41B8}"/>
            </a:ext>
          </a:extLst>
        </xdr:cNvPr>
        <xdr:cNvSpPr txBox="1"/>
      </xdr:nvSpPr>
      <xdr:spPr>
        <a:xfrm>
          <a:off x="10477500" y="2781300"/>
          <a:ext cx="2377440" cy="1943100"/>
        </a:xfrm>
        <a:prstGeom prst="rect">
          <a:avLst/>
        </a:prstGeom>
        <a:solidFill>
          <a:schemeClr val="bg2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/>
            <a:t>Note: </a:t>
          </a:r>
        </a:p>
        <a:p>
          <a:r>
            <a:rPr lang="en-GB" sz="1100"/>
            <a:t>Programme analysis historics below reflects</a:t>
          </a:r>
          <a:r>
            <a:rPr lang="en-GB" sz="1100" baseline="0"/>
            <a:t> total deliveries, whereas forecasts reflect OE only and exclude spares which are sold at a higher price. This distort the revenue per on-wing output here because we do not have split of spares by programme allowing us to break out OE by programme. </a:t>
          </a:r>
          <a:endParaRPr lang="en-GB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63</xdr:col>
      <xdr:colOff>30480</xdr:colOff>
      <xdr:row>149</xdr:row>
      <xdr:rowOff>0</xdr:rowOff>
    </xdr:from>
    <xdr:to>
      <xdr:col>67</xdr:col>
      <xdr:colOff>167640</xdr:colOff>
      <xdr:row>158</xdr:row>
      <xdr:rowOff>53340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EA451DFC-2A40-4B6A-87BF-21FBCC94F2D6}"/>
            </a:ext>
          </a:extLst>
        </xdr:cNvPr>
        <xdr:cNvSpPr txBox="1"/>
      </xdr:nvSpPr>
      <xdr:spPr>
        <a:xfrm>
          <a:off x="10850880" y="17967960"/>
          <a:ext cx="2110740" cy="1341120"/>
        </a:xfrm>
        <a:prstGeom prst="rect">
          <a:avLst/>
        </a:prstGeom>
        <a:solidFill>
          <a:schemeClr val="bg2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/>
            <a:t>2019:</a:t>
          </a:r>
          <a:r>
            <a:rPr lang="en-GB" sz="1100" baseline="0"/>
            <a:t> 15.3m LTSA EFH with total installed base (excl. parked/storage/retired) of c5000 engines assuming 95% LTSA =  c3,220 hours pa (8.8 hours per day) average. </a:t>
          </a:r>
        </a:p>
        <a:p>
          <a:endParaRPr lang="en-GB" sz="1100" baseline="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Research">
      <a:dk1>
        <a:sysClr val="windowText" lastClr="000000"/>
      </a:dk1>
      <a:lt1>
        <a:sysClr val="window" lastClr="FFFFFF"/>
      </a:lt1>
      <a:dk2>
        <a:srgbClr val="003366"/>
      </a:dk2>
      <a:lt2>
        <a:srgbClr val="C6D9E2"/>
      </a:lt2>
      <a:accent1>
        <a:srgbClr val="137CB1"/>
      </a:accent1>
      <a:accent2>
        <a:srgbClr val="EACC80"/>
      </a:accent2>
      <a:accent3>
        <a:srgbClr val="4AAC6B"/>
      </a:accent3>
      <a:accent4>
        <a:srgbClr val="A8D7E2"/>
      </a:accent4>
      <a:accent5>
        <a:srgbClr val="E58061"/>
      </a:accent5>
      <a:accent6>
        <a:srgbClr val="BCE3A1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A544D5-0225-453B-A43A-0FA2BFEEEFA7}">
  <dimension ref="A1:H438"/>
  <sheetViews>
    <sheetView showGridLines="0" tabSelected="1" workbookViewId="0">
      <selection activeCell="A10" sqref="A10"/>
    </sheetView>
  </sheetViews>
  <sheetFormatPr defaultRowHeight="10.199999999999999"/>
  <sheetData>
    <row r="1" spans="1:8" ht="23.25" customHeight="1">
      <c r="A1" s="1162"/>
      <c r="B1" s="1163"/>
      <c r="C1" s="1163"/>
      <c r="D1" s="1163"/>
      <c r="E1" s="1163"/>
      <c r="F1" s="1163"/>
      <c r="G1" s="1163"/>
      <c r="H1" s="1163"/>
    </row>
    <row r="2" spans="1:8" ht="13.2">
      <c r="A2" s="1156" t="s">
        <v>1065</v>
      </c>
      <c r="B2" s="1163"/>
      <c r="C2" s="1163"/>
      <c r="D2" s="1163"/>
      <c r="E2" s="1163"/>
      <c r="F2" s="1163"/>
      <c r="G2" s="1163"/>
      <c r="H2" s="1163"/>
    </row>
    <row r="3" spans="1:8" ht="13.2">
      <c r="A3" s="1156" t="s">
        <v>1066</v>
      </c>
      <c r="B3" s="1163"/>
      <c r="C3" s="1163"/>
      <c r="D3" s="1163"/>
      <c r="E3" s="1163"/>
      <c r="F3" s="1163"/>
      <c r="G3" s="1163"/>
      <c r="H3" s="1163"/>
    </row>
    <row r="4" spans="1:8" ht="13.2">
      <c r="A4" s="1156" t="s">
        <v>1067</v>
      </c>
      <c r="B4" s="1163"/>
      <c r="C4" s="1163"/>
      <c r="D4" s="1163"/>
      <c r="E4" s="1163"/>
      <c r="F4" s="1163"/>
      <c r="G4" s="1163"/>
      <c r="H4" s="1163"/>
    </row>
    <row r="5" spans="1:8" ht="13.2">
      <c r="A5" s="1156" t="s">
        <v>1068</v>
      </c>
      <c r="B5" s="1163"/>
      <c r="C5" s="1163"/>
      <c r="D5" s="1163"/>
      <c r="E5" s="1163"/>
      <c r="F5" s="1163"/>
      <c r="G5" s="1163"/>
      <c r="H5" s="1163"/>
    </row>
    <row r="6" spans="1:8" ht="13.2">
      <c r="A6" s="1156"/>
      <c r="B6" s="1163"/>
      <c r="C6" s="1163"/>
      <c r="D6" s="1163"/>
      <c r="E6" s="1163"/>
      <c r="F6" s="1163"/>
      <c r="G6" s="1163"/>
      <c r="H6" s="1163"/>
    </row>
    <row r="7" spans="1:8" ht="13.2">
      <c r="A7" s="1156" t="s">
        <v>1069</v>
      </c>
      <c r="B7" s="1163"/>
      <c r="C7" s="1163"/>
      <c r="D7" s="1163"/>
      <c r="E7" s="1163"/>
      <c r="F7" s="1163"/>
      <c r="G7" s="1163"/>
      <c r="H7" s="1163"/>
    </row>
    <row r="8" spans="1:8" ht="13.2">
      <c r="A8" s="1156" t="s">
        <v>1070</v>
      </c>
      <c r="B8" s="1163"/>
      <c r="C8" s="1163"/>
      <c r="D8" s="1163"/>
      <c r="E8" s="1163"/>
      <c r="F8" s="1163"/>
      <c r="G8" s="1163"/>
      <c r="H8" s="1163"/>
    </row>
    <row r="9" spans="1:8" ht="13.2">
      <c r="A9" s="1156"/>
      <c r="B9" s="1163"/>
      <c r="C9" s="1163"/>
      <c r="D9" s="1163"/>
      <c r="E9" s="1163"/>
      <c r="F9" s="1163"/>
      <c r="G9" s="1163"/>
      <c r="H9" s="1163"/>
    </row>
    <row r="10" spans="1:8" ht="13.2">
      <c r="A10" s="1156" t="s">
        <v>1071</v>
      </c>
      <c r="B10" s="1163"/>
      <c r="C10" s="1163"/>
      <c r="D10" s="1163"/>
      <c r="E10" s="1163"/>
      <c r="F10" s="1163"/>
      <c r="G10" s="1163"/>
      <c r="H10" s="1163"/>
    </row>
    <row r="11" spans="1:8" ht="13.2">
      <c r="A11" s="1156" t="s">
        <v>1072</v>
      </c>
      <c r="B11" s="1163"/>
      <c r="C11" s="1163"/>
      <c r="D11" s="1163"/>
      <c r="E11" s="1163"/>
      <c r="F11" s="1163"/>
      <c r="G11" s="1163"/>
      <c r="H11" s="1163"/>
    </row>
    <row r="12" spans="1:8" ht="13.2">
      <c r="A12" s="1156" t="s">
        <v>1073</v>
      </c>
      <c r="B12" s="1163"/>
      <c r="C12" s="1163"/>
      <c r="D12" s="1163"/>
      <c r="E12" s="1163"/>
      <c r="F12" s="1163"/>
      <c r="G12" s="1163"/>
      <c r="H12" s="1163"/>
    </row>
    <row r="13" spans="1:8" ht="13.2">
      <c r="A13" s="1156" t="s">
        <v>1074</v>
      </c>
      <c r="B13" s="1163"/>
      <c r="C13" s="1163"/>
      <c r="D13" s="1163"/>
      <c r="E13" s="1163"/>
      <c r="F13" s="1163"/>
      <c r="G13" s="1163"/>
      <c r="H13" s="1163"/>
    </row>
    <row r="14" spans="1:8" ht="13.2">
      <c r="A14" s="1156" t="s">
        <v>1075</v>
      </c>
      <c r="B14" s="1163"/>
      <c r="C14" s="1163"/>
      <c r="D14" s="1163"/>
      <c r="E14" s="1163"/>
      <c r="F14" s="1163"/>
      <c r="G14" s="1163"/>
      <c r="H14" s="1163"/>
    </row>
    <row r="15" spans="1:8" ht="13.2">
      <c r="A15" s="1156" t="s">
        <v>1076</v>
      </c>
      <c r="B15" s="1163"/>
      <c r="C15" s="1163"/>
      <c r="D15" s="1163"/>
      <c r="E15" s="1163"/>
      <c r="F15" s="1163"/>
      <c r="G15" s="1163"/>
      <c r="H15" s="1163"/>
    </row>
    <row r="16" spans="1:8" ht="13.2">
      <c r="A16" s="1156"/>
      <c r="B16" s="1163"/>
      <c r="C16" s="1163"/>
      <c r="D16" s="1163"/>
      <c r="E16" s="1163"/>
      <c r="F16" s="1163"/>
      <c r="G16" s="1163"/>
      <c r="H16" s="1163"/>
    </row>
    <row r="17" spans="1:8" ht="13.2">
      <c r="A17" s="1156" t="s">
        <v>1077</v>
      </c>
      <c r="B17" s="1163"/>
      <c r="C17" s="1163"/>
      <c r="D17" s="1163"/>
      <c r="E17" s="1163"/>
      <c r="F17" s="1163"/>
      <c r="G17" s="1163"/>
      <c r="H17" s="1163"/>
    </row>
    <row r="18" spans="1:8" ht="13.2">
      <c r="A18" s="1156"/>
      <c r="B18" s="1163"/>
      <c r="C18" s="1163"/>
      <c r="D18" s="1163"/>
      <c r="E18" s="1163"/>
      <c r="F18" s="1163"/>
      <c r="G18" s="1163"/>
      <c r="H18" s="1163"/>
    </row>
    <row r="19" spans="1:8" ht="13.2">
      <c r="A19" s="1156" t="s">
        <v>1078</v>
      </c>
      <c r="B19" s="1163"/>
      <c r="C19" s="1163"/>
      <c r="D19" s="1163"/>
      <c r="E19" s="1163"/>
      <c r="F19" s="1163"/>
      <c r="G19" s="1163"/>
      <c r="H19" s="1163"/>
    </row>
    <row r="20" spans="1:8" ht="13.2">
      <c r="A20" s="1156"/>
      <c r="B20" s="1163"/>
      <c r="C20" s="1163"/>
      <c r="D20" s="1163"/>
      <c r="E20" s="1163"/>
      <c r="F20" s="1163"/>
      <c r="G20" s="1163"/>
      <c r="H20" s="1163"/>
    </row>
    <row r="21" spans="1:8" ht="13.2">
      <c r="A21" s="1158" t="s">
        <v>1079</v>
      </c>
      <c r="B21" s="1163"/>
      <c r="C21" s="1163"/>
      <c r="D21" s="1163"/>
      <c r="E21" s="1163"/>
      <c r="F21" s="1163"/>
      <c r="G21" s="1163"/>
      <c r="H21" s="1163"/>
    </row>
    <row r="22" spans="1:8">
      <c r="A22" s="1163"/>
      <c r="B22" s="1163"/>
      <c r="C22" s="1163"/>
      <c r="D22" s="1163"/>
      <c r="E22" s="1163"/>
      <c r="F22" s="1163"/>
      <c r="G22" s="1163"/>
      <c r="H22" s="1163"/>
    </row>
    <row r="23" spans="1:8" ht="13.2">
      <c r="A23" s="1159" t="s">
        <v>1080</v>
      </c>
      <c r="B23" s="1163"/>
      <c r="C23" s="1163"/>
      <c r="D23" s="1163"/>
      <c r="E23" s="1163"/>
      <c r="F23" s="1163"/>
      <c r="G23" s="1163"/>
      <c r="H23" s="1163"/>
    </row>
    <row r="24" spans="1:8" ht="13.2">
      <c r="A24" s="1159" t="s">
        <v>1081</v>
      </c>
      <c r="B24" s="1163"/>
      <c r="C24" s="1163"/>
      <c r="D24" s="1163"/>
      <c r="E24" s="1163"/>
      <c r="F24" s="1163"/>
      <c r="G24" s="1163"/>
      <c r="H24" s="1163"/>
    </row>
    <row r="25" spans="1:8" ht="13.2">
      <c r="A25" s="1159" t="s">
        <v>1082</v>
      </c>
      <c r="B25" s="1163"/>
      <c r="C25" s="1163"/>
      <c r="D25" s="1163"/>
      <c r="E25" s="1163"/>
      <c r="F25" s="1163"/>
      <c r="G25" s="1163"/>
      <c r="H25" s="1163"/>
    </row>
    <row r="26" spans="1:8" ht="13.2">
      <c r="A26" s="1159" t="s">
        <v>1083</v>
      </c>
      <c r="B26" s="1163"/>
      <c r="C26" s="1163"/>
      <c r="D26" s="1163"/>
      <c r="E26" s="1163"/>
      <c r="F26" s="1163"/>
      <c r="G26" s="1163"/>
      <c r="H26" s="1163"/>
    </row>
    <row r="27" spans="1:8">
      <c r="A27" s="1163"/>
      <c r="B27" s="1163"/>
      <c r="C27" s="1163"/>
      <c r="D27" s="1163"/>
      <c r="E27" s="1163"/>
      <c r="F27" s="1163"/>
      <c r="G27" s="1163"/>
      <c r="H27" s="1163"/>
    </row>
    <row r="28" spans="1:8" ht="13.2">
      <c r="A28" s="1159" t="s">
        <v>1084</v>
      </c>
      <c r="B28" s="1163"/>
      <c r="C28" s="1163"/>
      <c r="D28" s="1163"/>
      <c r="E28" s="1163"/>
      <c r="F28" s="1163"/>
      <c r="G28" s="1163"/>
      <c r="H28" s="1163"/>
    </row>
    <row r="29" spans="1:8" ht="13.2">
      <c r="A29" s="1159" t="s">
        <v>1085</v>
      </c>
      <c r="B29" s="1163"/>
      <c r="C29" s="1163"/>
      <c r="D29" s="1163"/>
      <c r="E29" s="1163"/>
      <c r="F29" s="1163"/>
      <c r="G29" s="1163"/>
      <c r="H29" s="1163"/>
    </row>
    <row r="30" spans="1:8" ht="13.2">
      <c r="A30" s="1159" t="s">
        <v>1086</v>
      </c>
      <c r="B30" s="1163"/>
      <c r="C30" s="1163"/>
      <c r="D30" s="1163"/>
      <c r="E30" s="1163"/>
      <c r="F30" s="1163"/>
      <c r="G30" s="1163"/>
      <c r="H30" s="1163"/>
    </row>
    <row r="31" spans="1:8" ht="13.2">
      <c r="A31" s="1159" t="s">
        <v>1087</v>
      </c>
      <c r="B31" s="1163"/>
      <c r="C31" s="1163"/>
      <c r="D31" s="1163"/>
      <c r="E31" s="1163"/>
      <c r="F31" s="1163"/>
      <c r="G31" s="1163"/>
      <c r="H31" s="1163"/>
    </row>
    <row r="32" spans="1:8" ht="13.2">
      <c r="A32" s="1159" t="s">
        <v>1088</v>
      </c>
      <c r="B32" s="1163"/>
      <c r="C32" s="1163"/>
      <c r="D32" s="1163"/>
      <c r="E32" s="1163"/>
      <c r="F32" s="1163"/>
      <c r="G32" s="1163"/>
      <c r="H32" s="1163"/>
    </row>
    <row r="33" spans="1:8" ht="13.2">
      <c r="A33" s="1159" t="s">
        <v>1089</v>
      </c>
      <c r="B33" s="1163"/>
      <c r="C33" s="1163"/>
      <c r="D33" s="1163"/>
      <c r="E33" s="1163"/>
      <c r="F33" s="1163"/>
      <c r="G33" s="1163"/>
      <c r="H33" s="1163"/>
    </row>
    <row r="34" spans="1:8" ht="13.2">
      <c r="A34" s="1159" t="s">
        <v>1090</v>
      </c>
      <c r="B34" s="1163"/>
      <c r="C34" s="1163"/>
      <c r="D34" s="1163"/>
      <c r="E34" s="1163"/>
      <c r="F34" s="1163"/>
      <c r="G34" s="1163"/>
      <c r="H34" s="1163"/>
    </row>
    <row r="35" spans="1:8" ht="13.2">
      <c r="A35" s="1159" t="s">
        <v>1091</v>
      </c>
      <c r="B35" s="1163"/>
      <c r="C35" s="1163"/>
      <c r="D35" s="1163"/>
      <c r="E35" s="1163"/>
      <c r="F35" s="1163"/>
      <c r="G35" s="1163"/>
      <c r="H35" s="1163"/>
    </row>
    <row r="36" spans="1:8" ht="13.2">
      <c r="A36" s="1159" t="s">
        <v>1092</v>
      </c>
      <c r="B36" s="1163"/>
      <c r="C36" s="1163"/>
      <c r="D36" s="1163"/>
      <c r="E36" s="1163"/>
      <c r="F36" s="1163"/>
      <c r="G36" s="1163"/>
      <c r="H36" s="1163"/>
    </row>
    <row r="37" spans="1:8" ht="13.2">
      <c r="A37" s="1159" t="s">
        <v>1093</v>
      </c>
      <c r="B37" s="1163"/>
      <c r="C37" s="1163"/>
      <c r="D37" s="1163"/>
      <c r="E37" s="1163"/>
      <c r="F37" s="1163"/>
      <c r="G37" s="1163"/>
      <c r="H37" s="1163"/>
    </row>
    <row r="38" spans="1:8" ht="13.2">
      <c r="A38" s="1159" t="s">
        <v>1094</v>
      </c>
      <c r="B38" s="1163"/>
      <c r="C38" s="1163"/>
      <c r="D38" s="1163"/>
      <c r="E38" s="1163"/>
      <c r="F38" s="1163"/>
      <c r="G38" s="1163"/>
      <c r="H38" s="1163"/>
    </row>
    <row r="39" spans="1:8" ht="13.2">
      <c r="A39" s="1159" t="s">
        <v>1095</v>
      </c>
      <c r="B39" s="1163"/>
      <c r="C39" s="1163"/>
      <c r="D39" s="1163"/>
      <c r="E39" s="1163"/>
      <c r="F39" s="1163"/>
      <c r="G39" s="1163"/>
      <c r="H39" s="1163"/>
    </row>
    <row r="40" spans="1:8" ht="13.2">
      <c r="A40" s="1159" t="s">
        <v>1096</v>
      </c>
      <c r="B40" s="1163"/>
      <c r="C40" s="1163"/>
      <c r="D40" s="1163"/>
      <c r="E40" s="1163"/>
      <c r="F40" s="1163"/>
      <c r="G40" s="1163"/>
      <c r="H40" s="1163"/>
    </row>
    <row r="41" spans="1:8">
      <c r="A41" s="1163"/>
      <c r="B41" s="1163"/>
      <c r="C41" s="1163"/>
      <c r="D41" s="1163"/>
      <c r="E41" s="1163"/>
      <c r="F41" s="1163"/>
      <c r="G41" s="1163"/>
      <c r="H41" s="1163"/>
    </row>
    <row r="42" spans="1:8" ht="13.2">
      <c r="A42" s="1159" t="s">
        <v>1097</v>
      </c>
      <c r="B42" s="1163"/>
      <c r="C42" s="1163"/>
      <c r="D42" s="1163"/>
      <c r="E42" s="1163"/>
      <c r="F42" s="1163"/>
      <c r="G42" s="1163"/>
      <c r="H42" s="1163"/>
    </row>
    <row r="43" spans="1:8" ht="13.2">
      <c r="A43" s="1159" t="s">
        <v>1098</v>
      </c>
      <c r="B43" s="1163"/>
      <c r="C43" s="1163"/>
      <c r="D43" s="1163"/>
      <c r="E43" s="1163"/>
      <c r="F43" s="1163"/>
      <c r="G43" s="1163"/>
      <c r="H43" s="1163"/>
    </row>
    <row r="44" spans="1:8" ht="13.2">
      <c r="A44" s="1159" t="s">
        <v>1099</v>
      </c>
      <c r="B44" s="1163"/>
      <c r="C44" s="1163"/>
      <c r="D44" s="1163"/>
      <c r="E44" s="1163"/>
      <c r="F44" s="1163"/>
      <c r="G44" s="1163"/>
      <c r="H44" s="1163"/>
    </row>
    <row r="45" spans="1:8" ht="13.2">
      <c r="A45" s="1159" t="s">
        <v>1100</v>
      </c>
      <c r="B45" s="1163"/>
      <c r="C45" s="1163"/>
      <c r="D45" s="1163"/>
      <c r="E45" s="1163"/>
      <c r="F45" s="1163"/>
      <c r="G45" s="1163"/>
      <c r="H45" s="1163"/>
    </row>
    <row r="46" spans="1:8">
      <c r="A46" s="1163"/>
      <c r="B46" s="1163"/>
      <c r="C46" s="1163"/>
      <c r="D46" s="1163"/>
      <c r="E46" s="1163"/>
      <c r="F46" s="1163"/>
      <c r="G46" s="1163"/>
      <c r="H46" s="1163"/>
    </row>
    <row r="47" spans="1:8" ht="13.2">
      <c r="A47" s="1159" t="s">
        <v>1101</v>
      </c>
      <c r="B47" s="1163"/>
      <c r="C47" s="1163"/>
      <c r="D47" s="1163"/>
      <c r="E47" s="1163"/>
      <c r="F47" s="1163"/>
      <c r="G47" s="1163"/>
      <c r="H47" s="1163"/>
    </row>
    <row r="48" spans="1:8" ht="13.2">
      <c r="A48" s="1159" t="s">
        <v>1102</v>
      </c>
      <c r="B48" s="1163"/>
      <c r="C48" s="1163"/>
      <c r="D48" s="1163"/>
      <c r="E48" s="1163"/>
      <c r="F48" s="1163"/>
      <c r="G48" s="1163"/>
      <c r="H48" s="1163"/>
    </row>
    <row r="49" spans="1:8" ht="13.2">
      <c r="A49" s="1159" t="s">
        <v>1103</v>
      </c>
      <c r="B49" s="1163"/>
      <c r="C49" s="1163"/>
      <c r="D49" s="1163"/>
      <c r="E49" s="1163"/>
      <c r="F49" s="1163"/>
      <c r="G49" s="1163"/>
      <c r="H49" s="1163"/>
    </row>
    <row r="50" spans="1:8" ht="13.2">
      <c r="A50" s="1159" t="s">
        <v>1104</v>
      </c>
      <c r="B50" s="1163"/>
      <c r="C50" s="1163"/>
      <c r="D50" s="1163"/>
      <c r="E50" s="1163"/>
      <c r="F50" s="1163"/>
      <c r="G50" s="1163"/>
      <c r="H50" s="1163"/>
    </row>
    <row r="51" spans="1:8" ht="13.2">
      <c r="A51" s="1159" t="s">
        <v>1105</v>
      </c>
      <c r="B51" s="1163"/>
      <c r="C51" s="1163"/>
      <c r="D51" s="1163"/>
      <c r="E51" s="1163"/>
      <c r="F51" s="1163"/>
      <c r="G51" s="1163"/>
      <c r="H51" s="1163"/>
    </row>
    <row r="52" spans="1:8" ht="13.2">
      <c r="A52" s="1159" t="s">
        <v>1106</v>
      </c>
      <c r="B52" s="1163"/>
      <c r="C52" s="1163"/>
      <c r="D52" s="1163"/>
      <c r="E52" s="1163"/>
      <c r="F52" s="1163"/>
      <c r="G52" s="1163"/>
      <c r="H52" s="1163"/>
    </row>
    <row r="53" spans="1:8">
      <c r="A53" s="1163"/>
      <c r="B53" s="1163"/>
      <c r="C53" s="1163"/>
      <c r="D53" s="1163"/>
      <c r="E53" s="1163"/>
      <c r="F53" s="1163"/>
      <c r="G53" s="1163"/>
      <c r="H53" s="1163"/>
    </row>
    <row r="54" spans="1:8" ht="15.6">
      <c r="A54" s="1160" t="s">
        <v>1107</v>
      </c>
      <c r="B54" s="1163"/>
      <c r="C54" s="1163"/>
      <c r="D54" s="1163"/>
      <c r="E54" s="1163"/>
      <c r="F54" s="1163"/>
      <c r="G54" s="1163"/>
      <c r="H54" s="1163"/>
    </row>
    <row r="55" spans="1:8">
      <c r="A55" s="1163"/>
      <c r="B55" s="1163"/>
      <c r="C55" s="1163"/>
      <c r="D55" s="1163"/>
      <c r="E55" s="1163"/>
      <c r="F55" s="1163"/>
      <c r="G55" s="1163"/>
      <c r="H55" s="1163"/>
    </row>
    <row r="56" spans="1:8" ht="13.2">
      <c r="A56" s="1159" t="s">
        <v>1108</v>
      </c>
      <c r="B56" s="1163"/>
      <c r="C56" s="1163"/>
      <c r="D56" s="1163"/>
      <c r="E56" s="1163"/>
      <c r="F56" s="1163"/>
      <c r="G56" s="1163"/>
      <c r="H56" s="1163"/>
    </row>
    <row r="57" spans="1:8" ht="13.2">
      <c r="A57" s="1159" t="s">
        <v>1109</v>
      </c>
      <c r="B57" s="1163"/>
      <c r="C57" s="1163"/>
      <c r="D57" s="1163"/>
      <c r="E57" s="1163"/>
      <c r="F57" s="1163"/>
      <c r="G57" s="1163"/>
      <c r="H57" s="1163"/>
    </row>
    <row r="58" spans="1:8" ht="13.2">
      <c r="A58" s="1159" t="s">
        <v>1110</v>
      </c>
      <c r="B58" s="1163"/>
      <c r="C58" s="1163"/>
      <c r="D58" s="1163"/>
      <c r="E58" s="1163"/>
      <c r="F58" s="1163"/>
      <c r="G58" s="1163"/>
      <c r="H58" s="1163"/>
    </row>
    <row r="59" spans="1:8" ht="13.2">
      <c r="A59" s="1159" t="s">
        <v>1111</v>
      </c>
      <c r="B59" s="1163"/>
      <c r="C59" s="1163"/>
      <c r="D59" s="1163"/>
      <c r="E59" s="1163"/>
      <c r="F59" s="1163"/>
      <c r="G59" s="1163"/>
      <c r="H59" s="1163"/>
    </row>
    <row r="60" spans="1:8">
      <c r="A60" s="1163"/>
      <c r="B60" s="1163"/>
      <c r="C60" s="1163"/>
      <c r="D60" s="1163"/>
      <c r="E60" s="1163"/>
      <c r="F60" s="1163"/>
      <c r="G60" s="1163"/>
      <c r="H60" s="1163"/>
    </row>
    <row r="61" spans="1:8" ht="13.2">
      <c r="A61" s="1159" t="s">
        <v>1112</v>
      </c>
      <c r="B61" s="1163"/>
      <c r="C61" s="1163"/>
      <c r="D61" s="1163"/>
      <c r="E61" s="1163"/>
      <c r="F61" s="1163"/>
      <c r="G61" s="1163"/>
      <c r="H61" s="1163"/>
    </row>
    <row r="62" spans="1:8">
      <c r="A62" s="1163"/>
      <c r="B62" s="1163"/>
      <c r="C62" s="1163"/>
      <c r="D62" s="1163"/>
      <c r="E62" s="1163"/>
      <c r="F62" s="1163"/>
      <c r="G62" s="1163"/>
      <c r="H62" s="1163"/>
    </row>
    <row r="63" spans="1:8" ht="15.6">
      <c r="A63" s="1160" t="s">
        <v>1113</v>
      </c>
      <c r="B63" s="1163"/>
      <c r="C63" s="1163"/>
      <c r="D63" s="1163"/>
      <c r="E63" s="1163"/>
      <c r="F63" s="1163"/>
      <c r="G63" s="1163"/>
      <c r="H63" s="1163"/>
    </row>
    <row r="64" spans="1:8">
      <c r="A64" s="1163"/>
      <c r="B64" s="1163"/>
      <c r="C64" s="1163"/>
      <c r="D64" s="1163"/>
      <c r="E64" s="1163"/>
      <c r="F64" s="1163"/>
      <c r="G64" s="1163"/>
      <c r="H64" s="1163"/>
    </row>
    <row r="65" spans="1:8" ht="13.2">
      <c r="A65" s="1159" t="s">
        <v>1114</v>
      </c>
      <c r="B65" s="1163"/>
      <c r="C65" s="1163"/>
      <c r="D65" s="1163"/>
      <c r="E65" s="1163"/>
      <c r="F65" s="1163"/>
      <c r="G65" s="1163"/>
      <c r="H65" s="1163"/>
    </row>
    <row r="66" spans="1:8" ht="13.2">
      <c r="A66" s="1159" t="s">
        <v>1115</v>
      </c>
      <c r="B66" s="1163"/>
      <c r="C66" s="1163"/>
      <c r="D66" s="1163"/>
      <c r="E66" s="1163"/>
      <c r="F66" s="1163"/>
      <c r="G66" s="1163"/>
      <c r="H66" s="1163"/>
    </row>
    <row r="67" spans="1:8" ht="13.2">
      <c r="A67" s="1159" t="s">
        <v>1116</v>
      </c>
      <c r="B67" s="1163"/>
      <c r="C67" s="1163"/>
      <c r="D67" s="1163"/>
      <c r="E67" s="1163"/>
      <c r="F67" s="1163"/>
      <c r="G67" s="1163"/>
      <c r="H67" s="1163"/>
    </row>
    <row r="68" spans="1:8">
      <c r="A68" s="1163"/>
      <c r="B68" s="1163"/>
      <c r="C68" s="1163"/>
      <c r="D68" s="1163"/>
      <c r="E68" s="1163"/>
      <c r="F68" s="1163"/>
      <c r="G68" s="1163"/>
      <c r="H68" s="1163"/>
    </row>
    <row r="69" spans="1:8" ht="15.6">
      <c r="A69" s="1160" t="s">
        <v>1117</v>
      </c>
      <c r="B69" s="1163"/>
      <c r="C69" s="1163"/>
      <c r="D69" s="1163"/>
      <c r="E69" s="1163"/>
      <c r="F69" s="1163"/>
      <c r="G69" s="1163"/>
      <c r="H69" s="1163"/>
    </row>
    <row r="70" spans="1:8">
      <c r="A70" s="1163"/>
      <c r="B70" s="1163"/>
      <c r="C70" s="1163"/>
      <c r="D70" s="1163"/>
      <c r="E70" s="1163"/>
      <c r="F70" s="1163"/>
      <c r="G70" s="1163"/>
      <c r="H70" s="1163"/>
    </row>
    <row r="71" spans="1:8" ht="13.2">
      <c r="A71" s="1159" t="s">
        <v>1118</v>
      </c>
      <c r="B71" s="1163"/>
      <c r="C71" s="1163"/>
      <c r="D71" s="1163"/>
      <c r="E71" s="1163"/>
      <c r="F71" s="1163"/>
      <c r="G71" s="1163"/>
      <c r="H71" s="1163"/>
    </row>
    <row r="72" spans="1:8" ht="13.2">
      <c r="A72" s="1159" t="s">
        <v>1119</v>
      </c>
      <c r="B72" s="1163"/>
      <c r="C72" s="1163"/>
      <c r="D72" s="1163"/>
      <c r="E72" s="1163"/>
      <c r="F72" s="1163"/>
      <c r="G72" s="1163"/>
      <c r="H72" s="1163"/>
    </row>
    <row r="73" spans="1:8">
      <c r="A73" s="1163"/>
      <c r="B73" s="1163"/>
      <c r="C73" s="1163"/>
      <c r="D73" s="1163"/>
      <c r="E73" s="1163"/>
      <c r="F73" s="1163"/>
      <c r="G73" s="1163"/>
      <c r="H73" s="1163"/>
    </row>
    <row r="74" spans="1:8" ht="13.2">
      <c r="A74" s="1159" t="s">
        <v>1120</v>
      </c>
      <c r="B74" s="1163"/>
      <c r="C74" s="1163"/>
      <c r="D74" s="1163"/>
      <c r="E74" s="1163"/>
      <c r="F74" s="1163"/>
      <c r="G74" s="1163"/>
      <c r="H74" s="1163"/>
    </row>
    <row r="75" spans="1:8" ht="13.2">
      <c r="A75" s="1159" t="s">
        <v>1121</v>
      </c>
      <c r="B75" s="1163"/>
      <c r="C75" s="1163"/>
      <c r="D75" s="1163"/>
      <c r="E75" s="1163"/>
      <c r="F75" s="1163"/>
      <c r="G75" s="1163"/>
      <c r="H75" s="1163"/>
    </row>
    <row r="76" spans="1:8">
      <c r="A76" s="1163"/>
      <c r="B76" s="1163"/>
      <c r="C76" s="1163"/>
      <c r="D76" s="1163"/>
      <c r="E76" s="1163"/>
      <c r="F76" s="1163"/>
      <c r="G76" s="1163"/>
      <c r="H76" s="1163"/>
    </row>
    <row r="77" spans="1:8" ht="13.2">
      <c r="A77" s="1159" t="s">
        <v>1122</v>
      </c>
      <c r="B77" s="1163"/>
      <c r="C77" s="1163"/>
      <c r="D77" s="1163"/>
      <c r="E77" s="1163"/>
      <c r="F77" s="1163"/>
      <c r="G77" s="1163"/>
      <c r="H77" s="1163"/>
    </row>
    <row r="78" spans="1:8" ht="13.2">
      <c r="A78" s="1159" t="s">
        <v>1123</v>
      </c>
      <c r="B78" s="1163"/>
      <c r="C78" s="1163"/>
      <c r="D78" s="1163"/>
      <c r="E78" s="1163"/>
      <c r="F78" s="1163"/>
      <c r="G78" s="1163"/>
      <c r="H78" s="1163"/>
    </row>
    <row r="79" spans="1:8">
      <c r="A79" s="1163"/>
      <c r="B79" s="1163"/>
      <c r="C79" s="1163"/>
      <c r="D79" s="1163"/>
      <c r="E79" s="1163"/>
      <c r="F79" s="1163"/>
      <c r="G79" s="1163"/>
      <c r="H79" s="1163"/>
    </row>
    <row r="80" spans="1:8" ht="13.2">
      <c r="A80" s="1159" t="s">
        <v>1124</v>
      </c>
      <c r="B80" s="1163"/>
      <c r="C80" s="1163"/>
      <c r="D80" s="1163"/>
      <c r="E80" s="1163"/>
      <c r="F80" s="1163"/>
      <c r="G80" s="1163"/>
      <c r="H80" s="1163"/>
    </row>
    <row r="81" spans="1:8" ht="13.2">
      <c r="A81" s="1159" t="s">
        <v>1125</v>
      </c>
      <c r="B81" s="1163"/>
      <c r="C81" s="1163"/>
      <c r="D81" s="1163"/>
      <c r="E81" s="1163"/>
      <c r="F81" s="1163"/>
      <c r="G81" s="1163"/>
      <c r="H81" s="1163"/>
    </row>
    <row r="82" spans="1:8">
      <c r="A82" s="1163"/>
      <c r="B82" s="1163"/>
      <c r="C82" s="1163"/>
      <c r="D82" s="1163"/>
      <c r="E82" s="1163"/>
      <c r="F82" s="1163"/>
      <c r="G82" s="1163"/>
      <c r="H82" s="1163"/>
    </row>
    <row r="83" spans="1:8" ht="13.2">
      <c r="A83" s="1159" t="s">
        <v>1126</v>
      </c>
      <c r="B83" s="1163"/>
      <c r="C83" s="1163"/>
      <c r="D83" s="1163"/>
      <c r="E83" s="1163"/>
      <c r="F83" s="1163"/>
      <c r="G83" s="1163"/>
      <c r="H83" s="1163"/>
    </row>
    <row r="84" spans="1:8" ht="13.2">
      <c r="A84" s="1159" t="s">
        <v>1127</v>
      </c>
      <c r="B84" s="1163"/>
      <c r="C84" s="1163"/>
      <c r="D84" s="1163"/>
      <c r="E84" s="1163"/>
      <c r="F84" s="1163"/>
      <c r="G84" s="1163"/>
      <c r="H84" s="1163"/>
    </row>
    <row r="85" spans="1:8" ht="13.2">
      <c r="A85" s="1159" t="s">
        <v>1128</v>
      </c>
      <c r="B85" s="1163"/>
      <c r="C85" s="1163"/>
      <c r="D85" s="1163"/>
      <c r="E85" s="1163"/>
      <c r="F85" s="1163"/>
      <c r="G85" s="1163"/>
      <c r="H85" s="1163"/>
    </row>
    <row r="86" spans="1:8">
      <c r="A86" s="1163"/>
      <c r="B86" s="1163"/>
      <c r="C86" s="1163"/>
      <c r="D86" s="1163"/>
      <c r="E86" s="1163"/>
      <c r="F86" s="1163"/>
      <c r="G86" s="1163"/>
      <c r="H86" s="1163"/>
    </row>
    <row r="87" spans="1:8" ht="13.2">
      <c r="A87" s="1159" t="s">
        <v>1129</v>
      </c>
      <c r="B87" s="1163"/>
      <c r="C87" s="1163"/>
      <c r="D87" s="1163"/>
      <c r="E87" s="1163"/>
      <c r="F87" s="1163"/>
      <c r="G87" s="1163"/>
      <c r="H87" s="1163"/>
    </row>
    <row r="88" spans="1:8">
      <c r="A88" s="1163"/>
      <c r="B88" s="1163"/>
      <c r="C88" s="1163"/>
      <c r="D88" s="1163"/>
      <c r="E88" s="1163"/>
      <c r="F88" s="1163"/>
      <c r="G88" s="1163"/>
      <c r="H88" s="1163"/>
    </row>
    <row r="89" spans="1:8" ht="13.2">
      <c r="A89" s="1159" t="s">
        <v>1130</v>
      </c>
      <c r="B89" s="1163"/>
      <c r="C89" s="1163"/>
      <c r="D89" s="1163"/>
      <c r="E89" s="1163"/>
      <c r="F89" s="1163"/>
      <c r="G89" s="1163"/>
      <c r="H89" s="1163"/>
    </row>
    <row r="90" spans="1:8" ht="13.2">
      <c r="A90" s="1159" t="s">
        <v>1131</v>
      </c>
      <c r="B90" s="1163"/>
      <c r="C90" s="1163"/>
      <c r="D90" s="1163"/>
      <c r="E90" s="1163"/>
      <c r="F90" s="1163"/>
      <c r="G90" s="1163"/>
      <c r="H90" s="1163"/>
    </row>
    <row r="91" spans="1:8" ht="13.2">
      <c r="A91" s="1159" t="s">
        <v>1132</v>
      </c>
      <c r="B91" s="1163"/>
      <c r="C91" s="1163"/>
      <c r="D91" s="1163"/>
      <c r="E91" s="1163"/>
      <c r="F91" s="1163"/>
      <c r="G91" s="1163"/>
      <c r="H91" s="1163"/>
    </row>
    <row r="92" spans="1:8" ht="13.2">
      <c r="A92" s="1159" t="s">
        <v>1133</v>
      </c>
      <c r="B92" s="1163"/>
      <c r="C92" s="1163"/>
      <c r="D92" s="1163"/>
      <c r="E92" s="1163"/>
      <c r="F92" s="1163"/>
      <c r="G92" s="1163"/>
      <c r="H92" s="1163"/>
    </row>
    <row r="93" spans="1:8" ht="13.2">
      <c r="A93" s="1159" t="s">
        <v>1134</v>
      </c>
      <c r="B93" s="1163"/>
      <c r="C93" s="1163"/>
      <c r="D93" s="1163"/>
      <c r="E93" s="1163"/>
      <c r="F93" s="1163"/>
      <c r="G93" s="1163"/>
      <c r="H93" s="1163"/>
    </row>
    <row r="94" spans="1:8" ht="13.2">
      <c r="A94" s="1159" t="s">
        <v>1135</v>
      </c>
      <c r="B94" s="1163"/>
      <c r="C94" s="1163"/>
      <c r="D94" s="1163"/>
      <c r="E94" s="1163"/>
      <c r="F94" s="1163"/>
      <c r="G94" s="1163"/>
      <c r="H94" s="1163"/>
    </row>
    <row r="95" spans="1:8">
      <c r="A95" s="1163"/>
      <c r="B95" s="1163"/>
      <c r="C95" s="1163"/>
      <c r="D95" s="1163"/>
      <c r="E95" s="1163"/>
      <c r="F95" s="1163"/>
      <c r="G95" s="1163"/>
      <c r="H95" s="1163"/>
    </row>
    <row r="96" spans="1:8" ht="13.2">
      <c r="A96" s="1159" t="s">
        <v>1136</v>
      </c>
      <c r="B96" s="1163"/>
      <c r="C96" s="1163"/>
      <c r="D96" s="1163"/>
      <c r="E96" s="1163"/>
      <c r="F96" s="1163"/>
      <c r="G96" s="1163"/>
      <c r="H96" s="1163"/>
    </row>
    <row r="97" spans="1:8" ht="13.2">
      <c r="A97" s="1159" t="s">
        <v>1137</v>
      </c>
      <c r="B97" s="1163"/>
      <c r="C97" s="1163"/>
      <c r="D97" s="1163"/>
      <c r="E97" s="1163"/>
      <c r="F97" s="1163"/>
      <c r="G97" s="1163"/>
      <c r="H97" s="1163"/>
    </row>
    <row r="98" spans="1:8" ht="13.2">
      <c r="A98" s="1159" t="s">
        <v>1138</v>
      </c>
      <c r="B98" s="1163"/>
      <c r="C98" s="1163"/>
      <c r="D98" s="1163"/>
      <c r="E98" s="1163"/>
      <c r="F98" s="1163"/>
      <c r="G98" s="1163"/>
      <c r="H98" s="1163"/>
    </row>
    <row r="99" spans="1:8" ht="13.2">
      <c r="A99" s="1159" t="s">
        <v>1139</v>
      </c>
      <c r="B99" s="1163"/>
      <c r="C99" s="1163"/>
      <c r="D99" s="1163"/>
      <c r="E99" s="1163"/>
      <c r="F99" s="1163"/>
      <c r="G99" s="1163"/>
      <c r="H99" s="1163"/>
    </row>
    <row r="100" spans="1:8" ht="13.2">
      <c r="A100" s="1159" t="s">
        <v>1140</v>
      </c>
      <c r="B100" s="1163"/>
      <c r="C100" s="1163"/>
      <c r="D100" s="1163"/>
      <c r="E100" s="1163"/>
      <c r="F100" s="1163"/>
      <c r="G100" s="1163"/>
      <c r="H100" s="1163"/>
    </row>
    <row r="101" spans="1:8" ht="13.2">
      <c r="A101" s="1159" t="s">
        <v>1141</v>
      </c>
      <c r="B101" s="1163"/>
      <c r="C101" s="1163"/>
      <c r="D101" s="1163"/>
      <c r="E101" s="1163"/>
      <c r="F101" s="1163"/>
      <c r="G101" s="1163"/>
      <c r="H101" s="1163"/>
    </row>
    <row r="102" spans="1:8" ht="13.2">
      <c r="A102" s="1159" t="s">
        <v>1142</v>
      </c>
      <c r="B102" s="1163"/>
      <c r="C102" s="1163"/>
      <c r="D102" s="1163"/>
      <c r="E102" s="1163"/>
      <c r="F102" s="1163"/>
      <c r="G102" s="1163"/>
      <c r="H102" s="1163"/>
    </row>
    <row r="103" spans="1:8">
      <c r="A103" s="1163"/>
      <c r="B103" s="1163"/>
      <c r="C103" s="1163"/>
      <c r="D103" s="1163"/>
      <c r="E103" s="1163"/>
      <c r="F103" s="1163"/>
      <c r="G103" s="1163"/>
      <c r="H103" s="1163"/>
    </row>
    <row r="104" spans="1:8" ht="13.2">
      <c r="A104" s="1159" t="s">
        <v>1143</v>
      </c>
      <c r="B104" s="1163"/>
      <c r="C104" s="1163"/>
      <c r="D104" s="1163"/>
      <c r="E104" s="1163"/>
      <c r="F104" s="1163"/>
      <c r="G104" s="1163"/>
      <c r="H104" s="1163"/>
    </row>
    <row r="105" spans="1:8" ht="13.2">
      <c r="A105" s="1159" t="s">
        <v>1144</v>
      </c>
      <c r="B105" s="1163"/>
      <c r="C105" s="1163"/>
      <c r="D105" s="1163"/>
      <c r="E105" s="1163"/>
      <c r="F105" s="1163"/>
      <c r="G105" s="1163"/>
      <c r="H105" s="1163"/>
    </row>
    <row r="106" spans="1:8">
      <c r="A106" s="1163"/>
      <c r="B106" s="1163"/>
      <c r="C106" s="1163"/>
      <c r="D106" s="1163"/>
      <c r="E106" s="1163"/>
      <c r="F106" s="1163"/>
      <c r="G106" s="1163"/>
      <c r="H106" s="1163"/>
    </row>
    <row r="107" spans="1:8" ht="15.6">
      <c r="A107" s="1160" t="s">
        <v>1145</v>
      </c>
      <c r="B107" s="1163"/>
      <c r="C107" s="1163"/>
      <c r="D107" s="1163"/>
      <c r="E107" s="1163"/>
      <c r="F107" s="1163"/>
      <c r="G107" s="1163"/>
      <c r="H107" s="1163"/>
    </row>
    <row r="108" spans="1:8">
      <c r="A108" s="1163"/>
      <c r="B108" s="1163"/>
      <c r="C108" s="1163"/>
      <c r="D108" s="1163"/>
      <c r="E108" s="1163"/>
      <c r="F108" s="1163"/>
      <c r="G108" s="1163"/>
      <c r="H108" s="1163"/>
    </row>
    <row r="109" spans="1:8" ht="13.2">
      <c r="A109" s="1159" t="s">
        <v>1146</v>
      </c>
      <c r="B109" s="1163"/>
      <c r="C109" s="1163"/>
      <c r="D109" s="1163"/>
      <c r="E109" s="1163"/>
      <c r="F109" s="1163"/>
      <c r="G109" s="1163"/>
      <c r="H109" s="1163"/>
    </row>
    <row r="110" spans="1:8" ht="13.2">
      <c r="A110" s="1159" t="s">
        <v>1147</v>
      </c>
      <c r="B110" s="1163"/>
      <c r="C110" s="1163"/>
      <c r="D110" s="1163"/>
      <c r="E110" s="1163"/>
      <c r="F110" s="1163"/>
      <c r="G110" s="1163"/>
      <c r="H110" s="1163"/>
    </row>
    <row r="111" spans="1:8" ht="13.2">
      <c r="A111" s="1159" t="s">
        <v>1148</v>
      </c>
      <c r="B111" s="1163"/>
      <c r="C111" s="1163"/>
      <c r="D111" s="1163"/>
      <c r="E111" s="1163"/>
      <c r="F111" s="1163"/>
      <c r="G111" s="1163"/>
      <c r="H111" s="1163"/>
    </row>
    <row r="112" spans="1:8" ht="13.2">
      <c r="A112" s="1159" t="s">
        <v>1149</v>
      </c>
      <c r="B112" s="1163"/>
      <c r="C112" s="1163"/>
      <c r="D112" s="1163"/>
      <c r="E112" s="1163"/>
      <c r="F112" s="1163"/>
      <c r="G112" s="1163"/>
      <c r="H112" s="1163"/>
    </row>
    <row r="113" spans="1:8" ht="13.2">
      <c r="A113" s="1159" t="s">
        <v>1150</v>
      </c>
      <c r="B113" s="1163"/>
      <c r="C113" s="1163"/>
      <c r="D113" s="1163"/>
      <c r="E113" s="1163"/>
      <c r="F113" s="1163"/>
      <c r="G113" s="1163"/>
      <c r="H113" s="1163"/>
    </row>
    <row r="114" spans="1:8" ht="13.2">
      <c r="A114" s="1159" t="s">
        <v>1151</v>
      </c>
      <c r="B114" s="1163"/>
      <c r="C114" s="1163"/>
      <c r="D114" s="1163"/>
      <c r="E114" s="1163"/>
      <c r="F114" s="1163"/>
      <c r="G114" s="1163"/>
      <c r="H114" s="1163"/>
    </row>
    <row r="115" spans="1:8" ht="13.2">
      <c r="A115" s="1159" t="s">
        <v>1152</v>
      </c>
      <c r="B115" s="1163"/>
      <c r="C115" s="1163"/>
      <c r="D115" s="1163"/>
      <c r="E115" s="1163"/>
      <c r="F115" s="1163"/>
      <c r="G115" s="1163"/>
      <c r="H115" s="1163"/>
    </row>
    <row r="116" spans="1:8" ht="13.2">
      <c r="A116" s="1159" t="s">
        <v>1153</v>
      </c>
      <c r="B116" s="1163"/>
      <c r="C116" s="1163"/>
      <c r="D116" s="1163"/>
      <c r="E116" s="1163"/>
      <c r="F116" s="1163"/>
      <c r="G116" s="1163"/>
      <c r="H116" s="1163"/>
    </row>
    <row r="117" spans="1:8" ht="13.2">
      <c r="A117" s="1159" t="s">
        <v>1154</v>
      </c>
      <c r="B117" s="1163"/>
      <c r="C117" s="1163"/>
      <c r="D117" s="1163"/>
      <c r="E117" s="1163"/>
      <c r="F117" s="1163"/>
      <c r="G117" s="1163"/>
      <c r="H117" s="1163"/>
    </row>
    <row r="118" spans="1:8">
      <c r="A118" s="1163"/>
      <c r="B118" s="1163"/>
      <c r="C118" s="1163"/>
      <c r="D118" s="1163"/>
      <c r="E118" s="1163"/>
      <c r="F118" s="1163"/>
      <c r="G118" s="1163"/>
      <c r="H118" s="1163"/>
    </row>
    <row r="119" spans="1:8" ht="15.6">
      <c r="A119" s="1160" t="s">
        <v>1155</v>
      </c>
      <c r="B119" s="1163"/>
      <c r="C119" s="1163"/>
      <c r="D119" s="1163"/>
      <c r="E119" s="1163"/>
      <c r="F119" s="1163"/>
      <c r="G119" s="1163"/>
      <c r="H119" s="1163"/>
    </row>
    <row r="120" spans="1:8">
      <c r="A120" s="1163"/>
      <c r="B120" s="1163"/>
      <c r="C120" s="1163"/>
      <c r="D120" s="1163"/>
      <c r="E120" s="1163"/>
      <c r="F120" s="1163"/>
      <c r="G120" s="1163"/>
      <c r="H120" s="1163"/>
    </row>
    <row r="121" spans="1:8" ht="13.2">
      <c r="A121" s="1159" t="s">
        <v>1156</v>
      </c>
      <c r="B121" s="1163"/>
      <c r="C121" s="1163"/>
      <c r="D121" s="1163"/>
      <c r="E121" s="1163"/>
      <c r="F121" s="1163"/>
      <c r="G121" s="1163"/>
      <c r="H121" s="1163"/>
    </row>
    <row r="122" spans="1:8">
      <c r="A122" s="1163"/>
      <c r="B122" s="1163"/>
      <c r="C122" s="1163"/>
      <c r="D122" s="1163"/>
      <c r="E122" s="1163"/>
      <c r="F122" s="1163"/>
      <c r="G122" s="1163"/>
      <c r="H122" s="1163"/>
    </row>
    <row r="123" spans="1:8" ht="13.2">
      <c r="A123" s="1159" t="s">
        <v>1157</v>
      </c>
      <c r="B123" s="1163"/>
      <c r="C123" s="1163"/>
      <c r="D123" s="1163"/>
      <c r="E123" s="1163"/>
      <c r="F123" s="1163"/>
      <c r="G123" s="1163"/>
      <c r="H123" s="1163"/>
    </row>
    <row r="124" spans="1:8" ht="13.2">
      <c r="A124" s="1159" t="s">
        <v>1158</v>
      </c>
      <c r="B124" s="1163"/>
      <c r="C124" s="1163"/>
      <c r="D124" s="1163"/>
      <c r="E124" s="1163"/>
      <c r="F124" s="1163"/>
      <c r="G124" s="1163"/>
      <c r="H124" s="1163"/>
    </row>
    <row r="125" spans="1:8">
      <c r="A125" s="1163"/>
      <c r="B125" s="1163"/>
      <c r="C125" s="1163"/>
      <c r="D125" s="1163"/>
      <c r="E125" s="1163"/>
      <c r="F125" s="1163"/>
      <c r="G125" s="1163"/>
      <c r="H125" s="1163"/>
    </row>
    <row r="126" spans="1:8" ht="13.2">
      <c r="A126" s="1159" t="s">
        <v>1159</v>
      </c>
      <c r="B126" s="1163"/>
      <c r="C126" s="1163"/>
      <c r="D126" s="1163"/>
      <c r="E126" s="1163"/>
      <c r="F126" s="1163"/>
      <c r="G126" s="1163"/>
      <c r="H126" s="1163"/>
    </row>
    <row r="127" spans="1:8" ht="13.2">
      <c r="A127" s="1159" t="s">
        <v>1160</v>
      </c>
      <c r="B127" s="1163"/>
      <c r="C127" s="1163"/>
      <c r="D127" s="1163"/>
      <c r="E127" s="1163"/>
      <c r="F127" s="1163"/>
      <c r="G127" s="1163"/>
      <c r="H127" s="1163"/>
    </row>
    <row r="128" spans="1:8" ht="13.2">
      <c r="A128" s="1159" t="s">
        <v>1161</v>
      </c>
      <c r="B128" s="1163"/>
      <c r="C128" s="1163"/>
      <c r="D128" s="1163"/>
      <c r="E128" s="1163"/>
      <c r="F128" s="1163"/>
      <c r="G128" s="1163"/>
      <c r="H128" s="1163"/>
    </row>
    <row r="129" spans="1:8" ht="13.2">
      <c r="A129" s="1159" t="s">
        <v>1162</v>
      </c>
      <c r="B129" s="1163"/>
      <c r="C129" s="1163"/>
      <c r="D129" s="1163"/>
      <c r="E129" s="1163"/>
      <c r="F129" s="1163"/>
      <c r="G129" s="1163"/>
      <c r="H129" s="1163"/>
    </row>
    <row r="130" spans="1:8" ht="13.2">
      <c r="A130" s="1159" t="s">
        <v>1163</v>
      </c>
      <c r="B130" s="1163"/>
      <c r="C130" s="1163"/>
      <c r="D130" s="1163"/>
      <c r="E130" s="1163"/>
      <c r="F130" s="1163"/>
      <c r="G130" s="1163"/>
      <c r="H130" s="1163"/>
    </row>
    <row r="131" spans="1:8" ht="13.2">
      <c r="A131" s="1159" t="s">
        <v>1164</v>
      </c>
      <c r="B131" s="1163"/>
      <c r="C131" s="1163"/>
      <c r="D131" s="1163"/>
      <c r="E131" s="1163"/>
      <c r="F131" s="1163"/>
      <c r="G131" s="1163"/>
      <c r="H131" s="1163"/>
    </row>
    <row r="132" spans="1:8" ht="13.2">
      <c r="A132" s="1159" t="s">
        <v>1165</v>
      </c>
      <c r="B132" s="1163"/>
      <c r="C132" s="1163"/>
      <c r="D132" s="1163"/>
      <c r="E132" s="1163"/>
      <c r="F132" s="1163"/>
      <c r="G132" s="1163"/>
      <c r="H132" s="1163"/>
    </row>
    <row r="133" spans="1:8">
      <c r="A133" s="1163"/>
      <c r="B133" s="1163"/>
      <c r="C133" s="1163"/>
      <c r="D133" s="1163"/>
      <c r="E133" s="1163"/>
      <c r="F133" s="1163"/>
      <c r="G133" s="1163"/>
      <c r="H133" s="1163"/>
    </row>
    <row r="134" spans="1:8" ht="13.2">
      <c r="A134" s="1161"/>
      <c r="B134" s="1165" t="s">
        <v>1166</v>
      </c>
      <c r="C134" s="1165"/>
      <c r="D134" s="1165" t="s">
        <v>1167</v>
      </c>
      <c r="E134" s="1165"/>
      <c r="F134" s="1165"/>
      <c r="G134" s="1165" t="s">
        <v>1168</v>
      </c>
      <c r="H134" s="1165"/>
    </row>
    <row r="135" spans="1:8" ht="13.2">
      <c r="A135" s="1161" t="s">
        <v>1169</v>
      </c>
      <c r="B135" s="1161" t="s">
        <v>1170</v>
      </c>
      <c r="C135" s="1161" t="s">
        <v>1171</v>
      </c>
      <c r="D135" s="1161" t="s">
        <v>1170</v>
      </c>
      <c r="E135" s="1161" t="s">
        <v>1172</v>
      </c>
      <c r="F135" s="1161" t="s">
        <v>1173</v>
      </c>
      <c r="G135" s="1161" t="s">
        <v>1170</v>
      </c>
      <c r="H135" s="1161" t="s">
        <v>1174</v>
      </c>
    </row>
    <row r="136" spans="1:8" ht="13.2">
      <c r="A136" s="1161" t="s">
        <v>1175</v>
      </c>
      <c r="B136" s="1161">
        <v>1529</v>
      </c>
      <c r="C136" s="1168">
        <v>0.42</v>
      </c>
      <c r="D136" s="1161">
        <v>442</v>
      </c>
      <c r="E136" s="1168">
        <v>0.47</v>
      </c>
      <c r="F136" s="1168">
        <v>0.28999999999999998</v>
      </c>
      <c r="G136" s="1161">
        <v>750</v>
      </c>
      <c r="H136" s="1168">
        <v>0.43</v>
      </c>
    </row>
    <row r="137" spans="1:8" ht="13.2">
      <c r="A137" s="1161" t="s">
        <v>1176</v>
      </c>
      <c r="B137" s="1161">
        <v>1582</v>
      </c>
      <c r="C137" s="1168">
        <v>0.43</v>
      </c>
      <c r="D137" s="1161">
        <v>396</v>
      </c>
      <c r="E137" s="1168">
        <v>0.42</v>
      </c>
      <c r="F137" s="1168">
        <v>0.25</v>
      </c>
      <c r="G137" s="1161">
        <v>773</v>
      </c>
      <c r="H137" s="1168">
        <v>0.44</v>
      </c>
    </row>
    <row r="138" spans="1:8" ht="13.2">
      <c r="A138" s="1161" t="s">
        <v>1177</v>
      </c>
      <c r="B138" s="1161">
        <v>3</v>
      </c>
      <c r="C138" s="1168">
        <v>0</v>
      </c>
      <c r="D138" s="1161">
        <v>1</v>
      </c>
      <c r="E138" s="1168">
        <v>0</v>
      </c>
      <c r="F138" s="1168">
        <v>0.33</v>
      </c>
      <c r="G138" s="1161">
        <v>1</v>
      </c>
      <c r="H138" s="1168">
        <v>0</v>
      </c>
    </row>
    <row r="139" spans="1:8" ht="13.2">
      <c r="A139" s="1161" t="s">
        <v>1178</v>
      </c>
      <c r="B139" s="1161">
        <v>560</v>
      </c>
      <c r="C139" s="1168">
        <v>0.15</v>
      </c>
      <c r="D139" s="1161">
        <v>97</v>
      </c>
      <c r="E139" s="1168">
        <v>0.1</v>
      </c>
      <c r="F139" s="1168">
        <v>0.17</v>
      </c>
      <c r="G139" s="1161">
        <v>217</v>
      </c>
      <c r="H139" s="1168">
        <v>0.12</v>
      </c>
    </row>
    <row r="140" spans="1:8" ht="13.2">
      <c r="A140" s="1161" t="s">
        <v>627</v>
      </c>
      <c r="B140" s="1161">
        <v>3674</v>
      </c>
      <c r="C140" s="1161"/>
      <c r="D140" s="1161">
        <v>936</v>
      </c>
      <c r="E140" s="1161"/>
      <c r="F140" s="1161"/>
      <c r="G140" s="1161">
        <v>1741</v>
      </c>
      <c r="H140" s="1161"/>
    </row>
    <row r="141" spans="1:8">
      <c r="A141" s="1163"/>
      <c r="B141" s="1163"/>
      <c r="C141" s="1163"/>
      <c r="D141" s="1163"/>
      <c r="E141" s="1163"/>
      <c r="F141" s="1163"/>
      <c r="G141" s="1163"/>
      <c r="H141" s="1163"/>
    </row>
    <row r="142" spans="1:8" ht="13.2">
      <c r="A142" s="1159" t="s">
        <v>1179</v>
      </c>
      <c r="B142" s="1163"/>
      <c r="C142" s="1163"/>
      <c r="D142" s="1163"/>
      <c r="E142" s="1163"/>
      <c r="F142" s="1163"/>
      <c r="G142" s="1163"/>
      <c r="H142" s="1163"/>
    </row>
    <row r="143" spans="1:8" ht="13.2">
      <c r="A143" s="1159" t="s">
        <v>1180</v>
      </c>
      <c r="B143" s="1163"/>
      <c r="C143" s="1163"/>
      <c r="D143" s="1163"/>
      <c r="E143" s="1163"/>
      <c r="F143" s="1163"/>
      <c r="G143" s="1163"/>
      <c r="H143" s="1163"/>
    </row>
    <row r="144" spans="1:8" ht="13.2">
      <c r="A144" s="1159" t="s">
        <v>1181</v>
      </c>
      <c r="B144" s="1163"/>
      <c r="C144" s="1163"/>
      <c r="D144" s="1163"/>
      <c r="E144" s="1163"/>
      <c r="F144" s="1163"/>
      <c r="G144" s="1163"/>
      <c r="H144" s="1163"/>
    </row>
    <row r="145" spans="1:8" ht="13.2">
      <c r="A145" s="1159" t="s">
        <v>1182</v>
      </c>
      <c r="B145" s="1163"/>
      <c r="C145" s="1163"/>
      <c r="D145" s="1163"/>
      <c r="E145" s="1163"/>
      <c r="F145" s="1163"/>
      <c r="G145" s="1163"/>
      <c r="H145" s="1163"/>
    </row>
    <row r="146" spans="1:8">
      <c r="A146" s="1163"/>
      <c r="B146" s="1163"/>
      <c r="C146" s="1163"/>
      <c r="D146" s="1163"/>
      <c r="E146" s="1163"/>
      <c r="F146" s="1163"/>
      <c r="G146" s="1163"/>
      <c r="H146" s="1163"/>
    </row>
    <row r="147" spans="1:8" ht="15.6">
      <c r="A147" s="1160" t="s">
        <v>1183</v>
      </c>
      <c r="B147" s="1163"/>
      <c r="C147" s="1163"/>
      <c r="D147" s="1163"/>
      <c r="E147" s="1163"/>
      <c r="F147" s="1163"/>
      <c r="G147" s="1163"/>
      <c r="H147" s="1163"/>
    </row>
    <row r="148" spans="1:8">
      <c r="A148" s="1163"/>
      <c r="B148" s="1163"/>
      <c r="C148" s="1163"/>
      <c r="D148" s="1163"/>
      <c r="E148" s="1163"/>
      <c r="F148" s="1163"/>
      <c r="G148" s="1163"/>
      <c r="H148" s="1163"/>
    </row>
    <row r="149" spans="1:8" ht="13.2">
      <c r="A149" s="1159" t="s">
        <v>1184</v>
      </c>
      <c r="B149" s="1163"/>
      <c r="C149" s="1163"/>
      <c r="D149" s="1163"/>
      <c r="E149" s="1163"/>
      <c r="F149" s="1163"/>
      <c r="G149" s="1163"/>
      <c r="H149" s="1163"/>
    </row>
    <row r="150" spans="1:8" ht="13.2">
      <c r="A150" s="1159" t="s">
        <v>1185</v>
      </c>
      <c r="B150" s="1163"/>
      <c r="C150" s="1163"/>
      <c r="D150" s="1163"/>
      <c r="E150" s="1163"/>
      <c r="F150" s="1163"/>
      <c r="G150" s="1163"/>
      <c r="H150" s="1163"/>
    </row>
    <row r="151" spans="1:8">
      <c r="A151" s="1163"/>
      <c r="B151" s="1163"/>
      <c r="C151" s="1163"/>
      <c r="D151" s="1163"/>
      <c r="E151" s="1163"/>
      <c r="F151" s="1163"/>
      <c r="G151" s="1163"/>
      <c r="H151" s="1163"/>
    </row>
    <row r="152" spans="1:8" ht="13.2">
      <c r="A152" s="1159" t="s">
        <v>1186</v>
      </c>
      <c r="B152" s="1163"/>
      <c r="C152" s="1163"/>
      <c r="D152" s="1163"/>
      <c r="E152" s="1163"/>
      <c r="F152" s="1163"/>
      <c r="G152" s="1163"/>
      <c r="H152" s="1163"/>
    </row>
    <row r="153" spans="1:8" ht="13.2">
      <c r="A153" s="1159" t="s">
        <v>1187</v>
      </c>
      <c r="B153" s="1163"/>
      <c r="C153" s="1163"/>
      <c r="D153" s="1163"/>
      <c r="E153" s="1163"/>
      <c r="F153" s="1163"/>
      <c r="G153" s="1163"/>
      <c r="H153" s="1163"/>
    </row>
    <row r="154" spans="1:8" ht="13.2">
      <c r="A154" s="1159" t="s">
        <v>1188</v>
      </c>
      <c r="B154" s="1163"/>
      <c r="C154" s="1163"/>
      <c r="D154" s="1163"/>
      <c r="E154" s="1163"/>
      <c r="F154" s="1163"/>
      <c r="G154" s="1163"/>
      <c r="H154" s="1163"/>
    </row>
    <row r="155" spans="1:8">
      <c r="A155" s="1163"/>
      <c r="B155" s="1163"/>
      <c r="C155" s="1163"/>
      <c r="D155" s="1163"/>
      <c r="E155" s="1163"/>
      <c r="F155" s="1163"/>
      <c r="G155" s="1163"/>
      <c r="H155" s="1163"/>
    </row>
    <row r="156" spans="1:8" ht="13.2">
      <c r="A156" s="1159" t="s">
        <v>1189</v>
      </c>
      <c r="B156" s="1163"/>
      <c r="C156" s="1163"/>
      <c r="D156" s="1163"/>
      <c r="E156" s="1163"/>
      <c r="F156" s="1163"/>
      <c r="G156" s="1163"/>
      <c r="H156" s="1163"/>
    </row>
    <row r="157" spans="1:8" ht="13.2">
      <c r="A157" s="1159" t="s">
        <v>1190</v>
      </c>
      <c r="B157" s="1163"/>
      <c r="C157" s="1163"/>
      <c r="D157" s="1163"/>
      <c r="E157" s="1163"/>
      <c r="F157" s="1163"/>
      <c r="G157" s="1163"/>
      <c r="H157" s="1163"/>
    </row>
    <row r="158" spans="1:8" ht="13.2">
      <c r="A158" s="1159" t="s">
        <v>1191</v>
      </c>
      <c r="B158" s="1163"/>
      <c r="C158" s="1163"/>
      <c r="D158" s="1163"/>
      <c r="E158" s="1163"/>
      <c r="F158" s="1163"/>
      <c r="G158" s="1163"/>
      <c r="H158" s="1163"/>
    </row>
    <row r="159" spans="1:8">
      <c r="A159" s="1163"/>
      <c r="B159" s="1163"/>
      <c r="C159" s="1163"/>
      <c r="D159" s="1163"/>
      <c r="E159" s="1163"/>
      <c r="F159" s="1163"/>
      <c r="G159" s="1163"/>
      <c r="H159" s="1163"/>
    </row>
    <row r="160" spans="1:8" ht="13.2">
      <c r="A160" s="1159" t="s">
        <v>1192</v>
      </c>
      <c r="B160" s="1163"/>
      <c r="C160" s="1163"/>
      <c r="D160" s="1163"/>
      <c r="E160" s="1163"/>
      <c r="F160" s="1163"/>
      <c r="G160" s="1163"/>
      <c r="H160" s="1163"/>
    </row>
    <row r="161" spans="1:8" ht="13.2">
      <c r="A161" s="1159" t="s">
        <v>1193</v>
      </c>
      <c r="B161" s="1163"/>
      <c r="C161" s="1163"/>
      <c r="D161" s="1163"/>
      <c r="E161" s="1163"/>
      <c r="F161" s="1163"/>
      <c r="G161" s="1163"/>
      <c r="H161" s="1163"/>
    </row>
    <row r="162" spans="1:8" ht="13.2">
      <c r="A162" s="1159" t="s">
        <v>1194</v>
      </c>
      <c r="B162" s="1163"/>
      <c r="C162" s="1163"/>
      <c r="D162" s="1163"/>
      <c r="E162" s="1163"/>
      <c r="F162" s="1163"/>
      <c r="G162" s="1163"/>
      <c r="H162" s="1163"/>
    </row>
    <row r="163" spans="1:8">
      <c r="A163" s="1163"/>
      <c r="B163" s="1163"/>
      <c r="C163" s="1163"/>
      <c r="D163" s="1163"/>
      <c r="E163" s="1163"/>
      <c r="F163" s="1163"/>
      <c r="G163" s="1163"/>
      <c r="H163" s="1163"/>
    </row>
    <row r="164" spans="1:8" ht="13.2">
      <c r="A164" s="1159" t="s">
        <v>1195</v>
      </c>
      <c r="B164" s="1163"/>
      <c r="C164" s="1163"/>
      <c r="D164" s="1163"/>
      <c r="E164" s="1163"/>
      <c r="F164" s="1163"/>
      <c r="G164" s="1163"/>
      <c r="H164" s="1163"/>
    </row>
    <row r="165" spans="1:8" ht="13.2">
      <c r="A165" s="1159" t="s">
        <v>1196</v>
      </c>
      <c r="B165" s="1163"/>
      <c r="C165" s="1163"/>
      <c r="D165" s="1163"/>
      <c r="E165" s="1163"/>
      <c r="F165" s="1163"/>
      <c r="G165" s="1163"/>
      <c r="H165" s="1163"/>
    </row>
    <row r="166" spans="1:8">
      <c r="A166" s="1163"/>
      <c r="B166" s="1163"/>
      <c r="C166" s="1163"/>
      <c r="D166" s="1163"/>
      <c r="E166" s="1163"/>
      <c r="F166" s="1163"/>
      <c r="G166" s="1163"/>
      <c r="H166" s="1163"/>
    </row>
    <row r="167" spans="1:8" ht="15.6">
      <c r="A167" s="1160" t="s">
        <v>1197</v>
      </c>
      <c r="B167" s="1163"/>
      <c r="C167" s="1163"/>
      <c r="D167" s="1163"/>
      <c r="E167" s="1163"/>
      <c r="F167" s="1163"/>
      <c r="G167" s="1163"/>
      <c r="H167" s="1163"/>
    </row>
    <row r="168" spans="1:8">
      <c r="A168" s="1163"/>
      <c r="B168" s="1163"/>
      <c r="C168" s="1163"/>
      <c r="D168" s="1163"/>
      <c r="E168" s="1163"/>
      <c r="F168" s="1163"/>
      <c r="G168" s="1163"/>
      <c r="H168" s="1163"/>
    </row>
    <row r="169" spans="1:8" ht="13.2">
      <c r="A169" s="1159" t="s">
        <v>1198</v>
      </c>
      <c r="B169" s="1163"/>
      <c r="C169" s="1163"/>
      <c r="D169" s="1163"/>
      <c r="E169" s="1163"/>
      <c r="F169" s="1163"/>
      <c r="G169" s="1163"/>
      <c r="H169" s="1163"/>
    </row>
    <row r="170" spans="1:8" ht="13.2">
      <c r="A170" s="1159" t="s">
        <v>1199</v>
      </c>
      <c r="B170" s="1163"/>
      <c r="C170" s="1163"/>
      <c r="D170" s="1163"/>
      <c r="E170" s="1163"/>
      <c r="F170" s="1163"/>
      <c r="G170" s="1163"/>
      <c r="H170" s="1163"/>
    </row>
    <row r="171" spans="1:8">
      <c r="A171" s="1163"/>
      <c r="B171" s="1163"/>
      <c r="C171" s="1163"/>
      <c r="D171" s="1163"/>
      <c r="E171" s="1163"/>
      <c r="F171" s="1163"/>
      <c r="G171" s="1163"/>
      <c r="H171" s="1163"/>
    </row>
    <row r="172" spans="1:8" ht="13.2">
      <c r="A172" s="1159" t="s">
        <v>1200</v>
      </c>
      <c r="B172" s="1163"/>
      <c r="C172" s="1163"/>
      <c r="D172" s="1163"/>
      <c r="E172" s="1163"/>
      <c r="F172" s="1163"/>
      <c r="G172" s="1163"/>
      <c r="H172" s="1163"/>
    </row>
    <row r="173" spans="1:8" ht="13.2">
      <c r="A173" s="1159" t="s">
        <v>1201</v>
      </c>
      <c r="B173" s="1163"/>
      <c r="C173" s="1163"/>
      <c r="D173" s="1163"/>
      <c r="E173" s="1163"/>
      <c r="F173" s="1163"/>
      <c r="G173" s="1163"/>
      <c r="H173" s="1163"/>
    </row>
    <row r="174" spans="1:8">
      <c r="A174" s="1163"/>
      <c r="B174" s="1163"/>
      <c r="C174" s="1163"/>
      <c r="D174" s="1163"/>
      <c r="E174" s="1163"/>
      <c r="F174" s="1163"/>
      <c r="G174" s="1163"/>
      <c r="H174" s="1163"/>
    </row>
    <row r="175" spans="1:8" ht="13.2">
      <c r="A175" s="1159" t="s">
        <v>1202</v>
      </c>
      <c r="B175" s="1163"/>
      <c r="C175" s="1163"/>
      <c r="D175" s="1163"/>
      <c r="E175" s="1163"/>
      <c r="F175" s="1163"/>
      <c r="G175" s="1163"/>
      <c r="H175" s="1163"/>
    </row>
    <row r="176" spans="1:8" ht="13.2">
      <c r="A176" s="1159" t="s">
        <v>1203</v>
      </c>
      <c r="B176" s="1163"/>
      <c r="C176" s="1163"/>
      <c r="D176" s="1163"/>
      <c r="E176" s="1163"/>
      <c r="F176" s="1163"/>
      <c r="G176" s="1163"/>
      <c r="H176" s="1163"/>
    </row>
    <row r="177" spans="1:8">
      <c r="A177" s="1163"/>
      <c r="B177" s="1163"/>
      <c r="C177" s="1163"/>
      <c r="D177" s="1163"/>
      <c r="E177" s="1163"/>
      <c r="F177" s="1163"/>
      <c r="G177" s="1163"/>
      <c r="H177" s="1163"/>
    </row>
    <row r="178" spans="1:8" ht="13.2">
      <c r="A178" s="1159" t="s">
        <v>1204</v>
      </c>
      <c r="B178" s="1163"/>
      <c r="C178" s="1163"/>
      <c r="D178" s="1163"/>
      <c r="E178" s="1163"/>
      <c r="F178" s="1163"/>
      <c r="G178" s="1163"/>
      <c r="H178" s="1163"/>
    </row>
    <row r="179" spans="1:8" ht="13.2">
      <c r="A179" s="1159" t="s">
        <v>1205</v>
      </c>
      <c r="B179" s="1163"/>
      <c r="C179" s="1163"/>
      <c r="D179" s="1163"/>
      <c r="E179" s="1163"/>
      <c r="F179" s="1163"/>
      <c r="G179" s="1163"/>
      <c r="H179" s="1163"/>
    </row>
    <row r="180" spans="1:8" ht="13.2">
      <c r="A180" s="1159" t="s">
        <v>1206</v>
      </c>
      <c r="B180" s="1163"/>
      <c r="C180" s="1163"/>
      <c r="D180" s="1163"/>
      <c r="E180" s="1163"/>
      <c r="F180" s="1163"/>
      <c r="G180" s="1163"/>
      <c r="H180" s="1163"/>
    </row>
    <row r="181" spans="1:8">
      <c r="A181" s="1163"/>
      <c r="B181" s="1163"/>
      <c r="C181" s="1163"/>
      <c r="D181" s="1163"/>
      <c r="E181" s="1163"/>
      <c r="F181" s="1163"/>
      <c r="G181" s="1163"/>
      <c r="H181" s="1163"/>
    </row>
    <row r="182" spans="1:8" ht="13.2">
      <c r="A182" s="1159" t="s">
        <v>1112</v>
      </c>
      <c r="B182" s="1163"/>
      <c r="C182" s="1163"/>
      <c r="D182" s="1163"/>
      <c r="E182" s="1163"/>
      <c r="F182" s="1163"/>
      <c r="G182" s="1163"/>
      <c r="H182" s="1163"/>
    </row>
    <row r="183" spans="1:8">
      <c r="A183" s="1163"/>
      <c r="B183" s="1163"/>
      <c r="C183" s="1163"/>
      <c r="D183" s="1163"/>
      <c r="E183" s="1163"/>
      <c r="F183" s="1163"/>
      <c r="G183" s="1163"/>
      <c r="H183" s="1163"/>
    </row>
    <row r="184" spans="1:8" ht="15.6">
      <c r="A184" s="1160" t="s">
        <v>1207</v>
      </c>
      <c r="B184" s="1163"/>
      <c r="C184" s="1163"/>
      <c r="D184" s="1163"/>
      <c r="E184" s="1163"/>
      <c r="F184" s="1163"/>
      <c r="G184" s="1163"/>
      <c r="H184" s="1163"/>
    </row>
    <row r="185" spans="1:8">
      <c r="A185" s="1163"/>
      <c r="B185" s="1163"/>
      <c r="C185" s="1163"/>
      <c r="D185" s="1163"/>
      <c r="E185" s="1163"/>
      <c r="F185" s="1163"/>
      <c r="G185" s="1163"/>
      <c r="H185" s="1163"/>
    </row>
    <row r="186" spans="1:8">
      <c r="A186" s="1163"/>
      <c r="B186" s="1163"/>
      <c r="C186" s="1163"/>
      <c r="D186" s="1163"/>
      <c r="E186" s="1163"/>
      <c r="F186" s="1163"/>
      <c r="G186" s="1163"/>
      <c r="H186" s="1163"/>
    </row>
    <row r="187" spans="1:8">
      <c r="A187" s="1163"/>
      <c r="B187" s="1163"/>
      <c r="C187" s="1163"/>
      <c r="D187" s="1163"/>
      <c r="E187" s="1163"/>
      <c r="F187" s="1163"/>
      <c r="G187" s="1163"/>
      <c r="H187" s="1163"/>
    </row>
    <row r="188" spans="1:8">
      <c r="A188" s="1163"/>
      <c r="B188" s="1163"/>
      <c r="C188" s="1163"/>
      <c r="D188" s="1163"/>
      <c r="E188" s="1163"/>
      <c r="F188" s="1163"/>
      <c r="G188" s="1163"/>
      <c r="H188" s="1163"/>
    </row>
    <row r="189" spans="1:8">
      <c r="A189" s="1163"/>
      <c r="B189" s="1163"/>
      <c r="C189" s="1163"/>
      <c r="D189" s="1163"/>
      <c r="E189" s="1163"/>
      <c r="F189" s="1163"/>
      <c r="G189" s="1163"/>
      <c r="H189" s="1163"/>
    </row>
    <row r="190" spans="1:8">
      <c r="A190" s="1163"/>
      <c r="B190" s="1163"/>
      <c r="C190" s="1163"/>
      <c r="D190" s="1163"/>
      <c r="E190" s="1163"/>
      <c r="F190" s="1163"/>
      <c r="G190" s="1163"/>
      <c r="H190" s="1163"/>
    </row>
    <row r="191" spans="1:8">
      <c r="A191" s="1163"/>
      <c r="B191" s="1163"/>
      <c r="C191" s="1163"/>
      <c r="D191" s="1163"/>
      <c r="E191" s="1163"/>
      <c r="F191" s="1163"/>
      <c r="G191" s="1163"/>
      <c r="H191" s="1163"/>
    </row>
    <row r="192" spans="1:8">
      <c r="A192" s="1163"/>
      <c r="B192" s="1163"/>
      <c r="C192" s="1163"/>
      <c r="D192" s="1163"/>
      <c r="E192" s="1163"/>
      <c r="F192" s="1163"/>
      <c r="G192" s="1163"/>
      <c r="H192" s="1163"/>
    </row>
    <row r="193" spans="1:8">
      <c r="A193" s="1163"/>
      <c r="B193" s="1163"/>
      <c r="C193" s="1163"/>
      <c r="D193" s="1163"/>
      <c r="E193" s="1163"/>
      <c r="F193" s="1163"/>
      <c r="G193" s="1163"/>
      <c r="H193" s="1163"/>
    </row>
    <row r="194" spans="1:8">
      <c r="A194" s="1163"/>
      <c r="B194" s="1163"/>
      <c r="C194" s="1163"/>
      <c r="D194" s="1163"/>
      <c r="E194" s="1163"/>
      <c r="F194" s="1163"/>
      <c r="G194" s="1163"/>
      <c r="H194" s="1163"/>
    </row>
    <row r="195" spans="1:8">
      <c r="A195" s="1163"/>
      <c r="B195" s="1163"/>
      <c r="C195" s="1163"/>
      <c r="D195" s="1163"/>
      <c r="E195" s="1163"/>
      <c r="F195" s="1163"/>
      <c r="G195" s="1163"/>
      <c r="H195" s="1163"/>
    </row>
    <row r="196" spans="1:8">
      <c r="A196" s="1163"/>
      <c r="B196" s="1163"/>
      <c r="C196" s="1163"/>
      <c r="D196" s="1163"/>
      <c r="E196" s="1163"/>
      <c r="F196" s="1163"/>
      <c r="G196" s="1163"/>
      <c r="H196" s="1163"/>
    </row>
    <row r="197" spans="1:8">
      <c r="A197" s="1163"/>
      <c r="B197" s="1163"/>
      <c r="C197" s="1163"/>
      <c r="D197" s="1163"/>
      <c r="E197" s="1163"/>
      <c r="F197" s="1163"/>
      <c r="G197" s="1163"/>
      <c r="H197" s="1163"/>
    </row>
    <row r="198" spans="1:8">
      <c r="A198" s="1163"/>
      <c r="B198" s="1163"/>
      <c r="C198" s="1163"/>
      <c r="D198" s="1163"/>
      <c r="E198" s="1163"/>
      <c r="F198" s="1163"/>
      <c r="G198" s="1163"/>
      <c r="H198" s="1163"/>
    </row>
    <row r="199" spans="1:8">
      <c r="A199" s="1163"/>
      <c r="B199" s="1163"/>
      <c r="C199" s="1163"/>
      <c r="D199" s="1163"/>
      <c r="E199" s="1163"/>
      <c r="F199" s="1163"/>
      <c r="G199" s="1163"/>
      <c r="H199" s="1163"/>
    </row>
    <row r="200" spans="1:8">
      <c r="A200" s="1163"/>
      <c r="B200" s="1163"/>
      <c r="C200" s="1163"/>
      <c r="D200" s="1163"/>
      <c r="E200" s="1163"/>
      <c r="F200" s="1163"/>
      <c r="G200" s="1163"/>
      <c r="H200" s="1163"/>
    </row>
    <row r="201" spans="1:8">
      <c r="A201" s="1163"/>
      <c r="B201" s="1163"/>
      <c r="C201" s="1163"/>
      <c r="D201" s="1163"/>
      <c r="E201" s="1163"/>
      <c r="F201" s="1163"/>
      <c r="G201" s="1163"/>
      <c r="H201" s="1163"/>
    </row>
    <row r="202" spans="1:8">
      <c r="A202" s="1163"/>
      <c r="B202" s="1163"/>
      <c r="C202" s="1163"/>
      <c r="D202" s="1163"/>
      <c r="E202" s="1163"/>
      <c r="F202" s="1163"/>
      <c r="G202" s="1163"/>
      <c r="H202" s="1163"/>
    </row>
    <row r="203" spans="1:8">
      <c r="A203" s="1163"/>
      <c r="B203" s="1163"/>
      <c r="C203" s="1163"/>
      <c r="D203" s="1163"/>
      <c r="E203" s="1163"/>
      <c r="F203" s="1163"/>
      <c r="G203" s="1163"/>
      <c r="H203" s="1163"/>
    </row>
    <row r="204" spans="1:8">
      <c r="A204" s="1163"/>
      <c r="B204" s="1163"/>
      <c r="C204" s="1163"/>
      <c r="D204" s="1163"/>
      <c r="E204" s="1163"/>
      <c r="F204" s="1163"/>
      <c r="G204" s="1163"/>
      <c r="H204" s="1163"/>
    </row>
    <row r="205" spans="1:8">
      <c r="A205" s="1163"/>
      <c r="B205" s="1163"/>
      <c r="C205" s="1163"/>
      <c r="D205" s="1163"/>
      <c r="E205" s="1163"/>
      <c r="F205" s="1163"/>
      <c r="G205" s="1163"/>
      <c r="H205" s="1163"/>
    </row>
    <row r="206" spans="1:8">
      <c r="A206" s="1163"/>
      <c r="B206" s="1163"/>
      <c r="C206" s="1163"/>
      <c r="D206" s="1163"/>
      <c r="E206" s="1163"/>
      <c r="F206" s="1163"/>
      <c r="G206" s="1163"/>
      <c r="H206" s="1163"/>
    </row>
    <row r="207" spans="1:8">
      <c r="A207" s="1163"/>
      <c r="B207" s="1163"/>
      <c r="C207" s="1163"/>
      <c r="D207" s="1163"/>
      <c r="E207" s="1163"/>
      <c r="F207" s="1163"/>
      <c r="G207" s="1163"/>
      <c r="H207" s="1163"/>
    </row>
    <row r="208" spans="1:8">
      <c r="A208" s="1163"/>
      <c r="B208" s="1163"/>
      <c r="C208" s="1163"/>
      <c r="D208" s="1163"/>
      <c r="E208" s="1163"/>
      <c r="F208" s="1163"/>
      <c r="G208" s="1163"/>
      <c r="H208" s="1163"/>
    </row>
    <row r="209" spans="1:8">
      <c r="A209" s="1163"/>
      <c r="B209" s="1163"/>
      <c r="C209" s="1163"/>
      <c r="D209" s="1163"/>
      <c r="E209" s="1163"/>
      <c r="F209" s="1163"/>
      <c r="G209" s="1163"/>
      <c r="H209" s="1163"/>
    </row>
    <row r="210" spans="1:8">
      <c r="A210" s="1163"/>
      <c r="B210" s="1163"/>
      <c r="C210" s="1163"/>
      <c r="D210" s="1163"/>
      <c r="E210" s="1163"/>
      <c r="F210" s="1163"/>
      <c r="G210" s="1163"/>
      <c r="H210" s="1163"/>
    </row>
    <row r="211" spans="1:8">
      <c r="A211" s="1163"/>
      <c r="B211" s="1163"/>
      <c r="C211" s="1163"/>
      <c r="D211" s="1163"/>
      <c r="E211" s="1163"/>
      <c r="F211" s="1163"/>
      <c r="G211" s="1163"/>
      <c r="H211" s="1163"/>
    </row>
    <row r="212" spans="1:8">
      <c r="A212" s="1163"/>
      <c r="B212" s="1163"/>
      <c r="C212" s="1163"/>
      <c r="D212" s="1163"/>
      <c r="E212" s="1163"/>
      <c r="F212" s="1163"/>
      <c r="G212" s="1163"/>
      <c r="H212" s="1163"/>
    </row>
    <row r="213" spans="1:8">
      <c r="A213" s="1163"/>
      <c r="B213" s="1163"/>
      <c r="C213" s="1163"/>
      <c r="D213" s="1163"/>
      <c r="E213" s="1163"/>
      <c r="F213" s="1163"/>
      <c r="G213" s="1163"/>
      <c r="H213" s="1163"/>
    </row>
    <row r="214" spans="1:8">
      <c r="A214" s="1163"/>
      <c r="B214" s="1163"/>
      <c r="C214" s="1163"/>
      <c r="D214" s="1163"/>
      <c r="E214" s="1163"/>
      <c r="F214" s="1163"/>
      <c r="G214" s="1163"/>
      <c r="H214" s="1163"/>
    </row>
    <row r="215" spans="1:8" ht="15.6">
      <c r="A215" s="1160" t="s">
        <v>1208</v>
      </c>
      <c r="B215" s="1163"/>
      <c r="C215" s="1163"/>
      <c r="D215" s="1163"/>
      <c r="E215" s="1163"/>
      <c r="F215" s="1163"/>
      <c r="G215" s="1163"/>
      <c r="H215" s="1163"/>
    </row>
    <row r="216" spans="1:8">
      <c r="A216" s="1163"/>
      <c r="B216" s="1163"/>
      <c r="C216" s="1163"/>
      <c r="D216" s="1163"/>
      <c r="E216" s="1163"/>
      <c r="F216" s="1163"/>
      <c r="G216" s="1163"/>
      <c r="H216" s="1163"/>
    </row>
    <row r="217" spans="1:8" ht="13.2">
      <c r="A217" s="1159" t="s">
        <v>1209</v>
      </c>
      <c r="B217" s="1163"/>
      <c r="C217" s="1163"/>
      <c r="D217" s="1163"/>
      <c r="E217" s="1163"/>
      <c r="F217" s="1163"/>
      <c r="G217" s="1163"/>
      <c r="H217" s="1163"/>
    </row>
    <row r="218" spans="1:8" ht="13.2">
      <c r="A218" s="1159" t="s">
        <v>1210</v>
      </c>
      <c r="B218" s="1163"/>
      <c r="C218" s="1163"/>
      <c r="D218" s="1163"/>
      <c r="E218" s="1163"/>
      <c r="F218" s="1163"/>
      <c r="G218" s="1163"/>
      <c r="H218" s="1163"/>
    </row>
    <row r="219" spans="1:8" ht="13.2">
      <c r="A219" s="1159" t="s">
        <v>1211</v>
      </c>
      <c r="B219" s="1163"/>
      <c r="C219" s="1163"/>
      <c r="D219" s="1163"/>
      <c r="E219" s="1163"/>
      <c r="F219" s="1163"/>
      <c r="G219" s="1163"/>
      <c r="H219" s="1163"/>
    </row>
    <row r="220" spans="1:8" ht="13.2">
      <c r="A220" s="1159" t="s">
        <v>1212</v>
      </c>
      <c r="B220" s="1163"/>
      <c r="C220" s="1163"/>
      <c r="D220" s="1163"/>
      <c r="E220" s="1163"/>
      <c r="F220" s="1163"/>
      <c r="G220" s="1163"/>
      <c r="H220" s="1163"/>
    </row>
    <row r="221" spans="1:8" ht="13.2">
      <c r="A221" s="1159" t="s">
        <v>1213</v>
      </c>
      <c r="B221" s="1163"/>
      <c r="C221" s="1163"/>
      <c r="D221" s="1163"/>
      <c r="E221" s="1163"/>
      <c r="F221" s="1163"/>
      <c r="G221" s="1163"/>
      <c r="H221" s="1163"/>
    </row>
    <row r="222" spans="1:8">
      <c r="A222" s="1163"/>
      <c r="B222" s="1163"/>
      <c r="C222" s="1163"/>
      <c r="D222" s="1163"/>
      <c r="E222" s="1163"/>
      <c r="F222" s="1163"/>
      <c r="G222" s="1163"/>
      <c r="H222" s="1163"/>
    </row>
    <row r="223" spans="1:8" ht="13.2">
      <c r="A223" s="1159" t="s">
        <v>1214</v>
      </c>
      <c r="B223" s="1163"/>
      <c r="C223" s="1163"/>
      <c r="D223" s="1163"/>
      <c r="E223" s="1163"/>
      <c r="F223" s="1163"/>
      <c r="G223" s="1163"/>
      <c r="H223" s="1163"/>
    </row>
    <row r="224" spans="1:8" ht="13.2">
      <c r="A224" s="1159" t="s">
        <v>1215</v>
      </c>
      <c r="B224" s="1163"/>
      <c r="C224" s="1163"/>
      <c r="D224" s="1163"/>
      <c r="E224" s="1163"/>
      <c r="F224" s="1163"/>
      <c r="G224" s="1163"/>
      <c r="H224" s="1163"/>
    </row>
    <row r="225" spans="1:8" ht="13.2">
      <c r="A225" s="1159" t="s">
        <v>1216</v>
      </c>
      <c r="B225" s="1163"/>
      <c r="C225" s="1163"/>
      <c r="D225" s="1163"/>
      <c r="E225" s="1163"/>
      <c r="F225" s="1163"/>
      <c r="G225" s="1163"/>
      <c r="H225" s="1163"/>
    </row>
    <row r="226" spans="1:8">
      <c r="A226" s="1163"/>
      <c r="B226" s="1163"/>
      <c r="C226" s="1163"/>
      <c r="D226" s="1163"/>
      <c r="E226" s="1163"/>
      <c r="F226" s="1163"/>
      <c r="G226" s="1163"/>
      <c r="H226" s="1163"/>
    </row>
    <row r="227" spans="1:8" ht="15.6">
      <c r="A227" s="1160" t="s">
        <v>1217</v>
      </c>
      <c r="B227" s="1163"/>
      <c r="C227" s="1163"/>
      <c r="D227" s="1163"/>
      <c r="E227" s="1163"/>
      <c r="F227" s="1163"/>
      <c r="G227" s="1163"/>
      <c r="H227" s="1163"/>
    </row>
    <row r="228" spans="1:8">
      <c r="A228" s="1163"/>
      <c r="B228" s="1163"/>
      <c r="C228" s="1163"/>
      <c r="D228" s="1163"/>
      <c r="E228" s="1163"/>
      <c r="F228" s="1163"/>
      <c r="G228" s="1163"/>
      <c r="H228" s="1163"/>
    </row>
    <row r="229" spans="1:8" ht="13.2">
      <c r="A229" s="1159" t="s">
        <v>1218</v>
      </c>
      <c r="B229" s="1163"/>
      <c r="C229" s="1163"/>
      <c r="D229" s="1163"/>
      <c r="E229" s="1163"/>
      <c r="F229" s="1163"/>
      <c r="G229" s="1163"/>
      <c r="H229" s="1163"/>
    </row>
    <row r="230" spans="1:8" ht="13.2">
      <c r="A230" s="1159" t="s">
        <v>1219</v>
      </c>
      <c r="B230" s="1163"/>
      <c r="C230" s="1163"/>
      <c r="D230" s="1163"/>
      <c r="E230" s="1163"/>
      <c r="F230" s="1163"/>
      <c r="G230" s="1163"/>
      <c r="H230" s="1163"/>
    </row>
    <row r="231" spans="1:8" ht="13.2">
      <c r="A231" s="1159" t="s">
        <v>1220</v>
      </c>
      <c r="B231" s="1163"/>
      <c r="C231" s="1163"/>
      <c r="D231" s="1163"/>
      <c r="E231" s="1163"/>
      <c r="F231" s="1163"/>
      <c r="G231" s="1163"/>
      <c r="H231" s="1163"/>
    </row>
    <row r="232" spans="1:8" ht="13.2">
      <c r="A232" s="1159" t="s">
        <v>1221</v>
      </c>
      <c r="B232" s="1163"/>
      <c r="C232" s="1163"/>
      <c r="D232" s="1163"/>
      <c r="E232" s="1163"/>
      <c r="F232" s="1163"/>
      <c r="G232" s="1163"/>
      <c r="H232" s="1163"/>
    </row>
    <row r="233" spans="1:8" ht="13.2">
      <c r="A233" s="1159" t="s">
        <v>1222</v>
      </c>
      <c r="B233" s="1163"/>
      <c r="C233" s="1163"/>
      <c r="D233" s="1163"/>
      <c r="E233" s="1163"/>
      <c r="F233" s="1163"/>
      <c r="G233" s="1163"/>
      <c r="H233" s="1163"/>
    </row>
    <row r="234" spans="1:8" ht="13.2">
      <c r="A234" s="1159" t="s">
        <v>1223</v>
      </c>
      <c r="B234" s="1163"/>
      <c r="C234" s="1163"/>
      <c r="D234" s="1163"/>
      <c r="E234" s="1163"/>
      <c r="F234" s="1163"/>
      <c r="G234" s="1163"/>
      <c r="H234" s="1163"/>
    </row>
    <row r="235" spans="1:8" ht="13.2">
      <c r="A235" s="1159" t="s">
        <v>1224</v>
      </c>
      <c r="B235" s="1163"/>
      <c r="C235" s="1163"/>
      <c r="D235" s="1163"/>
      <c r="E235" s="1163"/>
      <c r="F235" s="1163"/>
      <c r="G235" s="1163"/>
      <c r="H235" s="1163"/>
    </row>
    <row r="236" spans="1:8">
      <c r="A236" s="1163"/>
      <c r="B236" s="1163"/>
      <c r="C236" s="1163"/>
      <c r="D236" s="1163"/>
      <c r="E236" s="1163"/>
      <c r="F236" s="1163"/>
      <c r="G236" s="1163"/>
      <c r="H236" s="1163"/>
    </row>
    <row r="237" spans="1:8" ht="13.2">
      <c r="A237" s="1159" t="s">
        <v>1225</v>
      </c>
      <c r="B237" s="1163"/>
      <c r="C237" s="1163"/>
      <c r="D237" s="1163"/>
      <c r="E237" s="1163"/>
      <c r="F237" s="1163"/>
      <c r="G237" s="1163"/>
      <c r="H237" s="1163"/>
    </row>
    <row r="238" spans="1:8" ht="13.2">
      <c r="A238" s="1159" t="s">
        <v>1226</v>
      </c>
      <c r="B238" s="1163"/>
      <c r="C238" s="1163"/>
      <c r="D238" s="1163"/>
      <c r="E238" s="1163"/>
      <c r="F238" s="1163"/>
      <c r="G238" s="1163"/>
      <c r="H238" s="1163"/>
    </row>
    <row r="239" spans="1:8" ht="13.2">
      <c r="A239" s="1159" t="s">
        <v>1227</v>
      </c>
      <c r="B239" s="1163"/>
      <c r="C239" s="1163"/>
      <c r="D239" s="1163"/>
      <c r="E239" s="1163"/>
      <c r="F239" s="1163"/>
      <c r="G239" s="1163"/>
      <c r="H239" s="1163"/>
    </row>
    <row r="240" spans="1:8">
      <c r="A240" s="1163"/>
      <c r="B240" s="1163"/>
      <c r="C240" s="1163"/>
      <c r="D240" s="1163"/>
      <c r="E240" s="1163"/>
      <c r="F240" s="1163"/>
      <c r="G240" s="1163"/>
      <c r="H240" s="1163"/>
    </row>
    <row r="241" spans="1:8" ht="13.2">
      <c r="A241" s="1159" t="s">
        <v>1228</v>
      </c>
      <c r="B241" s="1163"/>
      <c r="C241" s="1163"/>
      <c r="D241" s="1163"/>
      <c r="E241" s="1163"/>
      <c r="F241" s="1163"/>
      <c r="G241" s="1163"/>
      <c r="H241" s="1163"/>
    </row>
    <row r="242" spans="1:8" ht="13.2">
      <c r="A242" s="1159" t="s">
        <v>1229</v>
      </c>
      <c r="B242" s="1163"/>
      <c r="C242" s="1163"/>
      <c r="D242" s="1163"/>
      <c r="E242" s="1163"/>
      <c r="F242" s="1163"/>
      <c r="G242" s="1163"/>
      <c r="H242" s="1163"/>
    </row>
    <row r="243" spans="1:8" ht="13.2">
      <c r="A243" s="1159" t="s">
        <v>1230</v>
      </c>
      <c r="B243" s="1163"/>
      <c r="C243" s="1163"/>
      <c r="D243" s="1163"/>
      <c r="E243" s="1163"/>
      <c r="F243" s="1163"/>
      <c r="G243" s="1163"/>
      <c r="H243" s="1163"/>
    </row>
    <row r="244" spans="1:8" ht="13.2">
      <c r="A244" s="1159" t="s">
        <v>1231</v>
      </c>
      <c r="B244" s="1163"/>
      <c r="C244" s="1163"/>
      <c r="D244" s="1163"/>
      <c r="E244" s="1163"/>
      <c r="F244" s="1163"/>
      <c r="G244" s="1163"/>
      <c r="H244" s="1163"/>
    </row>
    <row r="245" spans="1:8" ht="13.2">
      <c r="A245" s="1159" t="s">
        <v>1232</v>
      </c>
      <c r="B245" s="1163"/>
      <c r="C245" s="1163"/>
      <c r="D245" s="1163"/>
      <c r="E245" s="1163"/>
      <c r="F245" s="1163"/>
      <c r="G245" s="1163"/>
      <c r="H245" s="1163"/>
    </row>
    <row r="246" spans="1:8">
      <c r="A246" s="1163"/>
      <c r="B246" s="1163"/>
      <c r="C246" s="1163"/>
      <c r="D246" s="1163"/>
      <c r="E246" s="1163"/>
      <c r="F246" s="1163"/>
      <c r="G246" s="1163"/>
      <c r="H246" s="1163"/>
    </row>
    <row r="247" spans="1:8" ht="13.2">
      <c r="A247" s="1159" t="s">
        <v>1233</v>
      </c>
      <c r="B247" s="1163"/>
      <c r="C247" s="1163"/>
      <c r="D247" s="1163"/>
      <c r="E247" s="1163"/>
      <c r="F247" s="1163"/>
      <c r="G247" s="1163"/>
      <c r="H247" s="1163"/>
    </row>
    <row r="248" spans="1:8" ht="13.2">
      <c r="A248" s="1159" t="s">
        <v>1234</v>
      </c>
      <c r="B248" s="1163"/>
      <c r="C248" s="1163"/>
      <c r="D248" s="1163"/>
      <c r="E248" s="1163"/>
      <c r="F248" s="1163"/>
      <c r="G248" s="1163"/>
      <c r="H248" s="1163"/>
    </row>
    <row r="249" spans="1:8" ht="13.2">
      <c r="A249" s="1159" t="s">
        <v>1235</v>
      </c>
      <c r="B249" s="1163"/>
      <c r="C249" s="1163"/>
      <c r="D249" s="1163"/>
      <c r="E249" s="1163"/>
      <c r="F249" s="1163"/>
      <c r="G249" s="1163"/>
      <c r="H249" s="1163"/>
    </row>
    <row r="250" spans="1:8" ht="13.2">
      <c r="A250" s="1159" t="s">
        <v>1236</v>
      </c>
      <c r="B250" s="1163"/>
      <c r="C250" s="1163"/>
      <c r="D250" s="1163"/>
      <c r="E250" s="1163"/>
      <c r="F250" s="1163"/>
      <c r="G250" s="1163"/>
      <c r="H250" s="1163"/>
    </row>
    <row r="251" spans="1:8" ht="13.2">
      <c r="A251" s="1159" t="s">
        <v>1237</v>
      </c>
      <c r="B251" s="1163"/>
      <c r="C251" s="1163"/>
      <c r="D251" s="1163"/>
      <c r="E251" s="1163"/>
      <c r="F251" s="1163"/>
      <c r="G251" s="1163"/>
      <c r="H251" s="1163"/>
    </row>
    <row r="252" spans="1:8" ht="13.2">
      <c r="A252" s="1159" t="s">
        <v>1238</v>
      </c>
      <c r="B252" s="1163"/>
      <c r="C252" s="1163"/>
      <c r="D252" s="1163"/>
      <c r="E252" s="1163"/>
      <c r="F252" s="1163"/>
      <c r="G252" s="1163"/>
      <c r="H252" s="1163"/>
    </row>
    <row r="253" spans="1:8">
      <c r="A253" s="1163"/>
      <c r="B253" s="1163"/>
      <c r="C253" s="1163"/>
      <c r="D253" s="1163"/>
      <c r="E253" s="1163"/>
      <c r="F253" s="1163"/>
      <c r="G253" s="1163"/>
      <c r="H253" s="1163"/>
    </row>
    <row r="254" spans="1:8" ht="13.2">
      <c r="A254" s="1159" t="s">
        <v>1239</v>
      </c>
      <c r="B254" s="1163"/>
      <c r="C254" s="1163"/>
      <c r="D254" s="1163"/>
      <c r="E254" s="1163"/>
      <c r="F254" s="1163"/>
      <c r="G254" s="1163"/>
      <c r="H254" s="1163"/>
    </row>
    <row r="255" spans="1:8" ht="13.2">
      <c r="A255" s="1159" t="s">
        <v>1240</v>
      </c>
      <c r="B255" s="1163"/>
      <c r="C255" s="1163"/>
      <c r="D255" s="1163"/>
      <c r="E255" s="1163"/>
      <c r="F255" s="1163"/>
      <c r="G255" s="1163"/>
      <c r="H255" s="1163"/>
    </row>
    <row r="256" spans="1:8" ht="13.2">
      <c r="A256" s="1159" t="s">
        <v>1241</v>
      </c>
      <c r="B256" s="1163"/>
      <c r="C256" s="1163"/>
      <c r="D256" s="1163"/>
      <c r="E256" s="1163"/>
      <c r="F256" s="1163"/>
      <c r="G256" s="1163"/>
      <c r="H256" s="1163"/>
    </row>
    <row r="257" spans="1:8" ht="13.2">
      <c r="A257" s="1159" t="s">
        <v>1242</v>
      </c>
      <c r="B257" s="1163"/>
      <c r="C257" s="1163"/>
      <c r="D257" s="1163"/>
      <c r="E257" s="1163"/>
      <c r="F257" s="1163"/>
      <c r="G257" s="1163"/>
      <c r="H257" s="1163"/>
    </row>
    <row r="258" spans="1:8" ht="13.2">
      <c r="A258" s="1159" t="s">
        <v>1243</v>
      </c>
      <c r="B258" s="1163"/>
      <c r="C258" s="1163"/>
      <c r="D258" s="1163"/>
      <c r="E258" s="1163"/>
      <c r="F258" s="1163"/>
      <c r="G258" s="1163"/>
      <c r="H258" s="1163"/>
    </row>
    <row r="259" spans="1:8" ht="13.2">
      <c r="A259" s="1159" t="s">
        <v>1244</v>
      </c>
      <c r="B259" s="1163"/>
      <c r="C259" s="1163"/>
      <c r="D259" s="1163"/>
      <c r="E259" s="1163"/>
      <c r="F259" s="1163"/>
      <c r="G259" s="1163"/>
      <c r="H259" s="1163"/>
    </row>
    <row r="260" spans="1:8" ht="13.2">
      <c r="A260" s="1159" t="s">
        <v>1245</v>
      </c>
      <c r="B260" s="1163"/>
      <c r="C260" s="1163"/>
      <c r="D260" s="1163"/>
      <c r="E260" s="1163"/>
      <c r="F260" s="1163"/>
      <c r="G260" s="1163"/>
      <c r="H260" s="1163"/>
    </row>
    <row r="261" spans="1:8" ht="13.2">
      <c r="A261" s="1159" t="s">
        <v>1246</v>
      </c>
      <c r="B261" s="1163"/>
      <c r="C261" s="1163"/>
      <c r="D261" s="1163"/>
      <c r="E261" s="1163"/>
      <c r="F261" s="1163"/>
      <c r="G261" s="1163"/>
      <c r="H261" s="1163"/>
    </row>
    <row r="262" spans="1:8" ht="13.2">
      <c r="A262" s="1159" t="s">
        <v>1247</v>
      </c>
      <c r="B262" s="1163"/>
      <c r="C262" s="1163"/>
      <c r="D262" s="1163"/>
      <c r="E262" s="1163"/>
      <c r="F262" s="1163"/>
      <c r="G262" s="1163"/>
      <c r="H262" s="1163"/>
    </row>
    <row r="263" spans="1:8" ht="13.2">
      <c r="A263" s="1159" t="s">
        <v>1248</v>
      </c>
      <c r="B263" s="1163"/>
      <c r="C263" s="1163"/>
      <c r="D263" s="1163"/>
      <c r="E263" s="1163"/>
      <c r="F263" s="1163"/>
      <c r="G263" s="1163"/>
      <c r="H263" s="1163"/>
    </row>
    <row r="264" spans="1:8" ht="13.2">
      <c r="A264" s="1159" t="s">
        <v>1249</v>
      </c>
      <c r="B264" s="1163"/>
      <c r="C264" s="1163"/>
      <c r="D264" s="1163"/>
      <c r="E264" s="1163"/>
      <c r="F264" s="1163"/>
      <c r="G264" s="1163"/>
      <c r="H264" s="1163"/>
    </row>
    <row r="265" spans="1:8" ht="13.2">
      <c r="A265" s="1159" t="s">
        <v>1250</v>
      </c>
      <c r="B265" s="1163"/>
      <c r="C265" s="1163"/>
      <c r="D265" s="1163"/>
      <c r="E265" s="1163"/>
      <c r="F265" s="1163"/>
      <c r="G265" s="1163"/>
      <c r="H265" s="1163"/>
    </row>
    <row r="266" spans="1:8" ht="13.2">
      <c r="A266" s="1159" t="s">
        <v>1251</v>
      </c>
      <c r="B266" s="1163"/>
      <c r="C266" s="1163"/>
      <c r="D266" s="1163"/>
      <c r="E266" s="1163"/>
      <c r="F266" s="1163"/>
      <c r="G266" s="1163"/>
      <c r="H266" s="1163"/>
    </row>
    <row r="267" spans="1:8" ht="13.2">
      <c r="A267" s="1159" t="s">
        <v>1252</v>
      </c>
      <c r="B267" s="1163"/>
      <c r="C267" s="1163"/>
      <c r="D267" s="1163"/>
      <c r="E267" s="1163"/>
      <c r="F267" s="1163"/>
      <c r="G267" s="1163"/>
      <c r="H267" s="1163"/>
    </row>
    <row r="268" spans="1:8">
      <c r="A268" s="1163"/>
      <c r="B268" s="1163"/>
      <c r="C268" s="1163"/>
      <c r="D268" s="1163"/>
      <c r="E268" s="1163"/>
      <c r="F268" s="1163"/>
      <c r="G268" s="1163"/>
      <c r="H268" s="1163"/>
    </row>
    <row r="269" spans="1:8" ht="13.2">
      <c r="A269" s="1159" t="s">
        <v>1253</v>
      </c>
      <c r="B269" s="1163"/>
      <c r="C269" s="1163"/>
      <c r="D269" s="1163"/>
      <c r="E269" s="1163"/>
      <c r="F269" s="1163"/>
      <c r="G269" s="1163"/>
      <c r="H269" s="1163"/>
    </row>
    <row r="270" spans="1:8" ht="13.2">
      <c r="A270" s="1159" t="s">
        <v>1254</v>
      </c>
      <c r="B270" s="1163"/>
      <c r="C270" s="1163"/>
      <c r="D270" s="1163"/>
      <c r="E270" s="1163"/>
      <c r="F270" s="1163"/>
      <c r="G270" s="1163"/>
      <c r="H270" s="1163"/>
    </row>
    <row r="271" spans="1:8">
      <c r="A271" s="1163"/>
      <c r="B271" s="1163"/>
      <c r="C271" s="1163"/>
      <c r="D271" s="1163"/>
      <c r="E271" s="1163"/>
      <c r="F271" s="1163"/>
      <c r="G271" s="1163"/>
      <c r="H271" s="1163"/>
    </row>
    <row r="272" spans="1:8" ht="13.2">
      <c r="A272" s="1159" t="s">
        <v>1255</v>
      </c>
      <c r="B272" s="1163"/>
      <c r="C272" s="1163"/>
      <c r="D272" s="1163"/>
      <c r="E272" s="1163"/>
      <c r="F272" s="1163"/>
      <c r="G272" s="1163"/>
      <c r="H272" s="1163"/>
    </row>
    <row r="273" spans="1:8" ht="13.2">
      <c r="A273" s="1159" t="s">
        <v>1256</v>
      </c>
      <c r="B273" s="1163"/>
      <c r="C273" s="1163"/>
      <c r="D273" s="1163"/>
      <c r="E273" s="1163"/>
      <c r="F273" s="1163"/>
      <c r="G273" s="1163"/>
      <c r="H273" s="1163"/>
    </row>
    <row r="274" spans="1:8" ht="13.2">
      <c r="A274" s="1159" t="s">
        <v>1257</v>
      </c>
      <c r="B274" s="1163"/>
      <c r="C274" s="1163"/>
      <c r="D274" s="1163"/>
      <c r="E274" s="1163"/>
      <c r="F274" s="1163"/>
      <c r="G274" s="1163"/>
      <c r="H274" s="1163"/>
    </row>
    <row r="275" spans="1:8" ht="13.2">
      <c r="A275" s="1159" t="s">
        <v>1258</v>
      </c>
      <c r="B275" s="1163"/>
      <c r="C275" s="1163"/>
      <c r="D275" s="1163"/>
      <c r="E275" s="1163"/>
      <c r="F275" s="1163"/>
      <c r="G275" s="1163"/>
      <c r="H275" s="1163"/>
    </row>
    <row r="276" spans="1:8" ht="13.2">
      <c r="A276" s="1159" t="s">
        <v>1259</v>
      </c>
      <c r="B276" s="1163"/>
      <c r="C276" s="1163"/>
      <c r="D276" s="1163"/>
      <c r="E276" s="1163"/>
      <c r="F276" s="1163"/>
      <c r="G276" s="1163"/>
      <c r="H276" s="1163"/>
    </row>
    <row r="277" spans="1:8" ht="13.2">
      <c r="A277" s="1159" t="s">
        <v>1260</v>
      </c>
      <c r="B277" s="1163"/>
      <c r="C277" s="1163"/>
      <c r="D277" s="1163"/>
      <c r="E277" s="1163"/>
      <c r="F277" s="1163"/>
      <c r="G277" s="1163"/>
      <c r="H277" s="1163"/>
    </row>
    <row r="278" spans="1:8" ht="13.2">
      <c r="A278" s="1159" t="s">
        <v>1261</v>
      </c>
      <c r="B278" s="1163"/>
      <c r="C278" s="1163"/>
      <c r="D278" s="1163"/>
      <c r="E278" s="1163"/>
      <c r="F278" s="1163"/>
      <c r="G278" s="1163"/>
      <c r="H278" s="1163"/>
    </row>
    <row r="279" spans="1:8" ht="13.2">
      <c r="A279" s="1159" t="s">
        <v>1262</v>
      </c>
      <c r="B279" s="1163"/>
      <c r="C279" s="1163"/>
      <c r="D279" s="1163"/>
      <c r="E279" s="1163"/>
      <c r="F279" s="1163"/>
      <c r="G279" s="1163"/>
      <c r="H279" s="1163"/>
    </row>
    <row r="280" spans="1:8" ht="13.2">
      <c r="A280" s="1159" t="s">
        <v>1263</v>
      </c>
      <c r="B280" s="1163"/>
      <c r="C280" s="1163"/>
      <c r="D280" s="1163"/>
      <c r="E280" s="1163"/>
      <c r="F280" s="1163"/>
      <c r="G280" s="1163"/>
      <c r="H280" s="1163"/>
    </row>
    <row r="281" spans="1:8" ht="13.2">
      <c r="A281" s="1159" t="s">
        <v>1264</v>
      </c>
      <c r="B281" s="1163"/>
      <c r="C281" s="1163"/>
      <c r="D281" s="1163"/>
      <c r="E281" s="1163"/>
      <c r="F281" s="1163"/>
      <c r="G281" s="1163"/>
      <c r="H281" s="1163"/>
    </row>
    <row r="282" spans="1:8" ht="13.2">
      <c r="A282" s="1159" t="s">
        <v>1265</v>
      </c>
      <c r="B282" s="1163"/>
      <c r="C282" s="1163"/>
      <c r="D282" s="1163"/>
      <c r="E282" s="1163"/>
      <c r="F282" s="1163"/>
      <c r="G282" s="1163"/>
      <c r="H282" s="1163"/>
    </row>
    <row r="283" spans="1:8" ht="13.2">
      <c r="A283" s="1159" t="s">
        <v>1266</v>
      </c>
      <c r="B283" s="1163"/>
      <c r="C283" s="1163"/>
      <c r="D283" s="1163"/>
      <c r="E283" s="1163"/>
      <c r="F283" s="1163"/>
      <c r="G283" s="1163"/>
      <c r="H283" s="1163"/>
    </row>
    <row r="284" spans="1:8" ht="13.2">
      <c r="A284" s="1159" t="s">
        <v>1267</v>
      </c>
      <c r="B284" s="1163"/>
      <c r="C284" s="1163"/>
      <c r="D284" s="1163"/>
      <c r="E284" s="1163"/>
      <c r="F284" s="1163"/>
      <c r="G284" s="1163"/>
      <c r="H284" s="1163"/>
    </row>
    <row r="285" spans="1:8" ht="13.2">
      <c r="A285" s="1159" t="s">
        <v>1268</v>
      </c>
      <c r="B285" s="1163"/>
      <c r="C285" s="1163"/>
      <c r="D285" s="1163"/>
      <c r="E285" s="1163"/>
      <c r="F285" s="1163"/>
      <c r="G285" s="1163"/>
      <c r="H285" s="1163"/>
    </row>
    <row r="286" spans="1:8" ht="13.2">
      <c r="A286" s="1159" t="s">
        <v>1269</v>
      </c>
      <c r="B286" s="1163"/>
      <c r="C286" s="1163"/>
      <c r="D286" s="1163"/>
      <c r="E286" s="1163"/>
      <c r="F286" s="1163"/>
      <c r="G286" s="1163"/>
      <c r="H286" s="1163"/>
    </row>
    <row r="287" spans="1:8" ht="13.2">
      <c r="A287" s="1159" t="s">
        <v>1270</v>
      </c>
      <c r="B287" s="1163"/>
      <c r="C287" s="1163"/>
      <c r="D287" s="1163"/>
      <c r="E287" s="1163"/>
      <c r="F287" s="1163"/>
      <c r="G287" s="1163"/>
      <c r="H287" s="1163"/>
    </row>
    <row r="288" spans="1:8">
      <c r="A288" s="1163"/>
      <c r="B288" s="1163"/>
      <c r="C288" s="1163"/>
      <c r="D288" s="1163"/>
      <c r="E288" s="1163"/>
      <c r="F288" s="1163"/>
      <c r="G288" s="1163"/>
      <c r="H288" s="1163"/>
    </row>
    <row r="289" spans="1:8" ht="13.2">
      <c r="A289" s="1159" t="s">
        <v>1271</v>
      </c>
      <c r="B289" s="1163"/>
      <c r="C289" s="1163"/>
      <c r="D289" s="1163"/>
      <c r="E289" s="1163"/>
      <c r="F289" s="1163"/>
      <c r="G289" s="1163"/>
      <c r="H289" s="1163"/>
    </row>
    <row r="290" spans="1:8" ht="13.2">
      <c r="A290" s="1159" t="s">
        <v>1272</v>
      </c>
      <c r="B290" s="1163"/>
      <c r="C290" s="1163"/>
      <c r="D290" s="1163"/>
      <c r="E290" s="1163"/>
      <c r="F290" s="1163"/>
      <c r="G290" s="1163"/>
      <c r="H290" s="1163"/>
    </row>
    <row r="291" spans="1:8" ht="13.2">
      <c r="A291" s="1159" t="s">
        <v>1273</v>
      </c>
      <c r="B291" s="1163"/>
      <c r="C291" s="1163"/>
      <c r="D291" s="1163"/>
      <c r="E291" s="1163"/>
      <c r="F291" s="1163"/>
      <c r="G291" s="1163"/>
      <c r="H291" s="1163"/>
    </row>
    <row r="292" spans="1:8" ht="13.2">
      <c r="A292" s="1159" t="s">
        <v>1274</v>
      </c>
      <c r="B292" s="1163"/>
      <c r="C292" s="1163"/>
      <c r="D292" s="1163"/>
      <c r="E292" s="1163"/>
      <c r="F292" s="1163"/>
      <c r="G292" s="1163"/>
      <c r="H292" s="1163"/>
    </row>
    <row r="293" spans="1:8" ht="13.2">
      <c r="A293" s="1159" t="s">
        <v>1275</v>
      </c>
      <c r="B293" s="1163"/>
      <c r="C293" s="1163"/>
      <c r="D293" s="1163"/>
      <c r="E293" s="1163"/>
      <c r="F293" s="1163"/>
      <c r="G293" s="1163"/>
      <c r="H293" s="1163"/>
    </row>
    <row r="294" spans="1:8" ht="13.2">
      <c r="A294" s="1159" t="s">
        <v>1276</v>
      </c>
      <c r="B294" s="1163"/>
      <c r="C294" s="1163"/>
      <c r="D294" s="1163"/>
      <c r="E294" s="1163"/>
      <c r="F294" s="1163"/>
      <c r="G294" s="1163"/>
      <c r="H294" s="1163"/>
    </row>
    <row r="295" spans="1:8" ht="13.2">
      <c r="A295" s="1159" t="s">
        <v>1135</v>
      </c>
      <c r="B295" s="1163"/>
      <c r="C295" s="1163"/>
      <c r="D295" s="1163"/>
      <c r="E295" s="1163"/>
      <c r="F295" s="1163"/>
      <c r="G295" s="1163"/>
      <c r="H295" s="1163"/>
    </row>
    <row r="296" spans="1:8">
      <c r="A296" s="1163"/>
      <c r="B296" s="1163"/>
      <c r="C296" s="1163"/>
      <c r="D296" s="1163"/>
      <c r="E296" s="1163"/>
      <c r="F296" s="1163"/>
      <c r="G296" s="1163"/>
      <c r="H296" s="1163"/>
    </row>
    <row r="297" spans="1:8" ht="13.2">
      <c r="A297" s="1159" t="s">
        <v>1277</v>
      </c>
      <c r="B297" s="1163"/>
      <c r="C297" s="1163"/>
      <c r="D297" s="1163"/>
      <c r="E297" s="1163"/>
      <c r="F297" s="1163"/>
      <c r="G297" s="1163"/>
      <c r="H297" s="1163"/>
    </row>
    <row r="298" spans="1:8" ht="13.2">
      <c r="A298" s="1159" t="s">
        <v>1278</v>
      </c>
      <c r="B298" s="1163"/>
      <c r="C298" s="1163"/>
      <c r="D298" s="1163"/>
      <c r="E298" s="1163"/>
      <c r="F298" s="1163"/>
      <c r="G298" s="1163"/>
      <c r="H298" s="1163"/>
    </row>
    <row r="299" spans="1:8" ht="13.2">
      <c r="A299" s="1159" t="s">
        <v>1279</v>
      </c>
      <c r="B299" s="1163"/>
      <c r="C299" s="1163"/>
      <c r="D299" s="1163"/>
      <c r="E299" s="1163"/>
      <c r="F299" s="1163"/>
      <c r="G299" s="1163"/>
      <c r="H299" s="1163"/>
    </row>
    <row r="300" spans="1:8" ht="13.2">
      <c r="A300" s="1159" t="s">
        <v>1280</v>
      </c>
      <c r="B300" s="1163"/>
      <c r="C300" s="1163"/>
      <c r="D300" s="1163"/>
      <c r="E300" s="1163"/>
      <c r="F300" s="1163"/>
      <c r="G300" s="1163"/>
      <c r="H300" s="1163"/>
    </row>
    <row r="301" spans="1:8" ht="13.2">
      <c r="A301" s="1159" t="s">
        <v>1281</v>
      </c>
      <c r="B301" s="1163"/>
      <c r="C301" s="1163"/>
      <c r="D301" s="1163"/>
      <c r="E301" s="1163"/>
      <c r="F301" s="1163"/>
      <c r="G301" s="1163"/>
      <c r="H301" s="1163"/>
    </row>
    <row r="302" spans="1:8" ht="13.2">
      <c r="A302" s="1159" t="s">
        <v>1282</v>
      </c>
      <c r="B302" s="1163"/>
      <c r="C302" s="1163"/>
      <c r="D302" s="1163"/>
      <c r="E302" s="1163"/>
      <c r="F302" s="1163"/>
      <c r="G302" s="1163"/>
      <c r="H302" s="1163"/>
    </row>
    <row r="303" spans="1:8" ht="13.2">
      <c r="A303" s="1159" t="s">
        <v>1283</v>
      </c>
      <c r="B303" s="1163"/>
      <c r="C303" s="1163"/>
      <c r="D303" s="1163"/>
      <c r="E303" s="1163"/>
      <c r="F303" s="1163"/>
      <c r="G303" s="1163"/>
      <c r="H303" s="1163"/>
    </row>
    <row r="304" spans="1:8" ht="13.2">
      <c r="A304" s="1159" t="s">
        <v>1284</v>
      </c>
      <c r="B304" s="1163"/>
      <c r="C304" s="1163"/>
      <c r="D304" s="1163"/>
      <c r="E304" s="1163"/>
      <c r="F304" s="1163"/>
      <c r="G304" s="1163"/>
      <c r="H304" s="1163"/>
    </row>
    <row r="305" spans="1:8" ht="13.2">
      <c r="A305" s="1159" t="s">
        <v>1285</v>
      </c>
      <c r="B305" s="1163"/>
      <c r="C305" s="1163"/>
      <c r="D305" s="1163"/>
      <c r="E305" s="1163"/>
      <c r="F305" s="1163"/>
      <c r="G305" s="1163"/>
      <c r="H305" s="1163"/>
    </row>
    <row r="306" spans="1:8">
      <c r="A306" s="1163"/>
      <c r="B306" s="1163"/>
      <c r="C306" s="1163"/>
      <c r="D306" s="1163"/>
      <c r="E306" s="1163"/>
      <c r="F306" s="1163"/>
      <c r="G306" s="1163"/>
      <c r="H306" s="1163"/>
    </row>
    <row r="307" spans="1:8" ht="13.2">
      <c r="A307" s="1159" t="s">
        <v>1286</v>
      </c>
      <c r="B307" s="1163"/>
      <c r="C307" s="1163"/>
      <c r="D307" s="1163"/>
      <c r="E307" s="1163"/>
      <c r="F307" s="1163"/>
      <c r="G307" s="1163"/>
      <c r="H307" s="1163"/>
    </row>
    <row r="308" spans="1:8" ht="13.2">
      <c r="A308" s="1159" t="s">
        <v>1287</v>
      </c>
      <c r="B308" s="1163"/>
      <c r="C308" s="1163"/>
      <c r="D308" s="1163"/>
      <c r="E308" s="1163"/>
      <c r="F308" s="1163"/>
      <c r="G308" s="1163"/>
      <c r="H308" s="1163"/>
    </row>
    <row r="309" spans="1:8" ht="13.2">
      <c r="A309" s="1159" t="s">
        <v>1288</v>
      </c>
      <c r="B309" s="1163"/>
      <c r="C309" s="1163"/>
      <c r="D309" s="1163"/>
      <c r="E309" s="1163"/>
      <c r="F309" s="1163"/>
      <c r="G309" s="1163"/>
      <c r="H309" s="1163"/>
    </row>
    <row r="310" spans="1:8" ht="13.2">
      <c r="A310" s="1159" t="s">
        <v>1289</v>
      </c>
      <c r="B310" s="1163"/>
      <c r="C310" s="1163"/>
      <c r="D310" s="1163"/>
      <c r="E310" s="1163"/>
      <c r="F310" s="1163"/>
      <c r="G310" s="1163"/>
      <c r="H310" s="1163"/>
    </row>
    <row r="311" spans="1:8" ht="13.2">
      <c r="A311" s="1159" t="s">
        <v>1290</v>
      </c>
      <c r="B311" s="1163"/>
      <c r="C311" s="1163"/>
      <c r="D311" s="1163"/>
      <c r="E311" s="1163"/>
      <c r="F311" s="1163"/>
      <c r="G311" s="1163"/>
      <c r="H311" s="1163"/>
    </row>
    <row r="312" spans="1:8" ht="13.2">
      <c r="A312" s="1159" t="s">
        <v>1291</v>
      </c>
      <c r="B312" s="1163"/>
      <c r="C312" s="1163"/>
      <c r="D312" s="1163"/>
      <c r="E312" s="1163"/>
      <c r="F312" s="1163"/>
      <c r="G312" s="1163"/>
      <c r="H312" s="1163"/>
    </row>
    <row r="313" spans="1:8" ht="13.2">
      <c r="A313" s="1159" t="s">
        <v>1292</v>
      </c>
      <c r="B313" s="1163"/>
      <c r="C313" s="1163"/>
      <c r="D313" s="1163"/>
      <c r="E313" s="1163"/>
      <c r="F313" s="1163"/>
      <c r="G313" s="1163"/>
      <c r="H313" s="1163"/>
    </row>
    <row r="314" spans="1:8">
      <c r="A314" s="1163"/>
      <c r="B314" s="1163"/>
      <c r="C314" s="1163"/>
      <c r="D314" s="1163"/>
      <c r="E314" s="1163"/>
      <c r="F314" s="1163"/>
      <c r="G314" s="1163"/>
      <c r="H314" s="1163"/>
    </row>
    <row r="315" spans="1:8" ht="13.2">
      <c r="A315" s="1159" t="s">
        <v>1293</v>
      </c>
      <c r="B315" s="1163"/>
      <c r="C315" s="1163"/>
      <c r="D315" s="1163"/>
      <c r="E315" s="1163"/>
      <c r="F315" s="1163"/>
      <c r="G315" s="1163"/>
      <c r="H315" s="1163"/>
    </row>
    <row r="316" spans="1:8" ht="13.2">
      <c r="A316" s="1159" t="s">
        <v>1294</v>
      </c>
      <c r="B316" s="1163"/>
      <c r="C316" s="1163"/>
      <c r="D316" s="1163"/>
      <c r="E316" s="1163"/>
      <c r="F316" s="1163"/>
      <c r="G316" s="1163"/>
      <c r="H316" s="1163"/>
    </row>
    <row r="317" spans="1:8" ht="13.2">
      <c r="A317" s="1159" t="s">
        <v>1295</v>
      </c>
      <c r="B317" s="1163"/>
      <c r="C317" s="1163"/>
      <c r="D317" s="1163"/>
      <c r="E317" s="1163"/>
      <c r="F317" s="1163"/>
      <c r="G317" s="1163"/>
      <c r="H317" s="1163"/>
    </row>
    <row r="318" spans="1:8">
      <c r="A318" s="1163"/>
      <c r="B318" s="1163"/>
      <c r="C318" s="1163"/>
      <c r="D318" s="1163"/>
      <c r="E318" s="1163"/>
      <c r="F318" s="1163"/>
      <c r="G318" s="1163"/>
      <c r="H318" s="1163"/>
    </row>
    <row r="319" spans="1:8" ht="13.2">
      <c r="A319" s="1159" t="s">
        <v>1296</v>
      </c>
      <c r="B319" s="1163"/>
      <c r="C319" s="1163"/>
      <c r="D319" s="1163"/>
      <c r="E319" s="1163"/>
      <c r="F319" s="1163"/>
      <c r="G319" s="1163"/>
      <c r="H319" s="1163"/>
    </row>
    <row r="320" spans="1:8" ht="13.2">
      <c r="A320" s="1159" t="s">
        <v>1297</v>
      </c>
      <c r="B320" s="1163"/>
      <c r="C320" s="1163"/>
      <c r="D320" s="1163"/>
      <c r="E320" s="1163"/>
      <c r="F320" s="1163"/>
      <c r="G320" s="1163"/>
      <c r="H320" s="1163"/>
    </row>
    <row r="321" spans="1:8">
      <c r="A321" s="1163"/>
      <c r="B321" s="1163"/>
      <c r="C321" s="1163"/>
      <c r="D321" s="1163"/>
      <c r="E321" s="1163"/>
      <c r="F321" s="1163"/>
      <c r="G321" s="1163"/>
      <c r="H321" s="1163"/>
    </row>
    <row r="322" spans="1:8" ht="13.2">
      <c r="A322" s="1159" t="s">
        <v>1298</v>
      </c>
      <c r="B322" s="1163"/>
      <c r="C322" s="1163"/>
      <c r="D322" s="1163"/>
      <c r="E322" s="1163"/>
      <c r="F322" s="1163"/>
      <c r="G322" s="1163"/>
      <c r="H322" s="1163"/>
    </row>
    <row r="323" spans="1:8" ht="13.2">
      <c r="A323" s="1159" t="s">
        <v>1299</v>
      </c>
      <c r="B323" s="1163"/>
      <c r="C323" s="1163"/>
      <c r="D323" s="1163"/>
      <c r="E323" s="1163"/>
      <c r="F323" s="1163"/>
      <c r="G323" s="1163"/>
      <c r="H323" s="1163"/>
    </row>
    <row r="324" spans="1:8" ht="13.2">
      <c r="A324" s="1159" t="s">
        <v>1300</v>
      </c>
      <c r="B324" s="1163"/>
      <c r="C324" s="1163"/>
      <c r="D324" s="1163"/>
      <c r="E324" s="1163"/>
      <c r="F324" s="1163"/>
      <c r="G324" s="1163"/>
      <c r="H324" s="1163"/>
    </row>
    <row r="325" spans="1:8" ht="13.2">
      <c r="A325" s="1159" t="s">
        <v>1301</v>
      </c>
      <c r="B325" s="1163"/>
      <c r="C325" s="1163"/>
      <c r="D325" s="1163"/>
      <c r="E325" s="1163"/>
      <c r="F325" s="1163"/>
      <c r="G325" s="1163"/>
      <c r="H325" s="1163"/>
    </row>
    <row r="326" spans="1:8" ht="13.2">
      <c r="A326" s="1159" t="s">
        <v>1302</v>
      </c>
      <c r="B326" s="1163"/>
      <c r="C326" s="1163"/>
      <c r="D326" s="1163"/>
      <c r="E326" s="1163"/>
      <c r="F326" s="1163"/>
      <c r="G326" s="1163"/>
      <c r="H326" s="1163"/>
    </row>
    <row r="327" spans="1:8" ht="13.2">
      <c r="A327" s="1159" t="s">
        <v>1303</v>
      </c>
      <c r="B327" s="1163"/>
      <c r="C327" s="1163"/>
      <c r="D327" s="1163"/>
      <c r="E327" s="1163"/>
      <c r="F327" s="1163"/>
      <c r="G327" s="1163"/>
      <c r="H327" s="1163"/>
    </row>
    <row r="328" spans="1:8" ht="13.2">
      <c r="A328" s="1159" t="s">
        <v>1304</v>
      </c>
      <c r="B328" s="1163"/>
      <c r="C328" s="1163"/>
      <c r="D328" s="1163"/>
      <c r="E328" s="1163"/>
      <c r="F328" s="1163"/>
      <c r="G328" s="1163"/>
      <c r="H328" s="1163"/>
    </row>
    <row r="329" spans="1:8" ht="13.2">
      <c r="A329" s="1159" t="s">
        <v>1305</v>
      </c>
      <c r="B329" s="1163"/>
      <c r="C329" s="1163"/>
      <c r="D329" s="1163"/>
      <c r="E329" s="1163"/>
      <c r="F329" s="1163"/>
      <c r="G329" s="1163"/>
      <c r="H329" s="1163"/>
    </row>
    <row r="330" spans="1:8" ht="13.2">
      <c r="A330" s="1159" t="s">
        <v>1306</v>
      </c>
      <c r="B330" s="1163"/>
      <c r="C330" s="1163"/>
      <c r="D330" s="1163"/>
      <c r="E330" s="1163"/>
      <c r="F330" s="1163"/>
      <c r="G330" s="1163"/>
      <c r="H330" s="1163"/>
    </row>
    <row r="331" spans="1:8" ht="13.2">
      <c r="A331" s="1159" t="s">
        <v>1307</v>
      </c>
      <c r="B331" s="1163"/>
      <c r="C331" s="1163"/>
      <c r="D331" s="1163"/>
      <c r="E331" s="1163"/>
      <c r="F331" s="1163"/>
      <c r="G331" s="1163"/>
      <c r="H331" s="1163"/>
    </row>
    <row r="332" spans="1:8" ht="13.2">
      <c r="A332" s="1159" t="s">
        <v>1308</v>
      </c>
      <c r="B332" s="1163"/>
      <c r="C332" s="1163"/>
      <c r="D332" s="1163"/>
      <c r="E332" s="1163"/>
      <c r="F332" s="1163"/>
      <c r="G332" s="1163"/>
      <c r="H332" s="1163"/>
    </row>
    <row r="333" spans="1:8" ht="13.2">
      <c r="A333" s="1159" t="s">
        <v>1309</v>
      </c>
      <c r="B333" s="1163"/>
      <c r="C333" s="1163"/>
      <c r="D333" s="1163"/>
      <c r="E333" s="1163"/>
      <c r="F333" s="1163"/>
      <c r="G333" s="1163"/>
      <c r="H333" s="1163"/>
    </row>
    <row r="334" spans="1:8" ht="13.2">
      <c r="A334" s="1159" t="s">
        <v>1310</v>
      </c>
      <c r="B334" s="1163"/>
      <c r="C334" s="1163"/>
      <c r="D334" s="1163"/>
      <c r="E334" s="1163"/>
      <c r="F334" s="1163"/>
      <c r="G334" s="1163"/>
      <c r="H334" s="1163"/>
    </row>
    <row r="335" spans="1:8">
      <c r="A335" s="1163"/>
      <c r="B335" s="1163"/>
      <c r="C335" s="1163"/>
      <c r="D335" s="1163"/>
      <c r="E335" s="1163"/>
      <c r="F335" s="1163"/>
      <c r="G335" s="1163"/>
      <c r="H335" s="1163"/>
    </row>
    <row r="336" spans="1:8" ht="13.2">
      <c r="A336" s="1159" t="s">
        <v>1311</v>
      </c>
      <c r="B336" s="1163"/>
      <c r="C336" s="1163"/>
      <c r="D336" s="1163"/>
      <c r="E336" s="1163"/>
      <c r="F336" s="1163"/>
      <c r="G336" s="1163"/>
      <c r="H336" s="1163"/>
    </row>
    <row r="337" spans="1:8" ht="13.2">
      <c r="A337" s="1159" t="s">
        <v>1312</v>
      </c>
      <c r="B337" s="1163"/>
      <c r="C337" s="1163"/>
      <c r="D337" s="1163"/>
      <c r="E337" s="1163"/>
      <c r="F337" s="1163"/>
      <c r="G337" s="1163"/>
      <c r="H337" s="1163"/>
    </row>
    <row r="338" spans="1:8" ht="13.2">
      <c r="A338" s="1159" t="s">
        <v>1313</v>
      </c>
      <c r="B338" s="1163"/>
      <c r="C338" s="1163"/>
      <c r="D338" s="1163"/>
      <c r="E338" s="1163"/>
      <c r="F338" s="1163"/>
      <c r="G338" s="1163"/>
      <c r="H338" s="1163"/>
    </row>
    <row r="339" spans="1:8" ht="13.2">
      <c r="A339" s="1159" t="s">
        <v>1314</v>
      </c>
      <c r="B339" s="1163"/>
      <c r="C339" s="1163"/>
      <c r="D339" s="1163"/>
      <c r="E339" s="1163"/>
      <c r="F339" s="1163"/>
      <c r="G339" s="1163"/>
      <c r="H339" s="1163"/>
    </row>
    <row r="340" spans="1:8" ht="13.2">
      <c r="A340" s="1159" t="s">
        <v>1315</v>
      </c>
      <c r="B340" s="1163"/>
      <c r="C340" s="1163"/>
      <c r="D340" s="1163"/>
      <c r="E340" s="1163"/>
      <c r="F340" s="1163"/>
      <c r="G340" s="1163"/>
      <c r="H340" s="1163"/>
    </row>
    <row r="341" spans="1:8" ht="13.2">
      <c r="A341" s="1159" t="s">
        <v>1316</v>
      </c>
      <c r="B341" s="1163"/>
      <c r="C341" s="1163"/>
      <c r="D341" s="1163"/>
      <c r="E341" s="1163"/>
      <c r="F341" s="1163"/>
      <c r="G341" s="1163"/>
      <c r="H341" s="1163"/>
    </row>
    <row r="342" spans="1:8" ht="13.2">
      <c r="A342" s="1159" t="s">
        <v>1317</v>
      </c>
      <c r="B342" s="1163"/>
      <c r="C342" s="1163"/>
      <c r="D342" s="1163"/>
      <c r="E342" s="1163"/>
      <c r="F342" s="1163"/>
      <c r="G342" s="1163"/>
      <c r="H342" s="1163"/>
    </row>
    <row r="343" spans="1:8" ht="13.2">
      <c r="A343" s="1159" t="s">
        <v>1318</v>
      </c>
      <c r="B343" s="1163"/>
      <c r="C343" s="1163"/>
      <c r="D343" s="1163"/>
      <c r="E343" s="1163"/>
      <c r="F343" s="1163"/>
      <c r="G343" s="1163"/>
      <c r="H343" s="1163"/>
    </row>
    <row r="344" spans="1:8">
      <c r="A344" s="1163"/>
      <c r="B344" s="1163"/>
      <c r="C344" s="1163"/>
      <c r="D344" s="1163"/>
      <c r="E344" s="1163"/>
      <c r="F344" s="1163"/>
      <c r="G344" s="1163"/>
      <c r="H344" s="1163"/>
    </row>
    <row r="345" spans="1:8" ht="13.2">
      <c r="A345" s="1159" t="s">
        <v>1319</v>
      </c>
      <c r="B345" s="1163"/>
      <c r="C345" s="1163"/>
      <c r="D345" s="1163"/>
      <c r="E345" s="1163"/>
      <c r="F345" s="1163"/>
      <c r="G345" s="1163"/>
      <c r="H345" s="1163"/>
    </row>
    <row r="346" spans="1:8" ht="13.2">
      <c r="A346" s="1159" t="s">
        <v>1320</v>
      </c>
      <c r="B346" s="1163"/>
      <c r="C346" s="1163"/>
      <c r="D346" s="1163"/>
      <c r="E346" s="1163"/>
      <c r="F346" s="1163"/>
      <c r="G346" s="1163"/>
      <c r="H346" s="1163"/>
    </row>
    <row r="347" spans="1:8" ht="13.2">
      <c r="A347" s="1159" t="s">
        <v>1321</v>
      </c>
      <c r="B347" s="1163"/>
      <c r="C347" s="1163"/>
      <c r="D347" s="1163"/>
      <c r="E347" s="1163"/>
      <c r="F347" s="1163"/>
      <c r="G347" s="1163"/>
      <c r="H347" s="1163"/>
    </row>
    <row r="348" spans="1:8" ht="13.2">
      <c r="A348" s="1159" t="s">
        <v>1322</v>
      </c>
      <c r="B348" s="1163"/>
      <c r="C348" s="1163"/>
      <c r="D348" s="1163"/>
      <c r="E348" s="1163"/>
      <c r="F348" s="1163"/>
      <c r="G348" s="1163"/>
      <c r="H348" s="1163"/>
    </row>
    <row r="349" spans="1:8" ht="13.2">
      <c r="A349" s="1159" t="s">
        <v>1323</v>
      </c>
      <c r="B349" s="1163"/>
      <c r="C349" s="1163"/>
      <c r="D349" s="1163"/>
      <c r="E349" s="1163"/>
      <c r="F349" s="1163"/>
      <c r="G349" s="1163"/>
      <c r="H349" s="1163"/>
    </row>
    <row r="350" spans="1:8" ht="13.2">
      <c r="A350" s="1159" t="s">
        <v>1324</v>
      </c>
      <c r="B350" s="1163"/>
      <c r="C350" s="1163"/>
      <c r="D350" s="1163"/>
      <c r="E350" s="1163"/>
      <c r="F350" s="1163"/>
      <c r="G350" s="1163"/>
      <c r="H350" s="1163"/>
    </row>
    <row r="351" spans="1:8" ht="13.2">
      <c r="A351" s="1159" t="s">
        <v>1325</v>
      </c>
      <c r="B351" s="1163"/>
      <c r="C351" s="1163"/>
      <c r="D351" s="1163"/>
      <c r="E351" s="1163"/>
      <c r="F351" s="1163"/>
      <c r="G351" s="1163"/>
      <c r="H351" s="1163"/>
    </row>
    <row r="352" spans="1:8" ht="13.2">
      <c r="A352" s="1159" t="s">
        <v>1326</v>
      </c>
      <c r="B352" s="1163"/>
      <c r="C352" s="1163"/>
      <c r="D352" s="1163"/>
      <c r="E352" s="1163"/>
      <c r="F352" s="1163"/>
      <c r="G352" s="1163"/>
      <c r="H352" s="1163"/>
    </row>
    <row r="353" spans="1:8" ht="13.2">
      <c r="A353" s="1159" t="s">
        <v>1327</v>
      </c>
      <c r="B353" s="1163"/>
      <c r="C353" s="1163"/>
      <c r="D353" s="1163"/>
      <c r="E353" s="1163"/>
      <c r="F353" s="1163"/>
      <c r="G353" s="1163"/>
      <c r="H353" s="1163"/>
    </row>
    <row r="354" spans="1:8" ht="13.2">
      <c r="A354" s="1159" t="s">
        <v>1328</v>
      </c>
      <c r="B354" s="1163"/>
      <c r="C354" s="1163"/>
      <c r="D354" s="1163"/>
      <c r="E354" s="1163"/>
      <c r="F354" s="1163"/>
      <c r="G354" s="1163"/>
      <c r="H354" s="1163"/>
    </row>
    <row r="355" spans="1:8" ht="13.2">
      <c r="A355" s="1159" t="s">
        <v>1329</v>
      </c>
      <c r="B355" s="1163"/>
      <c r="C355" s="1163"/>
      <c r="D355" s="1163"/>
      <c r="E355" s="1163"/>
      <c r="F355" s="1163"/>
      <c r="G355" s="1163"/>
      <c r="H355" s="1163"/>
    </row>
    <row r="356" spans="1:8" ht="13.2">
      <c r="A356" s="1159" t="s">
        <v>1330</v>
      </c>
      <c r="B356" s="1163"/>
      <c r="C356" s="1163"/>
      <c r="D356" s="1163"/>
      <c r="E356" s="1163"/>
      <c r="F356" s="1163"/>
      <c r="G356" s="1163"/>
      <c r="H356" s="1163"/>
    </row>
    <row r="357" spans="1:8" ht="13.2">
      <c r="A357" s="1159" t="s">
        <v>1331</v>
      </c>
      <c r="B357" s="1163"/>
      <c r="C357" s="1163"/>
      <c r="D357" s="1163"/>
      <c r="E357" s="1163"/>
      <c r="F357" s="1163"/>
      <c r="G357" s="1163"/>
      <c r="H357" s="1163"/>
    </row>
    <row r="358" spans="1:8" ht="13.2">
      <c r="A358" s="1159" t="s">
        <v>1332</v>
      </c>
      <c r="B358" s="1163"/>
      <c r="C358" s="1163"/>
      <c r="D358" s="1163"/>
      <c r="E358" s="1163"/>
      <c r="F358" s="1163"/>
      <c r="G358" s="1163"/>
      <c r="H358" s="1163"/>
    </row>
    <row r="359" spans="1:8" ht="13.2">
      <c r="A359" s="1159" t="s">
        <v>1333</v>
      </c>
      <c r="B359" s="1163"/>
      <c r="C359" s="1163"/>
      <c r="D359" s="1163"/>
      <c r="E359" s="1163"/>
      <c r="F359" s="1163"/>
      <c r="G359" s="1163"/>
      <c r="H359" s="1163"/>
    </row>
    <row r="360" spans="1:8" ht="13.2">
      <c r="A360" s="1159" t="s">
        <v>1334</v>
      </c>
      <c r="B360" s="1163"/>
      <c r="C360" s="1163"/>
      <c r="D360" s="1163"/>
      <c r="E360" s="1163"/>
      <c r="F360" s="1163"/>
      <c r="G360" s="1163"/>
      <c r="H360" s="1163"/>
    </row>
    <row r="361" spans="1:8" ht="13.2">
      <c r="A361" s="1159" t="s">
        <v>1335</v>
      </c>
      <c r="B361" s="1163"/>
      <c r="C361" s="1163"/>
      <c r="D361" s="1163"/>
      <c r="E361" s="1163"/>
      <c r="F361" s="1163"/>
      <c r="G361" s="1163"/>
      <c r="H361" s="1163"/>
    </row>
    <row r="362" spans="1:8" ht="13.2">
      <c r="A362" s="1159" t="s">
        <v>1336</v>
      </c>
      <c r="B362" s="1163"/>
      <c r="C362" s="1163"/>
      <c r="D362" s="1163"/>
      <c r="E362" s="1163"/>
      <c r="F362" s="1163"/>
      <c r="G362" s="1163"/>
      <c r="H362" s="1163"/>
    </row>
    <row r="363" spans="1:8" ht="13.2">
      <c r="A363" s="1159" t="s">
        <v>1337</v>
      </c>
      <c r="B363" s="1163"/>
      <c r="C363" s="1163"/>
      <c r="D363" s="1163"/>
      <c r="E363" s="1163"/>
      <c r="F363" s="1163"/>
      <c r="G363" s="1163"/>
      <c r="H363" s="1163"/>
    </row>
    <row r="364" spans="1:8" ht="13.2">
      <c r="A364" s="1159" t="s">
        <v>1338</v>
      </c>
      <c r="B364" s="1163"/>
      <c r="C364" s="1163"/>
      <c r="D364" s="1163"/>
      <c r="E364" s="1163"/>
      <c r="F364" s="1163"/>
      <c r="G364" s="1163"/>
      <c r="H364" s="1163"/>
    </row>
    <row r="365" spans="1:8" ht="13.2">
      <c r="A365" s="1159" t="s">
        <v>1339</v>
      </c>
      <c r="B365" s="1163"/>
      <c r="C365" s="1163"/>
      <c r="D365" s="1163"/>
      <c r="E365" s="1163"/>
      <c r="F365" s="1163"/>
      <c r="G365" s="1163"/>
      <c r="H365" s="1163"/>
    </row>
    <row r="366" spans="1:8" ht="13.2">
      <c r="A366" s="1159" t="s">
        <v>1340</v>
      </c>
      <c r="B366" s="1163"/>
      <c r="C366" s="1163"/>
      <c r="D366" s="1163"/>
      <c r="E366" s="1163"/>
      <c r="F366" s="1163"/>
      <c r="G366" s="1163"/>
      <c r="H366" s="1163"/>
    </row>
    <row r="367" spans="1:8" ht="13.2">
      <c r="A367" s="1159" t="s">
        <v>1341</v>
      </c>
      <c r="B367" s="1163"/>
      <c r="C367" s="1163"/>
      <c r="D367" s="1163"/>
      <c r="E367" s="1163"/>
      <c r="F367" s="1163"/>
      <c r="G367" s="1163"/>
      <c r="H367" s="1163"/>
    </row>
    <row r="368" spans="1:8" ht="13.2">
      <c r="A368" s="1159" t="s">
        <v>1342</v>
      </c>
      <c r="B368" s="1163"/>
      <c r="C368" s="1163"/>
      <c r="D368" s="1163"/>
      <c r="E368" s="1163"/>
      <c r="F368" s="1163"/>
      <c r="G368" s="1163"/>
      <c r="H368" s="1163"/>
    </row>
    <row r="369" spans="1:8" ht="13.2">
      <c r="A369" s="1159" t="s">
        <v>1343</v>
      </c>
      <c r="B369" s="1163"/>
      <c r="C369" s="1163"/>
      <c r="D369" s="1163"/>
      <c r="E369" s="1163"/>
      <c r="F369" s="1163"/>
      <c r="G369" s="1163"/>
      <c r="H369" s="1163"/>
    </row>
    <row r="370" spans="1:8" ht="13.2">
      <c r="A370" s="1159" t="s">
        <v>1344</v>
      </c>
      <c r="B370" s="1163"/>
      <c r="C370" s="1163"/>
      <c r="D370" s="1163"/>
      <c r="E370" s="1163"/>
      <c r="F370" s="1163"/>
      <c r="G370" s="1163"/>
      <c r="H370" s="1163"/>
    </row>
    <row r="371" spans="1:8" ht="13.2">
      <c r="A371" s="1159" t="s">
        <v>1345</v>
      </c>
      <c r="B371" s="1163"/>
      <c r="C371" s="1163"/>
      <c r="D371" s="1163"/>
      <c r="E371" s="1163"/>
      <c r="F371" s="1163"/>
      <c r="G371" s="1163"/>
      <c r="H371" s="1163"/>
    </row>
    <row r="372" spans="1:8" ht="13.2">
      <c r="A372" s="1159" t="s">
        <v>1346</v>
      </c>
      <c r="B372" s="1163"/>
      <c r="C372" s="1163"/>
      <c r="D372" s="1163"/>
      <c r="E372" s="1163"/>
      <c r="F372" s="1163"/>
      <c r="G372" s="1163"/>
      <c r="H372" s="1163"/>
    </row>
    <row r="373" spans="1:8" ht="13.2">
      <c r="A373" s="1159" t="s">
        <v>1347</v>
      </c>
      <c r="B373" s="1163"/>
      <c r="C373" s="1163"/>
      <c r="D373" s="1163"/>
      <c r="E373" s="1163"/>
      <c r="F373" s="1163"/>
      <c r="G373" s="1163"/>
      <c r="H373" s="1163"/>
    </row>
    <row r="374" spans="1:8" ht="13.2">
      <c r="A374" s="1159" t="s">
        <v>1348</v>
      </c>
      <c r="B374" s="1163"/>
      <c r="C374" s="1163"/>
      <c r="D374" s="1163"/>
      <c r="E374" s="1163"/>
      <c r="F374" s="1163"/>
      <c r="G374" s="1163"/>
      <c r="H374" s="1163"/>
    </row>
    <row r="375" spans="1:8" ht="13.2">
      <c r="A375" s="1159" t="s">
        <v>1349</v>
      </c>
      <c r="B375" s="1163"/>
      <c r="C375" s="1163"/>
      <c r="D375" s="1163"/>
      <c r="E375" s="1163"/>
      <c r="F375" s="1163"/>
      <c r="G375" s="1163"/>
      <c r="H375" s="1163"/>
    </row>
    <row r="376" spans="1:8" ht="13.2">
      <c r="A376" s="1159" t="s">
        <v>1350</v>
      </c>
      <c r="B376" s="1163"/>
      <c r="C376" s="1163"/>
      <c r="D376" s="1163"/>
      <c r="E376" s="1163"/>
      <c r="F376" s="1163"/>
      <c r="G376" s="1163"/>
      <c r="H376" s="1163"/>
    </row>
    <row r="377" spans="1:8" ht="13.2">
      <c r="A377" s="1159" t="s">
        <v>1351</v>
      </c>
      <c r="B377" s="1163"/>
      <c r="C377" s="1163"/>
      <c r="D377" s="1163"/>
      <c r="E377" s="1163"/>
      <c r="F377" s="1163"/>
      <c r="G377" s="1163"/>
      <c r="H377" s="1163"/>
    </row>
    <row r="378" spans="1:8" ht="13.2">
      <c r="A378" s="1159" t="s">
        <v>1352</v>
      </c>
      <c r="B378" s="1163"/>
      <c r="C378" s="1163"/>
      <c r="D378" s="1163"/>
      <c r="E378" s="1163"/>
      <c r="F378" s="1163"/>
      <c r="G378" s="1163"/>
      <c r="H378" s="1163"/>
    </row>
    <row r="379" spans="1:8" ht="13.2">
      <c r="A379" s="1159" t="s">
        <v>1353</v>
      </c>
      <c r="B379" s="1163"/>
      <c r="C379" s="1163"/>
      <c r="D379" s="1163"/>
      <c r="E379" s="1163"/>
      <c r="F379" s="1163"/>
      <c r="G379" s="1163"/>
      <c r="H379" s="1163"/>
    </row>
    <row r="380" spans="1:8" ht="13.2">
      <c r="A380" s="1159" t="s">
        <v>1354</v>
      </c>
      <c r="B380" s="1163"/>
      <c r="C380" s="1163"/>
      <c r="D380" s="1163"/>
      <c r="E380" s="1163"/>
      <c r="F380" s="1163"/>
      <c r="G380" s="1163"/>
      <c r="H380" s="1163"/>
    </row>
    <row r="381" spans="1:8" ht="13.2">
      <c r="A381" s="1159" t="s">
        <v>1355</v>
      </c>
      <c r="B381" s="1163"/>
      <c r="C381" s="1163"/>
      <c r="D381" s="1163"/>
      <c r="E381" s="1163"/>
      <c r="F381" s="1163"/>
      <c r="G381" s="1163"/>
      <c r="H381" s="1163"/>
    </row>
    <row r="382" spans="1:8" ht="13.2">
      <c r="A382" s="1159" t="s">
        <v>1356</v>
      </c>
      <c r="B382" s="1163"/>
      <c r="C382" s="1163"/>
      <c r="D382" s="1163"/>
      <c r="E382" s="1163"/>
      <c r="F382" s="1163"/>
      <c r="G382" s="1163"/>
      <c r="H382" s="1163"/>
    </row>
    <row r="383" spans="1:8" ht="13.2">
      <c r="A383" s="1159" t="s">
        <v>1357</v>
      </c>
      <c r="B383" s="1163"/>
      <c r="C383" s="1163"/>
      <c r="D383" s="1163"/>
      <c r="E383" s="1163"/>
      <c r="F383" s="1163"/>
      <c r="G383" s="1163"/>
      <c r="H383" s="1163"/>
    </row>
    <row r="384" spans="1:8" ht="13.2">
      <c r="A384" s="1159" t="s">
        <v>1358</v>
      </c>
      <c r="B384" s="1163"/>
      <c r="C384" s="1163"/>
      <c r="D384" s="1163"/>
      <c r="E384" s="1163"/>
      <c r="F384" s="1163"/>
      <c r="G384" s="1163"/>
      <c r="H384" s="1163"/>
    </row>
    <row r="385" spans="1:8" ht="13.2">
      <c r="A385" s="1159" t="s">
        <v>1359</v>
      </c>
      <c r="B385" s="1163"/>
      <c r="C385" s="1163"/>
      <c r="D385" s="1163"/>
      <c r="E385" s="1163"/>
      <c r="F385" s="1163"/>
      <c r="G385" s="1163"/>
      <c r="H385" s="1163"/>
    </row>
    <row r="386" spans="1:8" ht="13.2">
      <c r="A386" s="1159" t="s">
        <v>1360</v>
      </c>
      <c r="B386" s="1163"/>
      <c r="C386" s="1163"/>
      <c r="D386" s="1163"/>
      <c r="E386" s="1163"/>
      <c r="F386" s="1163"/>
      <c r="G386" s="1163"/>
      <c r="H386" s="1163"/>
    </row>
    <row r="387" spans="1:8" ht="13.2">
      <c r="A387" s="1159" t="s">
        <v>1361</v>
      </c>
      <c r="B387" s="1163"/>
      <c r="C387" s="1163"/>
      <c r="D387" s="1163"/>
      <c r="E387" s="1163"/>
      <c r="F387" s="1163"/>
      <c r="G387" s="1163"/>
      <c r="H387" s="1163"/>
    </row>
    <row r="388" spans="1:8" ht="13.2">
      <c r="A388" s="1159" t="s">
        <v>1362</v>
      </c>
      <c r="B388" s="1163"/>
      <c r="C388" s="1163"/>
      <c r="D388" s="1163"/>
      <c r="E388" s="1163"/>
      <c r="F388" s="1163"/>
      <c r="G388" s="1163"/>
      <c r="H388" s="1163"/>
    </row>
    <row r="389" spans="1:8" ht="13.2">
      <c r="A389" s="1159" t="s">
        <v>1363</v>
      </c>
      <c r="B389" s="1163"/>
      <c r="C389" s="1163"/>
      <c r="D389" s="1163"/>
      <c r="E389" s="1163"/>
      <c r="F389" s="1163"/>
      <c r="G389" s="1163"/>
      <c r="H389" s="1163"/>
    </row>
    <row r="390" spans="1:8" ht="13.2">
      <c r="A390" s="1159" t="s">
        <v>1364</v>
      </c>
      <c r="B390" s="1163"/>
      <c r="C390" s="1163"/>
      <c r="D390" s="1163"/>
      <c r="E390" s="1163"/>
      <c r="F390" s="1163"/>
      <c r="G390" s="1163"/>
      <c r="H390" s="1163"/>
    </row>
    <row r="391" spans="1:8">
      <c r="A391" s="1163"/>
      <c r="B391" s="1163"/>
      <c r="C391" s="1163"/>
      <c r="D391" s="1163"/>
      <c r="E391" s="1163"/>
      <c r="F391" s="1163"/>
      <c r="G391" s="1163"/>
      <c r="H391" s="1163"/>
    </row>
    <row r="392" spans="1:8" ht="13.2">
      <c r="A392" s="1159" t="s">
        <v>1365</v>
      </c>
      <c r="B392" s="1163"/>
      <c r="C392" s="1163"/>
      <c r="D392" s="1163"/>
      <c r="E392" s="1163"/>
      <c r="F392" s="1163"/>
      <c r="G392" s="1163"/>
      <c r="H392" s="1163"/>
    </row>
    <row r="393" spans="1:8" ht="13.2">
      <c r="A393" s="1159" t="s">
        <v>1366</v>
      </c>
      <c r="B393" s="1163"/>
      <c r="C393" s="1163"/>
      <c r="D393" s="1163"/>
      <c r="E393" s="1163"/>
      <c r="F393" s="1163"/>
      <c r="G393" s="1163"/>
      <c r="H393" s="1163"/>
    </row>
    <row r="394" spans="1:8" ht="13.2">
      <c r="A394" s="1159" t="s">
        <v>1367</v>
      </c>
      <c r="B394" s="1163"/>
      <c r="C394" s="1163"/>
      <c r="D394" s="1163"/>
      <c r="E394" s="1163"/>
      <c r="F394" s="1163"/>
      <c r="G394" s="1163"/>
      <c r="H394" s="1163"/>
    </row>
    <row r="395" spans="1:8" ht="13.2">
      <c r="A395" s="1159" t="s">
        <v>1368</v>
      </c>
      <c r="B395" s="1163"/>
      <c r="C395" s="1163"/>
      <c r="D395" s="1163"/>
      <c r="E395" s="1163"/>
      <c r="F395" s="1163"/>
      <c r="G395" s="1163"/>
      <c r="H395" s="1163"/>
    </row>
    <row r="396" spans="1:8" ht="13.2">
      <c r="A396" s="1159" t="s">
        <v>1369</v>
      </c>
      <c r="B396" s="1163"/>
      <c r="C396" s="1163"/>
      <c r="D396" s="1163"/>
      <c r="E396" s="1163"/>
      <c r="F396" s="1163"/>
      <c r="G396" s="1163"/>
      <c r="H396" s="1163"/>
    </row>
    <row r="397" spans="1:8" ht="13.2">
      <c r="A397" s="1159" t="s">
        <v>1370</v>
      </c>
      <c r="B397" s="1163"/>
      <c r="C397" s="1163"/>
      <c r="D397" s="1163"/>
      <c r="E397" s="1163"/>
      <c r="F397" s="1163"/>
      <c r="G397" s="1163"/>
      <c r="H397" s="1163"/>
    </row>
    <row r="398" spans="1:8" ht="13.2">
      <c r="A398" s="1159" t="s">
        <v>1371</v>
      </c>
      <c r="B398" s="1163"/>
      <c r="C398" s="1163"/>
      <c r="D398" s="1163"/>
      <c r="E398" s="1163"/>
      <c r="F398" s="1163"/>
      <c r="G398" s="1163"/>
      <c r="H398" s="1163"/>
    </row>
    <row r="399" spans="1:8" ht="13.2">
      <c r="A399" s="1159" t="s">
        <v>1372</v>
      </c>
      <c r="B399" s="1163"/>
      <c r="C399" s="1163"/>
      <c r="D399" s="1163"/>
      <c r="E399" s="1163"/>
      <c r="F399" s="1163"/>
      <c r="G399" s="1163"/>
      <c r="H399" s="1163"/>
    </row>
    <row r="400" spans="1:8">
      <c r="A400" s="1163"/>
      <c r="B400" s="1163"/>
      <c r="C400" s="1163"/>
      <c r="D400" s="1163"/>
      <c r="E400" s="1163"/>
      <c r="F400" s="1163"/>
      <c r="G400" s="1163"/>
      <c r="H400" s="1163"/>
    </row>
    <row r="401" spans="1:8" ht="13.2">
      <c r="A401" s="1159" t="s">
        <v>1365</v>
      </c>
      <c r="B401" s="1163"/>
      <c r="C401" s="1163"/>
      <c r="D401" s="1163"/>
      <c r="E401" s="1163"/>
      <c r="F401" s="1163"/>
      <c r="G401" s="1163"/>
      <c r="H401" s="1163"/>
    </row>
    <row r="402" spans="1:8" ht="13.2">
      <c r="A402" s="1159" t="s">
        <v>1373</v>
      </c>
      <c r="B402" s="1163"/>
      <c r="C402" s="1163"/>
      <c r="D402" s="1163"/>
      <c r="E402" s="1163"/>
      <c r="F402" s="1163"/>
      <c r="G402" s="1163"/>
      <c r="H402" s="1163"/>
    </row>
    <row r="403" spans="1:8" ht="13.2">
      <c r="A403" s="1159" t="s">
        <v>1374</v>
      </c>
      <c r="B403" s="1163"/>
      <c r="C403" s="1163"/>
      <c r="D403" s="1163"/>
      <c r="E403" s="1163"/>
      <c r="F403" s="1163"/>
      <c r="G403" s="1163"/>
      <c r="H403" s="1163"/>
    </row>
    <row r="404" spans="1:8" ht="13.2">
      <c r="A404" s="1159" t="s">
        <v>1375</v>
      </c>
      <c r="B404" s="1163"/>
      <c r="C404" s="1163"/>
      <c r="D404" s="1163"/>
      <c r="E404" s="1163"/>
      <c r="F404" s="1163"/>
      <c r="G404" s="1163"/>
      <c r="H404" s="1163"/>
    </row>
    <row r="405" spans="1:8">
      <c r="A405" s="1163"/>
      <c r="B405" s="1163"/>
      <c r="C405" s="1163"/>
      <c r="D405" s="1163"/>
      <c r="E405" s="1163"/>
      <c r="F405" s="1163"/>
      <c r="G405" s="1163"/>
      <c r="H405" s="1163"/>
    </row>
    <row r="406" spans="1:8" ht="13.2">
      <c r="A406" s="1159" t="s">
        <v>1376</v>
      </c>
      <c r="B406" s="1163"/>
      <c r="C406" s="1163"/>
      <c r="D406" s="1163"/>
      <c r="E406" s="1163"/>
      <c r="F406" s="1163"/>
      <c r="G406" s="1163"/>
      <c r="H406" s="1163"/>
    </row>
    <row r="407" spans="1:8" ht="13.2">
      <c r="A407" s="1159" t="s">
        <v>1377</v>
      </c>
      <c r="B407" s="1163"/>
      <c r="C407" s="1163"/>
      <c r="D407" s="1163"/>
      <c r="E407" s="1163"/>
      <c r="F407" s="1163"/>
      <c r="G407" s="1163"/>
      <c r="H407" s="1163"/>
    </row>
    <row r="408" spans="1:8" ht="13.2">
      <c r="A408" s="1159" t="s">
        <v>1378</v>
      </c>
      <c r="B408" s="1163"/>
      <c r="C408" s="1163"/>
      <c r="D408" s="1163"/>
      <c r="E408" s="1163"/>
      <c r="F408" s="1163"/>
      <c r="G408" s="1163"/>
      <c r="H408" s="1163"/>
    </row>
    <row r="409" spans="1:8" ht="13.2">
      <c r="A409" s="1159" t="s">
        <v>1379</v>
      </c>
      <c r="B409" s="1163"/>
      <c r="C409" s="1163"/>
      <c r="D409" s="1163"/>
      <c r="E409" s="1163"/>
      <c r="F409" s="1163"/>
      <c r="G409" s="1163"/>
      <c r="H409" s="1163"/>
    </row>
    <row r="410" spans="1:8" ht="13.2">
      <c r="A410" s="1159" t="s">
        <v>1380</v>
      </c>
      <c r="B410" s="1163"/>
      <c r="C410" s="1163"/>
      <c r="D410" s="1163"/>
      <c r="E410" s="1163"/>
      <c r="F410" s="1163"/>
      <c r="G410" s="1163"/>
      <c r="H410" s="1163"/>
    </row>
    <row r="411" spans="1:8" ht="13.2">
      <c r="A411" s="1159" t="s">
        <v>1381</v>
      </c>
      <c r="B411" s="1163"/>
      <c r="C411" s="1163"/>
      <c r="D411" s="1163"/>
      <c r="E411" s="1163"/>
      <c r="F411" s="1163"/>
      <c r="G411" s="1163"/>
      <c r="H411" s="1163"/>
    </row>
    <row r="412" spans="1:8">
      <c r="A412" s="1163"/>
      <c r="B412" s="1163"/>
      <c r="C412" s="1163"/>
      <c r="D412" s="1163"/>
      <c r="E412" s="1163"/>
      <c r="F412" s="1163"/>
      <c r="G412" s="1163"/>
      <c r="H412" s="1163"/>
    </row>
    <row r="413" spans="1:8" ht="13.2">
      <c r="A413" s="1159" t="s">
        <v>1382</v>
      </c>
      <c r="B413" s="1163"/>
      <c r="C413" s="1163"/>
      <c r="D413" s="1163"/>
      <c r="E413" s="1163"/>
      <c r="F413" s="1163"/>
      <c r="G413" s="1163"/>
      <c r="H413" s="1163"/>
    </row>
    <row r="414" spans="1:8" ht="13.2">
      <c r="A414" s="1159" t="s">
        <v>1383</v>
      </c>
      <c r="B414" s="1163"/>
      <c r="C414" s="1163"/>
      <c r="D414" s="1163"/>
      <c r="E414" s="1163"/>
      <c r="F414" s="1163"/>
      <c r="G414" s="1163"/>
      <c r="H414" s="1163"/>
    </row>
    <row r="415" spans="1:8" ht="13.2">
      <c r="A415" s="1159" t="s">
        <v>1384</v>
      </c>
      <c r="B415" s="1163"/>
      <c r="C415" s="1163"/>
      <c r="D415" s="1163"/>
      <c r="E415" s="1163"/>
      <c r="F415" s="1163"/>
      <c r="G415" s="1163"/>
      <c r="H415" s="1163"/>
    </row>
    <row r="416" spans="1:8" ht="13.2">
      <c r="A416" s="1159" t="s">
        <v>1385</v>
      </c>
      <c r="B416" s="1163"/>
      <c r="C416" s="1163"/>
      <c r="D416" s="1163"/>
      <c r="E416" s="1163"/>
      <c r="F416" s="1163"/>
      <c r="G416" s="1163"/>
      <c r="H416" s="1163"/>
    </row>
    <row r="417" spans="1:8" ht="13.2">
      <c r="A417" s="1159" t="s">
        <v>1386</v>
      </c>
      <c r="B417" s="1163"/>
      <c r="C417" s="1163"/>
      <c r="D417" s="1163"/>
      <c r="E417" s="1163"/>
      <c r="F417" s="1163"/>
      <c r="G417" s="1163"/>
      <c r="H417" s="1163"/>
    </row>
    <row r="418" spans="1:8">
      <c r="A418" s="1163"/>
      <c r="B418" s="1163"/>
      <c r="C418" s="1163"/>
      <c r="D418" s="1163"/>
      <c r="E418" s="1163"/>
      <c r="F418" s="1163"/>
      <c r="G418" s="1163"/>
      <c r="H418" s="1163"/>
    </row>
    <row r="419" spans="1:8" ht="13.2">
      <c r="A419" s="1159" t="s">
        <v>1387</v>
      </c>
      <c r="B419" s="1163"/>
      <c r="C419" s="1163"/>
      <c r="D419" s="1163"/>
      <c r="E419" s="1163"/>
      <c r="F419" s="1163"/>
      <c r="G419" s="1163"/>
      <c r="H419" s="1163"/>
    </row>
    <row r="420" spans="1:8" ht="13.2">
      <c r="A420" s="1159" t="s">
        <v>1388</v>
      </c>
      <c r="B420" s="1163"/>
      <c r="C420" s="1163"/>
      <c r="D420" s="1163"/>
      <c r="E420" s="1163"/>
      <c r="F420" s="1163"/>
      <c r="G420" s="1163"/>
      <c r="H420" s="1163"/>
    </row>
    <row r="421" spans="1:8">
      <c r="A421" s="1163"/>
      <c r="B421" s="1163"/>
      <c r="C421" s="1163"/>
      <c r="D421" s="1163"/>
      <c r="E421" s="1163"/>
      <c r="F421" s="1163"/>
      <c r="G421" s="1163"/>
      <c r="H421" s="1163"/>
    </row>
    <row r="422" spans="1:8" ht="13.2">
      <c r="A422" s="1159" t="s">
        <v>1389</v>
      </c>
      <c r="B422" s="1163"/>
      <c r="C422" s="1163"/>
      <c r="D422" s="1163"/>
      <c r="E422" s="1163"/>
      <c r="F422" s="1163"/>
      <c r="G422" s="1163"/>
      <c r="H422" s="1163"/>
    </row>
    <row r="423" spans="1:8" ht="13.2">
      <c r="A423" s="1159" t="s">
        <v>1390</v>
      </c>
      <c r="B423" s="1163"/>
      <c r="C423" s="1163"/>
      <c r="D423" s="1163"/>
      <c r="E423" s="1163"/>
      <c r="F423" s="1163"/>
      <c r="G423" s="1163"/>
      <c r="H423" s="1163"/>
    </row>
    <row r="424" spans="1:8">
      <c r="A424" s="1163"/>
      <c r="B424" s="1163"/>
      <c r="C424" s="1163"/>
      <c r="D424" s="1163"/>
      <c r="E424" s="1163"/>
      <c r="F424" s="1163"/>
      <c r="G424" s="1163"/>
      <c r="H424" s="1163"/>
    </row>
    <row r="425" spans="1:8" ht="13.2">
      <c r="A425" s="1159" t="s">
        <v>1391</v>
      </c>
      <c r="B425" s="1163"/>
      <c r="C425" s="1163"/>
      <c r="D425" s="1163"/>
      <c r="E425" s="1163"/>
      <c r="F425" s="1163"/>
      <c r="G425" s="1163"/>
      <c r="H425" s="1163"/>
    </row>
    <row r="426" spans="1:8" ht="13.2">
      <c r="A426" s="1159" t="s">
        <v>1392</v>
      </c>
      <c r="B426" s="1163"/>
      <c r="C426" s="1163"/>
      <c r="D426" s="1163"/>
      <c r="E426" s="1163"/>
      <c r="F426" s="1163"/>
      <c r="G426" s="1163"/>
      <c r="H426" s="1163"/>
    </row>
    <row r="427" spans="1:8" ht="13.2">
      <c r="A427" s="1159" t="s">
        <v>1393</v>
      </c>
      <c r="B427" s="1163"/>
      <c r="C427" s="1163"/>
      <c r="D427" s="1163"/>
      <c r="E427" s="1163"/>
      <c r="F427" s="1163"/>
      <c r="G427" s="1163"/>
      <c r="H427" s="1163"/>
    </row>
    <row r="428" spans="1:8" ht="13.2">
      <c r="A428" s="1159" t="s">
        <v>1394</v>
      </c>
      <c r="B428" s="1163"/>
      <c r="C428" s="1163"/>
      <c r="D428" s="1163"/>
      <c r="E428" s="1163"/>
      <c r="F428" s="1163"/>
      <c r="G428" s="1163"/>
      <c r="H428" s="1163"/>
    </row>
    <row r="429" spans="1:8">
      <c r="A429" s="1163"/>
      <c r="B429" s="1163"/>
      <c r="C429" s="1163"/>
      <c r="D429" s="1163"/>
      <c r="E429" s="1163"/>
      <c r="F429" s="1163"/>
      <c r="G429" s="1163"/>
      <c r="H429" s="1163"/>
    </row>
    <row r="430" spans="1:8" ht="13.2">
      <c r="A430" s="1159" t="s">
        <v>1395</v>
      </c>
      <c r="B430" s="1163"/>
      <c r="C430" s="1163"/>
      <c r="D430" s="1163"/>
      <c r="E430" s="1163"/>
      <c r="F430" s="1163"/>
      <c r="G430" s="1163"/>
      <c r="H430" s="1163"/>
    </row>
    <row r="431" spans="1:8" ht="13.2">
      <c r="A431" s="1159" t="s">
        <v>1396</v>
      </c>
      <c r="B431" s="1163"/>
      <c r="C431" s="1163"/>
      <c r="D431" s="1163"/>
      <c r="E431" s="1163"/>
      <c r="F431" s="1163"/>
      <c r="G431" s="1163"/>
      <c r="H431" s="1163"/>
    </row>
    <row r="432" spans="1:8">
      <c r="A432" s="1163"/>
      <c r="B432" s="1163"/>
      <c r="C432" s="1163"/>
      <c r="D432" s="1163"/>
      <c r="E432" s="1163"/>
      <c r="F432" s="1163"/>
      <c r="G432" s="1163"/>
      <c r="H432" s="1163"/>
    </row>
    <row r="433" spans="1:8" ht="13.2">
      <c r="A433" s="1159" t="s">
        <v>1397</v>
      </c>
      <c r="B433" s="1163"/>
      <c r="C433" s="1163"/>
      <c r="D433" s="1163"/>
      <c r="E433" s="1163"/>
      <c r="F433" s="1163"/>
      <c r="G433" s="1163"/>
      <c r="H433" s="1163"/>
    </row>
    <row r="434" spans="1:8" ht="13.2">
      <c r="A434" s="1159" t="s">
        <v>1398</v>
      </c>
      <c r="B434" s="1163"/>
      <c r="C434" s="1163"/>
      <c r="D434" s="1163"/>
      <c r="E434" s="1163"/>
      <c r="F434" s="1163"/>
      <c r="G434" s="1163"/>
      <c r="H434" s="1163"/>
    </row>
    <row r="435" spans="1:8" ht="13.2">
      <c r="A435" s="1159" t="s">
        <v>1399</v>
      </c>
      <c r="B435" s="1163"/>
      <c r="C435" s="1163"/>
      <c r="D435" s="1163"/>
      <c r="E435" s="1163"/>
      <c r="F435" s="1163"/>
      <c r="G435" s="1163"/>
      <c r="H435" s="1163"/>
    </row>
    <row r="436" spans="1:8" ht="13.2">
      <c r="A436" s="1159" t="s">
        <v>1400</v>
      </c>
      <c r="B436" s="1163"/>
      <c r="C436" s="1163"/>
      <c r="D436" s="1163"/>
      <c r="E436" s="1163"/>
      <c r="F436" s="1163"/>
      <c r="G436" s="1163"/>
      <c r="H436" s="1163"/>
    </row>
    <row r="438" spans="1:8" ht="13.2">
      <c r="A438" s="1157" t="s">
        <v>1401</v>
      </c>
    </row>
  </sheetData>
  <mergeCells count="3">
    <mergeCell ref="B134:C134"/>
    <mergeCell ref="D134:F134"/>
    <mergeCell ref="G134:H134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6">
    <tabColor theme="4"/>
  </sheetPr>
  <dimension ref="A1:AL87"/>
  <sheetViews>
    <sheetView showGridLines="0" workbookViewId="0">
      <pane xSplit="1" ySplit="3" topLeftCell="V4" activePane="bottomRight" state="frozen"/>
      <selection pane="topRight" activeCell="B1" sqref="B1"/>
      <selection pane="bottomLeft" activeCell="A4" sqref="A4"/>
      <selection pane="bottomRight" sqref="A1:XFD1048576"/>
    </sheetView>
  </sheetViews>
  <sheetFormatPr defaultColWidth="9.140625" defaultRowHeight="11.4" outlineLevelCol="1"/>
  <cols>
    <col min="1" max="1" width="43" style="38" bestFit="1" customWidth="1"/>
    <col min="2" max="21" width="9.28515625" style="38" hidden="1" customWidth="1" outlineLevel="1"/>
    <col min="22" max="22" width="9.28515625" style="38" customWidth="1" collapsed="1"/>
    <col min="23" max="23" width="9.28515625" style="38" customWidth="1"/>
    <col min="24" max="24" width="10" style="38" bestFit="1" customWidth="1"/>
    <col min="25" max="33" width="9.28515625" style="38" customWidth="1"/>
    <col min="34" max="38" width="9.140625" style="25"/>
    <col min="39" max="39" width="15.140625" style="25" bestFit="1" customWidth="1"/>
    <col min="40" max="16384" width="9.140625" style="25"/>
  </cols>
  <sheetData>
    <row r="1" spans="1:38" ht="18" customHeight="1">
      <c r="A1" s="493" t="s">
        <v>825</v>
      </c>
      <c r="B1" s="489"/>
      <c r="C1" s="489"/>
      <c r="D1" s="489"/>
      <c r="E1" s="489"/>
      <c r="F1" s="489"/>
      <c r="G1" s="489"/>
      <c r="H1" s="489"/>
      <c r="I1" s="489"/>
      <c r="J1" s="489"/>
      <c r="K1" s="489"/>
      <c r="L1" s="489"/>
      <c r="M1" s="489"/>
      <c r="N1" s="489"/>
      <c r="O1" s="489"/>
      <c r="P1" s="489"/>
      <c r="Q1" s="489"/>
      <c r="R1" s="489"/>
      <c r="S1" s="489"/>
      <c r="T1" s="489"/>
      <c r="U1" s="489"/>
      <c r="V1" s="489"/>
      <c r="W1" s="489"/>
      <c r="X1" s="489"/>
      <c r="Y1" s="489"/>
      <c r="Z1" s="489"/>
      <c r="AA1" s="489"/>
      <c r="AB1" s="489"/>
      <c r="AC1" s="178"/>
      <c r="AD1" s="178"/>
      <c r="AE1" s="178"/>
      <c r="AF1" s="178"/>
      <c r="AG1" s="178"/>
    </row>
    <row r="2" spans="1:38" ht="11.25" customHeight="1">
      <c r="A2" s="490" t="s">
        <v>938</v>
      </c>
      <c r="B2" s="491" t="s">
        <v>223</v>
      </c>
      <c r="C2" s="491" t="s">
        <v>223</v>
      </c>
      <c r="D2" s="491" t="s">
        <v>223</v>
      </c>
      <c r="E2" s="491" t="s">
        <v>223</v>
      </c>
      <c r="F2" s="491" t="s">
        <v>571</v>
      </c>
      <c r="G2" s="491" t="s">
        <v>571</v>
      </c>
      <c r="H2" s="491" t="s">
        <v>571</v>
      </c>
      <c r="I2" s="491" t="s">
        <v>571</v>
      </c>
      <c r="J2" s="491" t="s">
        <v>571</v>
      </c>
      <c r="K2" s="491" t="s">
        <v>571</v>
      </c>
      <c r="L2" s="491" t="s">
        <v>571</v>
      </c>
      <c r="M2" s="491" t="s">
        <v>571</v>
      </c>
      <c r="N2" s="491" t="s">
        <v>571</v>
      </c>
      <c r="O2" s="491" t="s">
        <v>571</v>
      </c>
      <c r="P2" s="491" t="s">
        <v>571</v>
      </c>
      <c r="Q2" s="491" t="s">
        <v>571</v>
      </c>
      <c r="R2" s="491" t="s">
        <v>571</v>
      </c>
      <c r="S2" s="491" t="s">
        <v>571</v>
      </c>
      <c r="T2" s="492" t="s">
        <v>625</v>
      </c>
      <c r="U2" s="492" t="s">
        <v>625</v>
      </c>
      <c r="V2" s="492" t="s">
        <v>625</v>
      </c>
      <c r="W2" s="492" t="s">
        <v>625</v>
      </c>
      <c r="X2" s="492" t="s">
        <v>625</v>
      </c>
      <c r="Y2" s="492" t="s">
        <v>625</v>
      </c>
      <c r="Z2" s="492" t="s">
        <v>625</v>
      </c>
      <c r="AA2" s="492" t="s">
        <v>625</v>
      </c>
      <c r="AB2" s="492" t="s">
        <v>625</v>
      </c>
      <c r="AC2" s="195" t="s">
        <v>625</v>
      </c>
      <c r="AD2" s="195" t="s">
        <v>625</v>
      </c>
      <c r="AE2" s="195" t="s">
        <v>625</v>
      </c>
      <c r="AF2" s="195" t="s">
        <v>625</v>
      </c>
      <c r="AG2" s="195" t="s">
        <v>625</v>
      </c>
    </row>
    <row r="3" spans="1:38" ht="11.25" customHeight="1">
      <c r="A3" s="490" t="s">
        <v>939</v>
      </c>
      <c r="B3" s="489">
        <v>2000</v>
      </c>
      <c r="C3" s="489">
        <f>B3+1</f>
        <v>2001</v>
      </c>
      <c r="D3" s="489">
        <f t="shared" ref="D3" si="0">C3+1</f>
        <v>2002</v>
      </c>
      <c r="E3" s="489">
        <f t="shared" ref="E3" si="1">D3+1</f>
        <v>2003</v>
      </c>
      <c r="F3" s="489">
        <f t="shared" ref="F3" si="2">E3+1</f>
        <v>2004</v>
      </c>
      <c r="G3" s="489">
        <f t="shared" ref="G3" si="3">F3+1</f>
        <v>2005</v>
      </c>
      <c r="H3" s="489">
        <f t="shared" ref="H3" si="4">G3+1</f>
        <v>2006</v>
      </c>
      <c r="I3" s="489">
        <f t="shared" ref="I3" si="5">H3+1</f>
        <v>2007</v>
      </c>
      <c r="J3" s="489">
        <f t="shared" ref="J3" si="6">I3+1</f>
        <v>2008</v>
      </c>
      <c r="K3" s="489">
        <v>2009</v>
      </c>
      <c r="L3" s="489">
        <f>K3+1</f>
        <v>2010</v>
      </c>
      <c r="M3" s="489">
        <f>L3+1</f>
        <v>2011</v>
      </c>
      <c r="N3" s="489">
        <f>M3+1</f>
        <v>2012</v>
      </c>
      <c r="O3" s="489">
        <f>N3+1</f>
        <v>2013</v>
      </c>
      <c r="P3" s="489">
        <v>2014</v>
      </c>
      <c r="Q3" s="489">
        <f>P3+1</f>
        <v>2015</v>
      </c>
      <c r="R3" s="489">
        <f t="shared" ref="R3" si="7">Q3+1</f>
        <v>2016</v>
      </c>
      <c r="S3" s="489">
        <f t="shared" ref="S3" si="8">R3+1</f>
        <v>2017</v>
      </c>
      <c r="T3" s="489">
        <v>2017</v>
      </c>
      <c r="U3" s="489">
        <f>S3+1</f>
        <v>2018</v>
      </c>
      <c r="V3" s="489">
        <f t="shared" ref="V3" si="9">U3+1</f>
        <v>2019</v>
      </c>
      <c r="W3" s="489">
        <f t="shared" ref="W3" si="10">V3+1</f>
        <v>2020</v>
      </c>
      <c r="X3" s="489">
        <f t="shared" ref="X3" si="11">W3+1</f>
        <v>2021</v>
      </c>
      <c r="Y3" s="489">
        <f t="shared" ref="Y3" si="12">X3+1</f>
        <v>2022</v>
      </c>
      <c r="Z3" s="489">
        <f t="shared" ref="Z3" si="13">Y3+1</f>
        <v>2023</v>
      </c>
      <c r="AA3" s="489">
        <f t="shared" ref="AA3" si="14">Z3+1</f>
        <v>2024</v>
      </c>
      <c r="AB3" s="489">
        <f t="shared" ref="AB3" si="15">AA3+1</f>
        <v>2025</v>
      </c>
      <c r="AC3" s="178">
        <f t="shared" ref="AC3" si="16">AB3+1</f>
        <v>2026</v>
      </c>
      <c r="AD3" s="178">
        <f t="shared" ref="AD3" si="17">AC3+1</f>
        <v>2027</v>
      </c>
      <c r="AE3" s="178">
        <f t="shared" ref="AE3" si="18">AD3+1</f>
        <v>2028</v>
      </c>
      <c r="AF3" s="178">
        <f t="shared" ref="AF3" si="19">AE3+1</f>
        <v>2029</v>
      </c>
      <c r="AG3" s="178">
        <f t="shared" ref="AG3" si="20">AF3+1</f>
        <v>2030</v>
      </c>
    </row>
    <row r="4" spans="1:38" s="19" customFormat="1" ht="11.25" customHeight="1">
      <c r="A4" t="s">
        <v>320</v>
      </c>
      <c r="B4" s="15">
        <f>B6/B5</f>
        <v>2.1078116174582799</v>
      </c>
      <c r="C4" s="15">
        <f t="shared" ref="C4:S4" si="21">C6/C5</f>
        <v>1.9806199711136701</v>
      </c>
      <c r="D4" s="15">
        <f t="shared" si="21"/>
        <v>1.5009530532500501</v>
      </c>
      <c r="E4" s="15">
        <f t="shared" si="21"/>
        <v>1.3167791898424397</v>
      </c>
      <c r="F4" s="15">
        <f t="shared" si="21"/>
        <v>2.309804349789963</v>
      </c>
      <c r="G4" s="15">
        <f t="shared" si="21"/>
        <v>3.0694750442086636</v>
      </c>
      <c r="H4" s="15">
        <f t="shared" si="21"/>
        <v>4.4655873945124407</v>
      </c>
      <c r="I4" s="15">
        <f t="shared" si="21"/>
        <v>5.1014951468710077</v>
      </c>
      <c r="J4" s="15">
        <f t="shared" si="21"/>
        <v>3.8932740332186899</v>
      </c>
      <c r="K4" s="15">
        <f t="shared" si="21"/>
        <v>3.8293955289744459</v>
      </c>
      <c r="L4" s="15">
        <f t="shared" si="21"/>
        <v>5.7683154838254413</v>
      </c>
      <c r="M4" s="15">
        <f t="shared" si="21"/>
        <v>6.4648028066528065</v>
      </c>
      <c r="N4" s="15">
        <f t="shared" si="21"/>
        <v>8.3844138303619662</v>
      </c>
      <c r="O4" s="15">
        <f t="shared" si="21"/>
        <v>11.13838897717986</v>
      </c>
      <c r="P4" s="15">
        <f t="shared" si="21"/>
        <v>10.394381984568014</v>
      </c>
      <c r="Q4" s="15">
        <f t="shared" si="21"/>
        <v>8.4142418105792096</v>
      </c>
      <c r="R4" s="15">
        <f t="shared" si="21"/>
        <v>6.7747969683280607</v>
      </c>
      <c r="S4" s="15">
        <f t="shared" si="21"/>
        <v>8.481461286804798</v>
      </c>
      <c r="T4" s="15">
        <f t="shared" ref="T4:Y4" si="22">T6/T5</f>
        <v>8.481461286804798</v>
      </c>
      <c r="U4" s="15">
        <f t="shared" si="22"/>
        <v>8.965034965034965</v>
      </c>
      <c r="V4" s="24">
        <f t="shared" si="22"/>
        <v>8.3991596638655466</v>
      </c>
      <c r="W4" s="24">
        <f t="shared" si="22"/>
        <v>1.2256555871053951</v>
      </c>
      <c r="X4" s="24">
        <f t="shared" si="22"/>
        <v>1.1403024483917428</v>
      </c>
      <c r="Y4" s="24">
        <f t="shared" si="22"/>
        <v>0.93412384716732544</v>
      </c>
      <c r="Z4" s="24">
        <f>299.7/100</f>
        <v>2.9969999999999999</v>
      </c>
      <c r="AA4" s="24">
        <v>5.6859999999999999</v>
      </c>
      <c r="AB4" s="24">
        <v>9.16</v>
      </c>
      <c r="AC4" s="161">
        <v>15.41</v>
      </c>
      <c r="AD4" s="173">
        <f t="shared" ref="AD4:AG4" si="23">AC4</f>
        <v>15.41</v>
      </c>
      <c r="AE4" s="173">
        <f t="shared" si="23"/>
        <v>15.41</v>
      </c>
      <c r="AF4" s="173">
        <f t="shared" si="23"/>
        <v>15.41</v>
      </c>
      <c r="AG4" s="173">
        <f t="shared" si="23"/>
        <v>15.41</v>
      </c>
    </row>
    <row r="5" spans="1:38" s="19" customFormat="1" ht="11.25" customHeight="1">
      <c r="A5" t="s">
        <v>321</v>
      </c>
      <c r="B5">
        <f>IS!B60</f>
        <v>1558</v>
      </c>
      <c r="C5">
        <f>IS!C60</f>
        <v>1589</v>
      </c>
      <c r="D5">
        <f>IS!D60</f>
        <v>1612</v>
      </c>
      <c r="E5">
        <f>IS!E60</f>
        <v>1647</v>
      </c>
      <c r="F5">
        <f>IS!F60</f>
        <v>1690</v>
      </c>
      <c r="G5">
        <f>IS!G60</f>
        <v>1740</v>
      </c>
      <c r="H5">
        <f>IS!H60</f>
        <v>1741</v>
      </c>
      <c r="I5">
        <f>IS!I60</f>
        <v>1800</v>
      </c>
      <c r="J5">
        <f>IS!J60</f>
        <v>1820</v>
      </c>
      <c r="K5">
        <f>IS!K60</f>
        <v>1845</v>
      </c>
      <c r="L5">
        <f>IS!L60</f>
        <v>1846</v>
      </c>
      <c r="M5">
        <f>IS!M60</f>
        <v>1850</v>
      </c>
      <c r="N5">
        <f>IS!N60</f>
        <v>1851</v>
      </c>
      <c r="O5">
        <f>IS!O60</f>
        <v>1866</v>
      </c>
      <c r="P5">
        <f>IS!P60</f>
        <v>1874</v>
      </c>
      <c r="Q5">
        <f>IS!Q60</f>
        <v>1839</v>
      </c>
      <c r="R5">
        <f>IS!T60</f>
        <v>1832</v>
      </c>
      <c r="S5">
        <f>IS!W60</f>
        <v>1834</v>
      </c>
      <c r="T5">
        <f>IS!Z60</f>
        <v>1834</v>
      </c>
      <c r="U5">
        <f>IS!AC60</f>
        <v>1859</v>
      </c>
      <c r="V5">
        <f>IS!AF60</f>
        <v>1904</v>
      </c>
      <c r="W5">
        <f>IS!AI60</f>
        <v>5987</v>
      </c>
      <c r="X5">
        <f>IS!AL60</f>
        <v>8332</v>
      </c>
      <c r="Y5">
        <f>IS!AO60</f>
        <v>8349</v>
      </c>
      <c r="Z5">
        <f>IS!AR60</f>
        <v>8361</v>
      </c>
      <c r="AA5">
        <f>IS!AU60</f>
        <v>8388</v>
      </c>
      <c r="AB5">
        <f>IS!AX60</f>
        <v>8415</v>
      </c>
      <c r="AC5" s="56">
        <f>IS!BA60</f>
        <v>8176.4865298723134</v>
      </c>
      <c r="AD5" s="56">
        <f>IS!BD60</f>
        <v>8006.1425973609566</v>
      </c>
      <c r="AE5" s="56">
        <f>IS!BG60</f>
        <v>7827.6870490157271</v>
      </c>
      <c r="AF5" s="56">
        <f>IS!BJ60</f>
        <v>7738.4592748431114</v>
      </c>
      <c r="AG5" s="56">
        <f>IS!BM60</f>
        <v>7738.4592748431114</v>
      </c>
    </row>
    <row r="6" spans="1:38" s="19" customFormat="1" ht="11.25" customHeight="1" thickBot="1">
      <c r="A6" s="9" t="s">
        <v>322</v>
      </c>
      <c r="B6" s="22">
        <v>3283.9704999999999</v>
      </c>
      <c r="C6" s="22">
        <v>3147.2051340996218</v>
      </c>
      <c r="D6" s="22">
        <v>2419.5363218390808</v>
      </c>
      <c r="E6" s="22">
        <v>2168.7353256704982</v>
      </c>
      <c r="F6" s="22">
        <v>3903.5693511450377</v>
      </c>
      <c r="G6" s="22">
        <v>5340.8865769230742</v>
      </c>
      <c r="H6" s="22">
        <v>7774.5876538461589</v>
      </c>
      <c r="I6" s="22">
        <v>9182.6912643678133</v>
      </c>
      <c r="J6" s="22">
        <v>7085.7587404580154</v>
      </c>
      <c r="K6" s="22">
        <v>7065.2347509578531</v>
      </c>
      <c r="L6" s="22">
        <v>10648.310383141765</v>
      </c>
      <c r="M6" s="22">
        <v>11959.885192307693</v>
      </c>
      <c r="N6" s="22">
        <v>15519.55</v>
      </c>
      <c r="O6" s="22">
        <v>20784.23383141762</v>
      </c>
      <c r="P6" s="22">
        <v>19479.071839080458</v>
      </c>
      <c r="Q6" s="22">
        <v>15473.790689655165</v>
      </c>
      <c r="R6" s="22">
        <v>12411.428045977007</v>
      </c>
      <c r="S6" s="22">
        <v>15555</v>
      </c>
      <c r="T6" s="22">
        <v>15555</v>
      </c>
      <c r="U6" s="22">
        <v>16666</v>
      </c>
      <c r="V6" s="22">
        <v>15992</v>
      </c>
      <c r="W6" s="22">
        <v>7338</v>
      </c>
      <c r="X6" s="22">
        <v>9501</v>
      </c>
      <c r="Y6" s="22">
        <v>7799</v>
      </c>
      <c r="Z6" s="22">
        <f t="shared" ref="Z6:AG6" si="24">Z4*Z5</f>
        <v>25057.916999999998</v>
      </c>
      <c r="AA6" s="22">
        <f t="shared" si="24"/>
        <v>47694.167999999998</v>
      </c>
      <c r="AB6" s="22">
        <f t="shared" si="24"/>
        <v>77081.399999999994</v>
      </c>
      <c r="AC6" s="181">
        <f t="shared" si="24"/>
        <v>125999.65742533235</v>
      </c>
      <c r="AD6" s="181">
        <f t="shared" si="24"/>
        <v>123374.65742533235</v>
      </c>
      <c r="AE6" s="181">
        <f t="shared" si="24"/>
        <v>120624.65742533235</v>
      </c>
      <c r="AF6" s="181">
        <f t="shared" si="24"/>
        <v>119249.65742533235</v>
      </c>
      <c r="AG6" s="181">
        <f t="shared" si="24"/>
        <v>119249.65742533235</v>
      </c>
      <c r="AJ6" s="174"/>
    </row>
    <row r="7" spans="1:38" s="19" customFormat="1" ht="11.25" customHeight="1">
      <c r="A7" t="s">
        <v>357</v>
      </c>
      <c r="B7">
        <f>-BS!B60</f>
        <v>690</v>
      </c>
      <c r="C7">
        <f>-BS!C60</f>
        <v>501</v>
      </c>
      <c r="D7">
        <f>-BS!D60</f>
        <v>595</v>
      </c>
      <c r="E7">
        <f>-BS!E60</f>
        <v>323</v>
      </c>
      <c r="F7">
        <f>-BS!F60</f>
        <v>149</v>
      </c>
      <c r="G7">
        <f>-BS!G60</f>
        <v>-335</v>
      </c>
      <c r="H7">
        <f>-BS!H60</f>
        <v>-826</v>
      </c>
      <c r="I7">
        <f>-BS!I60</f>
        <v>-887</v>
      </c>
      <c r="J7">
        <f>-BS!J60</f>
        <v>-1458</v>
      </c>
      <c r="K7">
        <f>-BS!K60</f>
        <v>-1275</v>
      </c>
      <c r="L7">
        <f>-BS!L60</f>
        <v>-1533</v>
      </c>
      <c r="M7">
        <f>-BS!M60</f>
        <v>-223</v>
      </c>
      <c r="N7">
        <f>-BS!N60</f>
        <v>-1317</v>
      </c>
      <c r="O7">
        <f>-BS!O60</f>
        <v>-1939</v>
      </c>
      <c r="P7">
        <f>-BS!P60</f>
        <v>-666</v>
      </c>
      <c r="Q7">
        <f>-BS!Q60</f>
        <v>111</v>
      </c>
      <c r="R7">
        <f>-BS!T60</f>
        <v>225</v>
      </c>
      <c r="S7">
        <f>-BS!W60</f>
        <v>305</v>
      </c>
      <c r="T7">
        <f>-BS!Z60</f>
        <v>305</v>
      </c>
      <c r="U7">
        <f>-BS!AC60</f>
        <v>-611</v>
      </c>
      <c r="V7">
        <f>-BS!AF60</f>
        <v>993</v>
      </c>
      <c r="W7">
        <f>-BS!AI60</f>
        <v>3576</v>
      </c>
      <c r="X7">
        <f>-BS!AL60</f>
        <v>5157</v>
      </c>
      <c r="Y7">
        <f>-BS!AO60</f>
        <v>3251</v>
      </c>
      <c r="Z7">
        <f>-BS!AR60</f>
        <v>1952</v>
      </c>
      <c r="AA7">
        <f>-BS!AU60</f>
        <v>-475</v>
      </c>
      <c r="AB7">
        <f>-BS!AX60</f>
        <v>-1895</v>
      </c>
      <c r="AC7" s="56">
        <f>-BS!BA60</f>
        <v>-2626.0189816936108</v>
      </c>
      <c r="AD7" s="56">
        <f>-BS!BD60</f>
        <v>-3514.3133866163571</v>
      </c>
      <c r="AE7" s="56">
        <f>-BS!BG60</f>
        <v>-5340.2755349535819</v>
      </c>
      <c r="AF7" s="56">
        <f>-BS!BJ60</f>
        <v>-10426.34240973395</v>
      </c>
      <c r="AG7" s="56">
        <f>-BS!BM60</f>
        <v>-16330.402584305833</v>
      </c>
    </row>
    <row r="8" spans="1:38" s="19" customFormat="1" ht="11.25" customHeight="1">
      <c r="A8" t="s">
        <v>356</v>
      </c>
      <c r="B8">
        <f>BS!B37-BS!B12</f>
        <v>130</v>
      </c>
      <c r="C8">
        <f>BS!C37-BS!C12</f>
        <v>157</v>
      </c>
      <c r="D8">
        <f>BS!D37-BS!D12</f>
        <v>158</v>
      </c>
      <c r="E8">
        <f>BS!E37-BS!E12</f>
        <v>160</v>
      </c>
      <c r="F8">
        <f>BS!F37-BS!F12</f>
        <v>1409</v>
      </c>
      <c r="G8">
        <f>BS!G37-BS!G12</f>
        <v>1659</v>
      </c>
      <c r="H8">
        <f>BS!H37-BS!H12</f>
        <v>995</v>
      </c>
      <c r="I8">
        <f>BS!I37-BS!I12</f>
        <v>123</v>
      </c>
      <c r="J8">
        <f>BS!J37-BS!J12</f>
        <v>567</v>
      </c>
      <c r="K8">
        <f>BS!K37-BS!K12</f>
        <v>855</v>
      </c>
      <c r="L8">
        <f>BS!L37-BS!L12</f>
        <v>856</v>
      </c>
      <c r="M8">
        <f>BS!M37-BS!M12</f>
        <v>397</v>
      </c>
      <c r="N8">
        <f>BS!N37-BS!N12</f>
        <v>445</v>
      </c>
      <c r="O8">
        <f>BS!O37-BS!O12</f>
        <v>793</v>
      </c>
      <c r="P8">
        <f>BS!P37-BS!P12</f>
        <v>-555</v>
      </c>
      <c r="Q8">
        <f>BS!Q37-BS!Q12</f>
        <v>77</v>
      </c>
      <c r="R8">
        <f>BS!T37-BS!T12</f>
        <v>29</v>
      </c>
      <c r="S8">
        <f>BS!W37-BS!W12</f>
        <v>-738</v>
      </c>
      <c r="T8">
        <f>BS!Z37-BS!Z12</f>
        <v>-738</v>
      </c>
      <c r="U8">
        <f>BS!AC37-BS!AC12</f>
        <v>-641</v>
      </c>
      <c r="V8">
        <f>BS!AF37-BS!AF12</f>
        <v>208</v>
      </c>
      <c r="W8">
        <f>BS!AI37-BS!AI12</f>
        <v>673</v>
      </c>
      <c r="X8">
        <f>BS!AL37-BS!AL12</f>
        <v>225</v>
      </c>
      <c r="Y8">
        <f>BS!AO37-BS!AO12</f>
        <v>420</v>
      </c>
      <c r="Z8">
        <f>BS!AR37-BS!AR12</f>
        <v>253</v>
      </c>
      <c r="AA8">
        <f>BS!AU37-BS!AU12</f>
        <v>191</v>
      </c>
      <c r="AB8">
        <f>BS!AX37-BS!AX12</f>
        <v>606</v>
      </c>
      <c r="AC8" s="56">
        <f>BS!BA37-BS!BA12</f>
        <v>564</v>
      </c>
      <c r="AD8" s="56">
        <f>BS!BD37-BS!BD12</f>
        <v>522</v>
      </c>
      <c r="AE8" s="56">
        <f>BS!BG37-BS!BG12</f>
        <v>480</v>
      </c>
      <c r="AF8" s="56">
        <f>BS!BJ37-BS!BJ12</f>
        <v>438</v>
      </c>
      <c r="AG8" s="56">
        <f>BS!BM37-BS!BM12</f>
        <v>396</v>
      </c>
    </row>
    <row r="9" spans="1:38" s="19" customFormat="1" ht="11.25" customHeight="1">
      <c r="A9" t="s">
        <v>323</v>
      </c>
      <c r="B9">
        <f>BS!B50</f>
        <v>1</v>
      </c>
      <c r="C9">
        <f>BS!C50</f>
        <v>2</v>
      </c>
      <c r="D9">
        <f>BS!D50</f>
        <v>2</v>
      </c>
      <c r="E9">
        <f>BS!E50</f>
        <v>3</v>
      </c>
      <c r="F9">
        <f>BS!F50</f>
        <v>4</v>
      </c>
      <c r="G9">
        <f>BS!G50</f>
        <v>6</v>
      </c>
      <c r="H9">
        <f>BS!H50</f>
        <v>7</v>
      </c>
      <c r="I9">
        <f>BS!I50</f>
        <v>12</v>
      </c>
      <c r="J9">
        <f>BS!J50</f>
        <v>9</v>
      </c>
      <c r="K9">
        <f>BS!K50</f>
        <v>0</v>
      </c>
      <c r="L9">
        <f>BS!L50</f>
        <v>4</v>
      </c>
      <c r="M9">
        <f>BS!M50</f>
        <v>1</v>
      </c>
      <c r="N9">
        <f>BS!N50</f>
        <v>17</v>
      </c>
      <c r="O9">
        <f>BS!O50</f>
        <v>698</v>
      </c>
      <c r="P9">
        <f>BS!P50</f>
        <v>5</v>
      </c>
      <c r="Q9">
        <f>BS!Q50</f>
        <v>2</v>
      </c>
      <c r="R9">
        <f>BS!T50</f>
        <v>2</v>
      </c>
      <c r="S9">
        <f>BS!W50</f>
        <v>3</v>
      </c>
      <c r="T9">
        <f>BS!Z50</f>
        <v>3</v>
      </c>
      <c r="U9">
        <f>BS!AC50</f>
        <v>22</v>
      </c>
      <c r="V9">
        <f>BS!AF50</f>
        <v>22</v>
      </c>
      <c r="W9">
        <f>BS!AI50</f>
        <v>22</v>
      </c>
      <c r="X9">
        <f>BS!AL50</f>
        <v>26</v>
      </c>
      <c r="Y9">
        <f>BS!AO50</f>
        <v>34</v>
      </c>
      <c r="Z9">
        <f>BS!AR50</f>
        <v>52</v>
      </c>
      <c r="AA9">
        <f>BS!AU50</f>
        <v>31</v>
      </c>
      <c r="AB9">
        <f>BS!AX50</f>
        <v>27</v>
      </c>
      <c r="AC9" s="56">
        <f>BS!BA50</f>
        <v>62</v>
      </c>
      <c r="AD9" s="56">
        <f>BS!BD50</f>
        <v>95</v>
      </c>
      <c r="AE9" s="56">
        <f>BS!BG50</f>
        <v>128</v>
      </c>
      <c r="AF9" s="56">
        <f>BS!BJ50</f>
        <v>161</v>
      </c>
      <c r="AG9" s="56">
        <f>BS!BM50</f>
        <v>194</v>
      </c>
      <c r="AH9"/>
      <c r="AI9"/>
      <c r="AL9" s="175"/>
    </row>
    <row r="10" spans="1:38" s="19" customFormat="1" ht="11.25" customHeight="1" thickBot="1">
      <c r="A10" s="9" t="s">
        <v>324</v>
      </c>
      <c r="B10" s="9">
        <f t="shared" ref="B10:Q10" si="25">SUM(B6:B9)</f>
        <v>4104.9704999999994</v>
      </c>
      <c r="C10" s="9">
        <f t="shared" si="25"/>
        <v>3807.2051340996218</v>
      </c>
      <c r="D10" s="9">
        <f t="shared" si="25"/>
        <v>3174.5363218390808</v>
      </c>
      <c r="E10" s="9">
        <f t="shared" si="25"/>
        <v>2654.7353256704982</v>
      </c>
      <c r="F10" s="9">
        <f t="shared" si="25"/>
        <v>5465.5693511450372</v>
      </c>
      <c r="G10" s="9">
        <f t="shared" si="25"/>
        <v>6670.8865769230742</v>
      </c>
      <c r="H10" s="9">
        <f t="shared" si="25"/>
        <v>7950.5876538461589</v>
      </c>
      <c r="I10" s="9">
        <f t="shared" si="25"/>
        <v>8430.6912643678133</v>
      </c>
      <c r="J10" s="9">
        <f t="shared" si="25"/>
        <v>6203.7587404580154</v>
      </c>
      <c r="K10" s="9">
        <f t="shared" si="25"/>
        <v>6645.2347509578531</v>
      </c>
      <c r="L10" s="9">
        <f t="shared" si="25"/>
        <v>9975.3103831417648</v>
      </c>
      <c r="M10" s="9">
        <f t="shared" si="25"/>
        <v>12134.885192307693</v>
      </c>
      <c r="N10" s="9">
        <f t="shared" si="25"/>
        <v>14664.55</v>
      </c>
      <c r="O10" s="9">
        <f t="shared" si="25"/>
        <v>20336.23383141762</v>
      </c>
      <c r="P10" s="9">
        <f t="shared" si="25"/>
        <v>18263.071839080458</v>
      </c>
      <c r="Q10" s="9">
        <f t="shared" si="25"/>
        <v>15663.790689655165</v>
      </c>
      <c r="R10" s="9">
        <f>SUM(R6:R9)</f>
        <v>12667.428045977007</v>
      </c>
      <c r="S10" s="9">
        <f t="shared" ref="S10:AA10" si="26">SUM(S6:S9)</f>
        <v>15125</v>
      </c>
      <c r="T10" s="9">
        <f>SUM(T6:T9)</f>
        <v>15125</v>
      </c>
      <c r="U10" s="9">
        <f>SUM(U6:U9)</f>
        <v>15436</v>
      </c>
      <c r="V10" s="9">
        <f>SUM(V6:V9)</f>
        <v>17215</v>
      </c>
      <c r="W10" s="9">
        <f t="shared" si="26"/>
        <v>11609</v>
      </c>
      <c r="X10" s="9">
        <f t="shared" si="26"/>
        <v>14909</v>
      </c>
      <c r="Y10" s="9">
        <f t="shared" si="26"/>
        <v>11504</v>
      </c>
      <c r="Z10" s="9">
        <f t="shared" si="26"/>
        <v>27314.916999999998</v>
      </c>
      <c r="AA10" s="9">
        <f t="shared" si="26"/>
        <v>47441.167999999998</v>
      </c>
      <c r="AB10" s="9">
        <f t="shared" ref="AB10:AG10" si="27">SUM(AB6:AB9)</f>
        <v>75819.399999999994</v>
      </c>
      <c r="AC10" s="181">
        <f t="shared" si="27"/>
        <v>123999.63844363875</v>
      </c>
      <c r="AD10" s="181">
        <f t="shared" si="27"/>
        <v>120477.34403871599</v>
      </c>
      <c r="AE10" s="181">
        <f t="shared" si="27"/>
        <v>115892.38189037876</v>
      </c>
      <c r="AF10" s="181">
        <f t="shared" si="27"/>
        <v>109422.3150155984</v>
      </c>
      <c r="AG10" s="181">
        <f t="shared" si="27"/>
        <v>103509.25484102652</v>
      </c>
      <c r="AH10"/>
      <c r="AI10"/>
    </row>
    <row r="11" spans="1:38" s="19" customFormat="1" ht="11.25" customHeight="1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 s="15"/>
      <c r="AA11" s="15"/>
      <c r="AB11" s="15"/>
      <c r="AC11"/>
      <c r="AD11"/>
      <c r="AE11" s="6"/>
      <c r="AF11"/>
      <c r="AG11"/>
      <c r="AH11"/>
      <c r="AI11"/>
    </row>
    <row r="12" spans="1:38" s="38" customFormat="1" ht="11.25" customHeight="1">
      <c r="A12" s="490" t="s">
        <v>325</v>
      </c>
      <c r="B12" s="489"/>
      <c r="C12" s="489"/>
      <c r="D12" s="489"/>
      <c r="E12" s="489"/>
      <c r="F12" s="489"/>
      <c r="G12" s="489"/>
      <c r="H12" s="489"/>
      <c r="I12" s="489"/>
      <c r="J12" s="489"/>
      <c r="K12" s="489"/>
      <c r="L12" s="489"/>
      <c r="M12" s="489"/>
      <c r="N12" s="489"/>
      <c r="O12" s="489"/>
      <c r="P12" s="489"/>
      <c r="Q12" s="489"/>
      <c r="R12" s="489"/>
      <c r="S12" s="489"/>
      <c r="T12" s="489"/>
      <c r="U12" s="1077"/>
      <c r="V12" s="1077"/>
      <c r="W12" s="1077"/>
      <c r="X12" s="1077"/>
      <c r="Y12" s="1077"/>
      <c r="Z12" s="1077"/>
      <c r="AA12" s="1077"/>
      <c r="AB12" s="1077"/>
      <c r="AC12" s="178"/>
      <c r="AD12" s="178"/>
      <c r="AE12" s="178"/>
      <c r="AF12" s="178"/>
      <c r="AG12" s="178"/>
      <c r="AH12" s="25"/>
      <c r="AI12" s="25"/>
    </row>
    <row r="13" spans="1:38" s="19" customFormat="1" ht="11.25" customHeight="1">
      <c r="A13" t="s">
        <v>7</v>
      </c>
      <c r="B13">
        <f>IS!B5</f>
        <v>5864</v>
      </c>
      <c r="C13">
        <f>IS!C5</f>
        <v>6328</v>
      </c>
      <c r="D13">
        <f>IS!D5</f>
        <v>5788</v>
      </c>
      <c r="E13">
        <f>IS!E5</f>
        <v>5645</v>
      </c>
      <c r="F13">
        <f>IS!F5</f>
        <v>5947</v>
      </c>
      <c r="G13">
        <f>IS!G5</f>
        <v>6458</v>
      </c>
      <c r="H13">
        <f>IS!H5</f>
        <v>7353</v>
      </c>
      <c r="I13">
        <f>IS!I5</f>
        <v>7817</v>
      </c>
      <c r="J13">
        <f>IS!J5</f>
        <v>9147</v>
      </c>
      <c r="K13">
        <f>IS!K5</f>
        <v>10108</v>
      </c>
      <c r="L13">
        <f>IS!L5</f>
        <v>10866</v>
      </c>
      <c r="M13">
        <f>IS!M5</f>
        <v>11277</v>
      </c>
      <c r="N13">
        <f>IS!N5</f>
        <v>12209</v>
      </c>
      <c r="O13">
        <f>IS!O5</f>
        <v>15505</v>
      </c>
      <c r="P13">
        <f>IS!P5</f>
        <v>13864</v>
      </c>
      <c r="Q13">
        <f>IS!Q5</f>
        <v>13354</v>
      </c>
      <c r="R13">
        <f>IS!T5</f>
        <v>13783</v>
      </c>
      <c r="S13">
        <f>IS!W5</f>
        <v>15090</v>
      </c>
      <c r="T13">
        <f>IS!Z5</f>
        <v>13671</v>
      </c>
      <c r="U13">
        <f>IS!AC5</f>
        <v>15067</v>
      </c>
      <c r="V13">
        <f>IS!AF5</f>
        <v>15450</v>
      </c>
      <c r="W13">
        <f>IS!AI5</f>
        <v>11430</v>
      </c>
      <c r="X13">
        <f>IS!AL5</f>
        <v>10947</v>
      </c>
      <c r="Y13">
        <f>IS!AO5</f>
        <v>12691</v>
      </c>
      <c r="Z13">
        <f>IS!AR5</f>
        <v>15409</v>
      </c>
      <c r="AA13">
        <f>IS!AU5</f>
        <v>17848</v>
      </c>
      <c r="AB13">
        <f>IS!AX5</f>
        <v>20059</v>
      </c>
      <c r="AC13" s="56">
        <f>IS!BA5</f>
        <v>23613.997421791399</v>
      </c>
      <c r="AD13" s="56">
        <f>IS!BD5</f>
        <v>26677.929238027627</v>
      </c>
      <c r="AE13" s="56">
        <f>IS!BG5</f>
        <v>29536.293947900369</v>
      </c>
      <c r="AF13" s="56">
        <f>IS!BJ5</f>
        <v>33096.594586642554</v>
      </c>
      <c r="AG13" s="56">
        <f>IS!BM5</f>
        <v>37069.487236013891</v>
      </c>
      <c r="AH13"/>
      <c r="AI13"/>
    </row>
    <row r="14" spans="1:38" s="19" customFormat="1" ht="11.25" customHeight="1">
      <c r="A14" t="s">
        <v>326</v>
      </c>
      <c r="B14">
        <f>B15+IS!B125</f>
        <v>751</v>
      </c>
      <c r="C14">
        <f>C15+IS!C125</f>
        <v>804</v>
      </c>
      <c r="D14">
        <f>D15+IS!D125</f>
        <v>620</v>
      </c>
      <c r="E14">
        <f>E15+IS!E125</f>
        <v>613</v>
      </c>
      <c r="F14">
        <f>F15+IS!F125</f>
        <v>717</v>
      </c>
      <c r="G14">
        <f>G15+IS!G125</f>
        <v>933</v>
      </c>
      <c r="H14">
        <f>H15+IS!H125</f>
        <v>969</v>
      </c>
      <c r="I14">
        <f>I15+IS!I125</f>
        <v>1065</v>
      </c>
      <c r="J14">
        <f>J15+IS!J125</f>
        <v>1234</v>
      </c>
      <c r="K14">
        <f>K15+IS!K125</f>
        <v>1298</v>
      </c>
      <c r="L14">
        <f>L15+IS!L125</f>
        <v>1380</v>
      </c>
      <c r="M14">
        <f>M15+IS!M125</f>
        <v>1552</v>
      </c>
      <c r="N14">
        <f>N15+IS!N125</f>
        <v>1915</v>
      </c>
      <c r="O14">
        <f>O15+IS!O125</f>
        <v>2439</v>
      </c>
      <c r="P14">
        <f>P15+IS!P125</f>
        <v>2263</v>
      </c>
      <c r="Q14">
        <f>Q15+IS!Q125</f>
        <v>2105</v>
      </c>
      <c r="R14">
        <f>R15+IS!T125</f>
        <v>1635</v>
      </c>
      <c r="S14">
        <f>S15+IS!W125</f>
        <v>1920</v>
      </c>
      <c r="T14">
        <f>T15+IS!Z125</f>
        <v>958</v>
      </c>
      <c r="U14">
        <f>U15+IS!AC125</f>
        <v>1372</v>
      </c>
      <c r="V14">
        <f>V15+IS!AF125</f>
        <v>1876</v>
      </c>
      <c r="W14">
        <f>W15+IS!AI125</f>
        <v>-960</v>
      </c>
      <c r="X14">
        <f>X15+IS!AL125</f>
        <v>1385</v>
      </c>
      <c r="Y14">
        <f>Y15+IS!AO125</f>
        <v>1605</v>
      </c>
      <c r="Z14">
        <f>Z15+IS!AR125</f>
        <v>2568</v>
      </c>
      <c r="AA14">
        <f>AA15+IS!AU125</f>
        <v>3317</v>
      </c>
      <c r="AB14">
        <f>AB15+IS!AX125</f>
        <v>4362</v>
      </c>
      <c r="AC14" s="56">
        <f>AC15+IS!BA125</f>
        <v>5877.0152519828553</v>
      </c>
      <c r="AD14" s="56">
        <f>AD15+IS!BD125</f>
        <v>6664.6652991484425</v>
      </c>
      <c r="AE14" s="56">
        <f>AE15+IS!BG125</f>
        <v>7633.5777005217496</v>
      </c>
      <c r="AF14" s="56">
        <f>AF15+IS!BJ125</f>
        <v>8853.9076723423968</v>
      </c>
      <c r="AG14" s="56">
        <f>AG15+IS!BM125</f>
        <v>10220.453872705051</v>
      </c>
      <c r="AH14"/>
      <c r="AI14"/>
    </row>
    <row r="15" spans="1:38" s="19" customFormat="1" ht="11.25" customHeight="1">
      <c r="A15" t="s">
        <v>274</v>
      </c>
      <c r="B15">
        <f>IS!B25</f>
        <v>559</v>
      </c>
      <c r="C15">
        <f>IS!C25</f>
        <v>594</v>
      </c>
      <c r="D15">
        <f>IS!D25</f>
        <v>362</v>
      </c>
      <c r="E15">
        <f>IS!E25</f>
        <v>375</v>
      </c>
      <c r="F15">
        <f>IS!F25</f>
        <v>417</v>
      </c>
      <c r="G15">
        <f>IS!G25</f>
        <v>679</v>
      </c>
      <c r="H15">
        <f>IS!H25</f>
        <v>748</v>
      </c>
      <c r="I15">
        <f>IS!I25</f>
        <v>832</v>
      </c>
      <c r="J15">
        <f>IS!J25</f>
        <v>919</v>
      </c>
      <c r="K15">
        <f>IS!K25</f>
        <v>983</v>
      </c>
      <c r="L15">
        <f>IS!L25</f>
        <v>1010</v>
      </c>
      <c r="M15">
        <f>IS!M25</f>
        <v>1206</v>
      </c>
      <c r="N15">
        <f>IS!N25</f>
        <v>1495</v>
      </c>
      <c r="O15">
        <f>IS!O25</f>
        <v>1831</v>
      </c>
      <c r="P15">
        <f>IS!P25</f>
        <v>1681</v>
      </c>
      <c r="Q15">
        <f>IS!Q25</f>
        <v>1492</v>
      </c>
      <c r="R15">
        <f>IS!T25</f>
        <v>915</v>
      </c>
      <c r="S15">
        <f>IS!W25</f>
        <v>1175</v>
      </c>
      <c r="T15">
        <f>IS!Z25</f>
        <v>306</v>
      </c>
      <c r="U15">
        <f>IS!AC25</f>
        <v>616</v>
      </c>
      <c r="V15">
        <f>IS!AF25</f>
        <v>808</v>
      </c>
      <c r="W15">
        <f>IS!AI25</f>
        <v>-2008</v>
      </c>
      <c r="X15">
        <f>IS!AL25</f>
        <v>414</v>
      </c>
      <c r="Y15">
        <f>IS!AO25</f>
        <v>652</v>
      </c>
      <c r="Z15">
        <f>IS!AR25</f>
        <v>1590</v>
      </c>
      <c r="AA15">
        <f>IS!AU25</f>
        <v>2464</v>
      </c>
      <c r="AB15">
        <f>IS!AX25</f>
        <v>3462</v>
      </c>
      <c r="AC15" s="56">
        <f>IS!BA25</f>
        <v>4934.2997844152887</v>
      </c>
      <c r="AD15" s="56">
        <f>IS!BD25</f>
        <v>5636.8703150723977</v>
      </c>
      <c r="AE15" s="56">
        <f>IS!BG25</f>
        <v>6526.4114046455588</v>
      </c>
      <c r="AF15" s="56">
        <f>IS!BJ25</f>
        <v>7647.8786487240768</v>
      </c>
      <c r="AG15" s="56">
        <f>IS!BM25</f>
        <v>8904.1052316731093</v>
      </c>
      <c r="AH15"/>
      <c r="AI15"/>
    </row>
    <row r="16" spans="1:38" s="19" customFormat="1" ht="11.25" customHeight="1">
      <c r="A16" t="s">
        <v>327</v>
      </c>
      <c r="B16">
        <f t="shared" ref="B16:AG16" si="28">B15*(1-B37)</f>
        <v>387.19724770642199</v>
      </c>
      <c r="C16">
        <f t="shared" si="28"/>
        <v>401.41894736842102</v>
      </c>
      <c r="D16">
        <f t="shared" si="28"/>
        <v>254.10980392156861</v>
      </c>
      <c r="E16">
        <f t="shared" si="28"/>
        <v>264.4736842105263</v>
      </c>
      <c r="F16">
        <f t="shared" si="28"/>
        <v>302.43956043956041</v>
      </c>
      <c r="G16">
        <f t="shared" si="28"/>
        <v>484.34569983136589</v>
      </c>
      <c r="H16">
        <f t="shared" si="28"/>
        <v>546.41134751773052</v>
      </c>
      <c r="I16">
        <f t="shared" si="28"/>
        <v>641.96923076923076</v>
      </c>
      <c r="J16">
        <f t="shared" si="28"/>
        <v>692.3829545454546</v>
      </c>
      <c r="K16">
        <f t="shared" si="28"/>
        <v>782.10273224043715</v>
      </c>
      <c r="L16">
        <f t="shared" si="28"/>
        <v>760.40837696335086</v>
      </c>
      <c r="M16">
        <f t="shared" si="28"/>
        <v>933.94641313742432</v>
      </c>
      <c r="N16">
        <f t="shared" si="28"/>
        <v>1164.5153417015342</v>
      </c>
      <c r="O16">
        <f t="shared" si="28"/>
        <v>1379.2353610005687</v>
      </c>
      <c r="P16">
        <f t="shared" si="28"/>
        <v>1278.3901234567902</v>
      </c>
      <c r="Q16">
        <f t="shared" si="28"/>
        <v>1126.2932960893856</v>
      </c>
      <c r="R16">
        <f t="shared" si="28"/>
        <v>621.25461254612549</v>
      </c>
      <c r="S16">
        <f t="shared" si="28"/>
        <v>815.14939309056956</v>
      </c>
      <c r="T16">
        <f t="shared" si="28"/>
        <v>67.658291457286424</v>
      </c>
      <c r="U16">
        <f t="shared" si="28"/>
        <v>403.17596566523605</v>
      </c>
      <c r="V16">
        <f t="shared" si="28"/>
        <v>424.09605488850775</v>
      </c>
      <c r="W16">
        <f t="shared" si="28"/>
        <v>-2031.1324818432256</v>
      </c>
      <c r="X16">
        <f t="shared" si="28"/>
        <v>115</v>
      </c>
      <c r="Y16">
        <f t="shared" si="28"/>
        <v>500.07766990291253</v>
      </c>
      <c r="Z16">
        <f t="shared" si="28"/>
        <v>1438.8114104595879</v>
      </c>
      <c r="AA16">
        <f t="shared" si="28"/>
        <v>1789.1670300915832</v>
      </c>
      <c r="AB16">
        <f t="shared" si="28"/>
        <v>2563.4498806682577</v>
      </c>
      <c r="AC16" s="56">
        <f t="shared" si="28"/>
        <v>3700.7248383114666</v>
      </c>
      <c r="AD16" s="56">
        <f t="shared" si="28"/>
        <v>4227.6527363042987</v>
      </c>
      <c r="AE16" s="56">
        <f t="shared" si="28"/>
        <v>4894.8085534841694</v>
      </c>
      <c r="AF16" s="56">
        <f t="shared" si="28"/>
        <v>5735.9089865430578</v>
      </c>
      <c r="AG16" s="56">
        <f t="shared" si="28"/>
        <v>6678.0789237548324</v>
      </c>
      <c r="AH16"/>
      <c r="AI16"/>
    </row>
    <row r="17" spans="1:35" s="19" customFormat="1" ht="11.25" customHeight="1">
      <c r="A17" t="s">
        <v>328</v>
      </c>
      <c r="B17">
        <f>IS!B43</f>
        <v>302</v>
      </c>
      <c r="C17">
        <f>IS!C43</f>
        <v>321</v>
      </c>
      <c r="D17">
        <f>IS!D43</f>
        <v>179</v>
      </c>
      <c r="E17">
        <f>IS!E43</f>
        <v>201</v>
      </c>
      <c r="F17">
        <f>IS!F43</f>
        <v>263</v>
      </c>
      <c r="G17">
        <f>IS!G43</f>
        <v>426</v>
      </c>
      <c r="H17">
        <f>IS!H43</f>
        <v>519</v>
      </c>
      <c r="I17">
        <f>IS!I43</f>
        <v>658</v>
      </c>
      <c r="J17">
        <f>IS!J43</f>
        <v>668</v>
      </c>
      <c r="K17">
        <f>IS!K43</f>
        <v>732</v>
      </c>
      <c r="L17">
        <f>IS!L43</f>
        <v>715</v>
      </c>
      <c r="M17">
        <f>IS!M43</f>
        <v>898</v>
      </c>
      <c r="N17">
        <f>IS!N43</f>
        <v>1103</v>
      </c>
      <c r="O17">
        <f>IS!O43</f>
        <v>1224</v>
      </c>
      <c r="P17">
        <f>IS!P43</f>
        <v>1226</v>
      </c>
      <c r="Q17">
        <f>IS!Q43</f>
        <v>1080</v>
      </c>
      <c r="R17">
        <f>IS!T43</f>
        <v>552</v>
      </c>
      <c r="S17">
        <f>IS!W43</f>
        <v>742</v>
      </c>
      <c r="T17">
        <f>IS!Z43</f>
        <v>43</v>
      </c>
      <c r="U17">
        <f>IS!AC43</f>
        <v>297</v>
      </c>
      <c r="V17">
        <f>IS!AF43</f>
        <v>302</v>
      </c>
      <c r="W17">
        <f>IS!AI43</f>
        <v>-4039</v>
      </c>
      <c r="X17">
        <f>IS!AL43</f>
        <v>9</v>
      </c>
      <c r="Y17">
        <f>IS!AO43</f>
        <v>152.99999999999997</v>
      </c>
      <c r="Z17">
        <f>IS!AR43</f>
        <v>1150</v>
      </c>
      <c r="AA17">
        <f>IS!AU43</f>
        <v>1702</v>
      </c>
      <c r="AB17">
        <f>IS!AX43</f>
        <v>2487</v>
      </c>
      <c r="AC17" s="56">
        <f>IS!BA43</f>
        <v>3636.3192133114662</v>
      </c>
      <c r="AD17" s="56">
        <f>IS!BD43</f>
        <v>4190.1271981178088</v>
      </c>
      <c r="AE17" s="56">
        <f>IS!BG43</f>
        <v>4890.5940554822828</v>
      </c>
      <c r="AF17" s="56">
        <f>IS!BJ43</f>
        <v>5800.1680691038164</v>
      </c>
      <c r="AG17" s="56">
        <f>IS!BM43</f>
        <v>6933.0655141198558</v>
      </c>
      <c r="AH17"/>
      <c r="AI17"/>
    </row>
    <row r="18" spans="1:35" s="19" customFormat="1" ht="11.25" customHeight="1">
      <c r="A18" t="s">
        <v>902</v>
      </c>
      <c r="B18" s="24">
        <f>IS!B47</f>
        <v>19.284802043422733</v>
      </c>
      <c r="C18" s="24">
        <f>IS!C47</f>
        <v>19.863861386138616</v>
      </c>
      <c r="D18" s="24">
        <f>IS!D47</f>
        <v>11.02216748768473</v>
      </c>
      <c r="E18" s="24">
        <f>IS!E47</f>
        <v>12.028725314183124</v>
      </c>
      <c r="F18" s="24">
        <f>IS!F47</f>
        <v>15.054378935317688</v>
      </c>
      <c r="G18" s="24">
        <f>IS!G47</f>
        <v>23.496966354109212</v>
      </c>
      <c r="H18" s="24">
        <f>IS!H47</f>
        <v>28.674033149171269</v>
      </c>
      <c r="I18" s="24">
        <f>IS!I47</f>
        <v>35.799782372143632</v>
      </c>
      <c r="J18" s="24">
        <f>IS!J47</f>
        <v>36.703296703296701</v>
      </c>
      <c r="K18" s="24">
        <f>IS!K47</f>
        <v>39.249329758713138</v>
      </c>
      <c r="L18" s="24">
        <f>IS!L47</f>
        <v>38.235294117647058</v>
      </c>
      <c r="M18" s="24">
        <f>IS!M47</f>
        <v>47.893333333333331</v>
      </c>
      <c r="N18" s="24">
        <f>IS!N47</f>
        <v>58.795309168443502</v>
      </c>
      <c r="O18" s="24">
        <f>IS!O47</f>
        <v>64.86486486486487</v>
      </c>
      <c r="P18" s="24">
        <f>IS!P47</f>
        <v>64.79915433403805</v>
      </c>
      <c r="Q18" s="24">
        <f>IS!Q47</f>
        <v>58.346839546191241</v>
      </c>
      <c r="R18" s="24">
        <f>IS!T47</f>
        <v>30.08</v>
      </c>
      <c r="S18" s="24">
        <f>IS!W47</f>
        <v>40.326086956521742</v>
      </c>
      <c r="T18" s="24">
        <f>IS!Z47</f>
        <v>2.3369565217391304</v>
      </c>
      <c r="U18" s="24">
        <f>IS!AC47</f>
        <v>15.976331360946746</v>
      </c>
      <c r="V18" s="24">
        <f>IS!AF47</f>
        <v>15.861344537815125</v>
      </c>
      <c r="W18" s="24">
        <f>IS!AI47</f>
        <v>-67.462836144980784</v>
      </c>
      <c r="X18" s="24">
        <f>IS!AL47</f>
        <v>0.10775862068965517</v>
      </c>
      <c r="Y18" s="24">
        <f>IS!AO47</f>
        <v>1.8325547969816742</v>
      </c>
      <c r="Z18" s="24">
        <f>IS!AR47</f>
        <v>13.682331945270674</v>
      </c>
      <c r="AA18" s="24">
        <f>IS!AU47</f>
        <v>20.168266382272783</v>
      </c>
      <c r="AB18" s="24">
        <f>IS!AX47</f>
        <v>29.438920454545453</v>
      </c>
      <c r="AC18" s="173">
        <f>IS!BA47</f>
        <v>44.36436514668577</v>
      </c>
      <c r="AD18" s="173">
        <f>IS!BD47</f>
        <v>52.205989954571052</v>
      </c>
      <c r="AE18" s="173">
        <f>IS!BG47</f>
        <v>62.318923078051014</v>
      </c>
      <c r="AF18" s="173">
        <f>IS!BJ47</f>
        <v>74.75927711460605</v>
      </c>
      <c r="AG18" s="173">
        <f>IS!BM47</f>
        <v>89.3613701962759</v>
      </c>
      <c r="AH18"/>
      <c r="AI18"/>
    </row>
    <row r="19" spans="1:35" s="19" customFormat="1" ht="11.25" customHeight="1">
      <c r="A19" t="s">
        <v>329</v>
      </c>
      <c r="B19" s="24">
        <f>IS!B49</f>
        <v>8</v>
      </c>
      <c r="C19" s="24">
        <f>IS!C49</f>
        <v>8.18</v>
      </c>
      <c r="D19" s="24">
        <f>IS!D49</f>
        <v>8.18</v>
      </c>
      <c r="E19" s="24">
        <f>IS!E49</f>
        <v>8.18</v>
      </c>
      <c r="F19" s="24">
        <f>IS!F49</f>
        <v>8.18</v>
      </c>
      <c r="G19" s="24">
        <f>IS!G49</f>
        <v>8.7200000000000006</v>
      </c>
      <c r="H19" s="24">
        <f>IS!H49</f>
        <v>9.59</v>
      </c>
      <c r="I19" s="24">
        <f>IS!I49</f>
        <v>13</v>
      </c>
      <c r="J19" s="24">
        <f>IS!J49</f>
        <v>14.3</v>
      </c>
      <c r="K19" s="24">
        <f>IS!K49</f>
        <v>15</v>
      </c>
      <c r="L19" s="24">
        <f>IS!L49</f>
        <v>16</v>
      </c>
      <c r="M19" s="24">
        <f>IS!M49</f>
        <v>17.5</v>
      </c>
      <c r="N19" s="24">
        <f>IS!N49</f>
        <v>19.5</v>
      </c>
      <c r="O19" s="24">
        <f>IS!O49</f>
        <v>22</v>
      </c>
      <c r="P19" s="24">
        <f>IS!P49</f>
        <v>23.1</v>
      </c>
      <c r="Q19" s="24">
        <f>IS!Q49</f>
        <v>16.37</v>
      </c>
      <c r="R19" s="24">
        <f>IS!T49</f>
        <v>11.7</v>
      </c>
      <c r="S19" s="24">
        <f>IS!W49</f>
        <v>11.7</v>
      </c>
      <c r="T19" s="24">
        <f>IS!Z49</f>
        <v>11.7</v>
      </c>
      <c r="U19" s="24">
        <f>IS!AC49</f>
        <v>11.7</v>
      </c>
      <c r="V19" s="24">
        <f>IS!AF49</f>
        <v>4.5999999999999996</v>
      </c>
      <c r="W19" s="24">
        <f>IS!AI49</f>
        <v>0</v>
      </c>
      <c r="X19" s="24">
        <f>IS!AL49</f>
        <v>0</v>
      </c>
      <c r="Y19" s="24">
        <f>IS!AO49</f>
        <v>0</v>
      </c>
      <c r="Z19" s="24">
        <f>IS!AR49</f>
        <v>0</v>
      </c>
      <c r="AA19" s="24">
        <f>IS!AU49</f>
        <v>6</v>
      </c>
      <c r="AB19" s="24">
        <f>IS!AX49</f>
        <v>9.25</v>
      </c>
      <c r="AC19" s="173">
        <f>IS!BA49</f>
        <v>15.565508730543806</v>
      </c>
      <c r="AD19" s="173">
        <f>IS!BD49</f>
        <v>18.317741677804317</v>
      </c>
      <c r="AE19" s="173">
        <f>IS!BG49</f>
        <v>21.867352497619756</v>
      </c>
      <c r="AF19" s="173">
        <f>IS!BJ49</f>
        <v>26.233372200921647</v>
      </c>
      <c r="AG19" s="173">
        <f>IS!BM49</f>
        <v>31.357313436157426</v>
      </c>
      <c r="AH19"/>
      <c r="AI19"/>
    </row>
    <row r="20" spans="1:35" s="19" customFormat="1" ht="11.25" customHeight="1">
      <c r="A20" t="s">
        <v>330</v>
      </c>
      <c r="B20" s="54">
        <f>B19/B18</f>
        <v>0.41483443708609274</v>
      </c>
      <c r="C20" s="54">
        <f t="shared" ref="C20:AA20" si="29">C19/C18</f>
        <v>0.41180311526479746</v>
      </c>
      <c r="D20" s="54">
        <f t="shared" si="29"/>
        <v>0.74214078212290502</v>
      </c>
      <c r="E20" s="54">
        <f t="shared" si="29"/>
        <v>0.68003880597014921</v>
      </c>
      <c r="F20" s="54">
        <f t="shared" si="29"/>
        <v>0.54336349809885931</v>
      </c>
      <c r="G20" s="54">
        <f t="shared" si="29"/>
        <v>0.37111173708920192</v>
      </c>
      <c r="H20" s="54">
        <f t="shared" si="29"/>
        <v>0.33444894026974953</v>
      </c>
      <c r="I20" s="54">
        <f t="shared" si="29"/>
        <v>0.36313069908814594</v>
      </c>
      <c r="J20" s="54">
        <f t="shared" si="29"/>
        <v>0.38961077844311381</v>
      </c>
      <c r="K20" s="54">
        <f t="shared" si="29"/>
        <v>0.38217213114754095</v>
      </c>
      <c r="L20" s="54">
        <f t="shared" si="29"/>
        <v>0.4184615384615385</v>
      </c>
      <c r="M20" s="54">
        <f t="shared" si="29"/>
        <v>0.36539532293986637</v>
      </c>
      <c r="N20" s="54">
        <f t="shared" si="29"/>
        <v>0.33165911151405253</v>
      </c>
      <c r="O20" s="54">
        <f t="shared" si="29"/>
        <v>0.33916666666666662</v>
      </c>
      <c r="P20" s="54">
        <f t="shared" si="29"/>
        <v>0.35648613376835242</v>
      </c>
      <c r="Q20" s="54">
        <f t="shared" si="29"/>
        <v>0.28056361111111117</v>
      </c>
      <c r="R20" s="54">
        <f t="shared" si="29"/>
        <v>0.38896276595744683</v>
      </c>
      <c r="S20" s="54">
        <f t="shared" si="29"/>
        <v>0.29013477088948786</v>
      </c>
      <c r="T20" s="54">
        <f>T19/T18</f>
        <v>5.0065116279069768</v>
      </c>
      <c r="U20" s="54">
        <f>U19/U18</f>
        <v>0.73233333333333328</v>
      </c>
      <c r="V20" s="54">
        <f>V19/V18</f>
        <v>0.2900132450331126</v>
      </c>
      <c r="W20" s="54">
        <f>W19/W18</f>
        <v>0</v>
      </c>
      <c r="X20" s="54">
        <f t="shared" si="29"/>
        <v>0</v>
      </c>
      <c r="Y20" s="54">
        <f t="shared" si="29"/>
        <v>0</v>
      </c>
      <c r="Z20" s="54">
        <f t="shared" si="29"/>
        <v>0</v>
      </c>
      <c r="AA20" s="54">
        <f t="shared" si="29"/>
        <v>0.29749706227967093</v>
      </c>
      <c r="AB20" s="54">
        <f t="shared" ref="AB20:AG20" si="30">AB19/AB18</f>
        <v>0.31420989143546441</v>
      </c>
      <c r="AC20" s="245">
        <f t="shared" si="30"/>
        <v>0.35085611343875217</v>
      </c>
      <c r="AD20" s="245">
        <f t="shared" si="30"/>
        <v>0.35087432866887819</v>
      </c>
      <c r="AE20" s="245">
        <f t="shared" si="30"/>
        <v>0.350894261607058</v>
      </c>
      <c r="AF20" s="245">
        <f t="shared" si="30"/>
        <v>0.35090457282921367</v>
      </c>
      <c r="AG20" s="245">
        <f t="shared" si="30"/>
        <v>0.35090457282921372</v>
      </c>
      <c r="AH20"/>
      <c r="AI20"/>
    </row>
    <row r="21" spans="1:35" s="19" customFormat="1" ht="11.25" customHeight="1">
      <c r="A21" t="s">
        <v>331</v>
      </c>
      <c r="B21">
        <f>CFS!B111</f>
        <v>125</v>
      </c>
      <c r="C21">
        <f>CFS!C111</f>
        <v>152</v>
      </c>
      <c r="D21">
        <f>CFS!D111</f>
        <v>111</v>
      </c>
      <c r="E21">
        <f>CFS!E111</f>
        <v>379</v>
      </c>
      <c r="F21">
        <f>CFS!F111</f>
        <v>305</v>
      </c>
      <c r="G21">
        <f>CFS!G111</f>
        <v>721</v>
      </c>
      <c r="H21">
        <f>CFS!H111</f>
        <v>592</v>
      </c>
      <c r="I21">
        <f>CFS!I111</f>
        <v>70</v>
      </c>
      <c r="J21">
        <f>CFS!J111</f>
        <v>379</v>
      </c>
      <c r="K21">
        <f>CFS!K111</f>
        <v>214</v>
      </c>
      <c r="L21">
        <f>CFS!L111</f>
        <v>714</v>
      </c>
      <c r="M21">
        <f>CFS!M111</f>
        <v>581</v>
      </c>
      <c r="N21">
        <f>CFS!N111</f>
        <v>548</v>
      </c>
      <c r="O21">
        <f>CFS!O111</f>
        <v>781</v>
      </c>
      <c r="P21">
        <f>CFS!P111</f>
        <v>447</v>
      </c>
      <c r="Q21">
        <f>CFS!Q111</f>
        <v>179</v>
      </c>
      <c r="R21">
        <f>CFS!T111</f>
        <v>100</v>
      </c>
      <c r="S21">
        <f>CFS!W111</f>
        <v>259</v>
      </c>
      <c r="T21">
        <f>CFS!Z111</f>
        <v>259</v>
      </c>
      <c r="U21">
        <f>CFS!AC111</f>
        <v>568</v>
      </c>
      <c r="V21">
        <f>CFS!AF111</f>
        <v>875</v>
      </c>
      <c r="W21">
        <f>CFS!AI111</f>
        <v>-4185</v>
      </c>
      <c r="X21">
        <f>CFS!AL111</f>
        <v>-1442</v>
      </c>
      <c r="Y21">
        <f>CFS!AO111</f>
        <v>491</v>
      </c>
      <c r="Z21">
        <f>CFS!AR111</f>
        <v>1285</v>
      </c>
      <c r="AA21">
        <f>CFS!AU111</f>
        <v>2425</v>
      </c>
      <c r="AB21">
        <f>CFS!AX111</f>
        <v>3270</v>
      </c>
      <c r="AC21" s="56">
        <f>CFS!BA111</f>
        <v>4224.2264816936095</v>
      </c>
      <c r="AD21" s="56">
        <f>CFS!BD111</f>
        <v>5026.5581851945681</v>
      </c>
      <c r="AE21" s="56">
        <f>CFS!BG111</f>
        <v>6001.546051384008</v>
      </c>
      <c r="AF21" s="56">
        <f>CFS!BJ111</f>
        <v>6707.5606391567535</v>
      </c>
      <c r="AG21" s="56">
        <f>CFS!BM111</f>
        <v>7629.0956941396116</v>
      </c>
      <c r="AH21"/>
      <c r="AI21"/>
    </row>
    <row r="22" spans="1:35" s="19" customFormat="1" ht="11.25" customHeight="1">
      <c r="A22" t="s">
        <v>775</v>
      </c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>
        <f>+BS!AC107</f>
        <v>-111</v>
      </c>
      <c r="V22">
        <f>+BS!AF107</f>
        <v>-336</v>
      </c>
      <c r="W22">
        <f>+BS!AI107</f>
        <v>-5663</v>
      </c>
      <c r="X22">
        <f>+BS!AL107</f>
        <v>-1327</v>
      </c>
      <c r="Y22">
        <f>+BS!AO107</f>
        <v>-307</v>
      </c>
      <c r="Z22">
        <f>+BS!AR107</f>
        <v>-527</v>
      </c>
      <c r="AA22">
        <f>+BS!AU107</f>
        <v>1543</v>
      </c>
      <c r="AB22">
        <f>+BS!AX107</f>
        <v>2670</v>
      </c>
      <c r="AC22" s="56">
        <f>+BS!BA107</f>
        <v>4218.6578433703799</v>
      </c>
      <c r="AD22" s="56">
        <f>+BS!BD107</f>
        <v>4822.7288366850871</v>
      </c>
      <c r="AE22" s="56">
        <f>+BS!BG107</f>
        <v>5220.1551649295416</v>
      </c>
      <c r="AF22" s="56">
        <f>+BS!BJ107</f>
        <v>5691.4801504274792</v>
      </c>
      <c r="AG22" s="56">
        <f>+BS!BM107</f>
        <v>6495.1382426036525</v>
      </c>
      <c r="AH22"/>
      <c r="AI22"/>
    </row>
    <row r="23" spans="1:35" s="19" customFormat="1" ht="11.25" customHeight="1">
      <c r="A23" t="s">
        <v>735</v>
      </c>
      <c r="B23" s="24">
        <f t="shared" ref="B23:AG23" si="31">B21/B5*100</f>
        <v>8.0231065468549421</v>
      </c>
      <c r="C23" s="24">
        <f t="shared" si="31"/>
        <v>9.565764631843928</v>
      </c>
      <c r="D23" s="24">
        <f t="shared" si="31"/>
        <v>6.8858560794044665</v>
      </c>
      <c r="E23" s="24">
        <f t="shared" si="31"/>
        <v>23.011536126290224</v>
      </c>
      <c r="F23" s="24">
        <f t="shared" si="31"/>
        <v>18.047337278106511</v>
      </c>
      <c r="G23" s="24">
        <f t="shared" si="31"/>
        <v>41.4367816091954</v>
      </c>
      <c r="H23" s="24">
        <f t="shared" si="31"/>
        <v>34.003446295232628</v>
      </c>
      <c r="I23" s="24">
        <f t="shared" si="31"/>
        <v>3.8888888888888888</v>
      </c>
      <c r="J23" s="24">
        <f t="shared" si="31"/>
        <v>20.824175824175825</v>
      </c>
      <c r="K23" s="24">
        <f t="shared" si="31"/>
        <v>11.598915989159892</v>
      </c>
      <c r="L23" s="24">
        <f t="shared" si="31"/>
        <v>38.678223185265438</v>
      </c>
      <c r="M23" s="24">
        <f t="shared" si="31"/>
        <v>31.405405405405407</v>
      </c>
      <c r="N23" s="24">
        <f t="shared" si="31"/>
        <v>29.605618584548893</v>
      </c>
      <c r="O23" s="24">
        <f t="shared" si="31"/>
        <v>41.854233654876744</v>
      </c>
      <c r="P23" s="24">
        <f t="shared" si="31"/>
        <v>23.852721451440768</v>
      </c>
      <c r="Q23" s="24">
        <f t="shared" si="31"/>
        <v>9.7335508428493736</v>
      </c>
      <c r="R23" s="24">
        <f t="shared" si="31"/>
        <v>5.4585152838427948</v>
      </c>
      <c r="S23" s="24">
        <f t="shared" si="31"/>
        <v>14.122137404580155</v>
      </c>
      <c r="T23" s="24">
        <f t="shared" si="31"/>
        <v>14.122137404580155</v>
      </c>
      <c r="U23" s="24">
        <f t="shared" si="31"/>
        <v>30.554061323292093</v>
      </c>
      <c r="V23" s="24">
        <f t="shared" si="31"/>
        <v>45.955882352941174</v>
      </c>
      <c r="W23" s="24">
        <f t="shared" si="31"/>
        <v>-69.901453148488386</v>
      </c>
      <c r="X23" s="24">
        <f t="shared" si="31"/>
        <v>-17.30676908305329</v>
      </c>
      <c r="Y23" s="24">
        <f t="shared" si="31"/>
        <v>5.880943825607857</v>
      </c>
      <c r="Z23" s="24">
        <f t="shared" si="31"/>
        <v>15.368975002990073</v>
      </c>
      <c r="AA23" s="24">
        <f t="shared" si="31"/>
        <v>28.910348116356698</v>
      </c>
      <c r="AB23" s="24">
        <f t="shared" si="31"/>
        <v>38.859180035650624</v>
      </c>
      <c r="AC23" s="173">
        <f t="shared" si="31"/>
        <v>51.663100847297258</v>
      </c>
      <c r="AD23" s="173">
        <f t="shared" si="31"/>
        <v>62.783770387145729</v>
      </c>
      <c r="AE23" s="173">
        <f t="shared" si="31"/>
        <v>76.670745953476228</v>
      </c>
      <c r="AF23" s="173">
        <f t="shared" si="31"/>
        <v>86.678244349780371</v>
      </c>
      <c r="AG23" s="173">
        <f t="shared" si="31"/>
        <v>98.58675251985845</v>
      </c>
      <c r="AH23"/>
      <c r="AI23"/>
    </row>
    <row r="24" spans="1:35" s="19" customFormat="1" ht="11.25" customHeight="1">
      <c r="A24" t="s">
        <v>987</v>
      </c>
      <c r="B24" s="211">
        <f t="shared" ref="B24:Y24" si="32">B21/B15</f>
        <v>0.22361359570661896</v>
      </c>
      <c r="C24" s="211">
        <f t="shared" si="32"/>
        <v>0.25589225589225589</v>
      </c>
      <c r="D24" s="211">
        <f t="shared" si="32"/>
        <v>0.30662983425414364</v>
      </c>
      <c r="E24" s="211">
        <f t="shared" si="32"/>
        <v>1.0106666666666666</v>
      </c>
      <c r="F24" s="211">
        <f t="shared" si="32"/>
        <v>0.73141486810551559</v>
      </c>
      <c r="G24" s="211">
        <f t="shared" si="32"/>
        <v>1.0618556701030928</v>
      </c>
      <c r="H24" s="211">
        <f t="shared" si="32"/>
        <v>0.79144385026737973</v>
      </c>
      <c r="I24" s="211">
        <f t="shared" si="32"/>
        <v>8.4134615384615391E-2</v>
      </c>
      <c r="J24" s="211">
        <f t="shared" si="32"/>
        <v>0.41240478781284007</v>
      </c>
      <c r="K24" s="211">
        <f t="shared" si="32"/>
        <v>0.21770091556459817</v>
      </c>
      <c r="L24" s="211">
        <f t="shared" si="32"/>
        <v>0.70693069306930689</v>
      </c>
      <c r="M24" s="211">
        <f t="shared" si="32"/>
        <v>0.48175787728026537</v>
      </c>
      <c r="N24" s="211">
        <f t="shared" si="32"/>
        <v>0.36655518394648828</v>
      </c>
      <c r="O24" s="211">
        <f t="shared" si="32"/>
        <v>0.42654287274713271</v>
      </c>
      <c r="P24" s="211">
        <f t="shared" si="32"/>
        <v>0.26591314693634743</v>
      </c>
      <c r="Q24" s="211">
        <f t="shared" si="32"/>
        <v>0.11997319034852547</v>
      </c>
      <c r="R24" s="211">
        <f t="shared" si="32"/>
        <v>0.10928961748633879</v>
      </c>
      <c r="S24" s="211">
        <f t="shared" si="32"/>
        <v>0.22042553191489361</v>
      </c>
      <c r="T24" s="211">
        <f t="shared" si="32"/>
        <v>0.84640522875816993</v>
      </c>
      <c r="U24" s="211">
        <f t="shared" si="32"/>
        <v>0.92207792207792205</v>
      </c>
      <c r="V24" s="211">
        <f t="shared" si="32"/>
        <v>1.0829207920792079</v>
      </c>
      <c r="W24" s="211">
        <f t="shared" si="32"/>
        <v>2.0841633466135456</v>
      </c>
      <c r="X24" s="211">
        <f t="shared" si="32"/>
        <v>-3.4830917874396135</v>
      </c>
      <c r="Y24" s="211">
        <f t="shared" si="32"/>
        <v>0.75306748466257667</v>
      </c>
      <c r="Z24" s="211">
        <f>Z21/Z15</f>
        <v>0.80817610062893086</v>
      </c>
      <c r="AA24" s="211">
        <f t="shared" ref="AA24:AG24" si="33">AA21/AA15</f>
        <v>0.98417207792207795</v>
      </c>
      <c r="AB24" s="211">
        <f t="shared" si="33"/>
        <v>0.9445407279029463</v>
      </c>
      <c r="AC24" s="251">
        <f t="shared" si="33"/>
        <v>0.85609441384886942</v>
      </c>
      <c r="AD24" s="251">
        <f t="shared" si="33"/>
        <v>0.89172854868668538</v>
      </c>
      <c r="AE24" s="251">
        <f t="shared" si="33"/>
        <v>0.91957826120370734</v>
      </c>
      <c r="AF24" s="251">
        <f t="shared" si="33"/>
        <v>0.87704851858179</v>
      </c>
      <c r="AG24" s="251">
        <f t="shared" si="33"/>
        <v>0.85680655109531767</v>
      </c>
      <c r="AH24"/>
      <c r="AI24"/>
    </row>
    <row r="25" spans="1:35" s="174" customFormat="1" ht="11.25" customHeight="1">
      <c r="A25" s="1038" t="s">
        <v>185</v>
      </c>
      <c r="B25" s="1038">
        <f t="shared" ref="B25:AG25" si="34">B21/B17</f>
        <v>0.41390728476821192</v>
      </c>
      <c r="C25" s="1038">
        <f t="shared" si="34"/>
        <v>0.4735202492211838</v>
      </c>
      <c r="D25" s="1038">
        <f t="shared" si="34"/>
        <v>0.62011173184357538</v>
      </c>
      <c r="E25" s="1038">
        <f t="shared" si="34"/>
        <v>1.8855721393034826</v>
      </c>
      <c r="F25" s="1038">
        <f t="shared" si="34"/>
        <v>1.1596958174904943</v>
      </c>
      <c r="G25" s="1038">
        <f t="shared" si="34"/>
        <v>1.692488262910798</v>
      </c>
      <c r="H25" s="1038">
        <f t="shared" si="34"/>
        <v>1.140655105973025</v>
      </c>
      <c r="I25" s="1038">
        <f t="shared" si="34"/>
        <v>0.10638297872340426</v>
      </c>
      <c r="J25" s="1038">
        <f t="shared" si="34"/>
        <v>0.56736526946107779</v>
      </c>
      <c r="K25" s="1038">
        <f t="shared" si="34"/>
        <v>0.29234972677595628</v>
      </c>
      <c r="L25" s="1038">
        <f t="shared" si="34"/>
        <v>0.99860139860139863</v>
      </c>
      <c r="M25" s="1038">
        <f t="shared" si="34"/>
        <v>0.64699331848552344</v>
      </c>
      <c r="N25" s="1038">
        <f t="shared" si="34"/>
        <v>0.49682683590208521</v>
      </c>
      <c r="O25" s="1038">
        <f t="shared" si="34"/>
        <v>0.63807189542483655</v>
      </c>
      <c r="P25" s="1038">
        <f t="shared" si="34"/>
        <v>0.36460032626427408</v>
      </c>
      <c r="Q25" s="1038">
        <f t="shared" si="34"/>
        <v>0.16574074074074074</v>
      </c>
      <c r="R25" s="1038">
        <f t="shared" si="34"/>
        <v>0.18115942028985507</v>
      </c>
      <c r="S25" s="1038">
        <f t="shared" si="34"/>
        <v>0.34905660377358488</v>
      </c>
      <c r="T25" s="1038">
        <f t="shared" si="34"/>
        <v>6.0232558139534884</v>
      </c>
      <c r="U25" s="1038">
        <f t="shared" si="34"/>
        <v>1.9124579124579124</v>
      </c>
      <c r="V25" s="1038">
        <f t="shared" si="34"/>
        <v>2.8973509933774833</v>
      </c>
      <c r="W25" s="1038">
        <f t="shared" si="34"/>
        <v>1.0361475612775439</v>
      </c>
      <c r="X25" s="1038">
        <f t="shared" si="34"/>
        <v>-160.22222222222223</v>
      </c>
      <c r="Y25" s="1038">
        <f t="shared" si="34"/>
        <v>3.2091503267973862</v>
      </c>
      <c r="Z25" s="1038">
        <f t="shared" si="34"/>
        <v>1.1173913043478261</v>
      </c>
      <c r="AA25" s="1038">
        <f t="shared" si="34"/>
        <v>1.4247943595769683</v>
      </c>
      <c r="AB25" s="1038">
        <f t="shared" si="34"/>
        <v>1.3148371531966225</v>
      </c>
      <c r="AC25" s="251">
        <f t="shared" si="34"/>
        <v>1.1616764738997589</v>
      </c>
      <c r="AD25" s="251">
        <f t="shared" si="34"/>
        <v>1.1996194739511681</v>
      </c>
      <c r="AE25" s="251">
        <f t="shared" si="34"/>
        <v>1.227160950857568</v>
      </c>
      <c r="AF25" s="251">
        <f t="shared" si="34"/>
        <v>1.1564424615359703</v>
      </c>
      <c r="AG25" s="251">
        <f t="shared" si="34"/>
        <v>1.1003928462239716</v>
      </c>
      <c r="AH25" s="176"/>
      <c r="AI25" s="176"/>
    </row>
    <row r="26" spans="1:35" s="19" customFormat="1" ht="11.25" customHeight="1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 s="1038"/>
      <c r="AD26" s="1038"/>
      <c r="AE26" s="1038"/>
      <c r="AF26" s="1038"/>
      <c r="AG26" s="1038"/>
      <c r="AH26"/>
      <c r="AI26"/>
    </row>
    <row r="27" spans="1:35" s="38" customFormat="1" ht="11.25" customHeight="1">
      <c r="A27" s="490" t="s">
        <v>61</v>
      </c>
      <c r="B27" s="489"/>
      <c r="C27" s="489"/>
      <c r="D27" s="489"/>
      <c r="E27" s="489"/>
      <c r="F27" s="489"/>
      <c r="G27" s="489"/>
      <c r="H27" s="489"/>
      <c r="I27" s="489"/>
      <c r="J27" s="489"/>
      <c r="K27" s="489"/>
      <c r="L27" s="489"/>
      <c r="M27" s="489"/>
      <c r="N27" s="489"/>
      <c r="O27" s="489"/>
      <c r="P27" s="489"/>
      <c r="Q27" s="489"/>
      <c r="R27" s="489"/>
      <c r="S27" s="489"/>
      <c r="T27" s="489"/>
      <c r="U27" s="1077"/>
      <c r="V27" s="1077"/>
      <c r="W27" s="1077"/>
      <c r="X27" s="1077"/>
      <c r="Y27" s="1077"/>
      <c r="Z27" s="1077"/>
      <c r="AA27" s="1077"/>
      <c r="AB27" s="1077"/>
      <c r="AC27" s="178"/>
      <c r="AD27" s="178"/>
      <c r="AE27" s="178"/>
      <c r="AF27" s="178"/>
      <c r="AG27" s="178"/>
      <c r="AH27" s="25"/>
      <c r="AI27" s="25"/>
    </row>
    <row r="28" spans="1:35" s="19" customFormat="1" ht="11.25" customHeight="1">
      <c r="A28" t="s">
        <v>332</v>
      </c>
      <c r="B28"/>
      <c r="C28" s="54">
        <f t="shared" ref="C28:S28" si="35">C13/B13-1</f>
        <v>7.9126875852660206E-2</v>
      </c>
      <c r="D28" s="54">
        <f t="shared" si="35"/>
        <v>-8.5335018963337506E-2</v>
      </c>
      <c r="E28" s="54">
        <f t="shared" si="35"/>
        <v>-2.4706288873531435E-2</v>
      </c>
      <c r="F28" s="54">
        <f t="shared" si="35"/>
        <v>5.3498671390611152E-2</v>
      </c>
      <c r="G28" s="54">
        <f t="shared" si="35"/>
        <v>8.5925676811837937E-2</v>
      </c>
      <c r="H28" s="54">
        <f t="shared" si="35"/>
        <v>0.13858779807990085</v>
      </c>
      <c r="I28" s="54">
        <f t="shared" si="35"/>
        <v>6.3103495172038615E-2</v>
      </c>
      <c r="J28" s="54">
        <f t="shared" si="35"/>
        <v>0.17014199820903153</v>
      </c>
      <c r="K28" s="54">
        <f t="shared" si="35"/>
        <v>0.10506176888597363</v>
      </c>
      <c r="L28" s="54">
        <f t="shared" si="35"/>
        <v>7.4990106846062554E-2</v>
      </c>
      <c r="M28" s="54">
        <f t="shared" si="35"/>
        <v>3.7824406405301048E-2</v>
      </c>
      <c r="N28" s="54">
        <f t="shared" si="35"/>
        <v>8.2646093819278121E-2</v>
      </c>
      <c r="O28" s="54">
        <f t="shared" si="35"/>
        <v>0.2699647800802687</v>
      </c>
      <c r="P28" s="54">
        <f t="shared" si="35"/>
        <v>-0.1058368268300548</v>
      </c>
      <c r="Q28" s="54">
        <f t="shared" si="35"/>
        <v>-3.6785920369301839E-2</v>
      </c>
      <c r="R28" s="54">
        <f t="shared" si="35"/>
        <v>3.2125205930807255E-2</v>
      </c>
      <c r="S28" s="54">
        <f t="shared" si="35"/>
        <v>9.4826960748748412E-2</v>
      </c>
      <c r="T28" s="1078" t="s">
        <v>703</v>
      </c>
      <c r="U28" s="54">
        <f t="shared" ref="U28:AG28" si="36">U13/T13-1</f>
        <v>0.10211396386511584</v>
      </c>
      <c r="V28" s="54">
        <f t="shared" si="36"/>
        <v>2.5419791597530939E-2</v>
      </c>
      <c r="W28" s="54">
        <f t="shared" si="36"/>
        <v>-0.26019417475728157</v>
      </c>
      <c r="X28" s="54">
        <f t="shared" si="36"/>
        <v>-4.2257217847769035E-2</v>
      </c>
      <c r="Y28" s="54">
        <f t="shared" si="36"/>
        <v>0.1593130538046954</v>
      </c>
      <c r="Z28" s="54">
        <f t="shared" si="36"/>
        <v>0.21416752028996933</v>
      </c>
      <c r="AA28" s="54">
        <f t="shared" si="36"/>
        <v>0.15828411967032263</v>
      </c>
      <c r="AB28" s="54">
        <f t="shared" si="36"/>
        <v>0.12387942626624837</v>
      </c>
      <c r="AC28" s="245">
        <f t="shared" si="36"/>
        <v>0.17722705128826943</v>
      </c>
      <c r="AD28" s="245">
        <f t="shared" si="36"/>
        <v>0.12975066277464653</v>
      </c>
      <c r="AE28" s="245">
        <f t="shared" si="36"/>
        <v>0.10714342497761531</v>
      </c>
      <c r="AF28" s="245">
        <f t="shared" si="36"/>
        <v>0.12053985665981881</v>
      </c>
      <c r="AG28" s="245">
        <f t="shared" si="36"/>
        <v>0.12003931821356506</v>
      </c>
      <c r="AH28"/>
      <c r="AI28"/>
    </row>
    <row r="29" spans="1:35" s="19" customFormat="1" ht="11.25" customHeight="1">
      <c r="A29" t="s">
        <v>901</v>
      </c>
      <c r="B29"/>
      <c r="C29" s="54">
        <f t="shared" ref="C29:S29" si="37">C15/B15-1</f>
        <v>6.2611806797853387E-2</v>
      </c>
      <c r="D29" s="54">
        <f t="shared" si="37"/>
        <v>-0.39057239057239057</v>
      </c>
      <c r="E29" s="54">
        <f t="shared" si="37"/>
        <v>3.5911602209944826E-2</v>
      </c>
      <c r="F29" s="54">
        <f t="shared" si="37"/>
        <v>0.1120000000000001</v>
      </c>
      <c r="G29" s="54">
        <f t="shared" si="37"/>
        <v>0.62829736211031184</v>
      </c>
      <c r="H29" s="54">
        <f t="shared" si="37"/>
        <v>0.10162002945508108</v>
      </c>
      <c r="I29" s="54">
        <f t="shared" si="37"/>
        <v>0.11229946524064172</v>
      </c>
      <c r="J29" s="54">
        <f t="shared" si="37"/>
        <v>0.10456730769230771</v>
      </c>
      <c r="K29" s="54">
        <f t="shared" si="37"/>
        <v>6.9640914036996682E-2</v>
      </c>
      <c r="L29" s="54">
        <f t="shared" si="37"/>
        <v>2.746693794506605E-2</v>
      </c>
      <c r="M29" s="54">
        <f t="shared" si="37"/>
        <v>0.19405940594059401</v>
      </c>
      <c r="N29" s="54">
        <f t="shared" si="37"/>
        <v>0.23963515754560527</v>
      </c>
      <c r="O29" s="54">
        <f t="shared" si="37"/>
        <v>0.22474916387959865</v>
      </c>
      <c r="P29" s="54">
        <f t="shared" si="37"/>
        <v>-8.1922446750409605E-2</v>
      </c>
      <c r="Q29" s="54">
        <f t="shared" si="37"/>
        <v>-0.11243307555026771</v>
      </c>
      <c r="R29" s="54">
        <f t="shared" si="37"/>
        <v>-0.38672922252010722</v>
      </c>
      <c r="S29" s="54">
        <f t="shared" si="37"/>
        <v>0.28415300546448097</v>
      </c>
      <c r="T29" s="1078" t="s">
        <v>703</v>
      </c>
      <c r="U29" s="54">
        <f t="shared" ref="U29:AG29" si="38">U15/T15-1</f>
        <v>1.0130718954248366</v>
      </c>
      <c r="V29" s="54">
        <f t="shared" si="38"/>
        <v>0.31168831168831179</v>
      </c>
      <c r="W29" s="54">
        <f t="shared" si="38"/>
        <v>-3.4851485148514851</v>
      </c>
      <c r="X29" s="54">
        <f t="shared" si="38"/>
        <v>-1.2061752988047809</v>
      </c>
      <c r="Y29" s="54">
        <f t="shared" si="38"/>
        <v>0.57487922705314021</v>
      </c>
      <c r="Z29" s="54">
        <f t="shared" si="38"/>
        <v>1.4386503067484662</v>
      </c>
      <c r="AA29" s="54">
        <f t="shared" si="38"/>
        <v>0.54968553459119507</v>
      </c>
      <c r="AB29" s="54">
        <f t="shared" si="38"/>
        <v>0.40503246753246747</v>
      </c>
      <c r="AC29" s="245">
        <f t="shared" si="38"/>
        <v>0.42527434558500543</v>
      </c>
      <c r="AD29" s="245">
        <f t="shared" si="38"/>
        <v>0.14238505185196471</v>
      </c>
      <c r="AE29" s="245">
        <f t="shared" si="38"/>
        <v>0.1578076201601839</v>
      </c>
      <c r="AF29" s="245">
        <f t="shared" si="38"/>
        <v>0.17183520537492436</v>
      </c>
      <c r="AG29" s="245">
        <f t="shared" si="38"/>
        <v>0.1642581741485416</v>
      </c>
      <c r="AH29"/>
      <c r="AI29"/>
    </row>
    <row r="30" spans="1:35" s="19" customFormat="1" ht="11.25" customHeight="1">
      <c r="A30" t="s">
        <v>333</v>
      </c>
      <c r="B30"/>
      <c r="C30" s="54">
        <f t="shared" ref="C30:U30" si="39">C18/B18-1</f>
        <v>3.0026719559373305E-2</v>
      </c>
      <c r="D30" s="54">
        <f t="shared" si="39"/>
        <v>-0.4451145588754355</v>
      </c>
      <c r="E30" s="54">
        <f t="shared" si="39"/>
        <v>9.1321224035385118E-2</v>
      </c>
      <c r="F30" s="54">
        <f t="shared" si="39"/>
        <v>0.25153568163760487</v>
      </c>
      <c r="G30" s="54">
        <f t="shared" si="39"/>
        <v>0.56080609203911758</v>
      </c>
      <c r="H30" s="54">
        <f t="shared" si="39"/>
        <v>0.22032915726402602</v>
      </c>
      <c r="I30" s="54">
        <f t="shared" si="39"/>
        <v>0.24850878793025011</v>
      </c>
      <c r="J30" s="54">
        <f t="shared" si="39"/>
        <v>2.5237983900597838E-2</v>
      </c>
      <c r="K30" s="54">
        <f t="shared" si="39"/>
        <v>6.9367966479908949E-2</v>
      </c>
      <c r="L30" s="54">
        <f t="shared" si="39"/>
        <v>-2.5835744133719141E-2</v>
      </c>
      <c r="M30" s="54">
        <f t="shared" si="39"/>
        <v>0.25259487179487183</v>
      </c>
      <c r="N30" s="54">
        <f t="shared" si="39"/>
        <v>0.22763034176872576</v>
      </c>
      <c r="O30" s="54">
        <f t="shared" si="39"/>
        <v>0.10323197177231624</v>
      </c>
      <c r="P30" s="54">
        <f t="shared" si="39"/>
        <v>-1.013037350246826E-3</v>
      </c>
      <c r="Q30" s="54">
        <f t="shared" si="39"/>
        <v>-9.9574058553068223E-2</v>
      </c>
      <c r="R30" s="54">
        <f t="shared" si="39"/>
        <v>-0.48446222222222224</v>
      </c>
      <c r="S30" s="54">
        <f t="shared" si="39"/>
        <v>0.34062789084181322</v>
      </c>
      <c r="T30" s="1078" t="s">
        <v>703</v>
      </c>
      <c r="U30" s="54">
        <f t="shared" si="39"/>
        <v>5.8363836521260497</v>
      </c>
      <c r="V30" s="54">
        <f t="shared" ref="V30:AG30" si="40">V18/U18-1</f>
        <v>-7.1973233737940845E-3</v>
      </c>
      <c r="W30" s="54">
        <f t="shared" si="40"/>
        <v>-5.2532860933789216</v>
      </c>
      <c r="X30" s="54">
        <f t="shared" si="40"/>
        <v>-1.0015973034465684</v>
      </c>
      <c r="Y30" s="54">
        <f t="shared" si="40"/>
        <v>16.006108515989936</v>
      </c>
      <c r="Z30" s="54">
        <f t="shared" si="40"/>
        <v>6.4662607458212333</v>
      </c>
      <c r="AA30" s="54">
        <f t="shared" si="40"/>
        <v>0.47403720820002371</v>
      </c>
      <c r="AB30" s="54">
        <f t="shared" si="40"/>
        <v>0.4596653919853646</v>
      </c>
      <c r="AC30" s="245">
        <f t="shared" si="40"/>
        <v>0.50699701149658782</v>
      </c>
      <c r="AD30" s="245">
        <f t="shared" si="40"/>
        <v>0.17675503260235637</v>
      </c>
      <c r="AE30" s="245">
        <f t="shared" si="40"/>
        <v>0.19371212254149572</v>
      </c>
      <c r="AF30" s="245">
        <f t="shared" si="40"/>
        <v>0.19962402143846703</v>
      </c>
      <c r="AG30" s="245">
        <f t="shared" si="40"/>
        <v>0.19532148577740838</v>
      </c>
      <c r="AH30"/>
      <c r="AI30"/>
    </row>
    <row r="31" spans="1:35" s="19" customFormat="1" ht="11.25" customHeight="1">
      <c r="A31" t="s">
        <v>572</v>
      </c>
      <c r="B31"/>
      <c r="C31" s="54">
        <f t="shared" ref="C31:S31" si="41">C6/B6-1</f>
        <v>-4.1646344234936961E-2</v>
      </c>
      <c r="D31" s="54">
        <f t="shared" si="41"/>
        <v>-0.23121111629373292</v>
      </c>
      <c r="E31" s="54">
        <f t="shared" si="41"/>
        <v>-0.1036566361516531</v>
      </c>
      <c r="F31" s="54">
        <f t="shared" si="41"/>
        <v>0.79992888248739558</v>
      </c>
      <c r="G31" s="54">
        <f t="shared" si="41"/>
        <v>0.36820588965748158</v>
      </c>
      <c r="H31" s="54">
        <f t="shared" si="41"/>
        <v>0.4556736118378979</v>
      </c>
      <c r="I31" s="54">
        <f t="shared" si="41"/>
        <v>0.18111617917447398</v>
      </c>
      <c r="J31" s="54">
        <f t="shared" si="41"/>
        <v>-0.22835707566981589</v>
      </c>
      <c r="K31" s="54">
        <f t="shared" si="41"/>
        <v>-2.8965126039326439E-3</v>
      </c>
      <c r="L31" s="54">
        <f t="shared" si="41"/>
        <v>0.5071417664781972</v>
      </c>
      <c r="M31" s="54">
        <f t="shared" si="41"/>
        <v>0.12317210543020907</v>
      </c>
      <c r="N31" s="54">
        <f t="shared" si="41"/>
        <v>0.29763369384028837</v>
      </c>
      <c r="O31" s="54">
        <f t="shared" si="41"/>
        <v>0.33922915493152961</v>
      </c>
      <c r="P31" s="54">
        <f t="shared" si="41"/>
        <v>-6.2795771204434248E-2</v>
      </c>
      <c r="Q31" s="54">
        <f t="shared" si="41"/>
        <v>-0.20561971240280452</v>
      </c>
      <c r="R31" s="54">
        <f t="shared" si="41"/>
        <v>-0.19790642804322456</v>
      </c>
      <c r="S31" s="54">
        <f t="shared" si="41"/>
        <v>0.253280439799346</v>
      </c>
      <c r="T31" s="1078" t="s">
        <v>703</v>
      </c>
      <c r="U31" s="54">
        <f>U6/T6-1</f>
        <v>7.1423979427836626E-2</v>
      </c>
      <c r="V31" s="54">
        <f>V6/U6-1</f>
        <v>-4.0441617664706553E-2</v>
      </c>
      <c r="W31" s="54">
        <f t="shared" ref="W31:AG31" si="42">W6/V6-1</f>
        <v>-0.54114557278639319</v>
      </c>
      <c r="X31" s="54">
        <f t="shared" si="42"/>
        <v>0.29476696647587897</v>
      </c>
      <c r="Y31" s="54">
        <f t="shared" si="42"/>
        <v>-0.17913903799600039</v>
      </c>
      <c r="Z31" s="54">
        <f t="shared" si="42"/>
        <v>2.2129653801769456</v>
      </c>
      <c r="AA31" s="54">
        <f t="shared" si="42"/>
        <v>0.90335725032531644</v>
      </c>
      <c r="AB31" s="54">
        <f t="shared" si="42"/>
        <v>0.61615986256432853</v>
      </c>
      <c r="AC31" s="245">
        <f t="shared" si="42"/>
        <v>0.63463114869906834</v>
      </c>
      <c r="AD31" s="245">
        <f t="shared" si="42"/>
        <v>-2.0833389976124161E-2</v>
      </c>
      <c r="AE31" s="245">
        <f t="shared" si="42"/>
        <v>-2.2289828862660288E-2</v>
      </c>
      <c r="AF31" s="245">
        <f t="shared" si="42"/>
        <v>-1.1398996103687442E-2</v>
      </c>
      <c r="AG31" s="245">
        <f t="shared" si="42"/>
        <v>0</v>
      </c>
      <c r="AH31"/>
      <c r="AI31"/>
    </row>
    <row r="32" spans="1:35" s="19" customFormat="1" ht="11.25" customHeight="1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s="38" customFormat="1" ht="11.25" customHeight="1">
      <c r="A33" s="490" t="s">
        <v>334</v>
      </c>
      <c r="B33" s="489"/>
      <c r="C33" s="489"/>
      <c r="D33" s="489"/>
      <c r="E33" s="489"/>
      <c r="F33" s="489"/>
      <c r="G33" s="489"/>
      <c r="H33" s="489"/>
      <c r="I33" s="489"/>
      <c r="J33" s="489"/>
      <c r="K33" s="489"/>
      <c r="L33" s="489"/>
      <c r="M33" s="489"/>
      <c r="N33" s="489"/>
      <c r="O33" s="489"/>
      <c r="P33" s="489"/>
      <c r="Q33" s="489"/>
      <c r="R33" s="489"/>
      <c r="S33" s="489"/>
      <c r="T33" s="489"/>
      <c r="U33" s="1077"/>
      <c r="V33" s="1077"/>
      <c r="W33" s="1077"/>
      <c r="X33" s="1077"/>
      <c r="Y33" s="1077"/>
      <c r="Z33" s="1077"/>
      <c r="AA33" s="1077"/>
      <c r="AB33" s="1077"/>
      <c r="AC33" s="178"/>
      <c r="AD33" s="178"/>
      <c r="AE33" s="178"/>
      <c r="AF33" s="178"/>
      <c r="AG33" s="178"/>
      <c r="AH33" s="25"/>
      <c r="AI33" s="25"/>
    </row>
    <row r="34" spans="1:35" s="19" customFormat="1" ht="11.25" customHeight="1">
      <c r="A34" t="s">
        <v>242</v>
      </c>
      <c r="B34" s="54">
        <f t="shared" ref="B34:AG34" si="43">B15/B13</f>
        <v>9.5327421555252381E-2</v>
      </c>
      <c r="C34" s="54">
        <f t="shared" si="43"/>
        <v>9.3868520859671303E-2</v>
      </c>
      <c r="D34" s="54">
        <f t="shared" si="43"/>
        <v>6.2543192812715961E-2</v>
      </c>
      <c r="E34" s="54">
        <f t="shared" si="43"/>
        <v>6.6430469441984052E-2</v>
      </c>
      <c r="F34" s="54">
        <f t="shared" si="43"/>
        <v>7.011938792668572E-2</v>
      </c>
      <c r="G34" s="54">
        <f t="shared" si="43"/>
        <v>0.10514091049860638</v>
      </c>
      <c r="H34" s="54">
        <f t="shared" si="43"/>
        <v>0.10172718618251055</v>
      </c>
      <c r="I34" s="54">
        <f t="shared" si="43"/>
        <v>0.10643469361647691</v>
      </c>
      <c r="J34" s="54">
        <f t="shared" si="43"/>
        <v>0.10047009948617033</v>
      </c>
      <c r="K34" s="54">
        <f t="shared" si="43"/>
        <v>9.7249703205381871E-2</v>
      </c>
      <c r="L34" s="54">
        <f t="shared" si="43"/>
        <v>9.2950487759985281E-2</v>
      </c>
      <c r="M34" s="54">
        <f t="shared" si="43"/>
        <v>0.10694333599361533</v>
      </c>
      <c r="N34" s="54">
        <f t="shared" si="43"/>
        <v>0.12245065115898109</v>
      </c>
      <c r="O34" s="54">
        <f t="shared" si="43"/>
        <v>0.1180909384069655</v>
      </c>
      <c r="P34" s="54">
        <f t="shared" si="43"/>
        <v>0.12124927870744374</v>
      </c>
      <c r="Q34" s="54">
        <f t="shared" si="43"/>
        <v>0.11172682342369328</v>
      </c>
      <c r="R34" s="54">
        <f t="shared" si="43"/>
        <v>6.6386127838641812E-2</v>
      </c>
      <c r="S34" s="54">
        <f t="shared" si="43"/>
        <v>7.7866136514247841E-2</v>
      </c>
      <c r="T34" s="54">
        <f t="shared" si="43"/>
        <v>2.2383146807109941E-2</v>
      </c>
      <c r="U34" s="54">
        <f t="shared" si="43"/>
        <v>4.0884051237804475E-2</v>
      </c>
      <c r="V34" s="54">
        <f t="shared" si="43"/>
        <v>5.2297734627831716E-2</v>
      </c>
      <c r="W34" s="54">
        <f t="shared" si="43"/>
        <v>-0.17567804024496939</v>
      </c>
      <c r="X34" s="54">
        <f t="shared" si="43"/>
        <v>3.7818580432995338E-2</v>
      </c>
      <c r="Y34" s="54">
        <f t="shared" si="43"/>
        <v>5.1374990150500358E-2</v>
      </c>
      <c r="Z34" s="54">
        <f t="shared" si="43"/>
        <v>0.10318644947757803</v>
      </c>
      <c r="AA34" s="54">
        <f t="shared" si="43"/>
        <v>0.13805468399820708</v>
      </c>
      <c r="AB34" s="54">
        <f t="shared" si="43"/>
        <v>0.1725908569719328</v>
      </c>
      <c r="AC34" s="245">
        <f t="shared" si="43"/>
        <v>0.20895656488307368</v>
      </c>
      <c r="AD34" s="245">
        <f t="shared" si="43"/>
        <v>0.21129339780380746</v>
      </c>
      <c r="AE34" s="245">
        <f t="shared" si="43"/>
        <v>0.22096243408728328</v>
      </c>
      <c r="AF34" s="245">
        <f t="shared" si="43"/>
        <v>0.2310775094610695</v>
      </c>
      <c r="AG34" s="245">
        <f t="shared" si="43"/>
        <v>0.24020038839443558</v>
      </c>
      <c r="AH34"/>
      <c r="AI34"/>
    </row>
    <row r="35" spans="1:35" s="19" customFormat="1" ht="11.25" customHeight="1">
      <c r="A35" t="s">
        <v>335</v>
      </c>
      <c r="B35" s="54">
        <f t="shared" ref="B35:AG35" si="44">B17/B13</f>
        <v>5.1500682128240112E-2</v>
      </c>
      <c r="C35" s="54">
        <f t="shared" si="44"/>
        <v>5.0726927939317316E-2</v>
      </c>
      <c r="D35" s="54">
        <f t="shared" si="44"/>
        <v>3.0926053904630268E-2</v>
      </c>
      <c r="E35" s="54">
        <f t="shared" si="44"/>
        <v>3.5606731620903456E-2</v>
      </c>
      <c r="F35" s="54">
        <f t="shared" si="44"/>
        <v>4.4223978476542795E-2</v>
      </c>
      <c r="G35" s="54">
        <f t="shared" si="44"/>
        <v>6.5964694951997527E-2</v>
      </c>
      <c r="H35" s="54">
        <f t="shared" si="44"/>
        <v>7.0583435332517333E-2</v>
      </c>
      <c r="I35" s="54">
        <f t="shared" si="44"/>
        <v>8.4175514903415627E-2</v>
      </c>
      <c r="J35" s="54">
        <f t="shared" si="44"/>
        <v>7.3029408549251121E-2</v>
      </c>
      <c r="K35" s="54">
        <f t="shared" si="44"/>
        <v>7.241788682231895E-2</v>
      </c>
      <c r="L35" s="54">
        <f t="shared" si="44"/>
        <v>6.5801582919197493E-2</v>
      </c>
      <c r="M35" s="54">
        <f t="shared" si="44"/>
        <v>7.9631107564068451E-2</v>
      </c>
      <c r="N35" s="54">
        <f t="shared" si="44"/>
        <v>9.0343189450405439E-2</v>
      </c>
      <c r="O35" s="54">
        <f t="shared" si="44"/>
        <v>7.8942276684940346E-2</v>
      </c>
      <c r="P35" s="54">
        <f t="shared" si="44"/>
        <v>8.8430467397576457E-2</v>
      </c>
      <c r="Q35" s="54">
        <f t="shared" si="44"/>
        <v>8.087464430133294E-2</v>
      </c>
      <c r="R35" s="54">
        <f t="shared" si="44"/>
        <v>4.0049336138721615E-2</v>
      </c>
      <c r="S35" s="54">
        <f t="shared" si="44"/>
        <v>4.9171636845593107E-2</v>
      </c>
      <c r="T35" s="54">
        <f t="shared" si="44"/>
        <v>3.1453441591690438E-3</v>
      </c>
      <c r="U35" s="54">
        <f t="shared" si="44"/>
        <v>1.9711953275370012E-2</v>
      </c>
      <c r="V35" s="54">
        <f t="shared" si="44"/>
        <v>1.9546925566343042E-2</v>
      </c>
      <c r="W35" s="54">
        <f t="shared" si="44"/>
        <v>-0.35336832895888015</v>
      </c>
      <c r="X35" s="54">
        <f t="shared" si="44"/>
        <v>8.2214305289120303E-4</v>
      </c>
      <c r="Y35" s="54">
        <f t="shared" si="44"/>
        <v>1.2055787565991646E-2</v>
      </c>
      <c r="Z35" s="54">
        <f t="shared" si="44"/>
        <v>7.4631708741644487E-2</v>
      </c>
      <c r="AA35" s="54">
        <f t="shared" si="44"/>
        <v>9.5360824742268036E-2</v>
      </c>
      <c r="AB35" s="54">
        <f t="shared" si="44"/>
        <v>0.12398424647290493</v>
      </c>
      <c r="AC35" s="245">
        <f t="shared" si="44"/>
        <v>0.15398998942702555</v>
      </c>
      <c r="AD35" s="245">
        <f t="shared" si="44"/>
        <v>0.1570634347490906</v>
      </c>
      <c r="AE35" s="245">
        <f t="shared" si="44"/>
        <v>0.16557913677690556</v>
      </c>
      <c r="AF35" s="245">
        <f t="shared" si="44"/>
        <v>0.17524969385958231</v>
      </c>
      <c r="AG35" s="245">
        <f t="shared" si="44"/>
        <v>0.18702890250351825</v>
      </c>
      <c r="AH35"/>
      <c r="AI35"/>
    </row>
    <row r="36" spans="1:35" s="19" customFormat="1" ht="11.25" customHeight="1">
      <c r="A36" t="s">
        <v>184</v>
      </c>
      <c r="B36" s="54">
        <f t="shared" ref="B36:AG36" si="45">B21/B13</f>
        <v>2.1316507503410641E-2</v>
      </c>
      <c r="C36" s="54">
        <f t="shared" si="45"/>
        <v>2.402022756005057E-2</v>
      </c>
      <c r="D36" s="54">
        <f t="shared" si="45"/>
        <v>1.9177608845888046E-2</v>
      </c>
      <c r="E36" s="54">
        <f t="shared" si="45"/>
        <v>6.7139061116031892E-2</v>
      </c>
      <c r="F36" s="54">
        <f t="shared" si="45"/>
        <v>5.128636287203632E-2</v>
      </c>
      <c r="G36" s="54">
        <f t="shared" si="45"/>
        <v>0.11164447197274698</v>
      </c>
      <c r="H36" s="54">
        <f t="shared" si="45"/>
        <v>8.0511355909152732E-2</v>
      </c>
      <c r="I36" s="54">
        <f t="shared" si="45"/>
        <v>8.9548420110016624E-3</v>
      </c>
      <c r="J36" s="54">
        <f t="shared" si="45"/>
        <v>4.1434350060129001E-2</v>
      </c>
      <c r="K36" s="54">
        <f t="shared" si="45"/>
        <v>2.1171349426197073E-2</v>
      </c>
      <c r="L36" s="54">
        <f t="shared" si="45"/>
        <v>6.5709552733296525E-2</v>
      </c>
      <c r="M36" s="54">
        <f t="shared" si="45"/>
        <v>5.1520794537554315E-2</v>
      </c>
      <c r="N36" s="54">
        <f t="shared" si="45"/>
        <v>4.4884920959947582E-2</v>
      </c>
      <c r="O36" s="54">
        <f t="shared" si="45"/>
        <v>5.0370848113511772E-2</v>
      </c>
      <c r="P36" s="54">
        <f t="shared" si="45"/>
        <v>3.2241777264858627E-2</v>
      </c>
      <c r="Q36" s="54">
        <f t="shared" si="45"/>
        <v>1.3404223453646847E-2</v>
      </c>
      <c r="R36" s="54">
        <f t="shared" si="45"/>
        <v>7.2553145178843505E-3</v>
      </c>
      <c r="S36" s="54">
        <f t="shared" si="45"/>
        <v>1.7163684559310801E-2</v>
      </c>
      <c r="T36" s="54">
        <f t="shared" si="45"/>
        <v>1.8945212493599591E-2</v>
      </c>
      <c r="U36" s="54">
        <f t="shared" si="45"/>
        <v>3.7698281011482045E-2</v>
      </c>
      <c r="V36" s="54">
        <f t="shared" si="45"/>
        <v>5.6634304207119741E-2</v>
      </c>
      <c r="W36" s="54">
        <f t="shared" si="45"/>
        <v>-0.36614173228346458</v>
      </c>
      <c r="X36" s="54">
        <f t="shared" si="45"/>
        <v>-0.13172558691879055</v>
      </c>
      <c r="Y36" s="54">
        <f t="shared" si="45"/>
        <v>3.8688834607201954E-2</v>
      </c>
      <c r="Z36" s="54">
        <f t="shared" si="45"/>
        <v>8.3392822376533199E-2</v>
      </c>
      <c r="AA36" s="54">
        <f t="shared" si="45"/>
        <v>0.1358695652173913</v>
      </c>
      <c r="AB36" s="54">
        <f t="shared" si="45"/>
        <v>0.16301909367366268</v>
      </c>
      <c r="AC36" s="245">
        <f t="shared" si="45"/>
        <v>0.17888654793344821</v>
      </c>
      <c r="AD36" s="245">
        <f t="shared" si="45"/>
        <v>0.18841635497066769</v>
      </c>
      <c r="AE36" s="245">
        <f t="shared" si="45"/>
        <v>0.20319225092932272</v>
      </c>
      <c r="AF36" s="245">
        <f t="shared" si="45"/>
        <v>0.2026661873504006</v>
      </c>
      <c r="AG36" s="245">
        <f t="shared" si="45"/>
        <v>0.20580526635199214</v>
      </c>
      <c r="AH36"/>
      <c r="AI36"/>
    </row>
    <row r="37" spans="1:35" s="19" customFormat="1" ht="11.25" customHeight="1">
      <c r="A37" t="s">
        <v>336</v>
      </c>
      <c r="B37" s="54">
        <f>IS!B37</f>
        <v>0.30733944954128439</v>
      </c>
      <c r="C37" s="54">
        <f>IS!C37</f>
        <v>0.32421052631578945</v>
      </c>
      <c r="D37" s="54">
        <f>IS!D37</f>
        <v>0.29803921568627451</v>
      </c>
      <c r="E37" s="54">
        <f>IS!E37</f>
        <v>0.29473684210526313</v>
      </c>
      <c r="F37" s="54">
        <f>IS!F37</f>
        <v>0.27472527472527475</v>
      </c>
      <c r="G37" s="54">
        <f>IS!G37</f>
        <v>0.28667790893760542</v>
      </c>
      <c r="H37" s="54">
        <f>IS!H37</f>
        <v>0.26950354609929078</v>
      </c>
      <c r="I37" s="54">
        <f>IS!I37</f>
        <v>0.22840236686390533</v>
      </c>
      <c r="J37" s="54">
        <f>IS!J37</f>
        <v>0.24659090909090908</v>
      </c>
      <c r="K37" s="54">
        <f>IS!K37</f>
        <v>0.20437158469945355</v>
      </c>
      <c r="L37" s="54">
        <f>IS!L37</f>
        <v>0.24712041884816754</v>
      </c>
      <c r="M37" s="54">
        <f>IS!M37</f>
        <v>0.22558340535868626</v>
      </c>
      <c r="N37" s="54">
        <f>IS!N37</f>
        <v>0.2210599721059972</v>
      </c>
      <c r="O37" s="54">
        <f>IS!O37</f>
        <v>0.24673109721432632</v>
      </c>
      <c r="P37" s="54">
        <f>IS!P37</f>
        <v>0.23950617283950618</v>
      </c>
      <c r="Q37" s="54">
        <f>IS!Q37</f>
        <v>0.24511173184357543</v>
      </c>
      <c r="R37" s="54">
        <f>IS!T37</f>
        <v>0.3210332103321033</v>
      </c>
      <c r="S37" s="54">
        <f>IS!W37</f>
        <v>0.3062558356676004</v>
      </c>
      <c r="T37" s="54">
        <f>IS!Z37</f>
        <v>0.77889447236180909</v>
      </c>
      <c r="U37" s="54">
        <f>IS!AC37</f>
        <v>0.34549356223175964</v>
      </c>
      <c r="V37" s="54">
        <f>IS!AF37</f>
        <v>0.47512864493996571</v>
      </c>
      <c r="W37" s="54">
        <f>IS!AI37</f>
        <v>-1.1520160280490859E-2</v>
      </c>
      <c r="X37" s="54">
        <f>IS!AL37</f>
        <v>0.72222222222222221</v>
      </c>
      <c r="Y37" s="54">
        <f>IS!AO37</f>
        <v>0.23300970873786422</v>
      </c>
      <c r="Z37" s="54">
        <f>IS!AR37</f>
        <v>9.5087163232963554E-2</v>
      </c>
      <c r="AA37" s="54">
        <f>IS!AU37</f>
        <v>0.27387701700828609</v>
      </c>
      <c r="AB37" s="54">
        <f>IS!AX37</f>
        <v>0.25954653937947492</v>
      </c>
      <c r="AC37" s="245">
        <f>IS!BA37</f>
        <v>0.25</v>
      </c>
      <c r="AD37" s="245">
        <f>IS!BD37</f>
        <v>0.25</v>
      </c>
      <c r="AE37" s="245">
        <f>IS!BG37</f>
        <v>0.25</v>
      </c>
      <c r="AF37" s="245">
        <f>IS!BJ37</f>
        <v>0.25</v>
      </c>
      <c r="AG37" s="245">
        <f>IS!BM37</f>
        <v>0.25</v>
      </c>
      <c r="AH37"/>
      <c r="AI37"/>
    </row>
    <row r="38" spans="1:35" s="19" customFormat="1" ht="11.25" customHeight="1">
      <c r="A38" t="s">
        <v>337</v>
      </c>
      <c r="B38" s="54">
        <f>IS!B156*'Valuation Summary'!B37</f>
        <v>5.7339449541284407E-2</v>
      </c>
      <c r="C38" s="54">
        <f>IS!C156*'Valuation Summary'!C37</f>
        <v>5.0526315789473676E-2</v>
      </c>
      <c r="D38" s="54">
        <f>IS!D156*'Valuation Summary'!D37</f>
        <v>0.16078431372549021</v>
      </c>
      <c r="E38" s="54">
        <f>IS!E156*'Valuation Summary'!E37</f>
        <v>0.15087719298245611</v>
      </c>
      <c r="F38" s="54">
        <f>IS!F156*'Valuation Summary'!F37</f>
        <v>0.23076923076923078</v>
      </c>
      <c r="G38" s="54">
        <f>IS!G156*'Valuation Summary'!G37</f>
        <v>0.10118043844856663</v>
      </c>
      <c r="H38" s="54">
        <f>IS!H156*'Valuation Summary'!H37</f>
        <v>3.5460992907801414E-2</v>
      </c>
      <c r="I38" s="54">
        <f>IS!I156*'Valuation Summary'!I37</f>
        <v>8.4023668639053251E-2</v>
      </c>
      <c r="J38" s="54">
        <f>IS!J156*'Valuation Summary'!J37</f>
        <v>0.13295454545454544</v>
      </c>
      <c r="K38" s="54">
        <f>IS!K156*'Valuation Summary'!K37</f>
        <v>0.13005464480874315</v>
      </c>
      <c r="L38" s="54">
        <f>IS!L156*'Valuation Summary'!L37</f>
        <v>0.17591623036649215</v>
      </c>
      <c r="M38" s="54">
        <f>IS!M156*'Valuation Summary'!M37</f>
        <v>0.1797752808988764</v>
      </c>
      <c r="N38" s="54">
        <f>IS!N156*'Valuation Summary'!N37</f>
        <v>0.15271966527196654</v>
      </c>
      <c r="O38" s="54">
        <f>IS!O156*'Valuation Summary'!O37</f>
        <v>0.13530415008527572</v>
      </c>
      <c r="P38" s="54">
        <f>IS!P156*'Valuation Summary'!P37</f>
        <v>0.17037037037037037</v>
      </c>
      <c r="Q38" s="54">
        <f>IS!Q156*'Valuation Summary'!Q37</f>
        <v>0.111731843575419</v>
      </c>
      <c r="R38" s="54">
        <f>IS!T156*'Valuation Summary'!R37</f>
        <v>0.19311193111931116</v>
      </c>
      <c r="S38" s="54">
        <f>IS!W156*'Valuation Summary'!S37</f>
        <v>0.16806722689075632</v>
      </c>
      <c r="T38" s="54">
        <f>IS!Z156*'Valuation Summary'!T37</f>
        <v>0.90452261306532677</v>
      </c>
      <c r="U38" s="54">
        <f>IS!AC156*'Valuation Summary'!U37</f>
        <v>0.53218884120171672</v>
      </c>
      <c r="V38" s="54">
        <f>IS!AF156*'Valuation Summary'!V37</f>
        <v>0.30017152658662094</v>
      </c>
      <c r="W38" s="54">
        <f>IS!AI156*'Valuation Summary'!W37</f>
        <v>-5.7851239669421489E-2</v>
      </c>
      <c r="X38" s="54">
        <f>IS!AL156*'Valuation Summary'!X37</f>
        <v>5.1388888888888884</v>
      </c>
      <c r="Y38" s="54">
        <f>IS!AO156*'Valuation Summary'!Y37</f>
        <v>0.84466019417475724</v>
      </c>
      <c r="Z38" s="54">
        <f>IS!AR156*'Valuation Summary'!Z37</f>
        <v>0.13629160063391443</v>
      </c>
      <c r="AA38" s="54">
        <f>IS!AU156*'Valuation Summary'!AA37</f>
        <v>0.16615787178368951</v>
      </c>
      <c r="AB38" s="54">
        <f>IS!AX156*'Valuation Summary'!AB37</f>
        <v>0.17601431980906918</v>
      </c>
      <c r="AC38" s="245">
        <f>IS!BA156*'Valuation Summary'!AC37</f>
        <v>0.1875</v>
      </c>
      <c r="AD38" s="245">
        <f>IS!BD156*'Valuation Summary'!AD37</f>
        <v>0.1875</v>
      </c>
      <c r="AE38" s="245">
        <f>IS!BG156*'Valuation Summary'!AE37</f>
        <v>0.1875</v>
      </c>
      <c r="AF38" s="245">
        <f>IS!BJ156*'Valuation Summary'!AF37</f>
        <v>0.1875</v>
      </c>
      <c r="AG38" s="245">
        <f>IS!BM156*'Valuation Summary'!AG37</f>
        <v>0.1875</v>
      </c>
      <c r="AH38"/>
      <c r="AI38"/>
    </row>
    <row r="39" spans="1:35" s="19" customFormat="1" ht="11.25" customHeight="1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s="38" customFormat="1" ht="11.25" customHeight="1">
      <c r="A40" s="490" t="s">
        <v>338</v>
      </c>
      <c r="B40" s="489"/>
      <c r="C40" s="489"/>
      <c r="D40" s="489"/>
      <c r="E40" s="489"/>
      <c r="F40" s="489"/>
      <c r="G40" s="489"/>
      <c r="H40" s="489"/>
      <c r="I40" s="489"/>
      <c r="J40" s="489"/>
      <c r="K40" s="489"/>
      <c r="L40" s="489"/>
      <c r="M40" s="489"/>
      <c r="N40" s="489"/>
      <c r="O40" s="489"/>
      <c r="P40" s="489"/>
      <c r="Q40" s="489"/>
      <c r="R40" s="489"/>
      <c r="S40" s="489"/>
      <c r="T40" s="489"/>
      <c r="U40" s="1077"/>
      <c r="V40" s="1077"/>
      <c r="W40" s="1077"/>
      <c r="X40" s="1077"/>
      <c r="Y40" s="1077"/>
      <c r="Z40" s="1077"/>
      <c r="AA40" s="1077"/>
      <c r="AB40" s="1077"/>
      <c r="AC40" s="178"/>
      <c r="AD40" s="178"/>
      <c r="AE40" s="178"/>
      <c r="AF40" s="178"/>
      <c r="AG40" s="178"/>
      <c r="AH40" s="25"/>
      <c r="AI40" s="25"/>
    </row>
    <row r="41" spans="1:35" s="19" customFormat="1" ht="11.25" customHeight="1">
      <c r="A41" t="s">
        <v>339</v>
      </c>
      <c r="B41" s="1079">
        <f t="shared" ref="B41:AG41" si="46">B6/B57</f>
        <v>1.6097894607843137</v>
      </c>
      <c r="C41" s="1079">
        <f t="shared" si="46"/>
        <v>1.5218593491777668</v>
      </c>
      <c r="D41" s="1079">
        <f t="shared" si="46"/>
        <v>1.1889613375130619</v>
      </c>
      <c r="E41" s="1079">
        <f t="shared" si="46"/>
        <v>1.0134277222759338</v>
      </c>
      <c r="F41" s="1079">
        <f t="shared" si="46"/>
        <v>2.7070522546082092</v>
      </c>
      <c r="G41" s="1079">
        <f t="shared" si="46"/>
        <v>3.5629663621901764</v>
      </c>
      <c r="H41" s="1079">
        <f t="shared" si="46"/>
        <v>2.8604075253297125</v>
      </c>
      <c r="I41" s="1079">
        <f t="shared" si="46"/>
        <v>2.8930974367888509</v>
      </c>
      <c r="J41" s="1079">
        <f t="shared" si="46"/>
        <v>3.1975445579684183</v>
      </c>
      <c r="K41" s="1079">
        <f t="shared" si="46"/>
        <v>1.8681212985081579</v>
      </c>
      <c r="L41" s="1079">
        <f t="shared" si="46"/>
        <v>2.6788202221740289</v>
      </c>
      <c r="M41" s="1079">
        <f t="shared" si="46"/>
        <v>2.6471636105152041</v>
      </c>
      <c r="N41" s="1079">
        <f t="shared" si="46"/>
        <v>2.5956765345375481</v>
      </c>
      <c r="O41" s="1079">
        <f t="shared" si="46"/>
        <v>3.7081594703688885</v>
      </c>
      <c r="P41" s="1079">
        <f t="shared" si="46"/>
        <v>3.0521892571420337</v>
      </c>
      <c r="Q41" s="1079">
        <f t="shared" si="46"/>
        <v>3.0861170103021869</v>
      </c>
      <c r="R41" s="1079">
        <f t="shared" si="46"/>
        <v>6.6656434188920555</v>
      </c>
      <c r="S41" s="1079">
        <f t="shared" si="46"/>
        <v>2.5222960921031294</v>
      </c>
      <c r="T41" s="1079">
        <f t="shared" si="46"/>
        <v>16.725806451612904</v>
      </c>
      <c r="U41" s="1079">
        <f t="shared" si="46"/>
        <v>-15.517690875232775</v>
      </c>
      <c r="V41" s="1079">
        <f t="shared" si="46"/>
        <v>-4.7369668246445498</v>
      </c>
      <c r="W41" s="1079">
        <f t="shared" si="46"/>
        <v>-1.4984684500714722</v>
      </c>
      <c r="X41" s="1079">
        <f t="shared" si="46"/>
        <v>-2.0379665379665379</v>
      </c>
      <c r="Y41" s="1079">
        <f t="shared" si="46"/>
        <v>-1.2890909090909091</v>
      </c>
      <c r="Z41" s="1079">
        <f t="shared" si="46"/>
        <v>-6.8073667481662588</v>
      </c>
      <c r="AA41" s="1079">
        <f t="shared" si="46"/>
        <v>-52.296236842105259</v>
      </c>
      <c r="AB41" s="1079">
        <f t="shared" si="46"/>
        <v>28.276375641966247</v>
      </c>
      <c r="AC41" s="990">
        <f t="shared" si="46"/>
        <v>40.940561045848163</v>
      </c>
      <c r="AD41" s="990">
        <f t="shared" si="46"/>
        <v>39.305323290308706</v>
      </c>
      <c r="AE41" s="990">
        <f t="shared" si="46"/>
        <v>31.478448888856278</v>
      </c>
      <c r="AF41" s="990">
        <f t="shared" si="46"/>
        <v>15.068632037179082</v>
      </c>
      <c r="AG41" s="990">
        <f t="shared" si="46"/>
        <v>9.3245137240406226</v>
      </c>
      <c r="AH41"/>
      <c r="AI41"/>
    </row>
    <row r="42" spans="1:35" s="19" customFormat="1" ht="11.25" customHeight="1">
      <c r="A42" t="s">
        <v>813</v>
      </c>
      <c r="B42" s="1079">
        <f t="shared" ref="B42:AG42" si="47">B10/B58</f>
        <v>1.1981816987740803</v>
      </c>
      <c r="C42" s="1079">
        <f t="shared" si="47"/>
        <v>1.0940244638217305</v>
      </c>
      <c r="D42" s="1079">
        <f t="shared" si="47"/>
        <v>0.94762278263853161</v>
      </c>
      <c r="E42" s="1079">
        <f t="shared" si="47"/>
        <v>0.83798463562831382</v>
      </c>
      <c r="F42" s="1079">
        <f t="shared" si="47"/>
        <v>1.5553697641277853</v>
      </c>
      <c r="G42" s="1079">
        <f t="shared" si="47"/>
        <v>1.9119766629186226</v>
      </c>
      <c r="H42" s="1079">
        <f t="shared" si="47"/>
        <v>2.5730057132188215</v>
      </c>
      <c r="I42" s="1079">
        <f t="shared" si="47"/>
        <v>3.1446069617186923</v>
      </c>
      <c r="J42" s="1079">
        <f t="shared" si="47"/>
        <v>1.348936451502069</v>
      </c>
      <c r="K42" s="1079">
        <f t="shared" si="47"/>
        <v>1.4939826328592296</v>
      </c>
      <c r="L42" s="1079">
        <f t="shared" si="47"/>
        <v>2.1605610533120565</v>
      </c>
      <c r="M42" s="1079">
        <f t="shared" si="47"/>
        <v>2.0768244381837571</v>
      </c>
      <c r="N42" s="1079">
        <f t="shared" si="47"/>
        <v>2.5305522001725622</v>
      </c>
      <c r="O42" s="1079">
        <f t="shared" si="47"/>
        <v>2.6611140841949252</v>
      </c>
      <c r="P42" s="1079">
        <f t="shared" si="47"/>
        <v>2.6198639849491405</v>
      </c>
      <c r="Q42" s="1079">
        <f t="shared" si="47"/>
        <v>2.0002286667928955</v>
      </c>
      <c r="R42" s="1079">
        <f t="shared" si="47"/>
        <v>1.4453934329047247</v>
      </c>
      <c r="S42" s="1079">
        <f t="shared" si="47"/>
        <v>1.6131612627986349</v>
      </c>
      <c r="T42" s="1079">
        <f t="shared" si="47"/>
        <v>3.5630153121319199</v>
      </c>
      <c r="U42" s="1079">
        <f t="shared" si="47"/>
        <v>4.4898196625945319</v>
      </c>
      <c r="V42" s="1079">
        <f t="shared" si="47"/>
        <v>8.4594594594594597</v>
      </c>
      <c r="W42" s="1079">
        <f t="shared" si="47"/>
        <v>3.8263019116677652</v>
      </c>
      <c r="X42" s="1079">
        <f>X10/X58</f>
        <v>5.3590941768511859</v>
      </c>
      <c r="Y42" s="1079">
        <f t="shared" si="47"/>
        <v>4.5705204608661107</v>
      </c>
      <c r="Z42" s="1079">
        <f t="shared" si="47"/>
        <v>15.716292865362485</v>
      </c>
      <c r="AA42" s="1079">
        <f t="shared" si="47"/>
        <v>23.312613267813266</v>
      </c>
      <c r="AB42" s="1079">
        <f>AB10/AB58</f>
        <v>29.262601312234658</v>
      </c>
      <c r="AC42" s="990">
        <f t="shared" si="47"/>
        <v>55.715022090215854</v>
      </c>
      <c r="AD42" s="990">
        <f t="shared" si="47"/>
        <v>76.417585219622254</v>
      </c>
      <c r="AE42" s="990">
        <f t="shared" si="47"/>
        <v>186.41195810119498</v>
      </c>
      <c r="AF42" s="990">
        <f t="shared" si="47"/>
        <v>-534.8777203542877</v>
      </c>
      <c r="AG42" s="990">
        <f t="shared" si="47"/>
        <v>-98.060181768995491</v>
      </c>
      <c r="AH42"/>
      <c r="AI42"/>
    </row>
    <row r="43" spans="1:35" s="19" customFormat="1" ht="11.25" customHeight="1">
      <c r="A43" t="s">
        <v>340</v>
      </c>
      <c r="B43" s="1079">
        <f t="shared" ref="B43:AG43" si="48">B6/B17</f>
        <v>10.874074503311258</v>
      </c>
      <c r="C43" s="1079">
        <f t="shared" si="48"/>
        <v>9.8043773647963288</v>
      </c>
      <c r="D43" s="1079">
        <f t="shared" si="48"/>
        <v>13.51696269183844</v>
      </c>
      <c r="E43" s="1079">
        <f t="shared" si="48"/>
        <v>10.789727988410439</v>
      </c>
      <c r="F43" s="1079">
        <f t="shared" si="48"/>
        <v>14.842469015760599</v>
      </c>
      <c r="G43" s="1079">
        <f t="shared" si="48"/>
        <v>12.537292434091723</v>
      </c>
      <c r="H43" s="1079">
        <f t="shared" si="48"/>
        <v>14.979937676004159</v>
      </c>
      <c r="I43" s="1079">
        <f t="shared" si="48"/>
        <v>13.955457848583302</v>
      </c>
      <c r="J43" s="1079">
        <f t="shared" si="48"/>
        <v>10.607423264158706</v>
      </c>
      <c r="K43" s="1079">
        <f t="shared" si="48"/>
        <v>9.6519600422921492</v>
      </c>
      <c r="L43" s="1079">
        <f t="shared" si="48"/>
        <v>14.892741794603866</v>
      </c>
      <c r="M43" s="1079">
        <f t="shared" si="48"/>
        <v>13.318357675175605</v>
      </c>
      <c r="N43" s="1079">
        <f t="shared" si="48"/>
        <v>14.070308250226654</v>
      </c>
      <c r="O43" s="1079">
        <f t="shared" si="48"/>
        <v>16.98058319560263</v>
      </c>
      <c r="P43" s="1079">
        <f t="shared" si="48"/>
        <v>15.888313082447356</v>
      </c>
      <c r="Q43" s="1079">
        <f t="shared" si="48"/>
        <v>14.32758397190293</v>
      </c>
      <c r="R43" s="1079">
        <f t="shared" si="48"/>
        <v>22.484471097784432</v>
      </c>
      <c r="S43" s="1079">
        <f t="shared" si="48"/>
        <v>20.963611859838274</v>
      </c>
      <c r="T43" s="1079">
        <f t="shared" si="48"/>
        <v>361.74418604651163</v>
      </c>
      <c r="U43" s="1079">
        <f t="shared" si="48"/>
        <v>56.114478114478118</v>
      </c>
      <c r="V43" s="1079">
        <f t="shared" si="48"/>
        <v>52.953642384105962</v>
      </c>
      <c r="W43" s="1079">
        <f t="shared" si="48"/>
        <v>-1.8167863332508047</v>
      </c>
      <c r="X43" s="1079">
        <f t="shared" si="48"/>
        <v>1055.6666666666667</v>
      </c>
      <c r="Y43" s="1079">
        <f t="shared" si="48"/>
        <v>50.973856209150334</v>
      </c>
      <c r="Z43" s="1079">
        <f t="shared" si="48"/>
        <v>21.789493043478259</v>
      </c>
      <c r="AA43" s="1079">
        <f t="shared" si="48"/>
        <v>28.022425381903641</v>
      </c>
      <c r="AB43" s="1079">
        <f t="shared" si="48"/>
        <v>30.993727382388418</v>
      </c>
      <c r="AC43" s="990">
        <f t="shared" si="48"/>
        <v>34.650329092145064</v>
      </c>
      <c r="AD43" s="990">
        <f t="shared" si="48"/>
        <v>29.444131786918504</v>
      </c>
      <c r="AE43" s="990">
        <f t="shared" si="48"/>
        <v>24.664622754798859</v>
      </c>
      <c r="AF43" s="990">
        <f t="shared" si="48"/>
        <v>20.559689995975859</v>
      </c>
      <c r="AG43" s="990">
        <f t="shared" si="48"/>
        <v>17.200134223810366</v>
      </c>
      <c r="AH43"/>
      <c r="AI43"/>
    </row>
    <row r="44" spans="1:35" s="19" customFormat="1" ht="11.25" customHeight="1">
      <c r="A44" t="s">
        <v>341</v>
      </c>
      <c r="B44" s="1079">
        <f t="shared" ref="B44:AG44" si="49">B10/B13</f>
        <v>0.70002907571623452</v>
      </c>
      <c r="C44" s="1079">
        <f t="shared" si="49"/>
        <v>0.60164430058464313</v>
      </c>
      <c r="D44" s="1079">
        <f t="shared" si="49"/>
        <v>0.54846861123688329</v>
      </c>
      <c r="E44" s="1079">
        <f t="shared" si="49"/>
        <v>0.47028083714269231</v>
      </c>
      <c r="F44" s="1079">
        <f t="shared" si="49"/>
        <v>0.91904646900034259</v>
      </c>
      <c r="G44" s="1079">
        <f t="shared" si="49"/>
        <v>1.0329647842866327</v>
      </c>
      <c r="H44" s="1079">
        <f t="shared" si="49"/>
        <v>1.0812712707529115</v>
      </c>
      <c r="I44" s="1079">
        <f t="shared" si="49"/>
        <v>1.078507261656366</v>
      </c>
      <c r="J44" s="1079">
        <f t="shared" si="49"/>
        <v>0.67822878981720947</v>
      </c>
      <c r="K44" s="1079">
        <f t="shared" si="49"/>
        <v>0.65742330341886157</v>
      </c>
      <c r="L44" s="1079">
        <f t="shared" si="49"/>
        <v>0.91802966898046801</v>
      </c>
      <c r="M44" s="1079">
        <f t="shared" si="49"/>
        <v>1.0760738842163424</v>
      </c>
      <c r="N44" s="1079">
        <f t="shared" si="49"/>
        <v>1.2011262183635023</v>
      </c>
      <c r="O44" s="1079">
        <f t="shared" si="49"/>
        <v>1.3115919917070378</v>
      </c>
      <c r="P44" s="1079">
        <f t="shared" si="49"/>
        <v>1.3173017771985327</v>
      </c>
      <c r="Q44" s="1079">
        <f t="shared" si="49"/>
        <v>1.1729662041077704</v>
      </c>
      <c r="R44" s="1079">
        <f t="shared" si="49"/>
        <v>0.91906174606232371</v>
      </c>
      <c r="S44" s="1079">
        <f t="shared" si="49"/>
        <v>1.0023194168323393</v>
      </c>
      <c r="T44" s="1079">
        <f t="shared" si="49"/>
        <v>1.1063565211030648</v>
      </c>
      <c r="U44" s="1079">
        <f t="shared" si="49"/>
        <v>1.0244906086148537</v>
      </c>
      <c r="V44" s="1079">
        <f t="shared" si="49"/>
        <v>1.1142394822006472</v>
      </c>
      <c r="W44" s="1079">
        <f t="shared" si="49"/>
        <v>1.0156605424321961</v>
      </c>
      <c r="X44" s="1079">
        <f t="shared" si="49"/>
        <v>1.3619256417283274</v>
      </c>
      <c r="Y44" s="1079">
        <f t="shared" si="49"/>
        <v>0.90646915136711059</v>
      </c>
      <c r="Z44" s="1079">
        <f t="shared" si="49"/>
        <v>1.7726599389966902</v>
      </c>
      <c r="AA44" s="1079">
        <f t="shared" si="49"/>
        <v>2.658066337965038</v>
      </c>
      <c r="AB44" s="1079">
        <f t="shared" si="49"/>
        <v>3.7798195323794803</v>
      </c>
      <c r="AC44" s="990">
        <f t="shared" si="49"/>
        <v>5.2511074778558999</v>
      </c>
      <c r="AD44" s="990">
        <f t="shared" si="49"/>
        <v>4.5159930879111672</v>
      </c>
      <c r="AE44" s="990">
        <f t="shared" si="49"/>
        <v>3.9237279428083816</v>
      </c>
      <c r="AF44" s="990">
        <f t="shared" si="49"/>
        <v>3.3061502665824154</v>
      </c>
      <c r="AG44" s="990">
        <f t="shared" si="49"/>
        <v>2.7923033890920617</v>
      </c>
      <c r="AH44"/>
      <c r="AI44"/>
    </row>
    <row r="45" spans="1:35" s="19" customFormat="1" ht="11.25" customHeight="1">
      <c r="A45" t="s">
        <v>342</v>
      </c>
      <c r="B45" s="1079">
        <f t="shared" ref="B45:AG45" si="50">B10/B14</f>
        <v>5.4660059920106514</v>
      </c>
      <c r="C45" s="1079">
        <f t="shared" si="50"/>
        <v>4.7353297687806242</v>
      </c>
      <c r="D45" s="1079">
        <f t="shared" si="50"/>
        <v>5.1202198739340012</v>
      </c>
      <c r="E45" s="1079">
        <f t="shared" si="50"/>
        <v>4.3307264692830314</v>
      </c>
      <c r="F45" s="1079">
        <f t="shared" si="50"/>
        <v>7.6228303363250172</v>
      </c>
      <c r="G45" s="1079">
        <f t="shared" si="50"/>
        <v>7.1499320224255891</v>
      </c>
      <c r="H45" s="1079">
        <f t="shared" si="50"/>
        <v>8.2049408192426814</v>
      </c>
      <c r="I45" s="1079">
        <f t="shared" si="50"/>
        <v>7.9161420322702476</v>
      </c>
      <c r="J45" s="1079">
        <f t="shared" si="50"/>
        <v>5.0273571640664629</v>
      </c>
      <c r="K45" s="1079">
        <f t="shared" si="50"/>
        <v>5.1195953397209966</v>
      </c>
      <c r="L45" s="1079">
        <f t="shared" si="50"/>
        <v>7.2284857848853372</v>
      </c>
      <c r="M45" s="1079">
        <f t="shared" si="50"/>
        <v>7.8188693249405237</v>
      </c>
      <c r="N45" s="1079">
        <f t="shared" si="50"/>
        <v>7.6577284595300261</v>
      </c>
      <c r="O45" s="1079">
        <f t="shared" si="50"/>
        <v>8.3379392502737275</v>
      </c>
      <c r="P45" s="1079">
        <f t="shared" si="50"/>
        <v>8.0702924609281741</v>
      </c>
      <c r="Q45" s="1079">
        <f t="shared" si="50"/>
        <v>7.4412307314276314</v>
      </c>
      <c r="R45" s="1079">
        <f t="shared" si="50"/>
        <v>7.7476624134415948</v>
      </c>
      <c r="S45" s="1079">
        <f t="shared" si="50"/>
        <v>7.877604166666667</v>
      </c>
      <c r="T45" s="1079">
        <f t="shared" si="50"/>
        <v>15.788100208768267</v>
      </c>
      <c r="U45" s="1079">
        <f t="shared" si="50"/>
        <v>11.250728862973761</v>
      </c>
      <c r="V45" s="1079">
        <f t="shared" si="50"/>
        <v>9.1764392324093809</v>
      </c>
      <c r="W45" s="1079">
        <f t="shared" si="50"/>
        <v>-12.092708333333333</v>
      </c>
      <c r="X45" s="1079">
        <f t="shared" si="50"/>
        <v>10.764620938628159</v>
      </c>
      <c r="Y45" s="1079">
        <f t="shared" si="50"/>
        <v>7.1676012461059191</v>
      </c>
      <c r="Z45" s="1079">
        <f t="shared" si="50"/>
        <v>10.636649922118378</v>
      </c>
      <c r="AA45" s="1079">
        <f t="shared" si="50"/>
        <v>14.302432318359964</v>
      </c>
      <c r="AB45" s="1079">
        <f>AB10/AB14</f>
        <v>17.381797340669415</v>
      </c>
      <c r="AC45" s="990">
        <f t="shared" si="50"/>
        <v>21.099083995366918</v>
      </c>
      <c r="AD45" s="990">
        <f t="shared" si="50"/>
        <v>18.077028422434001</v>
      </c>
      <c r="AE45" s="990">
        <f t="shared" si="50"/>
        <v>15.181922086475598</v>
      </c>
      <c r="AF45" s="990">
        <f t="shared" si="50"/>
        <v>12.358646494294145</v>
      </c>
      <c r="AG45" s="990">
        <f t="shared" si="50"/>
        <v>10.12765735555643</v>
      </c>
      <c r="AH45"/>
      <c r="AI45"/>
    </row>
    <row r="46" spans="1:35" s="19" customFormat="1" ht="11.25" customHeight="1">
      <c r="A46" t="s">
        <v>343</v>
      </c>
      <c r="B46" s="1079">
        <f t="shared" ref="B46:AG46" si="51">B10/B15</f>
        <v>7.3434177101967792</v>
      </c>
      <c r="C46" s="1079">
        <f t="shared" si="51"/>
        <v>6.4094362526929656</v>
      </c>
      <c r="D46" s="1079">
        <f t="shared" si="51"/>
        <v>8.7694373531466319</v>
      </c>
      <c r="E46" s="1079">
        <f t="shared" si="51"/>
        <v>7.0792942017879952</v>
      </c>
      <c r="F46" s="1079">
        <f t="shared" si="51"/>
        <v>13.10688093799769</v>
      </c>
      <c r="G46" s="1079">
        <f t="shared" si="51"/>
        <v>9.8245752237453221</v>
      </c>
      <c r="H46" s="1079">
        <f t="shared" si="51"/>
        <v>10.629127879473474</v>
      </c>
      <c r="I46" s="1079">
        <f t="shared" si="51"/>
        <v>10.133042385057468</v>
      </c>
      <c r="J46" s="1079">
        <f t="shared" si="51"/>
        <v>6.7505535804766215</v>
      </c>
      <c r="K46" s="1079">
        <f t="shared" si="51"/>
        <v>6.7601574272206033</v>
      </c>
      <c r="L46" s="1079">
        <f t="shared" si="51"/>
        <v>9.8765449338037268</v>
      </c>
      <c r="M46" s="1079">
        <f t="shared" si="51"/>
        <v>10.062093857634903</v>
      </c>
      <c r="N46" s="1079">
        <f t="shared" si="51"/>
        <v>9.8090635451505008</v>
      </c>
      <c r="O46" s="1079">
        <f t="shared" si="51"/>
        <v>11.106626887721255</v>
      </c>
      <c r="P46" s="1079">
        <f t="shared" si="51"/>
        <v>10.864409184461902</v>
      </c>
      <c r="Q46" s="1079">
        <f t="shared" si="51"/>
        <v>10.498519228991398</v>
      </c>
      <c r="R46" s="1079">
        <f t="shared" si="51"/>
        <v>13.844183656805471</v>
      </c>
      <c r="S46" s="1079">
        <f t="shared" si="51"/>
        <v>12.872340425531915</v>
      </c>
      <c r="T46" s="1079">
        <f t="shared" si="51"/>
        <v>49.428104575163395</v>
      </c>
      <c r="U46" s="1079">
        <f t="shared" si="51"/>
        <v>25.058441558441558</v>
      </c>
      <c r="V46" s="1079">
        <f t="shared" si="51"/>
        <v>21.30569306930693</v>
      </c>
      <c r="W46" s="1079">
        <f t="shared" si="51"/>
        <v>-5.7813745019920315</v>
      </c>
      <c r="X46" s="1079">
        <f t="shared" si="51"/>
        <v>36.012077294685987</v>
      </c>
      <c r="Y46" s="1079">
        <f t="shared" si="51"/>
        <v>17.644171779141104</v>
      </c>
      <c r="Z46" s="1079">
        <f>Z10/Z15</f>
        <v>17.179193081761007</v>
      </c>
      <c r="AA46" s="1079">
        <f t="shared" si="51"/>
        <v>19.253720779220778</v>
      </c>
      <c r="AB46" s="1079">
        <f>AB10/AB15</f>
        <v>21.900462160600807</v>
      </c>
      <c r="AC46" s="990">
        <f t="shared" si="51"/>
        <v>25.130138796042491</v>
      </c>
      <c r="AD46" s="990">
        <f t="shared" si="51"/>
        <v>21.373091326329128</v>
      </c>
      <c r="AE46" s="990">
        <f t="shared" si="51"/>
        <v>17.757443517563956</v>
      </c>
      <c r="AF46" s="990">
        <f t="shared" si="51"/>
        <v>14.307538082322177</v>
      </c>
      <c r="AG46" s="990">
        <f t="shared" si="51"/>
        <v>11.624891232510377</v>
      </c>
      <c r="AH46"/>
      <c r="AI46"/>
    </row>
    <row r="47" spans="1:35" s="19" customFormat="1" ht="11.25" customHeight="1">
      <c r="A47" t="s">
        <v>344</v>
      </c>
      <c r="B47" s="54">
        <f t="shared" ref="B47:AG47" si="52">B21/B6</f>
        <v>3.8063679317460374E-2</v>
      </c>
      <c r="C47" s="54">
        <f t="shared" si="52"/>
        <v>4.8296820042995195E-2</v>
      </c>
      <c r="D47" s="54">
        <f t="shared" si="52"/>
        <v>4.5876558660474791E-2</v>
      </c>
      <c r="E47" s="54">
        <f t="shared" si="52"/>
        <v>0.17475622567397719</v>
      </c>
      <c r="F47" s="54">
        <f t="shared" si="52"/>
        <v>7.8133618891780179E-2</v>
      </c>
      <c r="G47" s="54">
        <f t="shared" si="52"/>
        <v>0.13499631374223522</v>
      </c>
      <c r="H47" s="54">
        <f t="shared" si="52"/>
        <v>7.6145517467686177E-2</v>
      </c>
      <c r="I47" s="54">
        <f t="shared" si="52"/>
        <v>7.6230375153333854E-3</v>
      </c>
      <c r="J47" s="54">
        <f t="shared" si="52"/>
        <v>5.3487567652564738E-2</v>
      </c>
      <c r="K47" s="54">
        <f t="shared" si="52"/>
        <v>3.0289156346997165E-2</v>
      </c>
      <c r="L47" s="54">
        <f t="shared" si="52"/>
        <v>6.705289142683081E-2</v>
      </c>
      <c r="M47" s="54">
        <f t="shared" si="52"/>
        <v>4.8579061642973383E-2</v>
      </c>
      <c r="N47" s="54">
        <f t="shared" si="52"/>
        <v>3.5310302167266452E-2</v>
      </c>
      <c r="O47" s="54">
        <f t="shared" si="52"/>
        <v>3.7576559537135013E-2</v>
      </c>
      <c r="P47" s="54">
        <f t="shared" si="52"/>
        <v>2.2947705295854659E-2</v>
      </c>
      <c r="Q47" s="54">
        <f t="shared" si="52"/>
        <v>1.1567947608317367E-2</v>
      </c>
      <c r="R47" s="54">
        <f t="shared" si="52"/>
        <v>8.0570905805165283E-3</v>
      </c>
      <c r="S47" s="54">
        <f t="shared" si="52"/>
        <v>1.6650594664095145E-2</v>
      </c>
      <c r="T47" s="54">
        <f t="shared" si="52"/>
        <v>1.6650594664095145E-2</v>
      </c>
      <c r="U47" s="54">
        <f t="shared" si="52"/>
        <v>3.4081363254530178E-2</v>
      </c>
      <c r="V47" s="54">
        <f t="shared" si="52"/>
        <v>5.4714857428714354E-2</v>
      </c>
      <c r="W47" s="54">
        <f t="shared" si="52"/>
        <v>-0.57031888798037611</v>
      </c>
      <c r="X47" s="54">
        <f t="shared" si="52"/>
        <v>-0.15177349752657615</v>
      </c>
      <c r="Y47" s="54">
        <f t="shared" si="52"/>
        <v>6.2956789331965635E-2</v>
      </c>
      <c r="Z47" s="54">
        <f t="shared" si="52"/>
        <v>5.1281197874508092E-2</v>
      </c>
      <c r="AA47" s="54">
        <f>AA21/AA6</f>
        <v>5.0844790918671653E-2</v>
      </c>
      <c r="AB47" s="54">
        <f>AB21/AB6</f>
        <v>4.2422685628439552E-2</v>
      </c>
      <c r="AC47" s="245">
        <f t="shared" si="52"/>
        <v>3.3525698148797703E-2</v>
      </c>
      <c r="AD47" s="245">
        <f t="shared" si="52"/>
        <v>4.0742226078615003E-2</v>
      </c>
      <c r="AE47" s="245">
        <f t="shared" si="52"/>
        <v>4.9753890949692556E-2</v>
      </c>
      <c r="AF47" s="245">
        <f t="shared" si="52"/>
        <v>5.6248049545606985E-2</v>
      </c>
      <c r="AG47" s="245">
        <f t="shared" si="52"/>
        <v>6.3975829020024952E-2</v>
      </c>
      <c r="AH47"/>
      <c r="AI47"/>
    </row>
    <row r="48" spans="1:35" s="19" customFormat="1" ht="11.25" customHeight="1">
      <c r="A48" t="s">
        <v>774</v>
      </c>
      <c r="B48" s="54"/>
      <c r="C48" s="54"/>
      <c r="D48" s="54"/>
      <c r="E48" s="54"/>
      <c r="F48" s="54"/>
      <c r="G48" s="54"/>
      <c r="H48" s="54"/>
      <c r="I48" s="54"/>
      <c r="J48" s="54"/>
      <c r="K48" s="54"/>
      <c r="L48" s="54"/>
      <c r="M48" s="54"/>
      <c r="N48" s="54"/>
      <c r="O48" s="54"/>
      <c r="P48" s="54"/>
      <c r="Q48" s="54"/>
      <c r="R48" s="54"/>
      <c r="S48" s="54"/>
      <c r="T48" s="54"/>
      <c r="U48" s="54"/>
      <c r="V48" s="54"/>
      <c r="W48" s="54">
        <f t="shared" ref="W48:AG48" si="53">W22/W$6</f>
        <v>-0.77173616789315891</v>
      </c>
      <c r="X48" s="54">
        <f t="shared" si="53"/>
        <v>-0.13966950847279233</v>
      </c>
      <c r="Y48" s="54">
        <f t="shared" si="53"/>
        <v>-3.9364021028336964E-2</v>
      </c>
      <c r="Z48" s="54">
        <f t="shared" si="53"/>
        <v>-2.1031277260595924E-2</v>
      </c>
      <c r="AA48" s="54">
        <f t="shared" si="53"/>
        <v>3.2351963871138291E-2</v>
      </c>
      <c r="AB48" s="54">
        <f t="shared" si="53"/>
        <v>3.4638706614046971E-2</v>
      </c>
      <c r="AC48" s="245">
        <f t="shared" si="53"/>
        <v>3.3481502486388627E-2</v>
      </c>
      <c r="AD48" s="245">
        <f t="shared" si="53"/>
        <v>3.909010924390087E-2</v>
      </c>
      <c r="AE48" s="245">
        <f t="shared" si="53"/>
        <v>4.3276020644127923E-2</v>
      </c>
      <c r="AF48" s="245">
        <f t="shared" si="53"/>
        <v>4.7727433967608458E-2</v>
      </c>
      <c r="AG48" s="245">
        <f t="shared" si="53"/>
        <v>5.4466724541079328E-2</v>
      </c>
      <c r="AH48"/>
      <c r="AI48"/>
    </row>
    <row r="49" spans="1:35" s="19" customFormat="1" ht="11.25" customHeight="1">
      <c r="A49" t="s">
        <v>345</v>
      </c>
      <c r="B49" s="54">
        <f t="shared" ref="B49:AG49" si="54">(B19/B4)/100</f>
        <v>3.7954055921026082E-2</v>
      </c>
      <c r="C49" s="54">
        <f t="shared" si="54"/>
        <v>4.1300199529950815E-2</v>
      </c>
      <c r="D49" s="54">
        <f t="shared" si="54"/>
        <v>5.4498706553730292E-2</v>
      </c>
      <c r="E49" s="54">
        <f t="shared" si="54"/>
        <v>6.2121273354713208E-2</v>
      </c>
      <c r="F49" s="54">
        <f t="shared" si="54"/>
        <v>3.5414254894549101E-2</v>
      </c>
      <c r="G49" s="54">
        <f t="shared" si="54"/>
        <v>2.8408766562388162E-2</v>
      </c>
      <c r="H49" s="54">
        <f t="shared" si="54"/>
        <v>2.1475338298797421E-2</v>
      </c>
      <c r="I49" s="54">
        <f t="shared" si="54"/>
        <v>2.5482725408400173E-2</v>
      </c>
      <c r="J49" s="54">
        <f t="shared" si="54"/>
        <v>3.6730011496718992E-2</v>
      </c>
      <c r="K49" s="54">
        <f t="shared" si="54"/>
        <v>3.9170672986128349E-2</v>
      </c>
      <c r="L49" s="54">
        <f t="shared" si="54"/>
        <v>2.7737733910124299E-2</v>
      </c>
      <c r="M49" s="54">
        <f t="shared" si="54"/>
        <v>2.7069657843223124E-2</v>
      </c>
      <c r="N49" s="54">
        <f t="shared" si="54"/>
        <v>2.3257439809788297E-2</v>
      </c>
      <c r="O49" s="54">
        <f t="shared" si="54"/>
        <v>1.9751509886279984E-2</v>
      </c>
      <c r="P49" s="54">
        <f t="shared" si="54"/>
        <v>2.2223543481753261E-2</v>
      </c>
      <c r="Q49" s="54">
        <f t="shared" si="54"/>
        <v>1.9455110001019973E-2</v>
      </c>
      <c r="R49" s="54">
        <f t="shared" si="54"/>
        <v>1.7269890233902345E-2</v>
      </c>
      <c r="S49" s="54">
        <f t="shared" si="54"/>
        <v>1.3794792671166827E-2</v>
      </c>
      <c r="T49" s="54">
        <f t="shared" si="54"/>
        <v>1.3794792671166827E-2</v>
      </c>
      <c r="U49" s="54">
        <f t="shared" si="54"/>
        <v>1.3050702028081123E-2</v>
      </c>
      <c r="V49" s="54">
        <f t="shared" si="54"/>
        <v>5.4767383691845918E-3</v>
      </c>
      <c r="W49" s="54">
        <f t="shared" si="54"/>
        <v>0</v>
      </c>
      <c r="X49" s="54">
        <f t="shared" si="54"/>
        <v>0</v>
      </c>
      <c r="Y49" s="54">
        <f t="shared" si="54"/>
        <v>0</v>
      </c>
      <c r="Z49" s="54">
        <f t="shared" si="54"/>
        <v>0</v>
      </c>
      <c r="AA49" s="54">
        <f t="shared" si="54"/>
        <v>1.0552233556102708E-2</v>
      </c>
      <c r="AB49" s="54">
        <f t="shared" si="54"/>
        <v>1.009825327510917E-2</v>
      </c>
      <c r="AC49" s="245">
        <f t="shared" si="54"/>
        <v>1.0100914166478785E-2</v>
      </c>
      <c r="AD49" s="245">
        <f t="shared" si="54"/>
        <v>1.1886918674759453E-2</v>
      </c>
      <c r="AE49" s="245">
        <f t="shared" si="54"/>
        <v>1.4190365021167915E-2</v>
      </c>
      <c r="AF49" s="245">
        <f t="shared" si="54"/>
        <v>1.7023602985672709E-2</v>
      </c>
      <c r="AG49" s="245">
        <f t="shared" si="54"/>
        <v>2.0348678414119029E-2</v>
      </c>
      <c r="AH49"/>
      <c r="AI49"/>
    </row>
    <row r="50" spans="1:35" s="19" customFormat="1" ht="11.25" customHeight="1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1:35" s="38" customFormat="1" ht="11.25" customHeight="1">
      <c r="A51" s="490" t="s">
        <v>346</v>
      </c>
      <c r="B51" s="489"/>
      <c r="C51" s="489"/>
      <c r="D51" s="489"/>
      <c r="E51" s="489"/>
      <c r="F51" s="489"/>
      <c r="G51" s="489"/>
      <c r="H51" s="489"/>
      <c r="I51" s="489"/>
      <c r="J51" s="489"/>
      <c r="K51" s="489"/>
      <c r="L51" s="489"/>
      <c r="M51" s="489"/>
      <c r="N51" s="489"/>
      <c r="O51" s="489"/>
      <c r="P51" s="489"/>
      <c r="Q51" s="489"/>
      <c r="R51" s="489"/>
      <c r="S51" s="489"/>
      <c r="T51" s="489"/>
      <c r="U51" s="1077"/>
      <c r="V51" s="1077"/>
      <c r="W51" s="1077"/>
      <c r="X51" s="1077"/>
      <c r="Y51" s="1077"/>
      <c r="Z51" s="1077"/>
      <c r="AA51" s="1077"/>
      <c r="AB51" s="1077"/>
      <c r="AC51" s="178"/>
      <c r="AD51" s="178"/>
      <c r="AE51" s="178"/>
      <c r="AF51" s="178"/>
      <c r="AG51" s="178"/>
      <c r="AH51" s="25"/>
      <c r="AI51" s="25"/>
    </row>
    <row r="52" spans="1:35" s="19" customFormat="1" ht="11.25" customHeight="1">
      <c r="A52" t="s">
        <v>347</v>
      </c>
      <c r="B52" s="1079">
        <f t="shared" ref="B52:AG52" si="55">B7/B57</f>
        <v>0.33823529411764708</v>
      </c>
      <c r="C52" s="1079">
        <f t="shared" si="55"/>
        <v>0.24226305609284332</v>
      </c>
      <c r="D52" s="1079">
        <f t="shared" si="55"/>
        <v>0.29238329238329236</v>
      </c>
      <c r="E52" s="1079">
        <f t="shared" si="55"/>
        <v>0.15093457943925234</v>
      </c>
      <c r="F52" s="1079">
        <f t="shared" si="55"/>
        <v>0.10332871012482663</v>
      </c>
      <c r="G52" s="1079">
        <f t="shared" si="55"/>
        <v>-0.22348232154769845</v>
      </c>
      <c r="H52" s="1079">
        <f t="shared" si="55"/>
        <v>-0.30389992641648272</v>
      </c>
      <c r="I52" s="1079">
        <f t="shared" si="55"/>
        <v>-0.27945809703843733</v>
      </c>
      <c r="J52" s="1079">
        <f t="shared" si="55"/>
        <v>-0.65794223826714804</v>
      </c>
      <c r="K52" s="1079">
        <f t="shared" si="55"/>
        <v>-0.33712321523003702</v>
      </c>
      <c r="L52" s="1079">
        <f t="shared" si="55"/>
        <v>-0.38566037735849057</v>
      </c>
      <c r="M52" s="1079">
        <f t="shared" si="55"/>
        <v>-4.9358123063302346E-2</v>
      </c>
      <c r="N52" s="1079">
        <f t="shared" si="55"/>
        <v>-0.22027094831911692</v>
      </c>
      <c r="O52" s="1079">
        <f t="shared" si="55"/>
        <v>-0.34594112399643173</v>
      </c>
      <c r="P52" s="1079">
        <f t="shared" si="55"/>
        <v>-0.10435600125352554</v>
      </c>
      <c r="Q52" s="1079">
        <f t="shared" si="55"/>
        <v>2.2138013562026326E-2</v>
      </c>
      <c r="R52" s="1079">
        <f t="shared" si="55"/>
        <v>0.12083780880773362</v>
      </c>
      <c r="S52" s="1079">
        <f t="shared" si="55"/>
        <v>4.9456786119669208E-2</v>
      </c>
      <c r="T52" s="1079">
        <f t="shared" si="55"/>
        <v>0.32795698924731181</v>
      </c>
      <c r="U52" s="1079">
        <f t="shared" si="55"/>
        <v>0.56890130353817503</v>
      </c>
      <c r="V52" s="1079">
        <f t="shared" si="55"/>
        <v>-0.29413507109004738</v>
      </c>
      <c r="W52" s="1079">
        <f t="shared" si="55"/>
        <v>-0.73024300592199309</v>
      </c>
      <c r="X52" s="1079">
        <f t="shared" si="55"/>
        <v>-1.1061776061776061</v>
      </c>
      <c r="Y52" s="1079">
        <f t="shared" si="55"/>
        <v>-0.5373553719008265</v>
      </c>
      <c r="Z52" s="1079">
        <f>Z7/Z57</f>
        <v>-0.5302906818799239</v>
      </c>
      <c r="AA52" s="1079">
        <f t="shared" si="55"/>
        <v>0.52083333333333337</v>
      </c>
      <c r="AB52" s="1079">
        <f t="shared" si="55"/>
        <v>-0.69515774027879673</v>
      </c>
      <c r="AC52" s="990">
        <f t="shared" si="55"/>
        <v>-0.8532617677257921</v>
      </c>
      <c r="AD52" s="990">
        <f t="shared" si="55"/>
        <v>-1.119607759705546</v>
      </c>
      <c r="AE52" s="990">
        <f t="shared" si="55"/>
        <v>-1.3936088530116941</v>
      </c>
      <c r="AF52" s="990">
        <f t="shared" si="55"/>
        <v>-1.3174940763606817</v>
      </c>
      <c r="AG52" s="990">
        <f t="shared" si="55"/>
        <v>-1.2769266285885417</v>
      </c>
      <c r="AH52"/>
      <c r="AI52"/>
    </row>
    <row r="53" spans="1:35" s="19" customFormat="1" ht="11.25" customHeight="1">
      <c r="A53" t="s">
        <v>348</v>
      </c>
      <c r="B53" s="1079">
        <f t="shared" ref="B53:AF53" si="56">B7/B14</f>
        <v>0.91877496671105197</v>
      </c>
      <c r="C53" s="1079">
        <f t="shared" si="56"/>
        <v>0.62313432835820892</v>
      </c>
      <c r="D53" s="1079">
        <f t="shared" si="56"/>
        <v>0.95967741935483875</v>
      </c>
      <c r="E53" s="1079">
        <f t="shared" si="56"/>
        <v>0.5269168026101142</v>
      </c>
      <c r="F53" s="1079">
        <f t="shared" si="56"/>
        <v>0.20781032078103207</v>
      </c>
      <c r="G53" s="1079">
        <f t="shared" si="56"/>
        <v>-0.35905680600214362</v>
      </c>
      <c r="H53" s="1079">
        <f t="shared" si="56"/>
        <v>-0.85242518059855521</v>
      </c>
      <c r="I53" s="1079">
        <f t="shared" si="56"/>
        <v>-0.83286384976525818</v>
      </c>
      <c r="J53" s="1079">
        <f t="shared" si="56"/>
        <v>-1.1815235008103728</v>
      </c>
      <c r="K53" s="1079">
        <f t="shared" si="56"/>
        <v>-0.98228043143297383</v>
      </c>
      <c r="L53" s="1079">
        <f t="shared" si="56"/>
        <v>-1.1108695652173912</v>
      </c>
      <c r="M53" s="1079">
        <f t="shared" si="56"/>
        <v>-0.14368556701030927</v>
      </c>
      <c r="N53" s="1079">
        <f t="shared" si="56"/>
        <v>-0.68772845953002615</v>
      </c>
      <c r="O53" s="1079">
        <f t="shared" si="56"/>
        <v>-0.7949979499794998</v>
      </c>
      <c r="P53" s="1079">
        <f t="shared" si="56"/>
        <v>-0.29429960229783475</v>
      </c>
      <c r="Q53" s="1079">
        <f t="shared" si="56"/>
        <v>5.2731591448931116E-2</v>
      </c>
      <c r="R53" s="1079">
        <f t="shared" si="56"/>
        <v>0.13761467889908258</v>
      </c>
      <c r="S53" s="1079">
        <f t="shared" si="56"/>
        <v>0.15885416666666666</v>
      </c>
      <c r="T53" s="1079">
        <f t="shared" si="56"/>
        <v>0.31837160751565763</v>
      </c>
      <c r="U53" s="1079">
        <f t="shared" si="56"/>
        <v>-0.44533527696793002</v>
      </c>
      <c r="V53" s="1079">
        <f t="shared" si="56"/>
        <v>0.52931769722814503</v>
      </c>
      <c r="W53" s="1079">
        <f t="shared" si="56"/>
        <v>-3.7250000000000001</v>
      </c>
      <c r="X53" s="1079">
        <f t="shared" si="56"/>
        <v>3.7234657039711192</v>
      </c>
      <c r="Y53" s="1079">
        <f>Y7/Y14</f>
        <v>2.025545171339564</v>
      </c>
      <c r="Z53" s="1079">
        <f>Z7/Z14</f>
        <v>0.76012461059190028</v>
      </c>
      <c r="AA53" s="1079">
        <f t="shared" si="56"/>
        <v>-0.14320168827253543</v>
      </c>
      <c r="AB53" s="1079">
        <f>AB7/AB14</f>
        <v>-0.43443374598807888</v>
      </c>
      <c r="AC53" s="990">
        <f>AC7/AC14</f>
        <v>-0.446828682434951</v>
      </c>
      <c r="AD53" s="990">
        <f t="shared" si="56"/>
        <v>-0.52730530774972117</v>
      </c>
      <c r="AE53" s="990">
        <f t="shared" si="56"/>
        <v>-0.69957701938221939</v>
      </c>
      <c r="AF53" s="990">
        <f t="shared" si="56"/>
        <v>-1.177597824100141</v>
      </c>
      <c r="AG53" s="990">
        <f>AG7/AG14</f>
        <v>-1.597815790541175</v>
      </c>
      <c r="AH53"/>
      <c r="AI53"/>
    </row>
    <row r="54" spans="1:35" s="19" customFormat="1" ht="11.25" customHeight="1">
      <c r="A54" t="s">
        <v>756</v>
      </c>
      <c r="B54" s="1079">
        <f t="shared" ref="B54:AG54" si="57">B7/B21</f>
        <v>5.52</v>
      </c>
      <c r="C54" s="1079">
        <f t="shared" si="57"/>
        <v>3.2960526315789473</v>
      </c>
      <c r="D54" s="1079">
        <f t="shared" si="57"/>
        <v>5.3603603603603602</v>
      </c>
      <c r="E54" s="1079">
        <f t="shared" si="57"/>
        <v>0.85224274406332456</v>
      </c>
      <c r="F54" s="1079">
        <f t="shared" si="57"/>
        <v>0.4885245901639344</v>
      </c>
      <c r="G54" s="1079">
        <f t="shared" si="57"/>
        <v>-0.46463245492371708</v>
      </c>
      <c r="H54" s="1079">
        <f t="shared" si="57"/>
        <v>-1.3952702702702702</v>
      </c>
      <c r="I54" s="1079">
        <f t="shared" si="57"/>
        <v>-12.671428571428571</v>
      </c>
      <c r="J54" s="1079">
        <f t="shared" si="57"/>
        <v>-3.8469656992084431</v>
      </c>
      <c r="K54" s="1079">
        <f t="shared" si="57"/>
        <v>-5.9579439252336446</v>
      </c>
      <c r="L54" s="1079">
        <f t="shared" si="57"/>
        <v>-2.1470588235294117</v>
      </c>
      <c r="M54" s="1079">
        <f t="shared" si="57"/>
        <v>-0.38382099827882959</v>
      </c>
      <c r="N54" s="1079">
        <f t="shared" si="57"/>
        <v>-2.4032846715328469</v>
      </c>
      <c r="O54" s="1079">
        <f t="shared" si="57"/>
        <v>-2.4827144686299616</v>
      </c>
      <c r="P54" s="1079">
        <f t="shared" si="57"/>
        <v>-1.4899328859060403</v>
      </c>
      <c r="Q54" s="1079">
        <f t="shared" si="57"/>
        <v>0.62011173184357538</v>
      </c>
      <c r="R54" s="1079">
        <f t="shared" si="57"/>
        <v>2.25</v>
      </c>
      <c r="S54" s="1079">
        <f t="shared" si="57"/>
        <v>1.1776061776061777</v>
      </c>
      <c r="T54" s="1079">
        <f t="shared" si="57"/>
        <v>1.1776061776061777</v>
      </c>
      <c r="U54" s="1079">
        <f t="shared" si="57"/>
        <v>-1.0757042253521127</v>
      </c>
      <c r="V54" s="1079">
        <f t="shared" si="57"/>
        <v>1.1348571428571428</v>
      </c>
      <c r="W54" s="1079">
        <f t="shared" si="57"/>
        <v>-0.8544802867383513</v>
      </c>
      <c r="X54" s="1079">
        <f t="shared" si="57"/>
        <v>-3.5762829403606102</v>
      </c>
      <c r="Y54" s="1079">
        <f t="shared" si="57"/>
        <v>6.6211812627291247</v>
      </c>
      <c r="Z54" s="1079">
        <f t="shared" si="57"/>
        <v>1.5190661478599221</v>
      </c>
      <c r="AA54" s="1079">
        <f t="shared" si="57"/>
        <v>-0.19587628865979381</v>
      </c>
      <c r="AB54" s="1079">
        <f t="shared" si="57"/>
        <v>-0.57951070336391441</v>
      </c>
      <c r="AC54" s="990">
        <f t="shared" si="57"/>
        <v>-0.6216567679488546</v>
      </c>
      <c r="AD54" s="990">
        <f t="shared" si="57"/>
        <v>-0.69914905132652416</v>
      </c>
      <c r="AE54" s="990">
        <f t="shared" si="57"/>
        <v>-0.88981663878461259</v>
      </c>
      <c r="AF54" s="990">
        <f t="shared" si="57"/>
        <v>-1.5544164220995706</v>
      </c>
      <c r="AG54" s="990">
        <f t="shared" si="57"/>
        <v>-2.1405423708147011</v>
      </c>
      <c r="AH54"/>
      <c r="AI54"/>
    </row>
    <row r="55" spans="1:35" s="19" customFormat="1" ht="11.25" customHeight="1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1:35" s="38" customFormat="1" ht="11.25" customHeight="1">
      <c r="A56" s="490" t="s">
        <v>349</v>
      </c>
      <c r="B56" s="489"/>
      <c r="C56" s="489"/>
      <c r="D56" s="489"/>
      <c r="E56" s="489"/>
      <c r="F56" s="489"/>
      <c r="G56" s="489"/>
      <c r="H56" s="489"/>
      <c r="I56" s="489"/>
      <c r="J56" s="489"/>
      <c r="K56" s="489"/>
      <c r="L56" s="489"/>
      <c r="M56" s="489"/>
      <c r="N56" s="489"/>
      <c r="O56" s="489"/>
      <c r="P56" s="489"/>
      <c r="Q56" s="489"/>
      <c r="R56" s="489"/>
      <c r="S56" s="489"/>
      <c r="T56" s="489"/>
      <c r="U56" s="1077"/>
      <c r="V56" s="1077"/>
      <c r="W56" s="1077"/>
      <c r="X56" s="1077"/>
      <c r="Y56" s="1077"/>
      <c r="Z56" s="1077"/>
      <c r="AA56" s="1077"/>
      <c r="AB56" s="1077"/>
      <c r="AC56" s="178"/>
      <c r="AD56" s="178"/>
      <c r="AE56" s="178"/>
      <c r="AF56" s="178"/>
      <c r="AG56" s="178"/>
      <c r="AH56" s="25"/>
      <c r="AI56" s="25"/>
    </row>
    <row r="57" spans="1:35" s="19" customFormat="1" ht="11.25" customHeight="1">
      <c r="A57" t="s">
        <v>350</v>
      </c>
      <c r="B57">
        <f>BS!B49</f>
        <v>2040</v>
      </c>
      <c r="C57">
        <f>BS!C49</f>
        <v>2068</v>
      </c>
      <c r="D57">
        <f>BS!D49</f>
        <v>2035</v>
      </c>
      <c r="E57">
        <f>BS!E49</f>
        <v>2140</v>
      </c>
      <c r="F57">
        <f>BS!F49</f>
        <v>1442</v>
      </c>
      <c r="G57">
        <f>BS!G49</f>
        <v>1499</v>
      </c>
      <c r="H57">
        <f>BS!H49</f>
        <v>2718</v>
      </c>
      <c r="I57">
        <f>BS!I49</f>
        <v>3174</v>
      </c>
      <c r="J57">
        <f>BS!J49</f>
        <v>2216</v>
      </c>
      <c r="K57">
        <f>BS!K49</f>
        <v>3782</v>
      </c>
      <c r="L57">
        <f>BS!L49</f>
        <v>3975</v>
      </c>
      <c r="M57">
        <f>BS!M49</f>
        <v>4518</v>
      </c>
      <c r="N57">
        <f>BS!N49</f>
        <v>5979</v>
      </c>
      <c r="O57">
        <f>BS!O49</f>
        <v>5605</v>
      </c>
      <c r="P57">
        <f>BS!P49</f>
        <v>6382</v>
      </c>
      <c r="Q57">
        <f>BS!Q49</f>
        <v>5014</v>
      </c>
      <c r="R57">
        <f>BS!T49</f>
        <v>1862</v>
      </c>
      <c r="S57">
        <f>BS!W49</f>
        <v>6167</v>
      </c>
      <c r="T57">
        <f>BS!Z49</f>
        <v>930</v>
      </c>
      <c r="U57">
        <f>BS!AC49</f>
        <v>-1074</v>
      </c>
      <c r="V57">
        <f>BS!AF49</f>
        <v>-3376</v>
      </c>
      <c r="W57">
        <f>BS!AI49</f>
        <v>-4897</v>
      </c>
      <c r="X57">
        <f>BS!AL49</f>
        <v>-4662</v>
      </c>
      <c r="Y57">
        <f>BS!AO49</f>
        <v>-6050</v>
      </c>
      <c r="Z57">
        <f>BS!AR49</f>
        <v>-3681</v>
      </c>
      <c r="AA57">
        <f>BS!AU49</f>
        <v>-912</v>
      </c>
      <c r="AB57">
        <f>BS!AX49</f>
        <v>2726</v>
      </c>
      <c r="AC57" s="56">
        <f>BS!BA49</f>
        <v>3077.6241020299876</v>
      </c>
      <c r="AD57" s="56">
        <f>BS!BD49</f>
        <v>3138.8790906027771</v>
      </c>
      <c r="AE57" s="56">
        <f>BS!BG49</f>
        <v>3831.9758972633122</v>
      </c>
      <c r="AF57" s="56">
        <f>BS!BJ49</f>
        <v>7913.7679605624262</v>
      </c>
      <c r="AG57" s="56">
        <f>BS!BM49</f>
        <v>12788.83392255414</v>
      </c>
      <c r="AH57"/>
      <c r="AI57"/>
    </row>
    <row r="58" spans="1:35" s="19" customFormat="1" ht="11.25" customHeight="1">
      <c r="A58" t="s">
        <v>351</v>
      </c>
      <c r="B58">
        <f>BS!B225</f>
        <v>3426</v>
      </c>
      <c r="C58">
        <f>BS!C225</f>
        <v>3480</v>
      </c>
      <c r="D58">
        <f>BS!D225</f>
        <v>3350</v>
      </c>
      <c r="E58">
        <f>BS!E225</f>
        <v>3168</v>
      </c>
      <c r="F58">
        <f>BS!F225</f>
        <v>3514</v>
      </c>
      <c r="G58">
        <f>BS!G225</f>
        <v>3489</v>
      </c>
      <c r="H58">
        <f>BS!H225</f>
        <v>3090</v>
      </c>
      <c r="I58">
        <f>BS!I225</f>
        <v>2681</v>
      </c>
      <c r="J58">
        <f>BS!J225</f>
        <v>4599</v>
      </c>
      <c r="K58">
        <f>BS!K225</f>
        <v>4448</v>
      </c>
      <c r="L58">
        <f>BS!L225</f>
        <v>4617</v>
      </c>
      <c r="M58">
        <f>BS!M225</f>
        <v>5843</v>
      </c>
      <c r="N58">
        <f>BS!N225</f>
        <v>5795</v>
      </c>
      <c r="O58">
        <f>BS!O225</f>
        <v>7642</v>
      </c>
      <c r="P58">
        <f>BS!P225</f>
        <v>6971</v>
      </c>
      <c r="Q58">
        <f>BS!Q225</f>
        <v>7831</v>
      </c>
      <c r="R58">
        <f>BS!T225</f>
        <v>8764</v>
      </c>
      <c r="S58">
        <f>BS!W225</f>
        <v>9376</v>
      </c>
      <c r="T58">
        <f>BS!Z225</f>
        <v>4245</v>
      </c>
      <c r="U58">
        <f>BS!AC225</f>
        <v>3438</v>
      </c>
      <c r="V58">
        <f>BS!AF225</f>
        <v>2035</v>
      </c>
      <c r="W58">
        <f>BS!AI225</f>
        <v>3034</v>
      </c>
      <c r="X58">
        <f>BS!AL225</f>
        <v>2782</v>
      </c>
      <c r="Y58">
        <f>BS!AO225</f>
        <v>2517</v>
      </c>
      <c r="Z58">
        <f>BS!AR225</f>
        <v>1738</v>
      </c>
      <c r="AA58">
        <f>BS!AU225</f>
        <v>2035</v>
      </c>
      <c r="AB58">
        <f>BS!AX225</f>
        <v>2591</v>
      </c>
      <c r="AC58" s="56">
        <f>BS!BA225</f>
        <v>2225.6051203363768</v>
      </c>
      <c r="AD58" s="56">
        <f>BS!BD225</f>
        <v>1576.56570398642</v>
      </c>
      <c r="AE58" s="56">
        <f>BS!BG225</f>
        <v>621.70036230972801</v>
      </c>
      <c r="AF58" s="56">
        <f>BS!BJ225</f>
        <v>-204.57444917152316</v>
      </c>
      <c r="AG58" s="56">
        <f>BS!BM225</f>
        <v>-1055.5686617516949</v>
      </c>
      <c r="AH58"/>
      <c r="AI58"/>
    </row>
    <row r="59" spans="1:35" s="19" customFormat="1" ht="11.25" customHeight="1">
      <c r="A59" t="s">
        <v>197</v>
      </c>
      <c r="B59">
        <f>BS!B125</f>
        <v>836</v>
      </c>
      <c r="C59">
        <f>BS!C125</f>
        <v>769</v>
      </c>
      <c r="D59">
        <f>BS!D125</f>
        <v>786</v>
      </c>
      <c r="E59">
        <f>BS!E125</f>
        <v>759</v>
      </c>
      <c r="F59">
        <f>BS!F125</f>
        <v>759</v>
      </c>
      <c r="G59">
        <f>BS!G125</f>
        <v>751</v>
      </c>
      <c r="H59">
        <f>BS!H125</f>
        <v>735</v>
      </c>
      <c r="I59">
        <f>BS!I125</f>
        <v>801</v>
      </c>
      <c r="J59">
        <f>BS!J125</f>
        <v>1008</v>
      </c>
      <c r="K59">
        <f>BS!K125</f>
        <v>984</v>
      </c>
      <c r="L59">
        <f>BS!L125</f>
        <v>1108</v>
      </c>
      <c r="M59">
        <f>BS!M125</f>
        <v>1099</v>
      </c>
      <c r="N59">
        <f>BS!N125</f>
        <v>1102</v>
      </c>
      <c r="O59">
        <f>BS!O125</f>
        <v>1838</v>
      </c>
      <c r="P59">
        <f>BS!P125</f>
        <v>1659</v>
      </c>
      <c r="Q59">
        <f>BS!Q125</f>
        <v>1503</v>
      </c>
      <c r="R59">
        <f>BS!T125</f>
        <v>1537</v>
      </c>
      <c r="S59">
        <f>BS!W125</f>
        <v>1545</v>
      </c>
      <c r="T59">
        <f>BS!Z125</f>
        <v>1545</v>
      </c>
      <c r="U59">
        <f>BS!AC125</f>
        <v>1045</v>
      </c>
      <c r="V59">
        <f>BS!AF125</f>
        <v>994</v>
      </c>
      <c r="W59">
        <f>BS!AI125</f>
        <v>1074</v>
      </c>
      <c r="X59">
        <f>BS!AL125</f>
        <v>1026</v>
      </c>
      <c r="Y59">
        <f>BS!AO125</f>
        <v>1099</v>
      </c>
      <c r="Z59">
        <f>BS!AR125</f>
        <v>1066</v>
      </c>
      <c r="AA59">
        <f>BS!AU125</f>
        <v>1009</v>
      </c>
      <c r="AB59">
        <f>BS!AX125</f>
        <v>1028</v>
      </c>
      <c r="AC59" s="56">
        <f>BS!BA125</f>
        <v>1028</v>
      </c>
      <c r="AD59" s="56">
        <f>BS!BD125</f>
        <v>1028</v>
      </c>
      <c r="AE59" s="56">
        <f>BS!BG125</f>
        <v>1028</v>
      </c>
      <c r="AF59" s="56">
        <f>BS!BJ125</f>
        <v>1028</v>
      </c>
      <c r="AG59" s="56">
        <f>BS!BM125</f>
        <v>1028</v>
      </c>
      <c r="AH59"/>
      <c r="AI59"/>
    </row>
    <row r="60" spans="1:35" s="19" customFormat="1" ht="11.25" customHeight="1">
      <c r="A60" t="s">
        <v>352</v>
      </c>
      <c r="B60">
        <f>B58-B59</f>
        <v>2590</v>
      </c>
      <c r="C60">
        <f t="shared" ref="C60:AA60" si="58">C58-C59</f>
        <v>2711</v>
      </c>
      <c r="D60">
        <f t="shared" si="58"/>
        <v>2564</v>
      </c>
      <c r="E60">
        <f t="shared" si="58"/>
        <v>2409</v>
      </c>
      <c r="F60">
        <f t="shared" si="58"/>
        <v>2755</v>
      </c>
      <c r="G60">
        <f t="shared" si="58"/>
        <v>2738</v>
      </c>
      <c r="H60">
        <f t="shared" si="58"/>
        <v>2355</v>
      </c>
      <c r="I60">
        <f t="shared" si="58"/>
        <v>1880</v>
      </c>
      <c r="J60">
        <f t="shared" si="58"/>
        <v>3591</v>
      </c>
      <c r="K60">
        <f t="shared" si="58"/>
        <v>3464</v>
      </c>
      <c r="L60">
        <f t="shared" si="58"/>
        <v>3509</v>
      </c>
      <c r="M60">
        <f t="shared" si="58"/>
        <v>4744</v>
      </c>
      <c r="N60">
        <f t="shared" si="58"/>
        <v>4693</v>
      </c>
      <c r="O60">
        <f t="shared" si="58"/>
        <v>5804</v>
      </c>
      <c r="P60">
        <f t="shared" si="58"/>
        <v>5312</v>
      </c>
      <c r="Q60">
        <f t="shared" si="58"/>
        <v>6328</v>
      </c>
      <c r="R60">
        <f t="shared" si="58"/>
        <v>7227</v>
      </c>
      <c r="S60">
        <f t="shared" si="58"/>
        <v>7831</v>
      </c>
      <c r="T60">
        <f>T58-T59</f>
        <v>2700</v>
      </c>
      <c r="U60">
        <f>U58-U59</f>
        <v>2393</v>
      </c>
      <c r="V60">
        <f>V58-V59</f>
        <v>1041</v>
      </c>
      <c r="W60">
        <f>W58-W59</f>
        <v>1960</v>
      </c>
      <c r="X60">
        <f t="shared" si="58"/>
        <v>1756</v>
      </c>
      <c r="Y60">
        <f t="shared" si="58"/>
        <v>1418</v>
      </c>
      <c r="Z60">
        <f t="shared" si="58"/>
        <v>672</v>
      </c>
      <c r="AA60">
        <f t="shared" si="58"/>
        <v>1026</v>
      </c>
      <c r="AB60">
        <f t="shared" ref="AB60:AG60" si="59">AB58-AB59</f>
        <v>1563</v>
      </c>
      <c r="AC60" s="56">
        <f t="shared" si="59"/>
        <v>1197.6051203363768</v>
      </c>
      <c r="AD60" s="56">
        <f t="shared" si="59"/>
        <v>548.56570398641998</v>
      </c>
      <c r="AE60" s="56">
        <f t="shared" si="59"/>
        <v>-406.29963769027199</v>
      </c>
      <c r="AF60" s="56">
        <f t="shared" si="59"/>
        <v>-1232.5744491715232</v>
      </c>
      <c r="AG60" s="56">
        <f t="shared" si="59"/>
        <v>-2083.5686617516949</v>
      </c>
      <c r="AH60"/>
      <c r="AI60"/>
    </row>
    <row r="61" spans="1:35" s="19" customFormat="1" ht="11.25" customHeight="1">
      <c r="A61" t="s">
        <v>353</v>
      </c>
      <c r="B61" s="54">
        <f>BS!B230</f>
        <v>0.11301729355120314</v>
      </c>
      <c r="C61" s="54">
        <f>BS!C230</f>
        <v>0.11625222918286157</v>
      </c>
      <c r="D61" s="54">
        <f>BS!D230</f>
        <v>7.4409898659317311E-2</v>
      </c>
      <c r="E61" s="54">
        <f>BS!E230</f>
        <v>8.1151790184267047E-2</v>
      </c>
      <c r="F61" s="54">
        <f>BS!F230</f>
        <v>9.0523663705345828E-2</v>
      </c>
      <c r="G61" s="54">
        <f>BS!G230</f>
        <v>0.1383252034360605</v>
      </c>
      <c r="H61" s="54">
        <f>BS!H230</f>
        <v>0.16610772078362382</v>
      </c>
      <c r="I61" s="54">
        <f>BS!I230</f>
        <v>0.22248110579422312</v>
      </c>
      <c r="J61" s="54">
        <f>BS!J230</f>
        <v>0.19021509740259743</v>
      </c>
      <c r="K61" s="54">
        <f>BS!K230</f>
        <v>0.17289769696925769</v>
      </c>
      <c r="L61" s="54">
        <f>BS!L230</f>
        <v>0.1677679816797244</v>
      </c>
      <c r="M61" s="54">
        <f>BS!M230</f>
        <v>0.17857483998803525</v>
      </c>
      <c r="N61" s="54">
        <f>BS!N230</f>
        <v>0.20012293206762918</v>
      </c>
      <c r="O61" s="54">
        <f>BS!O230</f>
        <v>0.20528918076960165</v>
      </c>
      <c r="P61" s="54">
        <f>BS!P230</f>
        <v>0.17496614294898929</v>
      </c>
      <c r="Q61" s="54">
        <f>BS!Q230</f>
        <v>0.15218123173752002</v>
      </c>
      <c r="R61" s="54">
        <f>BS!T230</f>
        <v>7.4872505278231458E-2</v>
      </c>
      <c r="S61" s="54">
        <f>BS!W230</f>
        <v>8.9873141465332915E-2</v>
      </c>
      <c r="T61" s="54">
        <f>BS!Z230</f>
        <v>1.5938348988760054E-2</v>
      </c>
      <c r="U61" s="54">
        <f>BS!AC230</f>
        <v>0.10495274389307199</v>
      </c>
      <c r="V61" s="54">
        <f>BS!AF230</f>
        <v>0.154977546094832</v>
      </c>
      <c r="W61" s="54">
        <f>BS!AI230</f>
        <v>-0.8013937588649539</v>
      </c>
      <c r="X61" s="54">
        <f>BS!AL230</f>
        <v>3.9546079779917469E-2</v>
      </c>
      <c r="Y61" s="54">
        <f>BS!AO230</f>
        <v>0.18874416678728534</v>
      </c>
      <c r="Z61" s="54">
        <f>BS!AR230</f>
        <v>0.67629208482236802</v>
      </c>
      <c r="AA61" s="54">
        <f>BS!AU230</f>
        <v>0.94840552880550399</v>
      </c>
      <c r="AB61" s="54">
        <f>BS!AX230</f>
        <v>1.1082792393723553</v>
      </c>
      <c r="AC61" s="245">
        <f>BS!BA230</f>
        <v>1.5366527858746366</v>
      </c>
      <c r="AD61" s="245">
        <f>BS!BD230</f>
        <v>2.2238099925756409</v>
      </c>
      <c r="AE61" s="245">
        <f>BS!BG230</f>
        <v>4.4533358618699124</v>
      </c>
      <c r="AF61" s="245">
        <f>BS!BJ230</f>
        <v>27.50205060812225</v>
      </c>
      <c r="AG61" s="245">
        <f>BS!BM230</f>
        <v>-10.598921449266623</v>
      </c>
      <c r="AH61"/>
      <c r="AI61"/>
    </row>
    <row r="62" spans="1:35" s="19" customFormat="1" ht="11.25" customHeight="1">
      <c r="A62" t="s">
        <v>354</v>
      </c>
      <c r="B62" s="54">
        <f>BS!B231</f>
        <v>0.14949700683645636</v>
      </c>
      <c r="C62" s="54">
        <f>BS!C231</f>
        <v>0.15145027254043425</v>
      </c>
      <c r="D62" s="54">
        <f>BS!D231</f>
        <v>9.6344949354149237E-2</v>
      </c>
      <c r="E62" s="54">
        <f>BS!E231</f>
        <v>0.10636383841163334</v>
      </c>
      <c r="F62" s="54">
        <f>BS!F231</f>
        <v>0.11713383440726584</v>
      </c>
      <c r="G62" s="54">
        <f>BS!G231</f>
        <v>0.17635015468099977</v>
      </c>
      <c r="H62" s="54">
        <f>BS!H231</f>
        <v>0.21457347242007874</v>
      </c>
      <c r="I62" s="54">
        <f>BS!I231</f>
        <v>0.30317319044591773</v>
      </c>
      <c r="J62" s="54">
        <f>BS!J231</f>
        <v>0.25311020089396985</v>
      </c>
      <c r="K62" s="54">
        <f>BS!K231</f>
        <v>0.22171587023116573</v>
      </c>
      <c r="L62" s="54">
        <f>BS!L231</f>
        <v>0.21810078214924733</v>
      </c>
      <c r="M62" s="54">
        <f>BS!M231</f>
        <v>0.22632895023323019</v>
      </c>
      <c r="N62" s="54">
        <f>BS!N231</f>
        <v>0.24679778355442072</v>
      </c>
      <c r="O62" s="54">
        <f>BS!O231</f>
        <v>0.26278657921321685</v>
      </c>
      <c r="P62" s="54">
        <f>BS!P231</f>
        <v>0.2300090182541904</v>
      </c>
      <c r="Q62" s="54">
        <f>BS!Q231</f>
        <v>0.19352118489508344</v>
      </c>
      <c r="R62" s="54">
        <f>BS!T231</f>
        <v>9.1664273337679888E-2</v>
      </c>
      <c r="S62" s="54">
        <f>BS!W231</f>
        <v>0.10826794967333903</v>
      </c>
      <c r="T62" s="54">
        <f>BS!Z231</f>
        <v>2.5058626465661638E-2</v>
      </c>
      <c r="U62" s="54">
        <f>BS!AC231</f>
        <v>0.15832553138238212</v>
      </c>
      <c r="V62" s="54">
        <f>BS!AF231</f>
        <v>0.24699828473413382</v>
      </c>
      <c r="W62" s="54">
        <f>BS!AI231</f>
        <v>-1.3536371088591974</v>
      </c>
      <c r="X62" s="54">
        <f>BS!AL231</f>
        <v>6.1894510226049512E-2</v>
      </c>
      <c r="Y62" s="54">
        <f>BS!AO231</f>
        <v>0.31510880271135006</v>
      </c>
      <c r="Z62" s="54">
        <f>BS!AR231</f>
        <v>1.376853024363242</v>
      </c>
      <c r="AA62" s="54">
        <f>BS!AU231</f>
        <v>2.1073816608852569</v>
      </c>
      <c r="AB62" s="54">
        <f>BS!AX231</f>
        <v>1.9802625574880321</v>
      </c>
      <c r="AC62" s="245">
        <f>BS!BA231</f>
        <v>2.6810968443473273</v>
      </c>
      <c r="AD62" s="245">
        <f>BS!BD231</f>
        <v>4.8421983432736315</v>
      </c>
      <c r="AE62" s="245">
        <f>BS!BG231</f>
        <v>68.81203200339985</v>
      </c>
      <c r="AF62" s="245">
        <f>BS!BJ231</f>
        <v>-6.9998165600708067</v>
      </c>
      <c r="AG62" s="245">
        <f>BS!BM231</f>
        <v>-4.0276180492678719</v>
      </c>
      <c r="AH62"/>
      <c r="AI62"/>
    </row>
    <row r="63" spans="1:35" s="19" customFormat="1" ht="11.25" customHeight="1">
      <c r="A63" t="s">
        <v>355</v>
      </c>
      <c r="B63" s="54">
        <f t="shared" ref="B63:S63" si="60">B17/AVERAGE(A57:B57)</f>
        <v>0.14803921568627451</v>
      </c>
      <c r="C63" s="54">
        <f t="shared" si="60"/>
        <v>0.15628042843232717</v>
      </c>
      <c r="D63" s="54">
        <f t="shared" si="60"/>
        <v>8.7253229344382163E-2</v>
      </c>
      <c r="E63" s="54">
        <f t="shared" si="60"/>
        <v>9.6287425149700595E-2</v>
      </c>
      <c r="F63" s="54">
        <f t="shared" si="60"/>
        <v>0.14684533780011166</v>
      </c>
      <c r="G63" s="54">
        <f t="shared" si="60"/>
        <v>0.28969738184291055</v>
      </c>
      <c r="H63" s="54">
        <f t="shared" si="60"/>
        <v>0.24614654967986721</v>
      </c>
      <c r="I63" s="54">
        <f t="shared" si="60"/>
        <v>0.22335369993211135</v>
      </c>
      <c r="J63" s="54">
        <f t="shared" si="60"/>
        <v>0.24786641929499073</v>
      </c>
      <c r="K63" s="54">
        <f t="shared" si="60"/>
        <v>0.2440813604534845</v>
      </c>
      <c r="L63" s="54">
        <f t="shared" si="60"/>
        <v>0.18434961969833699</v>
      </c>
      <c r="M63" s="54">
        <f t="shared" si="60"/>
        <v>0.21146826798539975</v>
      </c>
      <c r="N63" s="54">
        <f t="shared" si="60"/>
        <v>0.21015528246165571</v>
      </c>
      <c r="O63" s="54">
        <f t="shared" si="60"/>
        <v>0.21132596685082872</v>
      </c>
      <c r="P63" s="54">
        <f t="shared" si="60"/>
        <v>0.20455493451238843</v>
      </c>
      <c r="Q63" s="54">
        <f t="shared" si="60"/>
        <v>0.18954018954018953</v>
      </c>
      <c r="R63" s="54">
        <f t="shared" si="60"/>
        <v>0.16055846422338568</v>
      </c>
      <c r="S63" s="54">
        <f t="shared" si="60"/>
        <v>0.18482999128160418</v>
      </c>
      <c r="T63" s="54">
        <f>T17/AVERAGE(T57)</f>
        <v>4.6236559139784944E-2</v>
      </c>
      <c r="U63" s="54">
        <f t="shared" ref="U63:AG63" si="61">U17/AVERAGE(T57:U57)</f>
        <v>-4.125</v>
      </c>
      <c r="V63" s="54">
        <f t="shared" si="61"/>
        <v>-0.13573033707865167</v>
      </c>
      <c r="W63" s="54">
        <f t="shared" si="61"/>
        <v>0.97642934848301699</v>
      </c>
      <c r="X63" s="54">
        <f t="shared" si="61"/>
        <v>-1.8830421592216759E-3</v>
      </c>
      <c r="Y63" s="54">
        <f t="shared" si="61"/>
        <v>-2.8566094100074678E-2</v>
      </c>
      <c r="Z63" s="54">
        <f t="shared" si="61"/>
        <v>-0.23635803103483713</v>
      </c>
      <c r="AA63" s="54">
        <f t="shared" si="61"/>
        <v>-0.74112780317875027</v>
      </c>
      <c r="AB63" s="54">
        <f t="shared" si="61"/>
        <v>2.7420066152149944</v>
      </c>
      <c r="AC63" s="245">
        <f t="shared" si="61"/>
        <v>1.2531201709082285</v>
      </c>
      <c r="AD63" s="245">
        <f t="shared" si="61"/>
        <v>1.3480656466431375</v>
      </c>
      <c r="AE63" s="245">
        <f t="shared" si="61"/>
        <v>1.4031547246342551</v>
      </c>
      <c r="AF63" s="245">
        <f t="shared" si="61"/>
        <v>0.98762039072380869</v>
      </c>
      <c r="AG63" s="245">
        <f t="shared" si="61"/>
        <v>0.6697772147928831</v>
      </c>
      <c r="AH63"/>
      <c r="AI63"/>
    </row>
    <row r="64" spans="1:35" s="19" customFormat="1" ht="11.25" customHeight="1">
      <c r="A64" t="s">
        <v>806</v>
      </c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 s="54">
        <f>+T21/T17</f>
        <v>6.0232558139534884</v>
      </c>
      <c r="U64" s="54">
        <f>+U21/U17</f>
        <v>1.9124579124579124</v>
      </c>
      <c r="V64" s="54">
        <f t="shared" ref="V64:AG64" si="62">+V21/V17</f>
        <v>2.8973509933774833</v>
      </c>
      <c r="W64" s="54">
        <f t="shared" si="62"/>
        <v>1.0361475612775439</v>
      </c>
      <c r="X64" s="54">
        <f t="shared" si="62"/>
        <v>-160.22222222222223</v>
      </c>
      <c r="Y64" s="54">
        <f t="shared" si="62"/>
        <v>3.2091503267973862</v>
      </c>
      <c r="Z64" s="54">
        <f>+Z21/Z17</f>
        <v>1.1173913043478261</v>
      </c>
      <c r="AA64" s="54">
        <f t="shared" si="62"/>
        <v>1.4247943595769683</v>
      </c>
      <c r="AB64" s="54">
        <f>+AB21/AB17</f>
        <v>1.3148371531966225</v>
      </c>
      <c r="AC64" s="245">
        <f t="shared" si="62"/>
        <v>1.1616764738997589</v>
      </c>
      <c r="AD64" s="245">
        <f t="shared" si="62"/>
        <v>1.1996194739511681</v>
      </c>
      <c r="AE64" s="245">
        <f t="shared" si="62"/>
        <v>1.227160950857568</v>
      </c>
      <c r="AF64" s="245">
        <f t="shared" si="62"/>
        <v>1.1564424615359703</v>
      </c>
      <c r="AG64" s="245">
        <f t="shared" si="62"/>
        <v>1.1003928462239716</v>
      </c>
      <c r="AH64"/>
      <c r="AI64"/>
    </row>
    <row r="65" spans="1:35" s="19" customFormat="1" ht="11.25" customHeight="1">
      <c r="A65" t="s">
        <v>807</v>
      </c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 s="54">
        <f>+T22/T17</f>
        <v>0</v>
      </c>
      <c r="U65" s="54">
        <f>+U22/U17</f>
        <v>-0.37373737373737376</v>
      </c>
      <c r="V65" s="54">
        <f t="shared" ref="V65:AG65" si="63">+V22/V17</f>
        <v>-1.1125827814569536</v>
      </c>
      <c r="W65" s="54">
        <f t="shared" si="63"/>
        <v>1.4020797227036395</v>
      </c>
      <c r="X65" s="54">
        <f t="shared" si="63"/>
        <v>-147.44444444444446</v>
      </c>
      <c r="Y65" s="54">
        <f t="shared" si="63"/>
        <v>-2.0065359477124187</v>
      </c>
      <c r="Z65" s="54">
        <f t="shared" si="63"/>
        <v>-0.45826086956521739</v>
      </c>
      <c r="AA65" s="54">
        <f>+AA22/AA17</f>
        <v>0.90658049353701531</v>
      </c>
      <c r="AB65" s="54">
        <f>+AB22/AB17</f>
        <v>1.0735826296743063</v>
      </c>
      <c r="AC65" s="245">
        <f>+AC22/AC17</f>
        <v>1.160145079652839</v>
      </c>
      <c r="AD65" s="245">
        <f t="shared" si="63"/>
        <v>1.1509743281424585</v>
      </c>
      <c r="AE65" s="245">
        <f t="shared" si="63"/>
        <v>1.0673867235163028</v>
      </c>
      <c r="AF65" s="245">
        <f t="shared" si="63"/>
        <v>0.98126124667743797</v>
      </c>
      <c r="AG65" s="245">
        <f t="shared" si="63"/>
        <v>0.93683497283787065</v>
      </c>
      <c r="AH65"/>
      <c r="AI65"/>
    </row>
    <row r="66" spans="1:35" s="38" customFormat="1" ht="11.25" customHeight="1">
      <c r="A66" s="25"/>
      <c r="B66" s="25"/>
      <c r="C66" s="25"/>
      <c r="D66" s="25"/>
      <c r="E66" s="25"/>
      <c r="F66" s="25"/>
      <c r="G66" s="25"/>
      <c r="H66" s="25"/>
      <c r="I66" s="25"/>
      <c r="J66" s="25"/>
      <c r="K66" s="25"/>
      <c r="L66" s="25"/>
      <c r="M66" s="25"/>
      <c r="N66" s="25"/>
      <c r="O66" s="25"/>
      <c r="P66" s="25"/>
      <c r="Q66" s="25"/>
      <c r="R66" s="25"/>
      <c r="S66" s="25"/>
      <c r="T66" s="25"/>
      <c r="U66" s="25"/>
      <c r="V66" s="25"/>
      <c r="W66" s="25"/>
      <c r="X66" s="25"/>
      <c r="Y66" s="25"/>
      <c r="Z66" s="25"/>
      <c r="AA66" s="25"/>
      <c r="AB66" s="25"/>
      <c r="AC66" s="25"/>
      <c r="AD66" s="25"/>
      <c r="AE66" s="25"/>
      <c r="AF66" s="25"/>
      <c r="AG66" s="25"/>
      <c r="AH66" s="25"/>
      <c r="AI66" s="25"/>
    </row>
    <row r="67" spans="1:35" s="38" customFormat="1" ht="11.25" customHeight="1">
      <c r="A67" s="490" t="s">
        <v>931</v>
      </c>
      <c r="B67" s="489"/>
      <c r="C67" s="489"/>
      <c r="D67" s="489"/>
      <c r="E67" s="489"/>
      <c r="F67" s="489"/>
      <c r="G67" s="489"/>
      <c r="H67" s="489"/>
      <c r="I67" s="489"/>
      <c r="J67" s="489"/>
      <c r="K67" s="489"/>
      <c r="L67" s="489"/>
      <c r="M67" s="489"/>
      <c r="N67" s="489"/>
      <c r="O67" s="489"/>
      <c r="P67" s="489"/>
      <c r="Q67" s="489"/>
      <c r="R67" s="489"/>
      <c r="S67" s="489"/>
      <c r="T67" s="489"/>
      <c r="U67" s="1077"/>
      <c r="V67" s="1077"/>
      <c r="W67" s="1077"/>
      <c r="X67" s="1077"/>
      <c r="Y67" s="1077"/>
      <c r="Z67" s="1077"/>
      <c r="AA67" s="1077"/>
      <c r="AB67" s="1077"/>
      <c r="AC67" s="178"/>
      <c r="AD67" s="178"/>
      <c r="AE67" s="178"/>
      <c r="AF67" s="178"/>
      <c r="AG67" s="178"/>
      <c r="AH67" s="25"/>
      <c r="AI67" s="25"/>
    </row>
    <row r="68" spans="1:35" s="19" customFormat="1" ht="11.25" customHeight="1">
      <c r="A68" t="s">
        <v>8</v>
      </c>
      <c r="B68">
        <f>Divisional!B6</f>
        <v>3150</v>
      </c>
      <c r="C68">
        <f>Divisional!C6</f>
        <v>3443</v>
      </c>
      <c r="D68">
        <f>Divisional!D6</f>
        <v>2739</v>
      </c>
      <c r="E68">
        <f>Divisional!E6</f>
        <v>2694</v>
      </c>
      <c r="F68">
        <f>Divisional!F6</f>
        <v>3040</v>
      </c>
      <c r="G68">
        <f>Divisional!G6</f>
        <v>3406</v>
      </c>
      <c r="H68">
        <f>Divisional!H6</f>
        <v>3907</v>
      </c>
      <c r="I68">
        <f>Divisional!I6</f>
        <v>4038</v>
      </c>
      <c r="J68">
        <f>Divisional!J6</f>
        <v>4502</v>
      </c>
      <c r="K68">
        <f>Divisional!K6</f>
        <v>4481</v>
      </c>
      <c r="L68">
        <f>Divisional!L6</f>
        <v>4919</v>
      </c>
      <c r="M68">
        <f>Divisional!M6</f>
        <v>5572</v>
      </c>
      <c r="N68">
        <f>Divisional!N6</f>
        <v>6437</v>
      </c>
      <c r="O68">
        <f>Divisional!O6</f>
        <v>6655</v>
      </c>
      <c r="P68">
        <f>Divisional!P6</f>
        <v>6837</v>
      </c>
      <c r="Q68">
        <f>Divisional!Q6</f>
        <v>6933</v>
      </c>
      <c r="R68">
        <f>Divisional!T6</f>
        <v>7067</v>
      </c>
      <c r="S68">
        <f>Divisional!W6</f>
        <v>8023</v>
      </c>
      <c r="T68">
        <f>Divisional!Z6</f>
        <v>6598</v>
      </c>
      <c r="U68">
        <f>Divisional!AC6</f>
        <v>7378</v>
      </c>
      <c r="V68">
        <f>Divisional!AF6</f>
        <v>8107</v>
      </c>
      <c r="W68">
        <f>Divisional!AI6</f>
        <v>5068</v>
      </c>
      <c r="X68">
        <f>Divisional!AL6</f>
        <v>4536</v>
      </c>
      <c r="Y68">
        <f>Divisional!AO6</f>
        <v>5686</v>
      </c>
      <c r="Z68">
        <f>Divisional!AR6</f>
        <v>7348</v>
      </c>
      <c r="AA68">
        <f>Divisional!AU6</f>
        <v>9040</v>
      </c>
      <c r="AB68">
        <f>Divisional!AX6</f>
        <v>10382</v>
      </c>
      <c r="AC68" s="56">
        <f>Divisional!BA6</f>
        <v>12608.38074167768</v>
      </c>
      <c r="AD68" s="56">
        <f>Divisional!BD6</f>
        <v>14177.936117913907</v>
      </c>
      <c r="AE68" s="56">
        <f>Divisional!BG6</f>
        <v>15243.59397138665</v>
      </c>
      <c r="AF68" s="56">
        <f>Divisional!BJ6</f>
        <v>16657.813762556834</v>
      </c>
      <c r="AG68" s="56">
        <f>Divisional!BM6</f>
        <v>18044.650522568445</v>
      </c>
      <c r="AH68"/>
      <c r="AI68"/>
    </row>
    <row r="69" spans="1:35" s="19" customFormat="1" ht="11.25" customHeight="1">
      <c r="A69" t="s">
        <v>670</v>
      </c>
      <c r="B69">
        <f>Divisional!B8</f>
        <v>1403</v>
      </c>
      <c r="C69">
        <f>Divisional!C8</f>
        <v>1400</v>
      </c>
      <c r="D69">
        <f>Divisional!D8</f>
        <v>1376</v>
      </c>
      <c r="E69">
        <f>Divisional!E8</f>
        <v>1398</v>
      </c>
      <c r="F69">
        <f>Divisional!F8</f>
        <v>1374</v>
      </c>
      <c r="G69">
        <f>Divisional!G8</f>
        <v>1420</v>
      </c>
      <c r="H69">
        <f>Divisional!H8</f>
        <v>1601</v>
      </c>
      <c r="I69">
        <f>Divisional!I8</f>
        <v>1673</v>
      </c>
      <c r="J69">
        <f>Divisional!J8</f>
        <v>1686</v>
      </c>
      <c r="K69">
        <f>Divisional!K8</f>
        <v>2010</v>
      </c>
      <c r="L69">
        <f>Divisional!L8</f>
        <v>2123</v>
      </c>
      <c r="M69">
        <f>Divisional!M8</f>
        <v>2235</v>
      </c>
      <c r="N69">
        <f>Divisional!N8</f>
        <v>2417</v>
      </c>
      <c r="O69">
        <f>Divisional!O8</f>
        <v>2591</v>
      </c>
      <c r="P69">
        <f>Divisional!P8</f>
        <v>2069</v>
      </c>
      <c r="Q69">
        <f>Divisional!Q8</f>
        <v>2035</v>
      </c>
      <c r="R69">
        <f>Divisional!T8</f>
        <v>2209</v>
      </c>
      <c r="S69">
        <f>Divisional!W8</f>
        <v>2275</v>
      </c>
      <c r="T69">
        <f>Divisional!Z8</f>
        <v>3180</v>
      </c>
      <c r="U69">
        <f>Divisional!AC8</f>
        <v>3124</v>
      </c>
      <c r="V69">
        <f>Divisional!AF8</f>
        <v>3250</v>
      </c>
      <c r="W69">
        <f>Divisional!AI8</f>
        <v>3355</v>
      </c>
      <c r="X69">
        <f>Divisional!AL8</f>
        <v>3368</v>
      </c>
      <c r="Y69">
        <f>Divisional!AO8</f>
        <v>3660</v>
      </c>
      <c r="Z69">
        <f>Divisional!AR8</f>
        <v>4077</v>
      </c>
      <c r="AA69">
        <f>Divisional!AU8</f>
        <v>4522</v>
      </c>
      <c r="AB69">
        <f>Divisional!AX8</f>
        <v>4772</v>
      </c>
      <c r="AC69" s="56">
        <f>Divisional!BA8</f>
        <v>5157.9573424195241</v>
      </c>
      <c r="AD69" s="56">
        <f>Divisional!BD8</f>
        <v>5483.6940624195249</v>
      </c>
      <c r="AE69" s="56">
        <f>Divisional!BG8</f>
        <v>5831.1128416195252</v>
      </c>
      <c r="AF69" s="56">
        <f>Divisional!BJ8</f>
        <v>6201.6963213315266</v>
      </c>
      <c r="AG69" s="56">
        <f>Divisional!BM8</f>
        <v>6597.0310663382479</v>
      </c>
      <c r="AH69"/>
      <c r="AI69"/>
    </row>
    <row r="70" spans="1:35" ht="11.25" customHeight="1">
      <c r="A70" t="s">
        <v>10</v>
      </c>
      <c r="B70">
        <f>Divisional!B10</f>
        <v>0</v>
      </c>
      <c r="C70">
        <f>Divisional!C10</f>
        <v>0</v>
      </c>
      <c r="D70">
        <f>Divisional!D10</f>
        <v>0</v>
      </c>
      <c r="E70">
        <f>Divisional!E10</f>
        <v>0</v>
      </c>
      <c r="F70">
        <f>Divisional!F10</f>
        <v>0</v>
      </c>
      <c r="G70">
        <f>Divisional!G10</f>
        <v>0</v>
      </c>
      <c r="H70">
        <f>Divisional!H10</f>
        <v>0</v>
      </c>
      <c r="I70">
        <f>Divisional!I10</f>
        <v>0</v>
      </c>
      <c r="J70">
        <f>Divisional!J10</f>
        <v>0</v>
      </c>
      <c r="K70">
        <f>Divisional!K10</f>
        <v>0</v>
      </c>
      <c r="L70">
        <f>Divisional!L10</f>
        <v>0</v>
      </c>
      <c r="M70">
        <f>Divisional!M10</f>
        <v>331</v>
      </c>
      <c r="N70">
        <f>Divisional!N10</f>
        <v>287</v>
      </c>
      <c r="O70">
        <f>Divisional!O10</f>
        <v>2831</v>
      </c>
      <c r="P70">
        <f>Divisional!P10</f>
        <v>2720</v>
      </c>
      <c r="Q70">
        <f>Divisional!Q10</f>
        <v>2385</v>
      </c>
      <c r="R70">
        <f>Divisional!T10</f>
        <v>2655</v>
      </c>
      <c r="S70">
        <f>Divisional!W10</f>
        <v>2923</v>
      </c>
      <c r="T70">
        <f>Divisional!Z10</f>
        <v>3008</v>
      </c>
      <c r="U70">
        <f>Divisional!AC10</f>
        <v>3484</v>
      </c>
      <c r="V70">
        <f>Divisional!AF10</f>
        <v>3545</v>
      </c>
      <c r="W70">
        <f>Divisional!AI10</f>
        <v>2735</v>
      </c>
      <c r="X70">
        <f>Divisional!AL10</f>
        <v>2749</v>
      </c>
      <c r="Y70">
        <f>Divisional!AO10</f>
        <v>3347</v>
      </c>
      <c r="Z70">
        <f>Divisional!AR10</f>
        <v>3968</v>
      </c>
      <c r="AA70">
        <f>Divisional!AU10</f>
        <v>4271</v>
      </c>
      <c r="AB70">
        <f>Divisional!AX10</f>
        <v>4892</v>
      </c>
      <c r="AC70" s="56">
        <f>Divisional!BA10</f>
        <v>5842.6593376941955</v>
      </c>
      <c r="AD70" s="56">
        <f>Divisional!BD10</f>
        <v>7016.2990576941947</v>
      </c>
      <c r="AE70" s="56">
        <f>Divisional!BG10</f>
        <v>8461.5871348941964</v>
      </c>
      <c r="AF70" s="56">
        <f>Divisional!BJ10</f>
        <v>10237.084502754195</v>
      </c>
      <c r="AG70" s="56">
        <f>Divisional!BM10</f>
        <v>12427.805647107196</v>
      </c>
    </row>
    <row r="71" spans="1:35" ht="11.25" customHeight="1">
      <c r="A71" t="s">
        <v>1039</v>
      </c>
      <c r="B71">
        <f>Divisional!B12</f>
        <v>0</v>
      </c>
      <c r="C71">
        <f>Divisional!C12</f>
        <v>0</v>
      </c>
      <c r="D71">
        <f>Divisional!D12</f>
        <v>0</v>
      </c>
      <c r="E71">
        <f>Divisional!E12</f>
        <v>0</v>
      </c>
      <c r="F71">
        <f>Divisional!F12</f>
        <v>0</v>
      </c>
      <c r="G71">
        <f>Divisional!G12</f>
        <v>0</v>
      </c>
      <c r="H71">
        <f>Divisional!H12</f>
        <v>0</v>
      </c>
      <c r="I71">
        <f>Divisional!I12</f>
        <v>0</v>
      </c>
      <c r="J71">
        <f>Divisional!J12</f>
        <v>0</v>
      </c>
      <c r="K71">
        <f>Divisional!K12</f>
        <v>0</v>
      </c>
      <c r="L71">
        <f>Divisional!L12</f>
        <v>0</v>
      </c>
      <c r="M71">
        <f>Divisional!M12</f>
        <v>0</v>
      </c>
      <c r="N71">
        <f>Divisional!N12</f>
        <v>0</v>
      </c>
      <c r="O71">
        <f>Divisional!O12</f>
        <v>0</v>
      </c>
      <c r="P71">
        <f>Divisional!P12</f>
        <v>0</v>
      </c>
      <c r="Q71">
        <f>Divisional!Q12</f>
        <v>0</v>
      </c>
      <c r="R71">
        <f>Divisional!T12</f>
        <v>0</v>
      </c>
      <c r="S71">
        <f>Divisional!W12</f>
        <v>0</v>
      </c>
      <c r="T71">
        <f>Divisional!Z12</f>
        <v>0</v>
      </c>
      <c r="U71">
        <f>Divisional!AC12</f>
        <v>0</v>
      </c>
      <c r="V71">
        <f>Divisional!AF12</f>
        <v>0</v>
      </c>
      <c r="W71">
        <f>Divisional!AI12</f>
        <v>5</v>
      </c>
      <c r="X71">
        <f>Divisional!AL12</f>
        <v>2</v>
      </c>
      <c r="Y71">
        <f>Divisional!AO12</f>
        <v>3</v>
      </c>
      <c r="Z71">
        <f>Divisional!AR12</f>
        <v>4</v>
      </c>
      <c r="AA71">
        <f>Divisional!AU12</f>
        <v>15</v>
      </c>
      <c r="AB71">
        <f>Divisional!AX12</f>
        <v>13</v>
      </c>
      <c r="AC71" s="56">
        <f>Divisional!BA12</f>
        <v>5</v>
      </c>
      <c r="AD71" s="56">
        <f>Divisional!BD12</f>
        <v>0</v>
      </c>
      <c r="AE71" s="56">
        <f>Divisional!BG12</f>
        <v>0</v>
      </c>
      <c r="AF71" s="56">
        <f>Divisional!BJ12</f>
        <v>0</v>
      </c>
      <c r="AG71" s="56">
        <f>Divisional!BM12</f>
        <v>0</v>
      </c>
    </row>
    <row r="72" spans="1:35" ht="11.25" customHeight="1">
      <c r="A72" t="s">
        <v>247</v>
      </c>
      <c r="B72">
        <f>Divisional!B20</f>
        <v>84</v>
      </c>
      <c r="C72">
        <f>Divisional!C20</f>
        <v>50</v>
      </c>
      <c r="D72">
        <f>Divisional!D20</f>
        <v>50</v>
      </c>
      <c r="E72">
        <f>Divisional!E20</f>
        <v>42</v>
      </c>
      <c r="F72">
        <f>Divisional!F20</f>
        <v>81</v>
      </c>
      <c r="G72">
        <f>Divisional!G20</f>
        <v>0</v>
      </c>
      <c r="H72">
        <f>Divisional!H20</f>
        <v>0</v>
      </c>
      <c r="I72">
        <f>Divisional!I20</f>
        <v>0</v>
      </c>
      <c r="J72">
        <f>Divisional!J20</f>
        <v>0</v>
      </c>
      <c r="K72">
        <f>Divisional!K20</f>
        <v>0</v>
      </c>
      <c r="L72">
        <f>Divisional!L20</f>
        <v>0</v>
      </c>
      <c r="M72">
        <f>Divisional!M20</f>
        <v>-215</v>
      </c>
      <c r="N72">
        <f>Divisional!N20</f>
        <v>-143</v>
      </c>
      <c r="O72">
        <f>Divisional!O20</f>
        <v>-147</v>
      </c>
      <c r="P72">
        <f>Divisional!P20</f>
        <v>-109</v>
      </c>
      <c r="Q72">
        <f>Divisional!Q20</f>
        <v>-10</v>
      </c>
      <c r="R72">
        <f>Divisional!T20</f>
        <v>-39</v>
      </c>
      <c r="S72">
        <f>Divisional!W20</f>
        <v>-26</v>
      </c>
      <c r="T72">
        <f>Divisional!Z20</f>
        <v>0</v>
      </c>
      <c r="U72">
        <f>Divisional!AC20</f>
        <v>-429</v>
      </c>
      <c r="V72">
        <f>Divisional!AF20</f>
        <v>-577</v>
      </c>
      <c r="W72">
        <f>Divisional!AI20</f>
        <v>267</v>
      </c>
      <c r="X72">
        <f>Divisional!AL20</f>
        <v>292</v>
      </c>
      <c r="Y72">
        <f>Divisional!AO20</f>
        <v>-5</v>
      </c>
      <c r="Z72">
        <f>Divisional!AR20</f>
        <v>12</v>
      </c>
      <c r="AA72">
        <f>Divisional!AU20</f>
        <v>0</v>
      </c>
      <c r="AB72">
        <f>Divisional!AX20</f>
        <v>0</v>
      </c>
      <c r="AC72" s="56">
        <f>Divisional!BA20</f>
        <v>0</v>
      </c>
      <c r="AD72" s="56">
        <f>Divisional!BD20</f>
        <v>0</v>
      </c>
      <c r="AE72" s="56">
        <f>Divisional!BG20</f>
        <v>0</v>
      </c>
      <c r="AF72" s="56">
        <f>Divisional!BJ20</f>
        <v>0</v>
      </c>
      <c r="AG72" s="56">
        <f>Divisional!BM20</f>
        <v>0</v>
      </c>
    </row>
    <row r="73" spans="1:35" ht="11.25" customHeight="1">
      <c r="A73" t="s">
        <v>705</v>
      </c>
      <c r="B73">
        <f>Divisional!B22</f>
        <v>0</v>
      </c>
      <c r="C73">
        <f>Divisional!C22</f>
        <v>0</v>
      </c>
      <c r="D73">
        <f>Divisional!D22</f>
        <v>0</v>
      </c>
      <c r="E73">
        <f>Divisional!E22</f>
        <v>0</v>
      </c>
      <c r="F73">
        <f>Divisional!F22</f>
        <v>0</v>
      </c>
      <c r="G73">
        <f>Divisional!G22</f>
        <v>0</v>
      </c>
      <c r="H73">
        <f>Divisional!H22</f>
        <v>0</v>
      </c>
      <c r="I73">
        <f>Divisional!I22</f>
        <v>0</v>
      </c>
      <c r="J73">
        <f>Divisional!J22</f>
        <v>0</v>
      </c>
      <c r="K73">
        <f>Divisional!K22</f>
        <v>0</v>
      </c>
      <c r="L73">
        <f>Divisional!L22</f>
        <v>0</v>
      </c>
      <c r="M73">
        <f>Divisional!M22</f>
        <v>0</v>
      </c>
      <c r="N73">
        <f>Divisional!N22</f>
        <v>0</v>
      </c>
      <c r="O73">
        <f>Divisional!O22</f>
        <v>0</v>
      </c>
      <c r="P73">
        <f>Divisional!P22</f>
        <v>0</v>
      </c>
      <c r="Q73">
        <f>Divisional!Q22</f>
        <v>0</v>
      </c>
      <c r="R73">
        <f>Divisional!T22</f>
        <v>0</v>
      </c>
      <c r="S73">
        <f>Divisional!W22</f>
        <v>0</v>
      </c>
      <c r="T73">
        <f>Divisional!Z22</f>
        <v>885</v>
      </c>
      <c r="U73">
        <f>Divisional!AC22</f>
        <v>731</v>
      </c>
      <c r="V73">
        <f>Divisional!AF22</f>
        <v>189</v>
      </c>
      <c r="W73">
        <f>Divisional!AI22</f>
        <v>0</v>
      </c>
      <c r="X73">
        <f>Divisional!AL22</f>
        <v>0</v>
      </c>
      <c r="Y73">
        <f>Divisional!AO22</f>
        <v>0</v>
      </c>
      <c r="Z73">
        <f>Divisional!AR22</f>
        <v>0</v>
      </c>
      <c r="AA73">
        <f>Divisional!AU22</f>
        <v>0</v>
      </c>
      <c r="AB73">
        <f>Divisional!AX22</f>
        <v>0</v>
      </c>
      <c r="AC73" s="56">
        <f>Divisional!BA22</f>
        <v>0</v>
      </c>
      <c r="AD73" s="56">
        <f>Divisional!BD22</f>
        <v>0</v>
      </c>
      <c r="AE73" s="56">
        <f>Divisional!BG22</f>
        <v>0</v>
      </c>
      <c r="AF73" s="56">
        <f>Divisional!BJ22</f>
        <v>0</v>
      </c>
      <c r="AG73" s="56">
        <f>Divisional!BM22</f>
        <v>0</v>
      </c>
    </row>
    <row r="74" spans="1:35" ht="11.25" customHeight="1"/>
    <row r="75" spans="1:35" s="38" customFormat="1" ht="11.25" customHeight="1">
      <c r="A75" s="490" t="s">
        <v>932</v>
      </c>
      <c r="B75" s="489"/>
      <c r="C75" s="489"/>
      <c r="D75" s="489"/>
      <c r="E75" s="489"/>
      <c r="F75" s="489"/>
      <c r="G75" s="489"/>
      <c r="H75" s="489"/>
      <c r="I75" s="489"/>
      <c r="J75" s="489"/>
      <c r="K75" s="489"/>
      <c r="L75" s="489"/>
      <c r="M75" s="489"/>
      <c r="N75" s="489"/>
      <c r="O75" s="489"/>
      <c r="P75" s="489"/>
      <c r="Q75" s="489"/>
      <c r="R75" s="489"/>
      <c r="S75" s="489"/>
      <c r="T75" s="489"/>
      <c r="U75" s="1077"/>
      <c r="V75" s="1077"/>
      <c r="W75" s="1077"/>
      <c r="X75" s="1077"/>
      <c r="Y75" s="1077"/>
      <c r="Z75" s="1077"/>
      <c r="AA75" s="1077"/>
      <c r="AB75" s="1077"/>
      <c r="AC75" s="178"/>
      <c r="AD75" s="178"/>
      <c r="AE75" s="178"/>
      <c r="AF75" s="178"/>
      <c r="AG75" s="178"/>
      <c r="AH75" s="25"/>
      <c r="AI75" s="25"/>
    </row>
    <row r="76" spans="1:35" s="19" customFormat="1" ht="11.25" customHeight="1">
      <c r="A76" t="str">
        <f>A68</f>
        <v>Civil Aerospace</v>
      </c>
      <c r="B76">
        <f>Divisional!B53</f>
        <v>332</v>
      </c>
      <c r="C76">
        <f>Divisional!C53</f>
        <v>347</v>
      </c>
      <c r="D76">
        <f>Divisional!D53</f>
        <v>150</v>
      </c>
      <c r="E76">
        <f>Divisional!E53</f>
        <v>131</v>
      </c>
      <c r="F76">
        <f>Divisional!F53</f>
        <v>194</v>
      </c>
      <c r="G76">
        <f>Divisional!G53</f>
        <v>454</v>
      </c>
      <c r="H76">
        <f>Divisional!H53</f>
        <v>519</v>
      </c>
      <c r="I76">
        <f>Divisional!I53</f>
        <v>564</v>
      </c>
      <c r="J76">
        <f>Divisional!J53</f>
        <v>566</v>
      </c>
      <c r="K76">
        <f>Divisional!K53</f>
        <v>493</v>
      </c>
      <c r="L76">
        <f>Divisional!L53</f>
        <v>392</v>
      </c>
      <c r="M76">
        <f>Divisional!M53</f>
        <v>499</v>
      </c>
      <c r="N76">
        <f>Divisional!N53</f>
        <v>743</v>
      </c>
      <c r="O76">
        <f>Divisional!O53</f>
        <v>844</v>
      </c>
      <c r="P76">
        <f>Divisional!P53</f>
        <v>942</v>
      </c>
      <c r="Q76">
        <f>Divisional!Q53</f>
        <v>812</v>
      </c>
      <c r="R76">
        <f>Divisional!T53</f>
        <v>367</v>
      </c>
      <c r="S76">
        <f>Divisional!W53</f>
        <v>520</v>
      </c>
      <c r="T76">
        <f>Divisional!Z53</f>
        <v>-343</v>
      </c>
      <c r="U76">
        <f>Divisional!AC53</f>
        <v>-162</v>
      </c>
      <c r="V76">
        <f>Divisional!AF53</f>
        <v>44</v>
      </c>
      <c r="W76">
        <f>Divisional!AI53</f>
        <v>-2535</v>
      </c>
      <c r="X76">
        <f>Divisional!AL53</f>
        <v>-172</v>
      </c>
      <c r="Y76">
        <f>Divisional!AO53</f>
        <v>143</v>
      </c>
      <c r="Z76">
        <f>Divisional!AR53</f>
        <v>850</v>
      </c>
      <c r="AA76">
        <f>Divisional!AU53</f>
        <v>1505</v>
      </c>
      <c r="AB76">
        <f>Divisional!AX53</f>
        <v>2130</v>
      </c>
      <c r="AC76" s="56">
        <f>Divisional!BA53</f>
        <v>2888.7683082665917</v>
      </c>
      <c r="AD76" s="56">
        <f>Divisional!BD53</f>
        <v>3264.110008334912</v>
      </c>
      <c r="AE76" s="56">
        <f>Divisional!BG53</f>
        <v>3662.2433520535446</v>
      </c>
      <c r="AF76" s="56">
        <f>Divisional!BJ53</f>
        <v>4188.2731206636017</v>
      </c>
      <c r="AG76" s="56">
        <f>Divisional!BM53</f>
        <v>4715.5392290444443</v>
      </c>
      <c r="AH76"/>
      <c r="AI76"/>
    </row>
    <row r="77" spans="1:35" ht="11.25" customHeight="1">
      <c r="A77" t="str">
        <f t="shared" ref="A77:A81" si="64">A69</f>
        <v>Defence</v>
      </c>
      <c r="B77">
        <f>Divisional!B55</f>
        <v>154</v>
      </c>
      <c r="C77">
        <f>Divisional!C55</f>
        <v>175</v>
      </c>
      <c r="D77">
        <f>Divisional!D55</f>
        <v>183</v>
      </c>
      <c r="E77">
        <f>Divisional!E55</f>
        <v>147</v>
      </c>
      <c r="F77">
        <f>Divisional!F55</f>
        <v>179</v>
      </c>
      <c r="G77">
        <f>Divisional!G55</f>
        <v>180</v>
      </c>
      <c r="H77">
        <f>Divisional!H55</f>
        <v>193</v>
      </c>
      <c r="I77">
        <f>Divisional!I55</f>
        <v>199</v>
      </c>
      <c r="J77">
        <f>Divisional!J55</f>
        <v>223</v>
      </c>
      <c r="K77">
        <f>Divisional!K55</f>
        <v>253</v>
      </c>
      <c r="L77">
        <f>Divisional!L55</f>
        <v>309</v>
      </c>
      <c r="M77">
        <f>Divisional!M55</f>
        <v>376</v>
      </c>
      <c r="N77">
        <f>Divisional!N55</f>
        <v>395</v>
      </c>
      <c r="O77">
        <f>Divisional!O55</f>
        <v>438</v>
      </c>
      <c r="P77">
        <f>Divisional!P55</f>
        <v>366</v>
      </c>
      <c r="Q77">
        <f>Divisional!Q55</f>
        <v>393</v>
      </c>
      <c r="R77">
        <f>Divisional!T55</f>
        <v>384</v>
      </c>
      <c r="S77">
        <f>Divisional!W55</f>
        <v>374</v>
      </c>
      <c r="T77">
        <f>Divisional!Z55</f>
        <v>454</v>
      </c>
      <c r="U77">
        <f>Divisional!AC55</f>
        <v>427</v>
      </c>
      <c r="V77">
        <f>Divisional!AF55</f>
        <v>415</v>
      </c>
      <c r="W77">
        <f>Divisional!AI55</f>
        <v>461</v>
      </c>
      <c r="X77">
        <f>Divisional!AL55</f>
        <v>457</v>
      </c>
      <c r="Y77">
        <f>Divisional!AO55</f>
        <v>432</v>
      </c>
      <c r="Z77">
        <f>Divisional!AR55</f>
        <v>562</v>
      </c>
      <c r="AA77">
        <f>Divisional!AU55</f>
        <v>644</v>
      </c>
      <c r="AB77">
        <f>Divisional!AX55</f>
        <v>689</v>
      </c>
      <c r="AC77" s="56">
        <f>Divisional!BA55</f>
        <v>1007.8016817718072</v>
      </c>
      <c r="AD77" s="56">
        <f>Divisional!BD55</f>
        <v>1016.4834015476119</v>
      </c>
      <c r="AE77" s="56">
        <f>Divisional!BG55</f>
        <v>1109.9114399077098</v>
      </c>
      <c r="AF77" s="56">
        <f>Divisional!BJ55</f>
        <v>1211.3307826596479</v>
      </c>
      <c r="AG77" s="56">
        <f>Divisional!BM55</f>
        <v>1321.4062132676497</v>
      </c>
    </row>
    <row r="78" spans="1:35" ht="11.25" customHeight="1">
      <c r="A78" t="str">
        <f t="shared" si="64"/>
        <v>Power Systems</v>
      </c>
      <c r="B78">
        <f>Divisional!B57</f>
        <v>0</v>
      </c>
      <c r="C78">
        <f>Divisional!C57</f>
        <v>0</v>
      </c>
      <c r="D78">
        <f>Divisional!D57</f>
        <v>0</v>
      </c>
      <c r="E78">
        <f>Divisional!E57</f>
        <v>0</v>
      </c>
      <c r="F78">
        <f>Divisional!F57</f>
        <v>0</v>
      </c>
      <c r="G78">
        <f>Divisional!G57</f>
        <v>0</v>
      </c>
      <c r="H78">
        <f>Divisional!H57</f>
        <v>0</v>
      </c>
      <c r="I78">
        <f>Divisional!I57</f>
        <v>0</v>
      </c>
      <c r="J78">
        <f>Divisional!J57</f>
        <v>0</v>
      </c>
      <c r="K78">
        <f>Divisional!K57</f>
        <v>0</v>
      </c>
      <c r="L78">
        <f>Divisional!L57</f>
        <v>0</v>
      </c>
      <c r="M78">
        <f>Divisional!M57</f>
        <v>80</v>
      </c>
      <c r="N78">
        <f>Divisional!N57</f>
        <v>109</v>
      </c>
      <c r="O78">
        <f>Divisional!O57</f>
        <v>294</v>
      </c>
      <c r="P78">
        <f>Divisional!P57</f>
        <v>253</v>
      </c>
      <c r="Q78">
        <f>Divisional!Q57</f>
        <v>194</v>
      </c>
      <c r="R78">
        <f>Divisional!T57</f>
        <v>191</v>
      </c>
      <c r="S78">
        <f>Divisional!W57</f>
        <v>330</v>
      </c>
      <c r="T78">
        <f>Divisional!Z57</f>
        <v>261</v>
      </c>
      <c r="U78">
        <f>Divisional!AC57</f>
        <v>317</v>
      </c>
      <c r="V78">
        <f>Divisional!AF57</f>
        <v>357</v>
      </c>
      <c r="W78">
        <f>Divisional!AI57</f>
        <v>188</v>
      </c>
      <c r="X78">
        <f>Divisional!AL57</f>
        <v>242</v>
      </c>
      <c r="Y78">
        <f>Divisional!AO57</f>
        <v>281</v>
      </c>
      <c r="Z78">
        <f>Divisional!AR57</f>
        <v>413</v>
      </c>
      <c r="AA78">
        <f>Divisional!AU57</f>
        <v>560</v>
      </c>
      <c r="AB78">
        <f>Divisional!AX57</f>
        <v>852</v>
      </c>
      <c r="AC78" s="56">
        <f>Divisional!BA57</f>
        <v>1238.9584609157812</v>
      </c>
      <c r="AD78" s="56">
        <f>Divisional!BD57</f>
        <v>1538.0450450484868</v>
      </c>
      <c r="AE78" s="56">
        <f>Divisional!BG57</f>
        <v>1915.8571053511937</v>
      </c>
      <c r="AF78" s="56">
        <f>Divisional!BJ57</f>
        <v>2392.1221468903495</v>
      </c>
      <c r="AG78" s="56">
        <f>Divisional!BM57</f>
        <v>2994.6733553057265</v>
      </c>
    </row>
    <row r="79" spans="1:35" ht="11.25" customHeight="1">
      <c r="A79" t="str">
        <f t="shared" si="64"/>
        <v>All Other Businesses</v>
      </c>
      <c r="B79">
        <f>Divisional!B59</f>
        <v>0</v>
      </c>
      <c r="C79">
        <f>Divisional!C59</f>
        <v>0</v>
      </c>
      <c r="D79">
        <f>Divisional!D59</f>
        <v>0</v>
      </c>
      <c r="E79">
        <f>Divisional!E59</f>
        <v>0</v>
      </c>
      <c r="F79">
        <f>Divisional!F59</f>
        <v>0</v>
      </c>
      <c r="G79">
        <f>Divisional!G59</f>
        <v>0</v>
      </c>
      <c r="H79">
        <f>Divisional!H59</f>
        <v>0</v>
      </c>
      <c r="I79">
        <f>Divisional!I59</f>
        <v>0</v>
      </c>
      <c r="J79">
        <f>Divisional!J59</f>
        <v>0</v>
      </c>
      <c r="K79">
        <f>Divisional!K59</f>
        <v>0</v>
      </c>
      <c r="L79">
        <f>Divisional!L59</f>
        <v>0</v>
      </c>
      <c r="M79">
        <f>Divisional!M59</f>
        <v>0</v>
      </c>
      <c r="N79">
        <f>Divisional!N59</f>
        <v>0</v>
      </c>
      <c r="O79">
        <f>Divisional!O59</f>
        <v>0</v>
      </c>
      <c r="P79">
        <f>Divisional!P59</f>
        <v>0</v>
      </c>
      <c r="Q79">
        <f>Divisional!Q59</f>
        <v>0</v>
      </c>
      <c r="R79">
        <f>Divisional!T59</f>
        <v>0</v>
      </c>
      <c r="S79">
        <f>Divisional!W59</f>
        <v>0</v>
      </c>
      <c r="T79">
        <f>Divisional!Z59</f>
        <v>0</v>
      </c>
      <c r="U79">
        <f>Divisional!AC59</f>
        <v>0</v>
      </c>
      <c r="V79">
        <f>Divisional!AF59</f>
        <v>0</v>
      </c>
      <c r="W79">
        <f>Divisional!AI59</f>
        <v>-45</v>
      </c>
      <c r="X79">
        <f>Divisional!AL59</f>
        <v>-70</v>
      </c>
      <c r="Y79">
        <f>Divisional!AO59</f>
        <v>-132</v>
      </c>
      <c r="Z79">
        <f>Divisional!AR59</f>
        <v>-160</v>
      </c>
      <c r="AA79">
        <f>Divisional!AU59</f>
        <v>-177</v>
      </c>
      <c r="AB79">
        <f>Divisional!AX59</f>
        <v>-140</v>
      </c>
      <c r="AC79" s="56">
        <f>Divisional!BA59</f>
        <v>-120</v>
      </c>
      <c r="AD79" s="56">
        <f>Divisional!BD59</f>
        <v>-90</v>
      </c>
      <c r="AE79" s="56">
        <f>Divisional!BG59</f>
        <v>-60</v>
      </c>
      <c r="AF79" s="56">
        <f>Divisional!BJ59</f>
        <v>-30</v>
      </c>
      <c r="AG79" s="56">
        <f>Divisional!BM59</f>
        <v>0</v>
      </c>
    </row>
    <row r="80" spans="1:35" ht="11.25" customHeight="1">
      <c r="A80" t="str">
        <f t="shared" si="64"/>
        <v>Other &amp; intra-segment</v>
      </c>
      <c r="B80">
        <f>Divisional!B67</f>
        <v>54</v>
      </c>
      <c r="C80">
        <f>Divisional!C67</f>
        <v>63</v>
      </c>
      <c r="D80">
        <f>Divisional!D67</f>
        <v>-12</v>
      </c>
      <c r="E80">
        <f>Divisional!E67</f>
        <v>-4</v>
      </c>
      <c r="F80">
        <f>Divisional!F67</f>
        <v>-48</v>
      </c>
      <c r="G80">
        <f>Divisional!G67</f>
        <v>-45</v>
      </c>
      <c r="H80">
        <f>Divisional!H67</f>
        <v>-47</v>
      </c>
      <c r="I80">
        <f>Divisional!I67</f>
        <v>-49</v>
      </c>
      <c r="J80">
        <f>Divisional!J67</f>
        <v>-51</v>
      </c>
      <c r="K80">
        <f>Divisional!K67</f>
        <v>-50</v>
      </c>
      <c r="L80">
        <f>Divisional!L67</f>
        <v>-50</v>
      </c>
      <c r="M80">
        <f>Divisional!M67</f>
        <v>-52</v>
      </c>
      <c r="N80">
        <f>Divisional!N67</f>
        <v>-65</v>
      </c>
      <c r="O80">
        <f>Divisional!O67</f>
        <v>-52</v>
      </c>
      <c r="P80">
        <f>Divisional!P67</f>
        <v>-68</v>
      </c>
      <c r="Q80">
        <f>Divisional!Q67</f>
        <v>8</v>
      </c>
      <c r="R80">
        <f>Divisional!T67</f>
        <v>-45</v>
      </c>
      <c r="S80">
        <f>Divisional!W67</f>
        <v>-62</v>
      </c>
      <c r="T80">
        <f>Divisional!Z67</f>
        <v>-55</v>
      </c>
      <c r="U80">
        <f>Divisional!AC67</f>
        <v>-16</v>
      </c>
      <c r="V80">
        <f>Divisional!AF67</f>
        <v>-117</v>
      </c>
      <c r="W80">
        <f>Divisional!AI67</f>
        <v>-77</v>
      </c>
      <c r="X80">
        <f>Divisional!AL67</f>
        <v>-43</v>
      </c>
      <c r="Y80">
        <f>Divisional!AO67</f>
        <v>-72</v>
      </c>
      <c r="Z80">
        <f>Divisional!AR67</f>
        <v>-75</v>
      </c>
      <c r="AA80">
        <f>Divisional!AU67</f>
        <v>-68</v>
      </c>
      <c r="AB80">
        <f>Divisional!AX67</f>
        <v>-69</v>
      </c>
      <c r="AC80" s="56">
        <f>Divisional!BA67</f>
        <v>-81.228666538890593</v>
      </c>
      <c r="AD80" s="56">
        <f>Divisional!BD67</f>
        <v>-91.7681398586124</v>
      </c>
      <c r="AE80" s="56">
        <f>Divisional!BG67</f>
        <v>-101.60049266688895</v>
      </c>
      <c r="AF80" s="56">
        <f>Divisional!BJ67</f>
        <v>-113.84740148952272</v>
      </c>
      <c r="AG80" s="56">
        <f>Divisional!BM67</f>
        <v>-127.51356594471105</v>
      </c>
    </row>
    <row r="81" spans="1:35" ht="11.25" customHeight="1">
      <c r="A81" t="str">
        <f t="shared" si="64"/>
        <v>Non-core businesses</v>
      </c>
      <c r="B81">
        <f>Divisional!B69</f>
        <v>0</v>
      </c>
      <c r="C81">
        <f>Divisional!C69</f>
        <v>0</v>
      </c>
      <c r="D81">
        <f>Divisional!D69</f>
        <v>0</v>
      </c>
      <c r="E81">
        <f>Divisional!E69</f>
        <v>0</v>
      </c>
      <c r="F81">
        <f>Divisional!F69</f>
        <v>0</v>
      </c>
      <c r="G81">
        <f>Divisional!G69</f>
        <v>0</v>
      </c>
      <c r="H81">
        <f>Divisional!H69</f>
        <v>0</v>
      </c>
      <c r="I81">
        <f>Divisional!I69</f>
        <v>0</v>
      </c>
      <c r="J81">
        <f>Divisional!J69</f>
        <v>0</v>
      </c>
      <c r="K81">
        <f>Divisional!K69</f>
        <v>0</v>
      </c>
      <c r="L81">
        <f>Divisional!L69</f>
        <v>0</v>
      </c>
      <c r="M81">
        <f>Divisional!M69</f>
        <v>0</v>
      </c>
      <c r="N81">
        <f>Divisional!N69</f>
        <v>0</v>
      </c>
      <c r="O81">
        <f>Divisional!O69</f>
        <v>0</v>
      </c>
      <c r="P81">
        <f>Divisional!P69</f>
        <v>0</v>
      </c>
      <c r="Q81">
        <f>Divisional!Q69</f>
        <v>0</v>
      </c>
      <c r="R81">
        <f>Divisional!T69</f>
        <v>0</v>
      </c>
      <c r="S81">
        <f>Divisional!W69</f>
        <v>0</v>
      </c>
      <c r="T81">
        <f>Divisional!Z69</f>
        <v>-11</v>
      </c>
      <c r="U81">
        <f>Divisional!AC69</f>
        <v>-17</v>
      </c>
      <c r="V81">
        <f>Divisional!AF69</f>
        <v>-2</v>
      </c>
      <c r="W81">
        <f>Divisional!AI69</f>
        <v>0</v>
      </c>
      <c r="X81">
        <f>Divisional!AL69</f>
        <v>0</v>
      </c>
      <c r="Y81">
        <f>Divisional!AO69</f>
        <v>0</v>
      </c>
      <c r="Z81">
        <f>Divisional!AR69</f>
        <v>0</v>
      </c>
      <c r="AA81">
        <f>Divisional!AU69</f>
        <v>0</v>
      </c>
      <c r="AB81">
        <f>Divisional!AX69</f>
        <v>0</v>
      </c>
      <c r="AC81" s="56">
        <f>Divisional!BA69</f>
        <v>0</v>
      </c>
      <c r="AD81" s="56">
        <f>Divisional!BD69</f>
        <v>0</v>
      </c>
      <c r="AE81" s="56">
        <f>Divisional!BG69</f>
        <v>0</v>
      </c>
      <c r="AF81" s="56">
        <f>Divisional!BJ69</f>
        <v>0</v>
      </c>
      <c r="AG81" s="56">
        <f>Divisional!BM69</f>
        <v>0</v>
      </c>
    </row>
    <row r="82" spans="1:35" ht="11.25" customHeight="1"/>
    <row r="83" spans="1:35" s="38" customFormat="1" ht="11.25" customHeight="1">
      <c r="A83" s="490" t="s">
        <v>933</v>
      </c>
      <c r="B83" s="489"/>
      <c r="C83" s="489"/>
      <c r="D83" s="489"/>
      <c r="E83" s="489"/>
      <c r="F83" s="489"/>
      <c r="G83" s="489"/>
      <c r="H83" s="489"/>
      <c r="I83" s="489"/>
      <c r="J83" s="489"/>
      <c r="K83" s="489"/>
      <c r="L83" s="489"/>
      <c r="M83" s="489"/>
      <c r="N83" s="489"/>
      <c r="O83" s="489"/>
      <c r="P83" s="489"/>
      <c r="Q83" s="489"/>
      <c r="R83" s="489"/>
      <c r="S83" s="489"/>
      <c r="T83" s="489"/>
      <c r="U83" s="1077"/>
      <c r="V83" s="1077"/>
      <c r="W83" s="1077"/>
      <c r="X83" s="1077"/>
      <c r="Y83" s="1077"/>
      <c r="Z83" s="1077"/>
      <c r="AA83" s="1077"/>
      <c r="AB83" s="1077"/>
      <c r="AC83" s="178"/>
      <c r="AD83" s="178"/>
      <c r="AE83" s="178"/>
      <c r="AF83" s="178"/>
      <c r="AG83" s="178"/>
      <c r="AH83" s="25"/>
      <c r="AI83" s="25"/>
    </row>
    <row r="84" spans="1:35" s="19" customFormat="1" ht="11.25" customHeight="1">
      <c r="A84" t="s">
        <v>8</v>
      </c>
      <c r="B84" s="54">
        <f>B76/B68</f>
        <v>0.10539682539682539</v>
      </c>
      <c r="C84" s="54">
        <f t="shared" ref="C84:AG86" si="65">C76/C68</f>
        <v>0.10078419982573338</v>
      </c>
      <c r="D84" s="54">
        <f t="shared" si="65"/>
        <v>5.4764512595837894E-2</v>
      </c>
      <c r="E84" s="54">
        <f t="shared" si="65"/>
        <v>4.8626577579806977E-2</v>
      </c>
      <c r="F84" s="54">
        <f t="shared" si="65"/>
        <v>6.3815789473684215E-2</v>
      </c>
      <c r="G84" s="54">
        <f t="shared" si="65"/>
        <v>0.13329418672930124</v>
      </c>
      <c r="H84" s="54">
        <f t="shared" si="65"/>
        <v>0.13283849500895828</v>
      </c>
      <c r="I84" s="54">
        <f t="shared" si="65"/>
        <v>0.13967310549777118</v>
      </c>
      <c r="J84" s="54">
        <f t="shared" si="65"/>
        <v>0.12572190137716571</v>
      </c>
      <c r="K84" s="54">
        <f t="shared" si="65"/>
        <v>0.11002008480249945</v>
      </c>
      <c r="L84" s="54">
        <f t="shared" si="65"/>
        <v>7.9690994104492777E-2</v>
      </c>
      <c r="M84" s="54">
        <f t="shared" si="65"/>
        <v>8.9554917444364682E-2</v>
      </c>
      <c r="N84" s="54">
        <f t="shared" si="65"/>
        <v>0.1154264408886127</v>
      </c>
      <c r="O84" s="54">
        <f t="shared" si="65"/>
        <v>0.12682193839218633</v>
      </c>
      <c r="P84" s="54">
        <f t="shared" si="65"/>
        <v>0.13777972795085563</v>
      </c>
      <c r="Q84" s="54">
        <f t="shared" si="65"/>
        <v>0.1171210154334343</v>
      </c>
      <c r="R84" s="54">
        <f t="shared" si="65"/>
        <v>5.1931512664496957E-2</v>
      </c>
      <c r="S84" s="54">
        <f t="shared" si="65"/>
        <v>6.4813660725414432E-2</v>
      </c>
      <c r="T84" s="54">
        <f t="shared" si="65"/>
        <v>-5.1985450136404973E-2</v>
      </c>
      <c r="U84" s="54">
        <f t="shared" si="65"/>
        <v>-2.1957169964760097E-2</v>
      </c>
      <c r="V84" s="54">
        <f t="shared" si="65"/>
        <v>5.4274084124830389E-3</v>
      </c>
      <c r="W84" s="54">
        <f t="shared" si="65"/>
        <v>-0.50019731649565902</v>
      </c>
      <c r="X84" s="54">
        <f t="shared" si="65"/>
        <v>-3.7918871252204583E-2</v>
      </c>
      <c r="Y84" s="54">
        <f t="shared" si="65"/>
        <v>2.5149489975378123E-2</v>
      </c>
      <c r="Z84" s="54">
        <f t="shared" si="65"/>
        <v>0.11567773543821448</v>
      </c>
      <c r="AA84" s="54">
        <f t="shared" si="65"/>
        <v>0.16648230088495575</v>
      </c>
      <c r="AB84" s="54">
        <f t="shared" si="65"/>
        <v>0.20516278173762281</v>
      </c>
      <c r="AC84" s="245">
        <f t="shared" si="65"/>
        <v>0.22911493295230315</v>
      </c>
      <c r="AD84" s="245">
        <f t="shared" si="65"/>
        <v>0.23022462375258479</v>
      </c>
      <c r="AE84" s="245">
        <f t="shared" si="65"/>
        <v>0.24024802542811396</v>
      </c>
      <c r="AF84" s="245">
        <f t="shared" si="65"/>
        <v>0.25142994034895111</v>
      </c>
      <c r="AG84" s="245">
        <f t="shared" si="65"/>
        <v>0.26132615996894587</v>
      </c>
      <c r="AH84"/>
      <c r="AI84"/>
    </row>
    <row r="85" spans="1:35" s="19" customFormat="1" ht="11.25" customHeight="1">
      <c r="A85" t="s">
        <v>670</v>
      </c>
      <c r="B85" s="54">
        <f>B77/B69</f>
        <v>0.1097647897362794</v>
      </c>
      <c r="C85" s="54">
        <f t="shared" si="65"/>
        <v>0.125</v>
      </c>
      <c r="D85" s="54">
        <f t="shared" si="65"/>
        <v>0.13299418604651161</v>
      </c>
      <c r="E85" s="54">
        <f t="shared" si="65"/>
        <v>0.10515021459227468</v>
      </c>
      <c r="F85" s="54">
        <f t="shared" si="65"/>
        <v>0.13027656477438138</v>
      </c>
      <c r="G85" s="54">
        <f t="shared" si="65"/>
        <v>0.12676056338028169</v>
      </c>
      <c r="H85" s="54">
        <f t="shared" si="65"/>
        <v>0.12054965646470955</v>
      </c>
      <c r="I85" s="54">
        <f t="shared" si="65"/>
        <v>0.11894799760908548</v>
      </c>
      <c r="J85" s="54">
        <f t="shared" si="65"/>
        <v>0.13226571767497033</v>
      </c>
      <c r="K85" s="54">
        <f t="shared" si="65"/>
        <v>0.12587064676616916</v>
      </c>
      <c r="L85" s="54">
        <f t="shared" si="65"/>
        <v>0.14554875176636833</v>
      </c>
      <c r="M85" s="54">
        <f t="shared" si="65"/>
        <v>0.16823266219239374</v>
      </c>
      <c r="N85" s="54">
        <f t="shared" si="65"/>
        <v>0.16342573438146463</v>
      </c>
      <c r="O85" s="54">
        <f t="shared" si="65"/>
        <v>0.1690467001157854</v>
      </c>
      <c r="P85" s="54">
        <f t="shared" si="65"/>
        <v>0.17689705171580475</v>
      </c>
      <c r="Q85" s="54">
        <f t="shared" si="65"/>
        <v>0.19312039312039311</v>
      </c>
      <c r="R85" s="54">
        <f t="shared" si="65"/>
        <v>0.17383431416930739</v>
      </c>
      <c r="S85" s="54">
        <f t="shared" si="65"/>
        <v>0.16439560439560438</v>
      </c>
      <c r="T85" s="54">
        <f t="shared" si="65"/>
        <v>0.14276729559748427</v>
      </c>
      <c r="U85" s="54">
        <f t="shared" si="65"/>
        <v>0.13668373879641485</v>
      </c>
      <c r="V85" s="54">
        <f t="shared" si="65"/>
        <v>0.12769230769230769</v>
      </c>
      <c r="W85" s="54">
        <f t="shared" si="65"/>
        <v>0.13740685543964232</v>
      </c>
      <c r="X85" s="54">
        <f t="shared" si="65"/>
        <v>0.13568883610451307</v>
      </c>
      <c r="Y85" s="54">
        <f t="shared" si="65"/>
        <v>0.11803278688524591</v>
      </c>
      <c r="Z85" s="54">
        <f t="shared" si="65"/>
        <v>0.13784645572725043</v>
      </c>
      <c r="AA85" s="54">
        <f t="shared" si="65"/>
        <v>0.14241486068111456</v>
      </c>
      <c r="AB85" s="54">
        <f t="shared" si="65"/>
        <v>0.14438390611902766</v>
      </c>
      <c r="AC85" s="245">
        <f t="shared" si="65"/>
        <v>0.19538775039559786</v>
      </c>
      <c r="AD85" s="245">
        <f t="shared" si="65"/>
        <v>0.18536471764785459</v>
      </c>
      <c r="AE85" s="245">
        <f t="shared" si="65"/>
        <v>0.19034298770308902</v>
      </c>
      <c r="AF85" s="245">
        <f t="shared" si="65"/>
        <v>0.19532249241116836</v>
      </c>
      <c r="AG85" s="245">
        <f t="shared" si="65"/>
        <v>0.20030316667905435</v>
      </c>
      <c r="AH85"/>
      <c r="AI85"/>
    </row>
    <row r="86" spans="1:35" s="19" customFormat="1" ht="11.25" customHeight="1">
      <c r="A86" t="s">
        <v>10</v>
      </c>
      <c r="B86" s="54"/>
      <c r="C86" s="54"/>
      <c r="D86" s="54"/>
      <c r="E86" s="54"/>
      <c r="F86" s="54"/>
      <c r="G86" s="54"/>
      <c r="H86" s="54"/>
      <c r="I86" s="54"/>
      <c r="J86" s="54"/>
      <c r="K86" s="54"/>
      <c r="L86" s="54"/>
      <c r="M86" s="54">
        <f t="shared" si="65"/>
        <v>0.24169184290030213</v>
      </c>
      <c r="N86" s="54">
        <f t="shared" si="65"/>
        <v>0.37979094076655051</v>
      </c>
      <c r="O86" s="54">
        <f t="shared" si="65"/>
        <v>0.10385022960084776</v>
      </c>
      <c r="P86" s="54">
        <f t="shared" si="65"/>
        <v>9.3014705882352944E-2</v>
      </c>
      <c r="Q86" s="54">
        <f t="shared" si="65"/>
        <v>8.1341719077568139E-2</v>
      </c>
      <c r="R86" s="54">
        <f t="shared" si="65"/>
        <v>7.1939736346516014E-2</v>
      </c>
      <c r="S86" s="54">
        <f t="shared" si="65"/>
        <v>0.11289770783441669</v>
      </c>
      <c r="T86" s="54">
        <f t="shared" si="65"/>
        <v>8.6768617021276598E-2</v>
      </c>
      <c r="U86" s="54">
        <f t="shared" si="65"/>
        <v>9.0987370838117101E-2</v>
      </c>
      <c r="V86" s="54">
        <f t="shared" si="65"/>
        <v>0.10070521861777151</v>
      </c>
      <c r="W86" s="54">
        <f t="shared" si="65"/>
        <v>6.873857404021938E-2</v>
      </c>
      <c r="X86" s="54">
        <f t="shared" si="65"/>
        <v>8.8032011640596583E-2</v>
      </c>
      <c r="Y86" s="54">
        <f t="shared" si="65"/>
        <v>8.3955781296683601E-2</v>
      </c>
      <c r="Z86" s="54">
        <f t="shared" si="65"/>
        <v>0.10408266129032258</v>
      </c>
      <c r="AA86" s="54">
        <f t="shared" si="65"/>
        <v>0.1311168344649965</v>
      </c>
      <c r="AB86" s="54">
        <f t="shared" si="65"/>
        <v>0.17416189697465248</v>
      </c>
      <c r="AC86" s="245">
        <f t="shared" si="65"/>
        <v>0.2120538592627815</v>
      </c>
      <c r="AD86" s="245">
        <f t="shared" si="65"/>
        <v>0.21921030338093131</v>
      </c>
      <c r="AE86" s="245">
        <f t="shared" si="65"/>
        <v>0.22641817366041336</v>
      </c>
      <c r="AF86" s="245">
        <f t="shared" si="65"/>
        <v>0.23367220874720443</v>
      </c>
      <c r="AG86" s="245">
        <f t="shared" si="65"/>
        <v>0.24096557673500413</v>
      </c>
      <c r="AH86"/>
      <c r="AI86"/>
    </row>
    <row r="87" spans="1:35" s="19" customFormat="1">
      <c r="A87"/>
      <c r="B87" s="177"/>
      <c r="C87" s="177"/>
      <c r="D87" s="177"/>
      <c r="E87" s="177"/>
      <c r="F87" s="177"/>
      <c r="G87" s="177"/>
      <c r="H87" s="177"/>
      <c r="I87" s="177"/>
      <c r="J87" s="177"/>
      <c r="K87" s="177"/>
      <c r="L87" s="177"/>
      <c r="M87" s="177"/>
      <c r="N87" s="177"/>
      <c r="O87" s="177"/>
      <c r="P87" s="177"/>
      <c r="Q87" s="177"/>
      <c r="R87" s="177"/>
      <c r="S87" s="177"/>
      <c r="T87" s="177"/>
      <c r="U87" s="177"/>
      <c r="V87" s="177"/>
      <c r="W87" s="177"/>
      <c r="X87" s="177"/>
      <c r="Y87" s="177"/>
      <c r="Z87" s="177"/>
      <c r="AA87" s="177"/>
      <c r="AB87" s="177"/>
      <c r="AC87" s="183"/>
      <c r="AD87" s="183"/>
      <c r="AE87" s="183"/>
      <c r="AF87" s="183"/>
      <c r="AG87" s="183"/>
      <c r="AH87"/>
      <c r="AI87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8">
    <tabColor theme="4"/>
    <pageSetUpPr fitToPage="1"/>
  </sheetPr>
  <dimension ref="A1:BX101"/>
  <sheetViews>
    <sheetView showGridLines="0" workbookViewId="0">
      <pane xSplit="1" ySplit="2" topLeftCell="Z3" activePane="bottomRight" state="frozen"/>
      <selection sqref="A1:XFD1048576"/>
      <selection pane="topRight" sqref="A1:XFD1048576"/>
      <selection pane="bottomLeft" sqref="A1:XFD1048576"/>
      <selection pane="bottomRight" sqref="A1:XFD1048576"/>
    </sheetView>
  </sheetViews>
  <sheetFormatPr defaultColWidth="9.140625" defaultRowHeight="10.199999999999999" outlineLevelRow="1" outlineLevelCol="1"/>
  <cols>
    <col min="1" max="1" width="44.28515625" style="25" bestFit="1" customWidth="1"/>
    <col min="2" max="25" width="9.140625" style="25" hidden="1" customWidth="1" outlineLevel="1"/>
    <col min="26" max="26" width="9.140625" style="25" collapsed="1"/>
    <col min="27" max="28" width="9.140625" style="25" hidden="1" customWidth="1" outlineLevel="1"/>
    <col min="29" max="29" width="9.140625" style="25" collapsed="1"/>
    <col min="30" max="31" width="9.140625" style="25" hidden="1" customWidth="1" outlineLevel="1"/>
    <col min="32" max="32" width="9.140625" style="25" collapsed="1"/>
    <col min="33" max="34" width="9.140625" style="25" hidden="1" customWidth="1" outlineLevel="1"/>
    <col min="35" max="35" width="9.140625" style="25" collapsed="1"/>
    <col min="36" max="37" width="9.140625" style="25" hidden="1" customWidth="1" outlineLevel="1"/>
    <col min="38" max="38" width="9.140625" style="25" collapsed="1"/>
    <col min="39" max="40" width="9.140625" style="25" hidden="1" customWidth="1" outlineLevel="1"/>
    <col min="41" max="41" width="9.140625" style="25" collapsed="1"/>
    <col min="42" max="43" width="9.140625" style="25" hidden="1" customWidth="1" outlineLevel="1"/>
    <col min="44" max="44" width="9.140625" style="25" collapsed="1"/>
    <col min="45" max="46" width="9.140625" style="25" hidden="1" customWidth="1" outlineLevel="1"/>
    <col min="47" max="47" width="9.140625" style="25" collapsed="1"/>
    <col min="48" max="49" width="9.140625" style="25" hidden="1" customWidth="1" outlineLevel="1"/>
    <col min="50" max="50" width="9.140625" style="25" collapsed="1"/>
    <col min="51" max="52" width="9.140625" style="25" hidden="1" customWidth="1" outlineLevel="1"/>
    <col min="53" max="53" width="9.140625" style="25" collapsed="1"/>
    <col min="54" max="55" width="9.140625" style="25" hidden="1" customWidth="1" outlineLevel="1"/>
    <col min="56" max="56" width="9.140625" style="25" collapsed="1"/>
    <col min="57" max="58" width="9.140625" style="25" hidden="1" customWidth="1" outlineLevel="1"/>
    <col min="59" max="59" width="9.140625" style="25" collapsed="1"/>
    <col min="60" max="61" width="9.140625" style="25" hidden="1" customWidth="1" outlineLevel="1"/>
    <col min="62" max="62" width="9.140625" style="25" collapsed="1"/>
    <col min="63" max="64" width="9.140625" style="25" hidden="1" customWidth="1" outlineLevel="1"/>
    <col min="65" max="65" width="9.140625" style="25" collapsed="1"/>
    <col min="66" max="16384" width="9.140625" style="25"/>
  </cols>
  <sheetData>
    <row r="1" spans="1:72">
      <c r="A1" s="305" t="s">
        <v>1</v>
      </c>
      <c r="B1" s="306">
        <v>2000</v>
      </c>
      <c r="C1" s="306">
        <f>B1+1</f>
        <v>2001</v>
      </c>
      <c r="D1" s="306">
        <f t="shared" ref="D1:J1" si="0">C1+1</f>
        <v>2002</v>
      </c>
      <c r="E1" s="306">
        <f t="shared" si="0"/>
        <v>2003</v>
      </c>
      <c r="F1" s="306">
        <f t="shared" si="0"/>
        <v>2004</v>
      </c>
      <c r="G1" s="306">
        <f t="shared" si="0"/>
        <v>2005</v>
      </c>
      <c r="H1" s="306">
        <f t="shared" si="0"/>
        <v>2006</v>
      </c>
      <c r="I1" s="306">
        <f t="shared" si="0"/>
        <v>2007</v>
      </c>
      <c r="J1" s="306">
        <f t="shared" si="0"/>
        <v>2008</v>
      </c>
      <c r="K1" s="306">
        <v>2009</v>
      </c>
      <c r="L1" s="306">
        <f>K1+1</f>
        <v>2010</v>
      </c>
      <c r="M1" s="306">
        <f>L1+1</f>
        <v>2011</v>
      </c>
      <c r="N1" s="306">
        <f>M1+1</f>
        <v>2012</v>
      </c>
      <c r="O1" s="306">
        <f>N1+1</f>
        <v>2013</v>
      </c>
      <c r="P1" s="306">
        <v>2014</v>
      </c>
      <c r="Q1" s="306">
        <f>P1+1</f>
        <v>2015</v>
      </c>
      <c r="R1" s="313" t="s">
        <v>616</v>
      </c>
      <c r="S1" s="314" t="s">
        <v>617</v>
      </c>
      <c r="T1" s="548">
        <f>Q1+1</f>
        <v>2016</v>
      </c>
      <c r="U1" s="313" t="s">
        <v>618</v>
      </c>
      <c r="V1" s="314" t="s">
        <v>683</v>
      </c>
      <c r="W1" s="548">
        <f>T1+1</f>
        <v>2017</v>
      </c>
      <c r="X1" s="313" t="s">
        <v>618</v>
      </c>
      <c r="Y1" s="314" t="s">
        <v>683</v>
      </c>
      <c r="Z1" s="548">
        <f>T1+1</f>
        <v>2017</v>
      </c>
      <c r="AA1" s="313" t="s">
        <v>697</v>
      </c>
      <c r="AB1" s="314" t="s">
        <v>755</v>
      </c>
      <c r="AC1" s="548">
        <f>Z1+1</f>
        <v>2018</v>
      </c>
      <c r="AD1" s="313" t="s">
        <v>757</v>
      </c>
      <c r="AE1" s="314" t="s">
        <v>793</v>
      </c>
      <c r="AF1" s="548">
        <f t="shared" ref="AF1" si="1">AC1+1</f>
        <v>2019</v>
      </c>
      <c r="AG1" s="313" t="s">
        <v>794</v>
      </c>
      <c r="AH1" s="314" t="s">
        <v>798</v>
      </c>
      <c r="AI1" s="548">
        <f>AF1+1</f>
        <v>2020</v>
      </c>
      <c r="AJ1" s="313" t="s">
        <v>801</v>
      </c>
      <c r="AK1" s="314" t="s">
        <v>802</v>
      </c>
      <c r="AL1" s="548">
        <f>AI1+1</f>
        <v>2021</v>
      </c>
      <c r="AM1" s="313" t="s">
        <v>822</v>
      </c>
      <c r="AN1" s="314" t="s">
        <v>823</v>
      </c>
      <c r="AO1" s="548">
        <f>AL1+1</f>
        <v>2022</v>
      </c>
      <c r="AP1" s="313" t="s">
        <v>929</v>
      </c>
      <c r="AQ1" s="314" t="s">
        <v>930</v>
      </c>
      <c r="AR1" s="548">
        <f>AO1+1</f>
        <v>2023</v>
      </c>
      <c r="AS1" s="313" t="s">
        <v>989</v>
      </c>
      <c r="AT1" s="314" t="s">
        <v>990</v>
      </c>
      <c r="AU1" s="548">
        <f>AR1+1</f>
        <v>2024</v>
      </c>
      <c r="AV1" s="313" t="s">
        <v>1035</v>
      </c>
      <c r="AW1" s="314" t="s">
        <v>1036</v>
      </c>
      <c r="AX1" s="548">
        <f>AU1+1</f>
        <v>2025</v>
      </c>
      <c r="AY1" s="313" t="s">
        <v>1044</v>
      </c>
      <c r="AZ1" s="538" t="s">
        <v>844</v>
      </c>
      <c r="BA1" s="572">
        <f>AX1+1</f>
        <v>2026</v>
      </c>
      <c r="BB1" s="537" t="s">
        <v>845</v>
      </c>
      <c r="BC1" s="538" t="s">
        <v>846</v>
      </c>
      <c r="BD1" s="572">
        <f>BA1+1</f>
        <v>2027</v>
      </c>
      <c r="BE1" s="537" t="s">
        <v>847</v>
      </c>
      <c r="BF1" s="538" t="s">
        <v>848</v>
      </c>
      <c r="BG1" s="572">
        <f>BD1+1</f>
        <v>2028</v>
      </c>
      <c r="BH1" s="537" t="s">
        <v>849</v>
      </c>
      <c r="BI1" s="538" t="s">
        <v>850</v>
      </c>
      <c r="BJ1" s="572">
        <f>BG1+1</f>
        <v>2029</v>
      </c>
      <c r="BK1" s="537" t="s">
        <v>851</v>
      </c>
      <c r="BL1" s="538" t="s">
        <v>852</v>
      </c>
      <c r="BM1" s="572">
        <f>BJ1+1</f>
        <v>2030</v>
      </c>
    </row>
    <row r="2" spans="1:72">
      <c r="A2" s="305" t="s">
        <v>0</v>
      </c>
      <c r="B2" s="308" t="s">
        <v>223</v>
      </c>
      <c r="C2" s="308" t="s">
        <v>223</v>
      </c>
      <c r="D2" s="308" t="s">
        <v>223</v>
      </c>
      <c r="E2" s="308" t="s">
        <v>223</v>
      </c>
      <c r="F2" s="308" t="s">
        <v>571</v>
      </c>
      <c r="G2" s="308" t="s">
        <v>571</v>
      </c>
      <c r="H2" s="308" t="s">
        <v>571</v>
      </c>
      <c r="I2" s="308" t="s">
        <v>571</v>
      </c>
      <c r="J2" s="308" t="s">
        <v>571</v>
      </c>
      <c r="K2" s="308" t="s">
        <v>571</v>
      </c>
      <c r="L2" s="308" t="s">
        <v>571</v>
      </c>
      <c r="M2" s="308" t="s">
        <v>571</v>
      </c>
      <c r="N2" s="308" t="s">
        <v>571</v>
      </c>
      <c r="O2" s="308" t="s">
        <v>571</v>
      </c>
      <c r="P2" s="308" t="s">
        <v>571</v>
      </c>
      <c r="Q2" s="308" t="s">
        <v>571</v>
      </c>
      <c r="R2" s="308" t="s">
        <v>571</v>
      </c>
      <c r="S2" s="562" t="s">
        <v>571</v>
      </c>
      <c r="T2" s="568" t="s">
        <v>571</v>
      </c>
      <c r="U2" s="308" t="s">
        <v>571</v>
      </c>
      <c r="V2" s="562" t="s">
        <v>571</v>
      </c>
      <c r="W2" s="568" t="s">
        <v>571</v>
      </c>
      <c r="X2" s="308" t="s">
        <v>625</v>
      </c>
      <c r="Y2" s="562" t="s">
        <v>625</v>
      </c>
      <c r="Z2" s="549" t="s">
        <v>625</v>
      </c>
      <c r="AA2" s="309" t="s">
        <v>625</v>
      </c>
      <c r="AB2" s="315" t="s">
        <v>625</v>
      </c>
      <c r="AC2" s="549" t="s">
        <v>625</v>
      </c>
      <c r="AD2" s="309" t="s">
        <v>625</v>
      </c>
      <c r="AE2" s="315" t="s">
        <v>625</v>
      </c>
      <c r="AF2" s="549" t="s">
        <v>625</v>
      </c>
      <c r="AG2" s="309" t="s">
        <v>625</v>
      </c>
      <c r="AH2" s="315" t="s">
        <v>625</v>
      </c>
      <c r="AI2" s="549" t="s">
        <v>625</v>
      </c>
      <c r="AJ2" s="309" t="s">
        <v>625</v>
      </c>
      <c r="AK2" s="315" t="s">
        <v>625</v>
      </c>
      <c r="AL2" s="549" t="s">
        <v>625</v>
      </c>
      <c r="AM2" s="309" t="s">
        <v>625</v>
      </c>
      <c r="AN2" s="315" t="s">
        <v>625</v>
      </c>
      <c r="AO2" s="549" t="s">
        <v>625</v>
      </c>
      <c r="AP2" s="309" t="s">
        <v>625</v>
      </c>
      <c r="AQ2" s="315" t="s">
        <v>625</v>
      </c>
      <c r="AR2" s="549" t="s">
        <v>625</v>
      </c>
      <c r="AS2" s="309" t="s">
        <v>625</v>
      </c>
      <c r="AT2" s="315" t="s">
        <v>625</v>
      </c>
      <c r="AU2" s="549" t="s">
        <v>625</v>
      </c>
      <c r="AV2" s="309" t="s">
        <v>625</v>
      </c>
      <c r="AW2" s="315" t="s">
        <v>625</v>
      </c>
      <c r="AX2" s="549" t="s">
        <v>625</v>
      </c>
      <c r="AY2" s="309" t="s">
        <v>625</v>
      </c>
      <c r="AZ2" s="212" t="s">
        <v>625</v>
      </c>
      <c r="BA2" s="573" t="s">
        <v>625</v>
      </c>
      <c r="BB2" s="195" t="s">
        <v>625</v>
      </c>
      <c r="BC2" s="212" t="s">
        <v>625</v>
      </c>
      <c r="BD2" s="573" t="s">
        <v>625</v>
      </c>
      <c r="BE2" s="195" t="s">
        <v>625</v>
      </c>
      <c r="BF2" s="212" t="s">
        <v>625</v>
      </c>
      <c r="BG2" s="573" t="s">
        <v>625</v>
      </c>
      <c r="BH2" s="195" t="s">
        <v>625</v>
      </c>
      <c r="BI2" s="212" t="s">
        <v>625</v>
      </c>
      <c r="BJ2" s="573" t="s">
        <v>625</v>
      </c>
      <c r="BK2" s="195" t="s">
        <v>625</v>
      </c>
      <c r="BL2" s="212" t="s">
        <v>625</v>
      </c>
      <c r="BM2" s="573" t="s">
        <v>625</v>
      </c>
      <c r="BO2" s="31"/>
    </row>
    <row r="3" spans="1:72" customFormat="1">
      <c r="S3" s="539"/>
      <c r="T3" s="550"/>
      <c r="V3" s="539"/>
      <c r="W3" s="550"/>
      <c r="Y3" s="539"/>
      <c r="Z3" s="550"/>
      <c r="AB3" s="539"/>
      <c r="AC3" s="550"/>
      <c r="AE3" s="539"/>
      <c r="AF3" s="550"/>
      <c r="AH3" s="539"/>
      <c r="AI3" s="550"/>
      <c r="AK3" s="539"/>
      <c r="AL3" s="550"/>
      <c r="AN3" s="539"/>
      <c r="AO3" s="550"/>
      <c r="AQ3" s="539"/>
      <c r="AR3" s="550"/>
      <c r="AT3" s="539"/>
      <c r="AU3" s="550"/>
      <c r="AW3" s="539"/>
      <c r="AX3" s="550"/>
      <c r="AZ3" s="539"/>
      <c r="BA3" s="550"/>
      <c r="BC3" s="539"/>
      <c r="BD3" s="550"/>
      <c r="BF3" s="539"/>
      <c r="BG3" s="550"/>
      <c r="BI3" s="539"/>
      <c r="BJ3" s="550"/>
      <c r="BL3" s="539"/>
      <c r="BM3" s="550"/>
    </row>
    <row r="4" spans="1:72">
      <c r="A4" s="310" t="s">
        <v>275</v>
      </c>
      <c r="B4" s="311"/>
      <c r="C4" s="311"/>
      <c r="D4" s="311"/>
      <c r="E4" s="311"/>
      <c r="F4" s="311"/>
      <c r="G4" s="311"/>
      <c r="H4" s="311"/>
      <c r="I4" s="311"/>
      <c r="J4" s="311"/>
      <c r="K4" s="311"/>
      <c r="L4" s="311"/>
      <c r="M4" s="311"/>
      <c r="N4" s="311"/>
      <c r="O4" s="311"/>
      <c r="P4" s="311"/>
      <c r="Q4" s="311"/>
      <c r="R4" s="307"/>
      <c r="S4" s="316"/>
      <c r="T4" s="566"/>
      <c r="U4" s="307"/>
      <c r="V4" s="316"/>
      <c r="W4" s="551"/>
      <c r="X4" s="525"/>
      <c r="Y4" s="317"/>
      <c r="Z4" s="551"/>
      <c r="AA4" s="525"/>
      <c r="AB4" s="317"/>
      <c r="AC4" s="551"/>
      <c r="AD4" s="525"/>
      <c r="AE4" s="317"/>
      <c r="AF4" s="551"/>
      <c r="AG4" s="525"/>
      <c r="AH4" s="317"/>
      <c r="AI4" s="551"/>
      <c r="AJ4" s="525"/>
      <c r="AK4" s="317"/>
      <c r="AL4" s="551"/>
      <c r="AM4" s="525"/>
      <c r="AN4" s="317"/>
      <c r="AO4" s="551"/>
      <c r="AP4" s="525"/>
      <c r="AQ4" s="317"/>
      <c r="AR4" s="551"/>
      <c r="AS4" s="525"/>
      <c r="AT4" s="317"/>
      <c r="AU4" s="551"/>
      <c r="AV4" s="525"/>
      <c r="AW4" s="317"/>
      <c r="AX4" s="551"/>
      <c r="AY4" s="525"/>
      <c r="AZ4" s="215"/>
      <c r="BA4" s="574"/>
      <c r="BB4" s="179"/>
      <c r="BC4" s="215"/>
      <c r="BD4" s="574"/>
      <c r="BE4" s="179"/>
      <c r="BF4" s="215"/>
      <c r="BG4" s="574"/>
      <c r="BH4" s="179"/>
      <c r="BI4" s="215"/>
      <c r="BJ4" s="574"/>
      <c r="BK4" s="179"/>
      <c r="BL4" s="215"/>
      <c r="BM4" s="574"/>
    </row>
    <row r="5" spans="1:72" customFormat="1">
      <c r="S5" s="539"/>
      <c r="T5" s="550"/>
      <c r="V5" s="539"/>
      <c r="W5" s="550"/>
      <c r="Y5" s="539"/>
      <c r="Z5" s="552" t="s">
        <v>675</v>
      </c>
      <c r="AA5" s="184"/>
      <c r="AB5" s="232"/>
      <c r="AC5" s="552"/>
      <c r="AD5" s="184"/>
      <c r="AE5" s="232"/>
      <c r="AF5" s="552"/>
      <c r="AG5" s="184"/>
      <c r="AH5" s="232"/>
      <c r="AI5" s="552"/>
      <c r="AJ5" s="184"/>
      <c r="AK5" s="232"/>
      <c r="AL5" s="552"/>
      <c r="AM5" s="184"/>
      <c r="AN5" s="232"/>
      <c r="AO5" s="552"/>
      <c r="AP5" s="184"/>
      <c r="AQ5" s="540"/>
      <c r="AR5" s="575"/>
      <c r="AS5" s="5"/>
      <c r="AT5" s="540"/>
      <c r="AU5" s="575"/>
      <c r="AV5" s="5"/>
      <c r="AW5" s="540"/>
      <c r="AX5" s="575"/>
      <c r="AY5" s="5"/>
      <c r="AZ5" s="540"/>
      <c r="BA5" s="575"/>
      <c r="BB5" s="5"/>
      <c r="BC5" s="540"/>
      <c r="BD5" s="575"/>
      <c r="BE5" s="5"/>
      <c r="BF5" s="540"/>
      <c r="BG5" s="575"/>
      <c r="BH5" s="5"/>
      <c r="BI5" s="540"/>
      <c r="BJ5" s="575"/>
      <c r="BK5" s="5"/>
      <c r="BL5" s="540"/>
      <c r="BM5" s="575"/>
    </row>
    <row r="6" spans="1:72" customFormat="1">
      <c r="A6" s="2" t="s">
        <v>8</v>
      </c>
      <c r="B6" s="27">
        <v>3150</v>
      </c>
      <c r="C6" s="27">
        <v>3443</v>
      </c>
      <c r="D6" s="27">
        <v>2739</v>
      </c>
      <c r="E6" s="27">
        <v>2694</v>
      </c>
      <c r="F6" s="27">
        <v>3040</v>
      </c>
      <c r="G6" s="27">
        <v>3406</v>
      </c>
      <c r="H6" s="27">
        <v>3907</v>
      </c>
      <c r="I6" s="27">
        <v>4038</v>
      </c>
      <c r="J6" s="27">
        <v>4502</v>
      </c>
      <c r="K6" s="27">
        <v>4481</v>
      </c>
      <c r="L6" s="27">
        <v>4919</v>
      </c>
      <c r="M6" s="27">
        <v>5572</v>
      </c>
      <c r="N6" s="27">
        <v>6437</v>
      </c>
      <c r="O6" s="27">
        <v>6655</v>
      </c>
      <c r="P6" s="27">
        <v>6837</v>
      </c>
      <c r="Q6" s="27">
        <v>6933</v>
      </c>
      <c r="R6" s="27">
        <v>3171</v>
      </c>
      <c r="S6" s="218">
        <f>T6-R6</f>
        <v>3896</v>
      </c>
      <c r="T6" s="553">
        <v>7067</v>
      </c>
      <c r="U6" s="27">
        <v>3676</v>
      </c>
      <c r="V6" s="218">
        <f>W6-U6</f>
        <v>4347</v>
      </c>
      <c r="W6" s="553">
        <v>8023</v>
      </c>
      <c r="X6" s="27">
        <v>2858</v>
      </c>
      <c r="Y6" s="218">
        <f>Z6-X6</f>
        <v>3740</v>
      </c>
      <c r="Z6" s="553">
        <v>6598</v>
      </c>
      <c r="AA6" s="27">
        <v>3600</v>
      </c>
      <c r="AB6" s="218">
        <f>AC6-AA6</f>
        <v>3778</v>
      </c>
      <c r="AC6" s="553">
        <v>7378</v>
      </c>
      <c r="AD6" s="27">
        <v>4018</v>
      </c>
      <c r="AE6" s="218">
        <f>AF6-AD6</f>
        <v>4089</v>
      </c>
      <c r="AF6" s="553">
        <v>8107</v>
      </c>
      <c r="AG6" s="27">
        <v>2516</v>
      </c>
      <c r="AH6" s="218">
        <f>AI6-AG6</f>
        <v>2552</v>
      </c>
      <c r="AI6" s="553">
        <v>5068</v>
      </c>
      <c r="AJ6" s="27">
        <v>2168</v>
      </c>
      <c r="AK6" s="218">
        <f>AL6-AJ6</f>
        <v>2368</v>
      </c>
      <c r="AL6" s="553">
        <v>4536</v>
      </c>
      <c r="AM6" s="27">
        <v>2339</v>
      </c>
      <c r="AN6" s="218">
        <f>AO6-AM6</f>
        <v>3347</v>
      </c>
      <c r="AO6" s="553">
        <v>5686</v>
      </c>
      <c r="AP6" s="27">
        <v>3257</v>
      </c>
      <c r="AQ6" s="218">
        <f>AR6-AP6</f>
        <v>4091</v>
      </c>
      <c r="AR6" s="553">
        <v>7348</v>
      </c>
      <c r="AS6" s="27">
        <v>4119</v>
      </c>
      <c r="AT6" s="218">
        <f>AU6-AS6</f>
        <v>4921</v>
      </c>
      <c r="AU6" s="553">
        <v>9040</v>
      </c>
      <c r="AV6" s="27">
        <v>4786</v>
      </c>
      <c r="AW6" s="218">
        <f>AX6-AV6</f>
        <v>5596</v>
      </c>
      <c r="AX6" s="553">
        <v>10382</v>
      </c>
      <c r="AY6" s="27">
        <v>6186</v>
      </c>
      <c r="AZ6" s="237">
        <f>Civil!AZ4</f>
        <v>6422.3807416776781</v>
      </c>
      <c r="BA6" s="576">
        <f>Civil!BA4</f>
        <v>12608.38074167768</v>
      </c>
      <c r="BB6" s="48">
        <f>Civil!BB4</f>
        <v>7144.2040314168735</v>
      </c>
      <c r="BC6" s="237">
        <f>Civil!BC4</f>
        <v>7033.7320864970361</v>
      </c>
      <c r="BD6" s="576">
        <f>Civil!BD4</f>
        <v>14177.936117913907</v>
      </c>
      <c r="BE6" s="48">
        <f>Civil!BE4</f>
        <v>7578.9998100369367</v>
      </c>
      <c r="BF6" s="237">
        <f>Civil!BF4</f>
        <v>7664.5941613497134</v>
      </c>
      <c r="BG6" s="576">
        <f>Civil!BG4</f>
        <v>15243.59397138665</v>
      </c>
      <c r="BH6" s="48">
        <f>Civil!BH4</f>
        <v>8316.2973044463834</v>
      </c>
      <c r="BI6" s="237">
        <f>Civil!BI4</f>
        <v>8341.5164581104546</v>
      </c>
      <c r="BJ6" s="576">
        <f>Civil!BJ4</f>
        <v>16657.813762556834</v>
      </c>
      <c r="BK6" s="48">
        <f>Civil!BK4</f>
        <v>9067.8072674829709</v>
      </c>
      <c r="BL6" s="237">
        <f>Civil!BL4</f>
        <v>8976.8432550854741</v>
      </c>
      <c r="BM6" s="576">
        <f>Civil!BM4</f>
        <v>18044.650522568445</v>
      </c>
      <c r="BN6" s="176"/>
      <c r="BP6" s="176"/>
      <c r="BT6" s="15"/>
    </row>
    <row r="7" spans="1:72" customFormat="1">
      <c r="A7" s="185" t="s">
        <v>61</v>
      </c>
      <c r="B7" s="10"/>
      <c r="C7" s="186">
        <f>C6/B6-1</f>
        <v>9.3015873015872996E-2</v>
      </c>
      <c r="D7" s="186">
        <f t="shared" ref="D7:Q7" si="2">D6/C6-1</f>
        <v>-0.20447284345047922</v>
      </c>
      <c r="E7" s="186">
        <f t="shared" si="2"/>
        <v>-1.6429353778751321E-2</v>
      </c>
      <c r="F7" s="186">
        <f t="shared" si="2"/>
        <v>0.12843355605048257</v>
      </c>
      <c r="G7" s="186">
        <f t="shared" si="2"/>
        <v>0.12039473684210522</v>
      </c>
      <c r="H7" s="186">
        <f t="shared" si="2"/>
        <v>0.14709336465061651</v>
      </c>
      <c r="I7" s="186">
        <f t="shared" si="2"/>
        <v>3.3529562324033702E-2</v>
      </c>
      <c r="J7" s="186">
        <f t="shared" si="2"/>
        <v>0.1149083704804359</v>
      </c>
      <c r="K7" s="186">
        <f t="shared" si="2"/>
        <v>-4.6645935139937311E-3</v>
      </c>
      <c r="L7" s="186">
        <f t="shared" si="2"/>
        <v>9.7746038830618165E-2</v>
      </c>
      <c r="M7" s="186">
        <f t="shared" si="2"/>
        <v>0.13275055905671884</v>
      </c>
      <c r="N7" s="186">
        <f t="shared" si="2"/>
        <v>0.15524048815506108</v>
      </c>
      <c r="O7" s="186">
        <f t="shared" si="2"/>
        <v>3.3866708093832631E-2</v>
      </c>
      <c r="P7" s="186">
        <f t="shared" si="2"/>
        <v>2.7347858752817533E-2</v>
      </c>
      <c r="Q7" s="186">
        <f t="shared" si="2"/>
        <v>1.4041246160596765E-2</v>
      </c>
      <c r="R7" s="186"/>
      <c r="S7" s="217"/>
      <c r="T7" s="554">
        <f t="shared" ref="T7:Y7" si="3">T6/Q6-1</f>
        <v>1.9327852300591308E-2</v>
      </c>
      <c r="U7" s="186">
        <f t="shared" si="3"/>
        <v>0.15925575528224534</v>
      </c>
      <c r="V7" s="217">
        <f t="shared" si="3"/>
        <v>0.11575975359342916</v>
      </c>
      <c r="W7" s="554">
        <f t="shared" si="3"/>
        <v>0.135276637894439</v>
      </c>
      <c r="X7" s="186">
        <f t="shared" si="3"/>
        <v>-0.2225244831338411</v>
      </c>
      <c r="Y7" s="217">
        <f t="shared" si="3"/>
        <v>-0.1396365309408788</v>
      </c>
      <c r="Z7" s="563" t="s">
        <v>703</v>
      </c>
      <c r="AA7" s="186">
        <f>AA6/X6-1</f>
        <v>0.25962211336599017</v>
      </c>
      <c r="AB7" s="217">
        <f t="shared" ref="AB7:BM7" si="4">AB6/Y6-1</f>
        <v>1.0160427807486716E-2</v>
      </c>
      <c r="AC7" s="554">
        <f t="shared" ref="AC7" si="5">AC6/Z6-1</f>
        <v>0.11821764170960902</v>
      </c>
      <c r="AD7" s="186">
        <f t="shared" si="4"/>
        <v>0.11611111111111105</v>
      </c>
      <c r="AE7" s="217">
        <f t="shared" si="4"/>
        <v>8.2318687136050839E-2</v>
      </c>
      <c r="AF7" s="554">
        <f t="shared" si="4"/>
        <v>9.8807264841420439E-2</v>
      </c>
      <c r="AG7" s="186">
        <f t="shared" si="4"/>
        <v>-0.37381781981085116</v>
      </c>
      <c r="AH7" s="217">
        <f t="shared" si="4"/>
        <v>-0.37588652482269502</v>
      </c>
      <c r="AI7" s="554">
        <f t="shared" si="4"/>
        <v>-0.37486123103490809</v>
      </c>
      <c r="AJ7" s="186">
        <f t="shared" si="4"/>
        <v>-0.13831478537360886</v>
      </c>
      <c r="AK7" s="217">
        <f t="shared" si="4"/>
        <v>-7.2100313479623868E-2</v>
      </c>
      <c r="AL7" s="554">
        <f t="shared" si="4"/>
        <v>-0.10497237569060769</v>
      </c>
      <c r="AM7" s="186">
        <f t="shared" si="4"/>
        <v>7.8874538745387524E-2</v>
      </c>
      <c r="AN7" s="217">
        <f t="shared" si="4"/>
        <v>0.41342905405405395</v>
      </c>
      <c r="AO7" s="554">
        <f t="shared" si="4"/>
        <v>0.2535273368606703</v>
      </c>
      <c r="AP7" s="186">
        <f t="shared" si="4"/>
        <v>0.39247541684480547</v>
      </c>
      <c r="AQ7" s="217">
        <f t="shared" ref="AQ7" si="6">AQ6/AN6-1</f>
        <v>0.22228861667164623</v>
      </c>
      <c r="AR7" s="554">
        <f t="shared" ref="AR7" si="7">AR6/AO6-1</f>
        <v>0.2922968695040451</v>
      </c>
      <c r="AS7" s="186">
        <f t="shared" si="4"/>
        <v>0.26466073073380403</v>
      </c>
      <c r="AT7" s="217">
        <f t="shared" ref="AT7" si="8">AT6/AQ6-1</f>
        <v>0.20288438034710343</v>
      </c>
      <c r="AU7" s="554">
        <f t="shared" ref="AU7" si="9">AU6/AR6-1</f>
        <v>0.23026673924877517</v>
      </c>
      <c r="AV7" s="186">
        <f t="shared" si="4"/>
        <v>0.1619325078902647</v>
      </c>
      <c r="AW7" s="217">
        <f t="shared" ref="AW7" si="10">AW6/AT6-1</f>
        <v>0.13716724243040024</v>
      </c>
      <c r="AX7" s="554">
        <f t="shared" ref="AX7" si="11">AX6/AU6-1</f>
        <v>0.14845132743362832</v>
      </c>
      <c r="AY7" s="186">
        <f t="shared" si="4"/>
        <v>0.29251984956122024</v>
      </c>
      <c r="AZ7" s="252">
        <f t="shared" si="4"/>
        <v>0.14767347063575387</v>
      </c>
      <c r="BA7" s="577">
        <f t="shared" si="4"/>
        <v>0.21444622824866877</v>
      </c>
      <c r="BB7" s="251">
        <f t="shared" si="4"/>
        <v>0.15489880882910989</v>
      </c>
      <c r="BC7" s="252">
        <f t="shared" si="4"/>
        <v>9.5190766385435222E-2</v>
      </c>
      <c r="BD7" s="577">
        <f t="shared" si="4"/>
        <v>0.12448508721250606</v>
      </c>
      <c r="BE7" s="251">
        <f t="shared" si="4"/>
        <v>6.0859932990160237E-2</v>
      </c>
      <c r="BF7" s="252">
        <f t="shared" si="4"/>
        <v>8.9690944593094679E-2</v>
      </c>
      <c r="BG7" s="577">
        <f t="shared" si="4"/>
        <v>7.5163115746182507E-2</v>
      </c>
      <c r="BH7" s="251">
        <f t="shared" si="4"/>
        <v>9.7281635161546864E-2</v>
      </c>
      <c r="BI7" s="252">
        <f t="shared" si="4"/>
        <v>8.8318087365181208E-2</v>
      </c>
      <c r="BJ7" s="577">
        <f t="shared" si="4"/>
        <v>9.277469564098717E-2</v>
      </c>
      <c r="BK7" s="251">
        <f t="shared" si="4"/>
        <v>9.0365932761300671E-2</v>
      </c>
      <c r="BL7" s="252">
        <f t="shared" si="4"/>
        <v>7.6164424078704718E-2</v>
      </c>
      <c r="BM7" s="577">
        <f t="shared" si="4"/>
        <v>8.3254428208875852E-2</v>
      </c>
      <c r="BT7" s="188"/>
    </row>
    <row r="8" spans="1:72" customFormat="1">
      <c r="A8" s="2" t="s">
        <v>670</v>
      </c>
      <c r="B8" s="27">
        <v>1403</v>
      </c>
      <c r="C8" s="27">
        <v>1400</v>
      </c>
      <c r="D8" s="27">
        <v>1376</v>
      </c>
      <c r="E8" s="27">
        <v>1398</v>
      </c>
      <c r="F8" s="27">
        <v>1374</v>
      </c>
      <c r="G8" s="27">
        <v>1420</v>
      </c>
      <c r="H8" s="27">
        <v>1601</v>
      </c>
      <c r="I8" s="27">
        <v>1673</v>
      </c>
      <c r="J8" s="27">
        <v>1686</v>
      </c>
      <c r="K8" s="27">
        <v>2010</v>
      </c>
      <c r="L8" s="27">
        <v>2123</v>
      </c>
      <c r="M8" s="27">
        <v>2235</v>
      </c>
      <c r="N8" s="27">
        <v>2417</v>
      </c>
      <c r="O8" s="27">
        <v>2591</v>
      </c>
      <c r="P8" s="27">
        <v>2069</v>
      </c>
      <c r="Q8" s="27">
        <v>2035</v>
      </c>
      <c r="R8" s="27">
        <v>1002</v>
      </c>
      <c r="S8" s="218">
        <f>T8-R8</f>
        <v>1207</v>
      </c>
      <c r="T8" s="553">
        <v>2209</v>
      </c>
      <c r="U8" s="27">
        <v>1048</v>
      </c>
      <c r="V8" s="218">
        <f>W8-U8</f>
        <v>1227</v>
      </c>
      <c r="W8" s="553">
        <v>2275</v>
      </c>
      <c r="X8" s="27">
        <v>1478</v>
      </c>
      <c r="Y8" s="218">
        <f>Z8-X8</f>
        <v>1702</v>
      </c>
      <c r="Z8" s="553">
        <v>3180</v>
      </c>
      <c r="AA8" s="27">
        <v>1415</v>
      </c>
      <c r="AB8" s="218">
        <f>AC8-AA8</f>
        <v>1709</v>
      </c>
      <c r="AC8" s="553">
        <v>3124</v>
      </c>
      <c r="AD8" s="27">
        <v>1494</v>
      </c>
      <c r="AE8" s="218">
        <f>AF8-AD8</f>
        <v>1756</v>
      </c>
      <c r="AF8" s="553">
        <v>3250</v>
      </c>
      <c r="AG8" s="27">
        <v>1553</v>
      </c>
      <c r="AH8" s="218">
        <f>AI8-AG8</f>
        <v>1802</v>
      </c>
      <c r="AI8" s="553">
        <v>3355</v>
      </c>
      <c r="AJ8" s="27">
        <v>1721</v>
      </c>
      <c r="AK8" s="218">
        <f>AL8-AJ8</f>
        <v>1647</v>
      </c>
      <c r="AL8" s="553">
        <v>3368</v>
      </c>
      <c r="AM8" s="27">
        <v>1609</v>
      </c>
      <c r="AN8" s="218">
        <f>AO8-AM8</f>
        <v>2051</v>
      </c>
      <c r="AO8" s="553">
        <v>3660</v>
      </c>
      <c r="AP8" s="27">
        <v>1913</v>
      </c>
      <c r="AQ8" s="218">
        <f>AR8-AP8</f>
        <v>2164</v>
      </c>
      <c r="AR8" s="553">
        <v>4077</v>
      </c>
      <c r="AS8" s="27">
        <v>2219</v>
      </c>
      <c r="AT8" s="218">
        <f>AU8-AS8</f>
        <v>2303</v>
      </c>
      <c r="AU8" s="553">
        <v>4522</v>
      </c>
      <c r="AV8" s="27">
        <v>2223</v>
      </c>
      <c r="AW8" s="218">
        <f>AX8-AV8</f>
        <v>2549</v>
      </c>
      <c r="AX8" s="553">
        <v>4772</v>
      </c>
      <c r="AY8" s="27">
        <v>2484</v>
      </c>
      <c r="AZ8" s="237">
        <f>Defence!AZ4</f>
        <v>2673.957342419525</v>
      </c>
      <c r="BA8" s="576">
        <f>Defence!BA4</f>
        <v>5157.9573424195241</v>
      </c>
      <c r="BB8" s="48">
        <f>Defence!BB4</f>
        <v>2638.0080000000003</v>
      </c>
      <c r="BC8" s="237">
        <f>Defence!BC4</f>
        <v>2845.6860624195256</v>
      </c>
      <c r="BD8" s="576">
        <f>Defence!BD4</f>
        <v>5483.6940624195249</v>
      </c>
      <c r="BE8" s="48">
        <f>Defence!BE4</f>
        <v>2802.2500800000003</v>
      </c>
      <c r="BF8" s="237">
        <f>Defence!BF4</f>
        <v>3028.8627616195258</v>
      </c>
      <c r="BG8" s="576">
        <f>Defence!BG4</f>
        <v>5831.1128416195252</v>
      </c>
      <c r="BH8" s="48">
        <f>Defence!BH4</f>
        <v>2977.4245420800003</v>
      </c>
      <c r="BI8" s="237">
        <f>Defence!BI4</f>
        <v>3224.2717792515264</v>
      </c>
      <c r="BJ8" s="576">
        <f>Defence!BJ4</f>
        <v>6201.6963213315266</v>
      </c>
      <c r="BK8" s="48">
        <f>Defence!BK4</f>
        <v>3164.2785177984006</v>
      </c>
      <c r="BL8" s="237">
        <f>Defence!BL4</f>
        <v>3432.7525485398473</v>
      </c>
      <c r="BM8" s="576">
        <f>Defence!BM4</f>
        <v>6597.0310663382479</v>
      </c>
    </row>
    <row r="9" spans="1:72" customFormat="1">
      <c r="A9" s="185" t="s">
        <v>61</v>
      </c>
      <c r="B9" s="10"/>
      <c r="C9" s="186">
        <f t="shared" ref="C9:Q9" si="12">C8/B8-1</f>
        <v>-2.1382751247327469E-3</v>
      </c>
      <c r="D9" s="186">
        <f t="shared" si="12"/>
        <v>-1.7142857142857126E-2</v>
      </c>
      <c r="E9" s="186">
        <f t="shared" si="12"/>
        <v>1.5988372093023173E-2</v>
      </c>
      <c r="F9" s="186">
        <f t="shared" si="12"/>
        <v>-1.7167381974248941E-2</v>
      </c>
      <c r="G9" s="186">
        <f t="shared" si="12"/>
        <v>3.3478893740902516E-2</v>
      </c>
      <c r="H9" s="186">
        <f t="shared" si="12"/>
        <v>0.12746478873239431</v>
      </c>
      <c r="I9" s="186">
        <f t="shared" si="12"/>
        <v>4.4971892567145622E-2</v>
      </c>
      <c r="J9" s="186">
        <f t="shared" si="12"/>
        <v>7.7704722056186615E-3</v>
      </c>
      <c r="K9" s="186">
        <f t="shared" si="12"/>
        <v>0.19217081850533813</v>
      </c>
      <c r="L9" s="186">
        <f t="shared" si="12"/>
        <v>5.6218905472636749E-2</v>
      </c>
      <c r="M9" s="186">
        <f t="shared" si="12"/>
        <v>5.27555346208195E-2</v>
      </c>
      <c r="N9" s="186">
        <f t="shared" si="12"/>
        <v>8.1431767337807548E-2</v>
      </c>
      <c r="O9" s="186">
        <f t="shared" si="12"/>
        <v>7.1990070335126166E-2</v>
      </c>
      <c r="P9" s="186">
        <f t="shared" si="12"/>
        <v>-0.20146661520648401</v>
      </c>
      <c r="Q9" s="186">
        <f t="shared" si="12"/>
        <v>-1.6433059449009191E-2</v>
      </c>
      <c r="R9" s="186"/>
      <c r="S9" s="217"/>
      <c r="T9" s="554">
        <f t="shared" ref="T9:Y9" si="13">T8/Q8-1</f>
        <v>8.5503685503685478E-2</v>
      </c>
      <c r="U9" s="186">
        <f t="shared" si="13"/>
        <v>4.5908183632734634E-2</v>
      </c>
      <c r="V9" s="217">
        <f t="shared" si="13"/>
        <v>1.6570008285004212E-2</v>
      </c>
      <c r="W9" s="554">
        <f t="shared" si="13"/>
        <v>2.987777274784964E-2</v>
      </c>
      <c r="X9" s="186">
        <f t="shared" si="13"/>
        <v>0.41030534351145032</v>
      </c>
      <c r="Y9" s="217">
        <f t="shared" si="13"/>
        <v>0.38712306438467814</v>
      </c>
      <c r="Z9" s="563" t="s">
        <v>703</v>
      </c>
      <c r="AA9" s="186">
        <f>AA8/X8-1</f>
        <v>-4.2625169147496589E-2</v>
      </c>
      <c r="AB9" s="217">
        <f t="shared" ref="AB9:BM9" si="14">AB8/Y8-1</f>
        <v>4.1128084606345539E-3</v>
      </c>
      <c r="AC9" s="554">
        <f t="shared" ref="AC9" si="15">AC8/Z8-1</f>
        <v>-1.7610062893081757E-2</v>
      </c>
      <c r="AD9" s="186">
        <f t="shared" si="14"/>
        <v>5.5830388692579502E-2</v>
      </c>
      <c r="AE9" s="217">
        <f t="shared" si="14"/>
        <v>2.7501462843768198E-2</v>
      </c>
      <c r="AF9" s="554">
        <f t="shared" si="14"/>
        <v>4.0332906530089696E-2</v>
      </c>
      <c r="AG9" s="186">
        <f t="shared" si="14"/>
        <v>3.9491298527443153E-2</v>
      </c>
      <c r="AH9" s="217">
        <f t="shared" si="14"/>
        <v>2.6195899772209597E-2</v>
      </c>
      <c r="AI9" s="554">
        <f t="shared" si="14"/>
        <v>3.2307692307692371E-2</v>
      </c>
      <c r="AJ9" s="186">
        <f t="shared" si="14"/>
        <v>0.1081777205408887</v>
      </c>
      <c r="AK9" s="217">
        <f t="shared" si="14"/>
        <v>-8.6015538290788007E-2</v>
      </c>
      <c r="AL9" s="554">
        <f t="shared" si="14"/>
        <v>3.8748137108792768E-3</v>
      </c>
      <c r="AM9" s="186">
        <f t="shared" si="14"/>
        <v>-6.5078442765833855E-2</v>
      </c>
      <c r="AN9" s="217">
        <f t="shared" si="14"/>
        <v>0.24529447480267152</v>
      </c>
      <c r="AO9" s="554">
        <f t="shared" si="14"/>
        <v>8.6698337292161476E-2</v>
      </c>
      <c r="AP9" s="186">
        <f t="shared" si="14"/>
        <v>0.18893722809198255</v>
      </c>
      <c r="AQ9" s="217">
        <f t="shared" ref="AQ9" si="16">AQ8/AN8-1</f>
        <v>5.5095075572891172E-2</v>
      </c>
      <c r="AR9" s="554">
        <f t="shared" ref="AR9" si="17">AR8/AO8-1</f>
        <v>0.11393442622950811</v>
      </c>
      <c r="AS9" s="186">
        <f t="shared" si="14"/>
        <v>0.15995818086774705</v>
      </c>
      <c r="AT9" s="217">
        <f t="shared" ref="AT9" si="18">AT8/AQ8-1</f>
        <v>6.4232902033271699E-2</v>
      </c>
      <c r="AU9" s="554">
        <f t="shared" ref="AU9" si="19">AU8/AR8-1</f>
        <v>0.10914888398332101</v>
      </c>
      <c r="AV9" s="186">
        <f>AV8/AS8-1</f>
        <v>1.8026137899955774E-3</v>
      </c>
      <c r="AW9" s="217">
        <f t="shared" ref="AW9" si="20">AW8/AT8-1</f>
        <v>0.10681719496309161</v>
      </c>
      <c r="AX9" s="554">
        <f t="shared" ref="AX9" si="21">AX8/AU8-1</f>
        <v>5.5285272003538166E-2</v>
      </c>
      <c r="AY9" s="186">
        <f>AY8/AV8-1</f>
        <v>0.1174089068825912</v>
      </c>
      <c r="AZ9" s="252">
        <f t="shared" si="14"/>
        <v>4.9022103734611688E-2</v>
      </c>
      <c r="BA9" s="577">
        <f t="shared" si="14"/>
        <v>8.0879577204426623E-2</v>
      </c>
      <c r="BB9" s="251">
        <f t="shared" si="14"/>
        <v>6.2000000000000055E-2</v>
      </c>
      <c r="BC9" s="252">
        <f t="shared" si="14"/>
        <v>6.4222684960490772E-2</v>
      </c>
      <c r="BD9" s="577">
        <f t="shared" si="14"/>
        <v>6.315227102037313E-2</v>
      </c>
      <c r="BE9" s="251">
        <f t="shared" si="14"/>
        <v>6.2259887005649661E-2</v>
      </c>
      <c r="BF9" s="252">
        <f t="shared" si="14"/>
        <v>6.436996041800036E-2</v>
      </c>
      <c r="BG9" s="577">
        <f t="shared" si="14"/>
        <v>6.3354879985173973E-2</v>
      </c>
      <c r="BH9" s="251">
        <f t="shared" si="14"/>
        <v>6.2512073183703887E-2</v>
      </c>
      <c r="BI9" s="252">
        <f t="shared" si="14"/>
        <v>6.4515639370704259E-2</v>
      </c>
      <c r="BJ9" s="577">
        <f t="shared" si="14"/>
        <v>6.3552788254578774E-2</v>
      </c>
      <c r="BK9" s="251">
        <f t="shared" si="14"/>
        <v>6.275691392933358E-2</v>
      </c>
      <c r="BL9" s="252">
        <f t="shared" si="14"/>
        <v>6.465980027797702E-2</v>
      </c>
      <c r="BM9" s="577">
        <f t="shared" si="14"/>
        <v>6.3746227567918368E-2</v>
      </c>
    </row>
    <row r="10" spans="1:72" customFormat="1">
      <c r="A10" s="2" t="s">
        <v>10</v>
      </c>
      <c r="B10" s="27">
        <v>0</v>
      </c>
      <c r="C10" s="27">
        <v>0</v>
      </c>
      <c r="D10" s="27">
        <v>0</v>
      </c>
      <c r="E10" s="27">
        <v>0</v>
      </c>
      <c r="F10" s="27">
        <v>0</v>
      </c>
      <c r="G10" s="27">
        <v>0</v>
      </c>
      <c r="H10" s="27">
        <v>0</v>
      </c>
      <c r="I10" s="27">
        <v>0</v>
      </c>
      <c r="J10" s="27">
        <v>0</v>
      </c>
      <c r="K10" s="27">
        <v>0</v>
      </c>
      <c r="L10" s="27">
        <v>0</v>
      </c>
      <c r="M10" s="27">
        <v>331</v>
      </c>
      <c r="N10" s="27">
        <v>287</v>
      </c>
      <c r="O10" s="27">
        <v>2831</v>
      </c>
      <c r="P10" s="27">
        <v>2720</v>
      </c>
      <c r="Q10" s="27">
        <v>2385</v>
      </c>
      <c r="R10" s="27">
        <v>1084</v>
      </c>
      <c r="S10" s="218">
        <f>T10-R10</f>
        <v>1571</v>
      </c>
      <c r="T10" s="553">
        <v>2655</v>
      </c>
      <c r="U10" s="27">
        <v>1233</v>
      </c>
      <c r="V10" s="218">
        <f>W10-U10</f>
        <v>1690</v>
      </c>
      <c r="W10" s="553">
        <v>2923</v>
      </c>
      <c r="X10" s="27">
        <v>1275</v>
      </c>
      <c r="Y10" s="218">
        <f>Z10-X10</f>
        <v>1733</v>
      </c>
      <c r="Z10" s="553">
        <v>3008</v>
      </c>
      <c r="AA10" s="27">
        <v>1471</v>
      </c>
      <c r="AB10" s="218">
        <f>AC10-AA10</f>
        <v>2013</v>
      </c>
      <c r="AC10" s="553">
        <v>3484</v>
      </c>
      <c r="AD10" s="27">
        <v>1553</v>
      </c>
      <c r="AE10" s="218">
        <f>AF10-AD10</f>
        <v>1992</v>
      </c>
      <c r="AF10" s="553">
        <v>3545</v>
      </c>
      <c r="AG10" s="27">
        <v>1214</v>
      </c>
      <c r="AH10" s="218">
        <f>AI10-AG10</f>
        <v>1521</v>
      </c>
      <c r="AI10" s="553">
        <v>2735</v>
      </c>
      <c r="AJ10" s="27">
        <v>1181</v>
      </c>
      <c r="AK10" s="218">
        <f>AL10-AJ10</f>
        <v>1568</v>
      </c>
      <c r="AL10" s="553">
        <v>2749</v>
      </c>
      <c r="AM10" s="27">
        <v>1371</v>
      </c>
      <c r="AN10" s="218">
        <f>AO10-AM10</f>
        <v>1976</v>
      </c>
      <c r="AO10" s="553">
        <v>3347</v>
      </c>
      <c r="AP10" s="27">
        <v>1774</v>
      </c>
      <c r="AQ10" s="218">
        <f>AR10-AP10</f>
        <v>2194</v>
      </c>
      <c r="AR10" s="553">
        <v>3968</v>
      </c>
      <c r="AS10" s="27">
        <v>1837</v>
      </c>
      <c r="AT10" s="218">
        <f>AU10-AS10</f>
        <v>2434</v>
      </c>
      <c r="AU10" s="553">
        <v>4271</v>
      </c>
      <c r="AV10" s="27">
        <v>2042</v>
      </c>
      <c r="AW10" s="218">
        <f>AX10-AV10</f>
        <v>2850</v>
      </c>
      <c r="AX10" s="553">
        <v>4892</v>
      </c>
      <c r="AY10" s="27">
        <v>2604</v>
      </c>
      <c r="AZ10" s="237">
        <f>'Power Systems'!AZ4</f>
        <v>3238.6593376941955</v>
      </c>
      <c r="BA10" s="576">
        <f>'Power Systems'!BA4</f>
        <v>5842.6593376941955</v>
      </c>
      <c r="BB10" s="48">
        <f>'Power Systems'!BB4</f>
        <v>3129.4871999999996</v>
      </c>
      <c r="BC10" s="237">
        <f>'Power Systems'!BC4</f>
        <v>3886.8118576941952</v>
      </c>
      <c r="BD10" s="576">
        <f>'Power Systems'!BD4</f>
        <v>7016.2990576941947</v>
      </c>
      <c r="BE10" s="48">
        <f>'Power Systems'!BE4</f>
        <v>3777.2009519999997</v>
      </c>
      <c r="BF10" s="237">
        <f>'Power Systems'!BF4</f>
        <v>4684.3861828941954</v>
      </c>
      <c r="BG10" s="576">
        <f>'Power Systems'!BG4</f>
        <v>8461.5871348941964</v>
      </c>
      <c r="BH10" s="48">
        <f>'Power Systems'!BH4</f>
        <v>4573.8606396000005</v>
      </c>
      <c r="BI10" s="237">
        <f>'Power Systems'!BI4</f>
        <v>5663.2238631541932</v>
      </c>
      <c r="BJ10" s="576">
        <f>'Power Systems'!BJ4</f>
        <v>10237.084502754195</v>
      </c>
      <c r="BK10" s="48">
        <f>'Power Systems'!BK4</f>
        <v>5557.5951895800008</v>
      </c>
      <c r="BL10" s="237">
        <f>'Power Systems'!BL4</f>
        <v>6870.2104575271942</v>
      </c>
      <c r="BM10" s="576">
        <f>'Power Systems'!BM4</f>
        <v>12427.805647107196</v>
      </c>
    </row>
    <row r="11" spans="1:72" customFormat="1">
      <c r="A11" s="185" t="s">
        <v>61</v>
      </c>
      <c r="B11" s="10"/>
      <c r="C11" s="187" t="s">
        <v>248</v>
      </c>
      <c r="D11" s="187" t="s">
        <v>248</v>
      </c>
      <c r="E11" s="187" t="s">
        <v>248</v>
      </c>
      <c r="F11" s="187" t="s">
        <v>248</v>
      </c>
      <c r="G11" s="187" t="s">
        <v>248</v>
      </c>
      <c r="H11" s="187" t="s">
        <v>248</v>
      </c>
      <c r="I11" s="187" t="s">
        <v>248</v>
      </c>
      <c r="J11" s="187" t="s">
        <v>248</v>
      </c>
      <c r="K11" s="187" t="s">
        <v>248</v>
      </c>
      <c r="L11" s="187" t="s">
        <v>248</v>
      </c>
      <c r="M11" s="187" t="s">
        <v>248</v>
      </c>
      <c r="N11" s="186">
        <f>N10/M10-1</f>
        <v>-0.13293051359516617</v>
      </c>
      <c r="O11" s="187" t="s">
        <v>248</v>
      </c>
      <c r="P11" s="186">
        <f>P10/O10-1</f>
        <v>-3.9208760155422073E-2</v>
      </c>
      <c r="Q11" s="186">
        <f>Q10/P10-1</f>
        <v>-0.12316176470588236</v>
      </c>
      <c r="R11" s="186"/>
      <c r="S11" s="217"/>
      <c r="T11" s="554">
        <f t="shared" ref="T11:Y11" si="22">T10/Q10-1</f>
        <v>0.1132075471698113</v>
      </c>
      <c r="U11" s="186">
        <f t="shared" si="22"/>
        <v>0.13745387453874547</v>
      </c>
      <c r="V11" s="217">
        <f t="shared" si="22"/>
        <v>7.5747931253978384E-2</v>
      </c>
      <c r="W11" s="554">
        <f t="shared" si="22"/>
        <v>0.10094161958568737</v>
      </c>
      <c r="X11" s="186">
        <f t="shared" si="22"/>
        <v>3.4063260340632562E-2</v>
      </c>
      <c r="Y11" s="217">
        <f t="shared" si="22"/>
        <v>2.5443786982248584E-2</v>
      </c>
      <c r="Z11" s="563" t="s">
        <v>703</v>
      </c>
      <c r="AA11" s="186">
        <f>AA10/X10-1</f>
        <v>0.15372549019607851</v>
      </c>
      <c r="AB11" s="217">
        <f t="shared" ref="AB11:BM11" si="23">AB10/Y10-1</f>
        <v>0.16156953260242357</v>
      </c>
      <c r="AC11" s="554">
        <f t="shared" ref="AC11" si="24">AC10/Z10-1</f>
        <v>0.1582446808510638</v>
      </c>
      <c r="AD11" s="186">
        <f t="shared" si="23"/>
        <v>5.5744391570360374E-2</v>
      </c>
      <c r="AE11" s="217">
        <f t="shared" si="23"/>
        <v>-1.0432190760059634E-2</v>
      </c>
      <c r="AF11" s="554">
        <f t="shared" si="23"/>
        <v>1.7508610792192902E-2</v>
      </c>
      <c r="AG11" s="186">
        <f t="shared" si="23"/>
        <v>-0.21828718609143594</v>
      </c>
      <c r="AH11" s="217">
        <f t="shared" si="23"/>
        <v>-0.23644578313253017</v>
      </c>
      <c r="AI11" s="554">
        <f t="shared" si="23"/>
        <v>-0.22849083215796895</v>
      </c>
      <c r="AJ11" s="186">
        <f t="shared" si="23"/>
        <v>-2.7182866556836882E-2</v>
      </c>
      <c r="AK11" s="217">
        <f t="shared" si="23"/>
        <v>3.0900723208415526E-2</v>
      </c>
      <c r="AL11" s="554">
        <f t="shared" si="23"/>
        <v>5.1188299817184202E-3</v>
      </c>
      <c r="AM11" s="186">
        <f t="shared" si="23"/>
        <v>0.16088060965283657</v>
      </c>
      <c r="AN11" s="217">
        <f t="shared" si="23"/>
        <v>0.26020408163265296</v>
      </c>
      <c r="AO11" s="554">
        <f t="shared" si="23"/>
        <v>0.21753364859949076</v>
      </c>
      <c r="AP11" s="186">
        <f t="shared" si="23"/>
        <v>0.29394602479941656</v>
      </c>
      <c r="AQ11" s="217">
        <f t="shared" ref="AQ11" si="25">AQ10/AN10-1</f>
        <v>0.11032388663967607</v>
      </c>
      <c r="AR11" s="554">
        <f t="shared" ref="AR11" si="26">AR10/AO10-1</f>
        <v>0.18553928891544658</v>
      </c>
      <c r="AS11" s="186">
        <f t="shared" si="23"/>
        <v>3.551296505073287E-2</v>
      </c>
      <c r="AT11" s="217">
        <f t="shared" ref="AT11" si="27">AT10/AQ10-1</f>
        <v>0.10938924339106659</v>
      </c>
      <c r="AU11" s="554">
        <f t="shared" ref="AU11" si="28">AU10/AR10-1</f>
        <v>7.6360887096774244E-2</v>
      </c>
      <c r="AV11" s="186">
        <f t="shared" si="23"/>
        <v>0.11159499183451271</v>
      </c>
      <c r="AW11" s="217">
        <f t="shared" ref="AW11" si="29">AW10/AT10-1</f>
        <v>0.17091207888249804</v>
      </c>
      <c r="AX11" s="554">
        <f t="shared" ref="AX11" si="30">AX10/AU10-1</f>
        <v>0.14539920393350503</v>
      </c>
      <c r="AY11" s="186">
        <f t="shared" si="23"/>
        <v>0.27522037218413331</v>
      </c>
      <c r="AZ11" s="252">
        <f t="shared" si="23"/>
        <v>0.13637169743655986</v>
      </c>
      <c r="BA11" s="577">
        <f t="shared" si="23"/>
        <v>0.19432938219423468</v>
      </c>
      <c r="BB11" s="251">
        <f t="shared" si="23"/>
        <v>0.20179999999999976</v>
      </c>
      <c r="BC11" s="252">
        <f t="shared" si="23"/>
        <v>0.20012988475084881</v>
      </c>
      <c r="BD11" s="577">
        <f t="shared" si="23"/>
        <v>0.20087423417418959</v>
      </c>
      <c r="BE11" s="251">
        <f t="shared" si="23"/>
        <v>0.20697120985188899</v>
      </c>
      <c r="BF11" s="252">
        <f t="shared" si="23"/>
        <v>0.20520013687339933</v>
      </c>
      <c r="BG11" s="577">
        <f t="shared" si="23"/>
        <v>0.20599009040458083</v>
      </c>
      <c r="BH11" s="251">
        <f t="shared" si="23"/>
        <v>0.21091270962911723</v>
      </c>
      <c r="BI11" s="252">
        <f t="shared" si="23"/>
        <v>0.20895751162326959</v>
      </c>
      <c r="BJ11" s="577">
        <f t="shared" si="23"/>
        <v>0.20983030010270043</v>
      </c>
      <c r="BK11" s="251">
        <f t="shared" si="23"/>
        <v>0.21507750836633077</v>
      </c>
      <c r="BL11" s="252">
        <f t="shared" si="23"/>
        <v>0.21312712044209348</v>
      </c>
      <c r="BM11" s="577">
        <f t="shared" si="23"/>
        <v>0.21399854067470159</v>
      </c>
    </row>
    <row r="12" spans="1:72" customFormat="1">
      <c r="A12" s="2" t="s">
        <v>1039</v>
      </c>
      <c r="B12" s="27"/>
      <c r="C12" s="27"/>
      <c r="D12" s="27"/>
      <c r="E12" s="27"/>
      <c r="F12" s="27"/>
      <c r="G12" s="27"/>
      <c r="H12" s="27"/>
      <c r="I12" s="27"/>
      <c r="J12" s="27"/>
      <c r="K12" s="27"/>
      <c r="L12" s="27"/>
      <c r="M12" s="27"/>
      <c r="N12" s="27"/>
      <c r="O12" s="27"/>
      <c r="P12" s="27"/>
      <c r="Q12" s="27"/>
      <c r="R12" s="27"/>
      <c r="S12" s="218"/>
      <c r="T12" s="553"/>
      <c r="U12" s="27"/>
      <c r="V12" s="218"/>
      <c r="W12" s="553"/>
      <c r="X12" s="27"/>
      <c r="Y12" s="218"/>
      <c r="Z12" s="553"/>
      <c r="AA12" s="27"/>
      <c r="AB12" s="218"/>
      <c r="AC12" s="553"/>
      <c r="AD12" s="27"/>
      <c r="AE12" s="218"/>
      <c r="AF12" s="553"/>
      <c r="AG12" s="27"/>
      <c r="AH12" s="218">
        <f>AI12-AG12</f>
        <v>5</v>
      </c>
      <c r="AI12" s="553">
        <v>5</v>
      </c>
      <c r="AJ12" s="27">
        <v>2</v>
      </c>
      <c r="AK12" s="218">
        <f>AL12-AJ12</f>
        <v>0</v>
      </c>
      <c r="AL12" s="553">
        <v>2</v>
      </c>
      <c r="AM12" s="27">
        <v>1</v>
      </c>
      <c r="AN12" s="218">
        <f>AO12-AM12</f>
        <v>2</v>
      </c>
      <c r="AO12" s="553">
        <v>3</v>
      </c>
      <c r="AP12" s="27">
        <v>1</v>
      </c>
      <c r="AQ12" s="218">
        <f>AR12-AP12</f>
        <v>3</v>
      </c>
      <c r="AR12" s="553">
        <v>4</v>
      </c>
      <c r="AS12" s="27">
        <v>2</v>
      </c>
      <c r="AT12" s="218">
        <f>AU12-AS12</f>
        <v>13</v>
      </c>
      <c r="AU12" s="553">
        <v>15</v>
      </c>
      <c r="AV12" s="27">
        <v>6</v>
      </c>
      <c r="AW12" s="218">
        <f>AX12-AV12</f>
        <v>7</v>
      </c>
      <c r="AX12" s="553">
        <v>13</v>
      </c>
      <c r="AY12" s="27">
        <v>5</v>
      </c>
      <c r="AZ12" s="237">
        <v>0</v>
      </c>
      <c r="BA12" s="576">
        <v>5</v>
      </c>
      <c r="BB12" s="48">
        <v>2.5</v>
      </c>
      <c r="BC12" s="237">
        <v>-2.5</v>
      </c>
      <c r="BD12" s="576">
        <v>0</v>
      </c>
      <c r="BE12" s="48">
        <v>2.5</v>
      </c>
      <c r="BF12" s="237">
        <v>-2.5</v>
      </c>
      <c r="BG12" s="576">
        <v>0</v>
      </c>
      <c r="BH12" s="48">
        <v>2.5</v>
      </c>
      <c r="BI12" s="237">
        <v>-2.5</v>
      </c>
      <c r="BJ12" s="576">
        <v>0</v>
      </c>
      <c r="BK12" s="48">
        <v>2.5</v>
      </c>
      <c r="BL12" s="237">
        <v>-2.5</v>
      </c>
      <c r="BM12" s="576">
        <v>0</v>
      </c>
    </row>
    <row r="13" spans="1:72" customFormat="1">
      <c r="A13" s="185" t="s">
        <v>61</v>
      </c>
      <c r="B13" s="10"/>
      <c r="C13" s="187"/>
      <c r="D13" s="187"/>
      <c r="E13" s="187"/>
      <c r="F13" s="187"/>
      <c r="G13" s="187"/>
      <c r="H13" s="187"/>
      <c r="I13" s="187"/>
      <c r="J13" s="187"/>
      <c r="K13" s="187"/>
      <c r="L13" s="187"/>
      <c r="M13" s="187"/>
      <c r="N13" s="186"/>
      <c r="O13" s="187"/>
      <c r="P13" s="186"/>
      <c r="Q13" s="186"/>
      <c r="R13" s="187"/>
      <c r="S13" s="961"/>
      <c r="T13" s="554"/>
      <c r="U13" s="187"/>
      <c r="V13" s="961"/>
      <c r="W13" s="554"/>
      <c r="X13" s="186"/>
      <c r="Y13" s="217"/>
      <c r="Z13" s="553"/>
      <c r="AA13" s="186"/>
      <c r="AB13" s="217"/>
      <c r="AC13" s="554"/>
      <c r="AD13" s="186"/>
      <c r="AE13" s="217"/>
      <c r="AF13" s="554"/>
      <c r="AG13" s="186"/>
      <c r="AH13" s="217"/>
      <c r="AI13" s="554">
        <v>0</v>
      </c>
      <c r="AJ13" s="186"/>
      <c r="AK13" s="217"/>
      <c r="AL13" s="554">
        <f>AL12/AI12-1</f>
        <v>-0.6</v>
      </c>
      <c r="AM13" s="186"/>
      <c r="AN13" s="217"/>
      <c r="AO13" s="554">
        <f t="shared" ref="AO13:AV13" si="31">AO12/AL12-1</f>
        <v>0.5</v>
      </c>
      <c r="AP13" s="186">
        <f t="shared" si="31"/>
        <v>0</v>
      </c>
      <c r="AQ13" s="217">
        <f t="shared" ref="AQ13:AR13" si="32">AQ12/AN12-1</f>
        <v>0.5</v>
      </c>
      <c r="AR13" s="554">
        <f t="shared" si="32"/>
        <v>0.33333333333333326</v>
      </c>
      <c r="AS13" s="186">
        <f t="shared" si="31"/>
        <v>1</v>
      </c>
      <c r="AT13" s="217">
        <f t="shared" ref="AT13" si="33">AT12/AQ12-1</f>
        <v>3.333333333333333</v>
      </c>
      <c r="AU13" s="554">
        <f t="shared" ref="AU13" si="34">AU12/AR12-1</f>
        <v>2.75</v>
      </c>
      <c r="AV13" s="186">
        <f t="shared" si="31"/>
        <v>2</v>
      </c>
      <c r="AW13" s="217">
        <f t="shared" ref="AW13" si="35">AW12/AT12-1</f>
        <v>-0.46153846153846156</v>
      </c>
      <c r="AX13" s="554">
        <f t="shared" ref="AX13:AY13" si="36">AX12/AU12-1</f>
        <v>-0.1333333333333333</v>
      </c>
      <c r="AY13" s="186">
        <f t="shared" si="36"/>
        <v>-0.16666666666666663</v>
      </c>
      <c r="AZ13" s="252">
        <f>AZ12/AW12-1</f>
        <v>-1</v>
      </c>
      <c r="BA13" s="577">
        <f t="shared" ref="BA13" si="37">BA12/AX12-1</f>
        <v>-0.61538461538461542</v>
      </c>
      <c r="BB13" s="251">
        <f>BB12/AY12-1</f>
        <v>-0.5</v>
      </c>
      <c r="BC13" s="252" t="e">
        <f>BC12/AZ12-1</f>
        <v>#DIV/0!</v>
      </c>
      <c r="BD13" s="577">
        <f t="shared" ref="BD13" si="38">BD12/BA12-1</f>
        <v>-1</v>
      </c>
      <c r="BE13" s="251">
        <f>BE12/BB12-1</f>
        <v>0</v>
      </c>
      <c r="BF13" s="252">
        <f>BF12/BC12-1</f>
        <v>0</v>
      </c>
      <c r="BG13" s="577" t="str">
        <f>IFERROR(BG12/BD12-1,"")</f>
        <v/>
      </c>
      <c r="BH13" s="251">
        <f>BH12/BE12-1</f>
        <v>0</v>
      </c>
      <c r="BI13" s="252">
        <f>BI12/BF12-1</f>
        <v>0</v>
      </c>
      <c r="BJ13" s="577" t="str">
        <f>IFERROR(BJ12/BG12-1,"")</f>
        <v/>
      </c>
      <c r="BK13" s="251">
        <f>BK12/BH12-1</f>
        <v>0</v>
      </c>
      <c r="BL13" s="252">
        <f>BL12/BI12-1</f>
        <v>0</v>
      </c>
      <c r="BM13" s="577" t="str">
        <f>IFERROR(BM12/BJ12-1,"")</f>
        <v/>
      </c>
    </row>
    <row r="14" spans="1:72" customFormat="1" hidden="1" outlineLevel="1">
      <c r="A14" s="2" t="s">
        <v>9</v>
      </c>
      <c r="B14" s="27">
        <v>751</v>
      </c>
      <c r="C14" s="27">
        <v>827</v>
      </c>
      <c r="D14" s="27">
        <v>984</v>
      </c>
      <c r="E14" s="27">
        <v>1003</v>
      </c>
      <c r="F14" s="27">
        <v>963</v>
      </c>
      <c r="G14" s="27">
        <v>1097</v>
      </c>
      <c r="H14" s="27">
        <v>1299</v>
      </c>
      <c r="I14" s="27">
        <v>1548</v>
      </c>
      <c r="J14" s="27">
        <v>2204</v>
      </c>
      <c r="K14" s="27">
        <v>2589</v>
      </c>
      <c r="L14" s="27">
        <v>2591</v>
      </c>
      <c r="M14" s="27">
        <v>2271</v>
      </c>
      <c r="N14" s="27">
        <v>2249</v>
      </c>
      <c r="O14" s="27">
        <v>2037</v>
      </c>
      <c r="P14" s="27">
        <v>1709</v>
      </c>
      <c r="Q14" s="27">
        <v>1324</v>
      </c>
      <c r="R14" s="27">
        <v>548</v>
      </c>
      <c r="S14" s="218">
        <f>T14-R14</f>
        <v>566</v>
      </c>
      <c r="T14" s="553">
        <v>1114</v>
      </c>
      <c r="U14" s="27">
        <v>524</v>
      </c>
      <c r="V14" s="218">
        <f>W14-U14</f>
        <v>553</v>
      </c>
      <c r="W14" s="553">
        <v>1077</v>
      </c>
      <c r="X14" s="27"/>
      <c r="Y14" s="218"/>
      <c r="Z14" s="553">
        <f>+Z23-Z20-Z10-Z8-Z6</f>
        <v>885</v>
      </c>
      <c r="AA14" s="27"/>
      <c r="AB14" s="218"/>
      <c r="AC14" s="553"/>
      <c r="AD14" s="27"/>
      <c r="AE14" s="218"/>
      <c r="AF14" s="553"/>
      <c r="AG14" s="27"/>
      <c r="AH14" s="218"/>
      <c r="AI14" s="553"/>
      <c r="AJ14" s="27"/>
      <c r="AK14" s="218"/>
      <c r="AL14" s="553"/>
      <c r="AM14" s="27"/>
      <c r="AN14" s="218"/>
      <c r="AO14" s="553"/>
      <c r="AP14" s="27"/>
      <c r="AQ14" s="218"/>
      <c r="AR14" s="553"/>
      <c r="AS14" s="27"/>
      <c r="AT14" s="541"/>
      <c r="AU14" s="578"/>
      <c r="AV14" s="27"/>
      <c r="AW14" s="541"/>
      <c r="AX14" s="578"/>
      <c r="AY14" s="27"/>
      <c r="AZ14" s="541"/>
      <c r="BA14" s="578"/>
      <c r="BB14" s="2"/>
      <c r="BC14" s="541"/>
      <c r="BD14" s="578"/>
      <c r="BE14" s="2"/>
      <c r="BF14" s="541"/>
      <c r="BG14" s="578"/>
      <c r="BH14" s="2"/>
      <c r="BI14" s="541"/>
      <c r="BJ14" s="578"/>
      <c r="BK14" s="2"/>
      <c r="BL14" s="541"/>
      <c r="BM14" s="578"/>
      <c r="BT14" s="189"/>
    </row>
    <row r="15" spans="1:72" customFormat="1" hidden="1" outlineLevel="1">
      <c r="A15" s="185" t="s">
        <v>61</v>
      </c>
      <c r="B15" s="10"/>
      <c r="C15" s="186">
        <f t="shared" ref="C15:Q15" si="39">C14/B14-1</f>
        <v>0.10119840213049258</v>
      </c>
      <c r="D15" s="186">
        <f t="shared" si="39"/>
        <v>0.18984280532043529</v>
      </c>
      <c r="E15" s="186">
        <f t="shared" si="39"/>
        <v>1.9308943089430874E-2</v>
      </c>
      <c r="F15" s="186">
        <f t="shared" si="39"/>
        <v>-3.9880358923230275E-2</v>
      </c>
      <c r="G15" s="186">
        <f t="shared" si="39"/>
        <v>0.13914849428868115</v>
      </c>
      <c r="H15" s="186">
        <f t="shared" si="39"/>
        <v>0.1841385597082954</v>
      </c>
      <c r="I15" s="186">
        <f t="shared" si="39"/>
        <v>0.19168591224018483</v>
      </c>
      <c r="J15" s="186">
        <f t="shared" si="39"/>
        <v>0.42377260981912146</v>
      </c>
      <c r="K15" s="186">
        <f t="shared" si="39"/>
        <v>0.17468239564428312</v>
      </c>
      <c r="L15" s="186">
        <f t="shared" si="39"/>
        <v>7.7249903437626166E-4</v>
      </c>
      <c r="M15" s="186">
        <f t="shared" si="39"/>
        <v>-0.12350443844075643</v>
      </c>
      <c r="N15" s="186">
        <f t="shared" si="39"/>
        <v>-9.6873623954205623E-3</v>
      </c>
      <c r="O15" s="186">
        <f t="shared" si="39"/>
        <v>-9.4264117385504664E-2</v>
      </c>
      <c r="P15" s="186">
        <f t="shared" si="39"/>
        <v>-0.16102110947471771</v>
      </c>
      <c r="Q15" s="186">
        <f t="shared" si="39"/>
        <v>-0.22527794031597426</v>
      </c>
      <c r="R15" s="186"/>
      <c r="S15" s="217"/>
      <c r="T15" s="554">
        <f>T14/Q14-1</f>
        <v>-0.15861027190332322</v>
      </c>
      <c r="U15" s="186"/>
      <c r="V15" s="217"/>
      <c r="W15" s="554">
        <f>W14/T14-1</f>
        <v>-3.3213644524237029E-2</v>
      </c>
      <c r="X15" s="186"/>
      <c r="Y15" s="217"/>
      <c r="Z15" s="563" t="s">
        <v>248</v>
      </c>
      <c r="AA15" s="186"/>
      <c r="AB15" s="217"/>
      <c r="AC15" s="554"/>
      <c r="AD15" s="186"/>
      <c r="AE15" s="217"/>
      <c r="AF15" s="554"/>
      <c r="AG15" s="186"/>
      <c r="AH15" s="217"/>
      <c r="AI15" s="554"/>
      <c r="AJ15" s="186"/>
      <c r="AK15" s="217"/>
      <c r="AL15" s="554"/>
      <c r="AM15" s="186"/>
      <c r="AN15" s="217"/>
      <c r="AO15" s="554"/>
      <c r="AP15" s="186"/>
      <c r="AQ15" s="217"/>
      <c r="AR15" s="554"/>
      <c r="AS15" s="186"/>
      <c r="AT15" s="217"/>
      <c r="AU15" s="554"/>
      <c r="AV15" s="186"/>
      <c r="AW15" s="217"/>
      <c r="AX15" s="554"/>
      <c r="AY15" s="186"/>
      <c r="AZ15" s="217"/>
      <c r="BA15" s="554"/>
      <c r="BB15" s="211"/>
      <c r="BC15" s="217"/>
      <c r="BD15" s="554"/>
      <c r="BE15" s="211"/>
      <c r="BF15" s="217"/>
      <c r="BG15" s="554"/>
      <c r="BH15" s="211"/>
      <c r="BI15" s="217"/>
      <c r="BJ15" s="554"/>
      <c r="BK15" s="211"/>
      <c r="BL15" s="217"/>
      <c r="BM15" s="554"/>
    </row>
    <row r="16" spans="1:72" customFormat="1" hidden="1" outlineLevel="1">
      <c r="A16" s="2" t="s">
        <v>395</v>
      </c>
      <c r="B16" s="27">
        <v>476</v>
      </c>
      <c r="C16" s="27">
        <v>608</v>
      </c>
      <c r="D16" s="27">
        <v>639</v>
      </c>
      <c r="E16" s="27">
        <v>508</v>
      </c>
      <c r="F16" s="27">
        <v>489</v>
      </c>
      <c r="G16" s="27">
        <v>535</v>
      </c>
      <c r="H16" s="27">
        <v>546</v>
      </c>
      <c r="I16" s="27">
        <v>558</v>
      </c>
      <c r="J16" s="27">
        <v>755</v>
      </c>
      <c r="K16" s="27">
        <v>1028</v>
      </c>
      <c r="L16" s="27">
        <v>1233</v>
      </c>
      <c r="M16" s="27">
        <v>1083</v>
      </c>
      <c r="N16" s="27">
        <v>962</v>
      </c>
      <c r="O16" s="27">
        <v>1538</v>
      </c>
      <c r="P16" s="27">
        <v>638</v>
      </c>
      <c r="Q16" s="27">
        <v>687</v>
      </c>
      <c r="R16" s="27">
        <v>356</v>
      </c>
      <c r="S16" s="218">
        <f>T16-R16</f>
        <v>421</v>
      </c>
      <c r="T16" s="553">
        <v>777</v>
      </c>
      <c r="U16" s="27">
        <v>391</v>
      </c>
      <c r="V16" s="218">
        <f>W16-U16</f>
        <v>427</v>
      </c>
      <c r="W16" s="553">
        <v>818</v>
      </c>
      <c r="X16" s="27"/>
      <c r="Y16" s="218"/>
      <c r="Z16" s="553"/>
      <c r="AA16" s="27"/>
      <c r="AB16" s="218"/>
      <c r="AC16" s="553"/>
      <c r="AD16" s="27"/>
      <c r="AE16" s="218"/>
      <c r="AF16" s="553"/>
      <c r="AG16" s="27"/>
      <c r="AH16" s="218"/>
      <c r="AI16" s="553"/>
      <c r="AJ16" s="27"/>
      <c r="AK16" s="218"/>
      <c r="AL16" s="553"/>
      <c r="AM16" s="27"/>
      <c r="AN16" s="218"/>
      <c r="AO16" s="553"/>
      <c r="AP16" s="27"/>
      <c r="AQ16" s="218"/>
      <c r="AR16" s="553"/>
      <c r="AS16" s="27"/>
      <c r="AT16" s="541"/>
      <c r="AU16" s="578"/>
      <c r="AV16" s="27"/>
      <c r="AW16" s="541"/>
      <c r="AX16" s="578"/>
      <c r="AY16" s="27"/>
      <c r="AZ16" s="541"/>
      <c r="BA16" s="578"/>
      <c r="BB16" s="2"/>
      <c r="BC16" s="541"/>
      <c r="BD16" s="578"/>
      <c r="BE16" s="2"/>
      <c r="BF16" s="541"/>
      <c r="BG16" s="578"/>
      <c r="BH16" s="2"/>
      <c r="BI16" s="541"/>
      <c r="BJ16" s="578"/>
      <c r="BK16" s="2"/>
      <c r="BL16" s="541"/>
      <c r="BM16" s="578"/>
    </row>
    <row r="17" spans="1:72" customFormat="1" hidden="1" outlineLevel="1">
      <c r="A17" s="185" t="s">
        <v>61</v>
      </c>
      <c r="B17" s="10"/>
      <c r="C17" s="186">
        <f t="shared" ref="C17:N17" si="40">C16/B16-1</f>
        <v>0.2773109243697478</v>
      </c>
      <c r="D17" s="186">
        <f t="shared" si="40"/>
        <v>5.0986842105263053E-2</v>
      </c>
      <c r="E17" s="186">
        <f t="shared" si="40"/>
        <v>-0.20500782472613455</v>
      </c>
      <c r="F17" s="186">
        <f t="shared" si="40"/>
        <v>-3.7401574803149651E-2</v>
      </c>
      <c r="G17" s="186">
        <f t="shared" si="40"/>
        <v>9.4069529652351713E-2</v>
      </c>
      <c r="H17" s="186">
        <f t="shared" si="40"/>
        <v>2.0560747663551426E-2</v>
      </c>
      <c r="I17" s="186">
        <f t="shared" si="40"/>
        <v>2.19780219780219E-2</v>
      </c>
      <c r="J17" s="186">
        <f t="shared" si="40"/>
        <v>0.35304659498207891</v>
      </c>
      <c r="K17" s="186">
        <f t="shared" si="40"/>
        <v>0.36158940397350992</v>
      </c>
      <c r="L17" s="186">
        <f t="shared" si="40"/>
        <v>0.19941634241245132</v>
      </c>
      <c r="M17" s="186">
        <f t="shared" si="40"/>
        <v>-0.12165450121654497</v>
      </c>
      <c r="N17" s="186">
        <f t="shared" si="40"/>
        <v>-0.11172668513388739</v>
      </c>
      <c r="O17" s="187" t="s">
        <v>248</v>
      </c>
      <c r="P17" s="187" t="s">
        <v>248</v>
      </c>
      <c r="Q17" s="186">
        <f>Q16/P16-1</f>
        <v>7.6802507836990497E-2</v>
      </c>
      <c r="R17" s="186"/>
      <c r="S17" s="217"/>
      <c r="T17" s="554">
        <f>T16/Q16-1</f>
        <v>0.13100436681222716</v>
      </c>
      <c r="U17" s="186"/>
      <c r="V17" s="217"/>
      <c r="W17" s="554">
        <f>W16/T16-1</f>
        <v>5.2767052767052736E-2</v>
      </c>
      <c r="X17" s="186"/>
      <c r="Y17" s="217"/>
      <c r="Z17" s="563" t="s">
        <v>248</v>
      </c>
      <c r="AA17" s="186"/>
      <c r="AB17" s="217"/>
      <c r="AC17" s="554"/>
      <c r="AD17" s="186"/>
      <c r="AE17" s="217"/>
      <c r="AF17" s="554"/>
      <c r="AG17" s="186"/>
      <c r="AH17" s="217"/>
      <c r="AI17" s="554"/>
      <c r="AJ17" s="186"/>
      <c r="AK17" s="217"/>
      <c r="AL17" s="554"/>
      <c r="AM17" s="186"/>
      <c r="AN17" s="217"/>
      <c r="AO17" s="554"/>
      <c r="AP17" s="186"/>
      <c r="AQ17" s="217"/>
      <c r="AR17" s="554"/>
      <c r="AS17" s="186"/>
      <c r="AT17" s="217"/>
      <c r="AU17" s="554"/>
      <c r="AV17" s="186"/>
      <c r="AW17" s="217"/>
      <c r="AX17" s="554"/>
      <c r="AY17" s="186"/>
      <c r="AZ17" s="217"/>
      <c r="BA17" s="554"/>
      <c r="BB17" s="211"/>
      <c r="BC17" s="217"/>
      <c r="BD17" s="554"/>
      <c r="BE17" s="211"/>
      <c r="BF17" s="217"/>
      <c r="BG17" s="554"/>
      <c r="BH17" s="211"/>
      <c r="BI17" s="217"/>
      <c r="BJ17" s="554"/>
      <c r="BK17" s="211"/>
      <c r="BL17" s="217"/>
      <c r="BM17" s="554"/>
    </row>
    <row r="18" spans="1:72" customFormat="1" hidden="1" outlineLevel="1">
      <c r="A18" s="2" t="s">
        <v>671</v>
      </c>
      <c r="B18" s="10"/>
      <c r="C18" s="186"/>
      <c r="D18" s="186"/>
      <c r="E18" s="186"/>
      <c r="F18" s="186"/>
      <c r="G18" s="186"/>
      <c r="H18" s="186"/>
      <c r="I18" s="186"/>
      <c r="J18" s="186"/>
      <c r="K18" s="186"/>
      <c r="L18" s="186"/>
      <c r="M18" s="186"/>
      <c r="N18" s="186"/>
      <c r="O18" s="187"/>
      <c r="P18" s="187"/>
      <c r="Q18" s="186"/>
      <c r="R18" s="27">
        <v>0</v>
      </c>
      <c r="S18" s="218">
        <f>T18-R18</f>
        <v>0</v>
      </c>
      <c r="T18" s="554"/>
      <c r="U18" s="27">
        <v>0</v>
      </c>
      <c r="V18" s="218">
        <f>W18-U18</f>
        <v>0</v>
      </c>
      <c r="W18" s="554"/>
      <c r="X18" s="27">
        <v>309</v>
      </c>
      <c r="Y18" s="218">
        <f>Z18-X18</f>
        <v>416.43859649122817</v>
      </c>
      <c r="Z18" s="553">
        <f>827/1.14</f>
        <v>725.43859649122817</v>
      </c>
      <c r="AA18" s="27">
        <v>375</v>
      </c>
      <c r="AB18" s="218">
        <f>AC18-AA18</f>
        <v>404</v>
      </c>
      <c r="AC18" s="553">
        <v>779</v>
      </c>
      <c r="AD18" s="27">
        <v>457</v>
      </c>
      <c r="AE18" s="218">
        <f>AF18-AD18</f>
        <v>479</v>
      </c>
      <c r="AF18" s="553">
        <v>936</v>
      </c>
      <c r="AG18" s="27">
        <v>398</v>
      </c>
      <c r="AH18" s="218">
        <f>AI18-AG18</f>
        <v>-398</v>
      </c>
      <c r="AI18" s="553">
        <v>0</v>
      </c>
      <c r="AJ18" s="27">
        <v>0</v>
      </c>
      <c r="AK18" s="218">
        <f>AL18-AJ18</f>
        <v>0</v>
      </c>
      <c r="AL18" s="553">
        <v>0</v>
      </c>
      <c r="AM18" s="27">
        <v>0</v>
      </c>
      <c r="AN18" s="218">
        <f>AO18-AM18</f>
        <v>0</v>
      </c>
      <c r="AO18" s="553">
        <v>0</v>
      </c>
      <c r="AP18" s="27">
        <v>0</v>
      </c>
      <c r="AQ18" s="218">
        <f>AR18-AP18</f>
        <v>0</v>
      </c>
      <c r="AR18" s="553">
        <v>0</v>
      </c>
      <c r="AS18" s="27">
        <v>0</v>
      </c>
      <c r="AT18" s="218">
        <f>AU18-AS18</f>
        <v>0</v>
      </c>
      <c r="AU18" s="553">
        <v>0</v>
      </c>
      <c r="AV18" s="27">
        <v>0</v>
      </c>
      <c r="AW18" s="218">
        <f>AX18-AV18</f>
        <v>0</v>
      </c>
      <c r="AX18" s="553">
        <v>0</v>
      </c>
      <c r="AY18" s="27">
        <v>0</v>
      </c>
      <c r="AZ18" s="237">
        <f>BA18-AY18</f>
        <v>0</v>
      </c>
      <c r="BA18" s="576">
        <f>AX18*(1+BA7)</f>
        <v>0</v>
      </c>
      <c r="BB18" s="48">
        <f>AY18*(1+BB7)</f>
        <v>0</v>
      </c>
      <c r="BC18" s="237">
        <f>BD18-BB18</f>
        <v>0</v>
      </c>
      <c r="BD18" s="576">
        <f>BA18*(1+BD7)</f>
        <v>0</v>
      </c>
      <c r="BE18" s="48">
        <f>BB18*(1+BE7)</f>
        <v>0</v>
      </c>
      <c r="BF18" s="237">
        <f>BG18-BE18</f>
        <v>0</v>
      </c>
      <c r="BG18" s="576">
        <f>BD18*(1+BG7)</f>
        <v>0</v>
      </c>
      <c r="BH18" s="48">
        <f>BE18*(1+BH7)</f>
        <v>0</v>
      </c>
      <c r="BI18" s="237">
        <f>BJ18-BH18</f>
        <v>0</v>
      </c>
      <c r="BJ18" s="576">
        <f>BG18*(1+BJ7)</f>
        <v>0</v>
      </c>
      <c r="BK18" s="48">
        <f>BH18*(1+BK7)</f>
        <v>0</v>
      </c>
      <c r="BL18" s="237">
        <f>BM18-BK18</f>
        <v>0</v>
      </c>
      <c r="BM18" s="576">
        <f t="shared" ref="BM18" si="41">BJ18*(1+BM7)</f>
        <v>0</v>
      </c>
    </row>
    <row r="19" spans="1:72" customFormat="1" hidden="1" outlineLevel="1">
      <c r="A19" s="185" t="s">
        <v>61</v>
      </c>
      <c r="B19" s="10"/>
      <c r="C19" s="186"/>
      <c r="D19" s="186"/>
      <c r="E19" s="186"/>
      <c r="F19" s="186"/>
      <c r="G19" s="186"/>
      <c r="H19" s="186"/>
      <c r="I19" s="186"/>
      <c r="J19" s="186"/>
      <c r="K19" s="186"/>
      <c r="L19" s="186"/>
      <c r="M19" s="186"/>
      <c r="N19" s="186"/>
      <c r="O19" s="187"/>
      <c r="P19" s="187"/>
      <c r="Q19" s="186"/>
      <c r="R19" s="186"/>
      <c r="S19" s="217"/>
      <c r="T19" s="554"/>
      <c r="U19" s="186"/>
      <c r="V19" s="217"/>
      <c r="W19" s="554"/>
      <c r="X19" s="186"/>
      <c r="Y19" s="217"/>
      <c r="Z19" s="563" t="s">
        <v>703</v>
      </c>
      <c r="AA19" s="186"/>
      <c r="AB19" s="217"/>
      <c r="AC19" s="554">
        <f>AC18/Z18-1</f>
        <v>7.3833131801692709E-2</v>
      </c>
      <c r="AD19" s="186"/>
      <c r="AE19" s="217"/>
      <c r="AF19" s="554">
        <f>AF18/AC18-1</f>
        <v>0.20154043645699615</v>
      </c>
      <c r="AG19" s="186"/>
      <c r="AH19" s="217"/>
      <c r="AI19" s="554">
        <f>AI18/AF18-1</f>
        <v>-1</v>
      </c>
      <c r="AJ19" s="186"/>
      <c r="AK19" s="217"/>
      <c r="AL19" s="554"/>
      <c r="AM19" s="186"/>
      <c r="AN19" s="217"/>
      <c r="AO19" s="554"/>
      <c r="AP19" s="186"/>
      <c r="AQ19" s="217"/>
      <c r="AR19" s="554"/>
      <c r="AS19" s="186"/>
      <c r="AT19" s="252"/>
      <c r="AU19" s="577"/>
      <c r="AV19" s="186"/>
      <c r="AW19" s="252"/>
      <c r="AX19" s="577"/>
      <c r="AY19" s="186"/>
      <c r="AZ19" s="252"/>
      <c r="BA19" s="577"/>
      <c r="BB19" s="251"/>
      <c r="BC19" s="252"/>
      <c r="BD19" s="577"/>
      <c r="BE19" s="251"/>
      <c r="BF19" s="252"/>
      <c r="BG19" s="577"/>
      <c r="BH19" s="251"/>
      <c r="BI19" s="252"/>
      <c r="BJ19" s="577"/>
      <c r="BK19" s="251"/>
      <c r="BL19" s="252"/>
      <c r="BM19" s="577"/>
      <c r="BP19" s="177"/>
    </row>
    <row r="20" spans="1:72" customFormat="1" collapsed="1">
      <c r="A20" s="2" t="s">
        <v>247</v>
      </c>
      <c r="B20" s="27">
        <f>40+44</f>
        <v>84</v>
      </c>
      <c r="C20" s="27">
        <v>50</v>
      </c>
      <c r="D20" s="27">
        <v>50</v>
      </c>
      <c r="E20" s="27">
        <v>42</v>
      </c>
      <c r="F20" s="27">
        <v>81</v>
      </c>
      <c r="G20" s="27">
        <v>0</v>
      </c>
      <c r="H20" s="27">
        <v>0</v>
      </c>
      <c r="I20" s="27">
        <v>0</v>
      </c>
      <c r="J20" s="27">
        <v>0</v>
      </c>
      <c r="K20" s="27">
        <v>0</v>
      </c>
      <c r="L20" s="27">
        <v>0</v>
      </c>
      <c r="M20" s="27">
        <v>-215</v>
      </c>
      <c r="N20" s="27">
        <v>-143</v>
      </c>
      <c r="O20" s="27">
        <v>-147</v>
      </c>
      <c r="P20" s="27">
        <f>46-155</f>
        <v>-109</v>
      </c>
      <c r="Q20" s="27">
        <f>96-106</f>
        <v>-10</v>
      </c>
      <c r="R20" s="27">
        <v>-18</v>
      </c>
      <c r="S20" s="218">
        <f>T20-R20</f>
        <v>-21</v>
      </c>
      <c r="T20" s="553">
        <f>37-76</f>
        <v>-39</v>
      </c>
      <c r="U20" s="27">
        <v>-7</v>
      </c>
      <c r="V20" s="218">
        <f>W20-U20</f>
        <v>-19</v>
      </c>
      <c r="W20" s="553">
        <v>-26</v>
      </c>
      <c r="X20" s="27">
        <v>0</v>
      </c>
      <c r="Y20" s="218">
        <f>Z20-X20</f>
        <v>0</v>
      </c>
      <c r="Z20" s="553">
        <v>0</v>
      </c>
      <c r="AA20" s="27">
        <v>-181</v>
      </c>
      <c r="AB20" s="218">
        <f>AC20-AA20</f>
        <v>-248</v>
      </c>
      <c r="AC20" s="553">
        <v>-429</v>
      </c>
      <c r="AD20" s="27">
        <v>-309</v>
      </c>
      <c r="AE20" s="218">
        <f>AF20-AD20</f>
        <v>-268</v>
      </c>
      <c r="AF20" s="553">
        <v>-577</v>
      </c>
      <c r="AG20" s="27">
        <v>-120</v>
      </c>
      <c r="AH20" s="218">
        <f>AI20-AG20</f>
        <v>387</v>
      </c>
      <c r="AI20" s="553">
        <f>273-6</f>
        <v>267</v>
      </c>
      <c r="AJ20" s="27">
        <v>155</v>
      </c>
      <c r="AK20" s="218">
        <f>AL20-AJ20</f>
        <v>137</v>
      </c>
      <c r="AL20" s="553">
        <f>303-11</f>
        <v>292</v>
      </c>
      <c r="AM20" s="27">
        <v>-12</v>
      </c>
      <c r="AN20" s="218">
        <f>AO20-AM20</f>
        <v>7</v>
      </c>
      <c r="AO20" s="553">
        <v>-5</v>
      </c>
      <c r="AP20" s="27">
        <v>5</v>
      </c>
      <c r="AQ20" s="218">
        <f>AR20-AP20</f>
        <v>7</v>
      </c>
      <c r="AR20" s="553">
        <v>12</v>
      </c>
      <c r="AS20" s="27">
        <v>5</v>
      </c>
      <c r="AT20" s="218">
        <f>AU20-AS20</f>
        <v>-5</v>
      </c>
      <c r="AU20" s="553">
        <v>0</v>
      </c>
      <c r="AV20" s="27">
        <v>0</v>
      </c>
      <c r="AW20" s="218">
        <f>AX20-AV20</f>
        <v>0</v>
      </c>
      <c r="AX20" s="553">
        <v>0</v>
      </c>
      <c r="AY20" s="27">
        <v>0</v>
      </c>
      <c r="AZ20" s="237">
        <f>BA20-AY20</f>
        <v>0</v>
      </c>
      <c r="BA20" s="576">
        <f>+AX20</f>
        <v>0</v>
      </c>
      <c r="BB20" s="48">
        <f>BD20/2</f>
        <v>0</v>
      </c>
      <c r="BC20" s="237">
        <f>BD20-BB20</f>
        <v>0</v>
      </c>
      <c r="BD20" s="576">
        <f>+BA20</f>
        <v>0</v>
      </c>
      <c r="BE20" s="48">
        <f>BG20/2</f>
        <v>0</v>
      </c>
      <c r="BF20" s="237">
        <f>BG20-BE20</f>
        <v>0</v>
      </c>
      <c r="BG20" s="576">
        <f>+BD20</f>
        <v>0</v>
      </c>
      <c r="BH20" s="48">
        <f>BJ20/2</f>
        <v>0</v>
      </c>
      <c r="BI20" s="237">
        <f>BJ20-BH20</f>
        <v>0</v>
      </c>
      <c r="BJ20" s="576">
        <f>+BG20</f>
        <v>0</v>
      </c>
      <c r="BK20" s="48">
        <f>BM20/2</f>
        <v>0</v>
      </c>
      <c r="BL20" s="237">
        <f>BM20-BK20</f>
        <v>0</v>
      </c>
      <c r="BM20" s="576">
        <f t="shared" ref="BM20" si="42">+BJ20</f>
        <v>0</v>
      </c>
    </row>
    <row r="21" spans="1:72" customFormat="1">
      <c r="A21" s="12" t="s">
        <v>704</v>
      </c>
      <c r="B21" s="190"/>
      <c r="C21" s="190"/>
      <c r="D21" s="190"/>
      <c r="E21" s="190"/>
      <c r="F21" s="190"/>
      <c r="G21" s="190"/>
      <c r="H21" s="190"/>
      <c r="I21" s="190"/>
      <c r="J21" s="190"/>
      <c r="K21" s="190"/>
      <c r="L21" s="190"/>
      <c r="M21" s="190"/>
      <c r="N21" s="190"/>
      <c r="O21" s="190"/>
      <c r="P21" s="190"/>
      <c r="Q21" s="190"/>
      <c r="R21" s="190"/>
      <c r="S21" s="226"/>
      <c r="T21" s="555"/>
      <c r="U21" s="190"/>
      <c r="V21" s="226"/>
      <c r="W21" s="555"/>
      <c r="X21" s="190">
        <f t="shared" ref="X21:Y21" si="43">X6+X8+X10+X20</f>
        <v>5611</v>
      </c>
      <c r="Y21" s="226">
        <f t="shared" si="43"/>
        <v>7175</v>
      </c>
      <c r="Z21" s="555">
        <f>Z6+Z8+Z10+Z20</f>
        <v>12786</v>
      </c>
      <c r="AA21" s="190">
        <f>AA6+AA8+AA10+AA12+AA18+AA20</f>
        <v>6680</v>
      </c>
      <c r="AB21" s="226">
        <f>AB6+AB8+AB10+AB12+AB18+AB20</f>
        <v>7656</v>
      </c>
      <c r="AC21" s="555">
        <f>AC6+AC8+AC10+AC18+AC20</f>
        <v>14336</v>
      </c>
      <c r="AD21" s="190">
        <f>AD6+AD8+AD10+AD12+AD18+AD20</f>
        <v>7213</v>
      </c>
      <c r="AE21" s="226">
        <f>AE6+AE8+AE10+AE12+AE18+AE20</f>
        <v>8048</v>
      </c>
      <c r="AF21" s="555">
        <f>AF6+AF8+AF10+AF18+AF20</f>
        <v>15261</v>
      </c>
      <c r="AG21" s="190">
        <f t="shared" ref="AG21:AH21" si="44">AG6+AG8+AG10+AG12+AG18+AG20</f>
        <v>5561</v>
      </c>
      <c r="AH21" s="226">
        <f t="shared" si="44"/>
        <v>5869</v>
      </c>
      <c r="AI21" s="555">
        <f>AI6+AI8+AI10+AI12+AI20</f>
        <v>11430</v>
      </c>
      <c r="AJ21" s="190">
        <f t="shared" ref="AJ21:BM21" si="45">AJ6+AJ8+AJ10+AJ12+AJ20</f>
        <v>5227</v>
      </c>
      <c r="AK21" s="226">
        <f t="shared" si="45"/>
        <v>5720</v>
      </c>
      <c r="AL21" s="555">
        <f t="shared" si="45"/>
        <v>10947</v>
      </c>
      <c r="AM21" s="190">
        <f t="shared" si="45"/>
        <v>5308</v>
      </c>
      <c r="AN21" s="226">
        <f t="shared" si="45"/>
        <v>7383</v>
      </c>
      <c r="AO21" s="555">
        <f t="shared" si="45"/>
        <v>12691</v>
      </c>
      <c r="AP21" s="190">
        <f t="shared" si="45"/>
        <v>6950</v>
      </c>
      <c r="AQ21" s="226">
        <f t="shared" si="45"/>
        <v>8459</v>
      </c>
      <c r="AR21" s="555">
        <f t="shared" si="45"/>
        <v>15409</v>
      </c>
      <c r="AS21" s="190">
        <f t="shared" si="45"/>
        <v>8182</v>
      </c>
      <c r="AT21" s="226">
        <f t="shared" si="45"/>
        <v>9666</v>
      </c>
      <c r="AU21" s="555">
        <f t="shared" si="45"/>
        <v>17848</v>
      </c>
      <c r="AV21" s="190">
        <f t="shared" si="45"/>
        <v>9057</v>
      </c>
      <c r="AW21" s="226">
        <f t="shared" si="45"/>
        <v>11002</v>
      </c>
      <c r="AX21" s="555">
        <f t="shared" si="45"/>
        <v>20059</v>
      </c>
      <c r="AY21" s="190">
        <f t="shared" ref="AY21" si="46">AY6+AY8+AY10+AY12+AY20</f>
        <v>11279</v>
      </c>
      <c r="AZ21" s="241">
        <f t="shared" si="45"/>
        <v>12334.997421791399</v>
      </c>
      <c r="BA21" s="579">
        <f t="shared" si="45"/>
        <v>23613.997421791399</v>
      </c>
      <c r="BB21" s="204">
        <f t="shared" si="45"/>
        <v>12914.199231416873</v>
      </c>
      <c r="BC21" s="241">
        <f t="shared" si="45"/>
        <v>13763.730006610756</v>
      </c>
      <c r="BD21" s="579">
        <f t="shared" si="45"/>
        <v>26677.929238027627</v>
      </c>
      <c r="BE21" s="204">
        <f t="shared" si="45"/>
        <v>14160.950842036937</v>
      </c>
      <c r="BF21" s="241">
        <f t="shared" si="45"/>
        <v>15375.343105863434</v>
      </c>
      <c r="BG21" s="579">
        <f t="shared" si="45"/>
        <v>29536.293947900369</v>
      </c>
      <c r="BH21" s="204">
        <f t="shared" si="45"/>
        <v>15870.082486126383</v>
      </c>
      <c r="BI21" s="241">
        <f t="shared" si="45"/>
        <v>17226.512100516175</v>
      </c>
      <c r="BJ21" s="579">
        <f t="shared" si="45"/>
        <v>33096.594586642554</v>
      </c>
      <c r="BK21" s="204">
        <f t="shared" si="45"/>
        <v>17792.180974861374</v>
      </c>
      <c r="BL21" s="241">
        <f t="shared" si="45"/>
        <v>19277.306261152517</v>
      </c>
      <c r="BM21" s="579">
        <f t="shared" si="45"/>
        <v>37069.487236013891</v>
      </c>
      <c r="BT21" s="177"/>
    </row>
    <row r="22" spans="1:72" customFormat="1">
      <c r="A22" t="s">
        <v>705</v>
      </c>
      <c r="B22" s="27"/>
      <c r="C22" s="27"/>
      <c r="D22" s="27"/>
      <c r="E22" s="27"/>
      <c r="F22" s="27"/>
      <c r="G22" s="27"/>
      <c r="H22" s="27"/>
      <c r="I22" s="27"/>
      <c r="J22" s="27"/>
      <c r="K22" s="27"/>
      <c r="L22" s="27"/>
      <c r="M22" s="27"/>
      <c r="N22" s="27"/>
      <c r="O22" s="27"/>
      <c r="P22" s="27"/>
      <c r="Q22" s="27"/>
      <c r="R22" s="10"/>
      <c r="S22" s="216"/>
      <c r="T22" s="553"/>
      <c r="U22" s="10"/>
      <c r="V22" s="216"/>
      <c r="W22" s="553"/>
      <c r="X22" s="10">
        <v>430</v>
      </c>
      <c r="Y22" s="216">
        <f>Z22-X22</f>
        <v>455</v>
      </c>
      <c r="Z22" s="556">
        <v>885</v>
      </c>
      <c r="AA22" s="10">
        <v>360</v>
      </c>
      <c r="AB22" s="216">
        <f>AC22-AA22</f>
        <v>371</v>
      </c>
      <c r="AC22" s="556">
        <f>726+89-84</f>
        <v>731</v>
      </c>
      <c r="AD22" s="10">
        <v>140</v>
      </c>
      <c r="AE22" s="216">
        <f>AF22-AD22</f>
        <v>49</v>
      </c>
      <c r="AF22" s="556">
        <v>189</v>
      </c>
      <c r="AG22" s="10">
        <v>0</v>
      </c>
      <c r="AH22" s="216">
        <f>AI22-AG22</f>
        <v>0</v>
      </c>
      <c r="AI22" s="556">
        <v>0</v>
      </c>
      <c r="AJ22" s="10">
        <v>0</v>
      </c>
      <c r="AK22" s="216">
        <f>AL22-AJ22</f>
        <v>0</v>
      </c>
      <c r="AL22" s="556">
        <v>0</v>
      </c>
      <c r="AM22" s="10">
        <v>0</v>
      </c>
      <c r="AN22" s="218">
        <f>AO22-AM22</f>
        <v>0</v>
      </c>
      <c r="AO22" s="556">
        <v>0</v>
      </c>
      <c r="AP22" s="10">
        <v>0</v>
      </c>
      <c r="AQ22" s="218">
        <f>AR22-AP22</f>
        <v>0</v>
      </c>
      <c r="AR22" s="556">
        <v>0</v>
      </c>
      <c r="AS22" s="10">
        <v>0</v>
      </c>
      <c r="AT22" s="218">
        <f>AU22-AS22</f>
        <v>0</v>
      </c>
      <c r="AU22" s="556">
        <v>0</v>
      </c>
      <c r="AV22" s="10">
        <v>0</v>
      </c>
      <c r="AW22" s="218">
        <f>AX22-AV22</f>
        <v>0</v>
      </c>
      <c r="AX22" s="556">
        <v>0</v>
      </c>
      <c r="AY22" s="10">
        <v>0</v>
      </c>
      <c r="AZ22" s="236">
        <f>BA22-AY22</f>
        <v>0</v>
      </c>
      <c r="BA22" s="580">
        <v>0</v>
      </c>
      <c r="BB22" s="48">
        <f>BD22/2</f>
        <v>0</v>
      </c>
      <c r="BC22" s="236">
        <f>BD22-BB22</f>
        <v>0</v>
      </c>
      <c r="BD22" s="580">
        <v>0</v>
      </c>
      <c r="BE22" s="48">
        <f>BG22/2</f>
        <v>0</v>
      </c>
      <c r="BF22" s="236">
        <f>BG22-BE22</f>
        <v>0</v>
      </c>
      <c r="BG22" s="580">
        <v>0</v>
      </c>
      <c r="BH22" s="48">
        <f>BJ22/2</f>
        <v>0</v>
      </c>
      <c r="BI22" s="236">
        <f>BJ22-BH22</f>
        <v>0</v>
      </c>
      <c r="BJ22" s="580">
        <v>0</v>
      </c>
      <c r="BK22" s="48">
        <f>BM22/2</f>
        <v>0</v>
      </c>
      <c r="BL22" s="236">
        <f>BM22-BK22</f>
        <v>0</v>
      </c>
      <c r="BM22" s="580">
        <v>0</v>
      </c>
    </row>
    <row r="23" spans="1:72" customFormat="1">
      <c r="A23" s="9" t="s">
        <v>706</v>
      </c>
      <c r="B23" s="22">
        <f>B6+B8+B10+B14+B16+B20</f>
        <v>5864</v>
      </c>
      <c r="C23" s="22">
        <f t="shared" ref="C23:V23" si="47">C6+C8+C10+C14+C16+C20</f>
        <v>6328</v>
      </c>
      <c r="D23" s="22">
        <f t="shared" si="47"/>
        <v>5788</v>
      </c>
      <c r="E23" s="22">
        <f t="shared" si="47"/>
        <v>5645</v>
      </c>
      <c r="F23" s="22">
        <f t="shared" si="47"/>
        <v>5947</v>
      </c>
      <c r="G23" s="22">
        <f t="shared" si="47"/>
        <v>6458</v>
      </c>
      <c r="H23" s="22">
        <f t="shared" si="47"/>
        <v>7353</v>
      </c>
      <c r="I23" s="22">
        <f t="shared" si="47"/>
        <v>7817</v>
      </c>
      <c r="J23" s="22">
        <f t="shared" si="47"/>
        <v>9147</v>
      </c>
      <c r="K23" s="22">
        <f t="shared" si="47"/>
        <v>10108</v>
      </c>
      <c r="L23" s="22">
        <f t="shared" si="47"/>
        <v>10866</v>
      </c>
      <c r="M23" s="22">
        <f t="shared" si="47"/>
        <v>11277</v>
      </c>
      <c r="N23" s="22">
        <f t="shared" si="47"/>
        <v>12209</v>
      </c>
      <c r="O23" s="22">
        <f t="shared" si="47"/>
        <v>15505</v>
      </c>
      <c r="P23" s="22">
        <f t="shared" si="47"/>
        <v>13864</v>
      </c>
      <c r="Q23" s="22">
        <f t="shared" si="47"/>
        <v>13354</v>
      </c>
      <c r="R23" s="22">
        <f t="shared" ref="R23:S23" si="48">R6+R8+R10+R14+R16+R20</f>
        <v>6143</v>
      </c>
      <c r="S23" s="227">
        <f t="shared" si="48"/>
        <v>7640</v>
      </c>
      <c r="T23" s="557">
        <f t="shared" si="47"/>
        <v>13783</v>
      </c>
      <c r="U23" s="22">
        <f t="shared" si="47"/>
        <v>6865</v>
      </c>
      <c r="V23" s="227">
        <f t="shared" si="47"/>
        <v>8225</v>
      </c>
      <c r="W23" s="557">
        <f>W6+W8+W10+W14+W16+W20</f>
        <v>15090</v>
      </c>
      <c r="X23" s="22">
        <f t="shared" ref="X23:Y23" si="49">X21+X22</f>
        <v>6041</v>
      </c>
      <c r="Y23" s="227">
        <f t="shared" si="49"/>
        <v>7630</v>
      </c>
      <c r="Z23" s="557">
        <f>Z21+Z22</f>
        <v>13671</v>
      </c>
      <c r="AA23" s="22">
        <f t="shared" ref="AA23:AB23" si="50">AA21+AA22</f>
        <v>7040</v>
      </c>
      <c r="AB23" s="227">
        <f t="shared" si="50"/>
        <v>8027</v>
      </c>
      <c r="AC23" s="557">
        <f t="shared" ref="AC23:BM23" si="51">AC21+AC22</f>
        <v>15067</v>
      </c>
      <c r="AD23" s="22">
        <f t="shared" si="51"/>
        <v>7353</v>
      </c>
      <c r="AE23" s="227">
        <f t="shared" si="51"/>
        <v>8097</v>
      </c>
      <c r="AF23" s="557">
        <f t="shared" si="51"/>
        <v>15450</v>
      </c>
      <c r="AG23" s="22">
        <f t="shared" si="51"/>
        <v>5561</v>
      </c>
      <c r="AH23" s="227">
        <f t="shared" si="51"/>
        <v>5869</v>
      </c>
      <c r="AI23" s="557">
        <f>AI21+AI22</f>
        <v>11430</v>
      </c>
      <c r="AJ23" s="22">
        <f t="shared" ref="AJ23:AK23" si="52">AJ21+AJ22</f>
        <v>5227</v>
      </c>
      <c r="AK23" s="227">
        <f t="shared" si="52"/>
        <v>5720</v>
      </c>
      <c r="AL23" s="557">
        <f t="shared" si="51"/>
        <v>10947</v>
      </c>
      <c r="AM23" s="22">
        <f t="shared" ref="AM23:AN23" si="53">AM21+AM22</f>
        <v>5308</v>
      </c>
      <c r="AN23" s="227">
        <f t="shared" si="53"/>
        <v>7383</v>
      </c>
      <c r="AO23" s="557">
        <f t="shared" si="51"/>
        <v>12691</v>
      </c>
      <c r="AP23" s="22">
        <f t="shared" si="51"/>
        <v>6950</v>
      </c>
      <c r="AQ23" s="227">
        <f t="shared" si="51"/>
        <v>8459</v>
      </c>
      <c r="AR23" s="557">
        <f t="shared" ref="AR23:AT23" si="54">AR21+AR22</f>
        <v>15409</v>
      </c>
      <c r="AS23" s="22">
        <f t="shared" si="54"/>
        <v>8182</v>
      </c>
      <c r="AT23" s="227">
        <f t="shared" si="54"/>
        <v>9666</v>
      </c>
      <c r="AU23" s="557">
        <f t="shared" ref="AU23:AW23" si="55">AU21+AU22</f>
        <v>17848</v>
      </c>
      <c r="AV23" s="22">
        <f t="shared" si="55"/>
        <v>9057</v>
      </c>
      <c r="AW23" s="227">
        <f t="shared" si="55"/>
        <v>11002</v>
      </c>
      <c r="AX23" s="557">
        <f t="shared" ref="AX23:AY23" si="56">AX21+AX22</f>
        <v>20059</v>
      </c>
      <c r="AY23" s="22">
        <f t="shared" si="56"/>
        <v>11279</v>
      </c>
      <c r="AZ23" s="244">
        <f t="shared" si="51"/>
        <v>12334.997421791399</v>
      </c>
      <c r="BA23" s="581">
        <f t="shared" si="51"/>
        <v>23613.997421791399</v>
      </c>
      <c r="BB23" s="181">
        <f t="shared" si="51"/>
        <v>12914.199231416873</v>
      </c>
      <c r="BC23" s="244">
        <f t="shared" si="51"/>
        <v>13763.730006610756</v>
      </c>
      <c r="BD23" s="581">
        <f t="shared" si="51"/>
        <v>26677.929238027627</v>
      </c>
      <c r="BE23" s="181">
        <f t="shared" si="51"/>
        <v>14160.950842036937</v>
      </c>
      <c r="BF23" s="244">
        <f t="shared" si="51"/>
        <v>15375.343105863434</v>
      </c>
      <c r="BG23" s="581">
        <f t="shared" si="51"/>
        <v>29536.293947900369</v>
      </c>
      <c r="BH23" s="181">
        <f t="shared" si="51"/>
        <v>15870.082486126383</v>
      </c>
      <c r="BI23" s="244">
        <f t="shared" si="51"/>
        <v>17226.512100516175</v>
      </c>
      <c r="BJ23" s="581">
        <f t="shared" si="51"/>
        <v>33096.594586642554</v>
      </c>
      <c r="BK23" s="181">
        <f t="shared" si="51"/>
        <v>17792.180974861374</v>
      </c>
      <c r="BL23" s="244">
        <f t="shared" si="51"/>
        <v>19277.306261152517</v>
      </c>
      <c r="BM23" s="581">
        <f t="shared" si="51"/>
        <v>37069.487236013891</v>
      </c>
    </row>
    <row r="24" spans="1:72" customFormat="1">
      <c r="A24" s="191" t="s">
        <v>61</v>
      </c>
      <c r="B24" s="196"/>
      <c r="C24" s="197">
        <f t="shared" ref="C24:N24" si="57">C23/B23-1</f>
        <v>7.9126875852660206E-2</v>
      </c>
      <c r="D24" s="197">
        <f t="shared" si="57"/>
        <v>-8.5335018963337506E-2</v>
      </c>
      <c r="E24" s="197">
        <f t="shared" si="57"/>
        <v>-2.4706288873531435E-2</v>
      </c>
      <c r="F24" s="197">
        <f t="shared" si="57"/>
        <v>5.3498671390611152E-2</v>
      </c>
      <c r="G24" s="197">
        <f t="shared" si="57"/>
        <v>8.5925676811837937E-2</v>
      </c>
      <c r="H24" s="197">
        <f t="shared" si="57"/>
        <v>0.13858779807990085</v>
      </c>
      <c r="I24" s="197">
        <f t="shared" si="57"/>
        <v>6.3103495172038615E-2</v>
      </c>
      <c r="J24" s="197">
        <f t="shared" si="57"/>
        <v>0.17014199820903153</v>
      </c>
      <c r="K24" s="197">
        <f t="shared" si="57"/>
        <v>0.10506176888597363</v>
      </c>
      <c r="L24" s="197">
        <f t="shared" si="57"/>
        <v>7.4990106846062554E-2</v>
      </c>
      <c r="M24" s="197">
        <f t="shared" si="57"/>
        <v>3.7824406405301048E-2</v>
      </c>
      <c r="N24" s="197">
        <f t="shared" si="57"/>
        <v>8.2646093819278121E-2</v>
      </c>
      <c r="O24" s="197">
        <f>O23/N23-1</f>
        <v>0.2699647800802687</v>
      </c>
      <c r="P24" s="197">
        <f>P23/O23-1</f>
        <v>-0.1058368268300548</v>
      </c>
      <c r="Q24" s="197">
        <f>Q23/P23-1</f>
        <v>-3.6785920369301839E-2</v>
      </c>
      <c r="R24" s="197"/>
      <c r="S24" s="230"/>
      <c r="T24" s="558">
        <f>T23/Q23-1</f>
        <v>3.2125205930807255E-2</v>
      </c>
      <c r="U24" s="197">
        <f>U23/R23-1</f>
        <v>0.11753215041510656</v>
      </c>
      <c r="V24" s="230">
        <f>V23/S23-1</f>
        <v>7.6570680628272214E-2</v>
      </c>
      <c r="W24" s="558">
        <f>W23/T23-1</f>
        <v>9.4826960748748412E-2</v>
      </c>
      <c r="X24" s="197"/>
      <c r="Y24" s="230"/>
      <c r="Z24" s="564" t="s">
        <v>248</v>
      </c>
      <c r="AA24" s="197">
        <f>AA23/X23-1</f>
        <v>0.16536997185896385</v>
      </c>
      <c r="AB24" s="230">
        <f>AB23/Y23-1</f>
        <v>5.2031454783748377E-2</v>
      </c>
      <c r="AC24" s="558">
        <f t="shared" ref="AC24" si="58">AC23/Z23-1</f>
        <v>0.10211396386511584</v>
      </c>
      <c r="AD24" s="197">
        <f t="shared" ref="AD24:AI24" si="59">AD23/AA23-1</f>
        <v>4.4460227272727249E-2</v>
      </c>
      <c r="AE24" s="230">
        <f t="shared" si="59"/>
        <v>8.7205680827209253E-3</v>
      </c>
      <c r="AF24" s="558">
        <f t="shared" si="59"/>
        <v>2.5419791597530939E-2</v>
      </c>
      <c r="AG24" s="197">
        <f t="shared" si="59"/>
        <v>-0.24371005031959747</v>
      </c>
      <c r="AH24" s="230">
        <f t="shared" si="59"/>
        <v>-0.27516364085463751</v>
      </c>
      <c r="AI24" s="558">
        <f t="shared" si="59"/>
        <v>-0.26019417475728157</v>
      </c>
      <c r="AJ24" s="197">
        <f>AJ23/5410-1</f>
        <v>-3.3826247689463962E-2</v>
      </c>
      <c r="AK24" s="230">
        <f>AK23/AH23-1</f>
        <v>-2.5387629919918164E-2</v>
      </c>
      <c r="AL24" s="558">
        <f>AL23/AI23-1</f>
        <v>-4.2257217847769035E-2</v>
      </c>
      <c r="AM24" s="197">
        <f t="shared" ref="AM24:BM24" si="60">AM23/AJ23-1</f>
        <v>1.5496460684905289E-2</v>
      </c>
      <c r="AN24" s="230">
        <f t="shared" si="60"/>
        <v>0.29073426573426575</v>
      </c>
      <c r="AO24" s="558">
        <f t="shared" si="60"/>
        <v>0.1593130538046954</v>
      </c>
      <c r="AP24" s="197">
        <f t="shared" si="60"/>
        <v>0.3093443858327054</v>
      </c>
      <c r="AQ24" s="230">
        <f t="shared" ref="AQ24" si="61">AQ23/AN23-1</f>
        <v>0.14574021400514692</v>
      </c>
      <c r="AR24" s="558">
        <f t="shared" ref="AR24" si="62">AR23/AO23-1</f>
        <v>0.21416752028996933</v>
      </c>
      <c r="AS24" s="197">
        <f t="shared" si="60"/>
        <v>0.17726618705035979</v>
      </c>
      <c r="AT24" s="230">
        <f t="shared" ref="AT24" si="63">AT23/AQ23-1</f>
        <v>0.14268826102376164</v>
      </c>
      <c r="AU24" s="558">
        <f t="shared" ref="AU24" si="64">AU23/AR23-1</f>
        <v>0.15828411967032263</v>
      </c>
      <c r="AV24" s="197">
        <f t="shared" si="60"/>
        <v>0.10694206795404537</v>
      </c>
      <c r="AW24" s="230">
        <f t="shared" ref="AW24" si="65">AW23/AT23-1</f>
        <v>0.13821642871922202</v>
      </c>
      <c r="AX24" s="558">
        <f t="shared" ref="AX24" si="66">AX23/AU23-1</f>
        <v>0.12387942626624837</v>
      </c>
      <c r="AY24" s="197">
        <f t="shared" si="60"/>
        <v>0.24533509992271174</v>
      </c>
      <c r="AZ24" s="482">
        <f t="shared" si="60"/>
        <v>0.12115955478925633</v>
      </c>
      <c r="BA24" s="582">
        <f t="shared" si="60"/>
        <v>0.17722705128826943</v>
      </c>
      <c r="BB24" s="205">
        <f t="shared" si="60"/>
        <v>0.14497732346988856</v>
      </c>
      <c r="BC24" s="482">
        <f t="shared" si="60"/>
        <v>0.11582755439375392</v>
      </c>
      <c r="BD24" s="582">
        <f t="shared" si="60"/>
        <v>0.12975066277464653</v>
      </c>
      <c r="BE24" s="205">
        <f t="shared" si="60"/>
        <v>9.6541147327744659E-2</v>
      </c>
      <c r="BF24" s="482">
        <f t="shared" si="60"/>
        <v>0.1170913043541697</v>
      </c>
      <c r="BG24" s="582">
        <f t="shared" si="60"/>
        <v>0.10714342497761531</v>
      </c>
      <c r="BH24" s="205">
        <f t="shared" si="60"/>
        <v>0.12069328275724756</v>
      </c>
      <c r="BI24" s="482">
        <f t="shared" si="60"/>
        <v>0.12039854863120358</v>
      </c>
      <c r="BJ24" s="582">
        <f t="shared" si="60"/>
        <v>0.12053985665981881</v>
      </c>
      <c r="BK24" s="205">
        <f t="shared" si="60"/>
        <v>0.1211145871746595</v>
      </c>
      <c r="BL24" s="482">
        <f t="shared" si="60"/>
        <v>0.11904871680755913</v>
      </c>
      <c r="BM24" s="582">
        <f t="shared" si="60"/>
        <v>0.12003931821356506</v>
      </c>
    </row>
    <row r="25" spans="1:72" customFormat="1">
      <c r="A25" s="185" t="s">
        <v>243</v>
      </c>
      <c r="B25" s="198"/>
      <c r="C25" s="27"/>
      <c r="D25" s="27"/>
      <c r="E25" s="27"/>
      <c r="F25" s="27"/>
      <c r="G25" s="27"/>
      <c r="H25" s="27"/>
      <c r="I25" s="27"/>
      <c r="J25" s="27"/>
      <c r="K25" s="27"/>
      <c r="L25" s="27"/>
      <c r="M25" s="27"/>
      <c r="N25" s="27"/>
      <c r="O25" s="27"/>
      <c r="P25" s="27"/>
      <c r="Q25" s="199">
        <f>-96/P23</f>
        <v>-6.9244085401038661E-3</v>
      </c>
      <c r="R25" s="199"/>
      <c r="S25" s="229"/>
      <c r="T25" s="559">
        <f>-296/Q23</f>
        <v>-2.2165643252957914E-2</v>
      </c>
      <c r="U25" s="199">
        <v>0.06</v>
      </c>
      <c r="V25" s="229">
        <f>((T23*W25)-(R23*U25))/S23</f>
        <v>6.5369109947643889E-2</v>
      </c>
      <c r="W25" s="559">
        <f>W24-W26-W27</f>
        <v>6.2976130015236109E-2</v>
      </c>
      <c r="X25" s="199"/>
      <c r="Y25" s="229"/>
      <c r="Z25" s="565" t="s">
        <v>667</v>
      </c>
      <c r="AA25" s="199">
        <v>0.14000000000000001</v>
      </c>
      <c r="AB25" s="229">
        <f>((Z23*AC25)-(X23*AA25))/Y23</f>
        <v>3.2495412844036689E-2</v>
      </c>
      <c r="AC25" s="559">
        <v>0.08</v>
      </c>
      <c r="AD25" s="199">
        <v>7.0000000000000007E-2</v>
      </c>
      <c r="AE25" s="229">
        <f>((AC23*AF25)-(AA23*AD25))/AB23</f>
        <v>6.9999999999999993E-2</v>
      </c>
      <c r="AF25" s="559">
        <v>7.0000000000000007E-2</v>
      </c>
      <c r="AG25" s="199">
        <f>-1613/AD23</f>
        <v>-0.21936624507003943</v>
      </c>
      <c r="AH25" s="229">
        <f>((AF23*AI25)-(AD23*AG25))/AE23</f>
        <v>-0.24317648511794493</v>
      </c>
      <c r="AI25" s="559">
        <f>-3582/AF23</f>
        <v>-0.23184466019417477</v>
      </c>
      <c r="AJ25" s="199">
        <f>-86/5410</f>
        <v>-1.5896487985212569E-2</v>
      </c>
      <c r="AK25" s="229">
        <f>((AI23*AL25)-(5410*AJ25))/AH23</f>
        <v>-2.1809507582211615E-2</v>
      </c>
      <c r="AL25" s="559">
        <f>-214/AI23</f>
        <v>-1.8722659667541556E-2</v>
      </c>
      <c r="AM25" s="199">
        <f>223/5227</f>
        <v>4.2663095465850391E-2</v>
      </c>
      <c r="AN25" s="229">
        <f>((AL23*AO25)-(5227*AM25))/AK23</f>
        <v>0.22894755244755247</v>
      </c>
      <c r="AO25" s="559">
        <v>0.14000000000000001</v>
      </c>
      <c r="AP25" s="199">
        <v>0.28000000000000003</v>
      </c>
      <c r="AQ25" s="229">
        <f>((AO23*AR25)-(5227*AP25))/AN23</f>
        <v>0.16274549641067315</v>
      </c>
      <c r="AR25" s="559">
        <v>0.21</v>
      </c>
      <c r="AS25" s="199">
        <v>0.19</v>
      </c>
      <c r="AT25" s="229">
        <f>((AR23*AU25)-(5227*AS25))/AQ23</f>
        <v>0.19226858966780944</v>
      </c>
      <c r="AU25" s="559">
        <v>0.17</v>
      </c>
      <c r="AV25" s="199">
        <v>0.13</v>
      </c>
      <c r="AW25" s="229">
        <f>((AU23*AX25)-(5227*AV25))/AT23</f>
        <v>0.18820711773225743</v>
      </c>
      <c r="AX25" s="559">
        <v>0.14000000000000001</v>
      </c>
      <c r="AY25" s="199">
        <f>2310/AV23</f>
        <v>0.2550513415038092</v>
      </c>
      <c r="AZ25" s="247">
        <f>((AX23*BA25)-(AV23*AY25))/AW23</f>
        <v>7.5375517371286879E-2</v>
      </c>
      <c r="BA25" s="583">
        <v>0.15650239005528183</v>
      </c>
      <c r="BB25" s="245">
        <v>0.13278948175815294</v>
      </c>
      <c r="BC25" s="247">
        <f>((BA23*BD25)-(AY23*BB25))/AZ23</f>
        <v>0.10425725833636268</v>
      </c>
      <c r="BD25" s="583">
        <v>0.11788540194229855</v>
      </c>
      <c r="BE25" s="245">
        <v>8.3968298594987556E-2</v>
      </c>
      <c r="BF25" s="247">
        <f>((BD23*BG25)-(BB23*BE25))/BC23</f>
        <v>0.10547689842324819</v>
      </c>
      <c r="BG25" s="583">
        <f>(('Civil OE'!BD25*'Civil OE'!BA23)+('Civil AM'!BD25*'Civil AM'!BA23)+(Defence!BG35*Defence!BD33)+('Power Systems'!BG35*'Power Systems'!BD33))/BD23</f>
        <v>9.5065057950448714E-2</v>
      </c>
      <c r="BH25" s="245">
        <v>0.12069328275724764</v>
      </c>
      <c r="BI25" s="247">
        <f>((BG23*BJ25)-(BE23*BH25))/BF23</f>
        <v>0.1203985486312035</v>
      </c>
      <c r="BJ25" s="583">
        <f>(('Civil OE'!BG25*'Civil OE'!BD23)+('Civil AM'!BG25*'Civil AM'!BD23)+(Defence!BJ35*Defence!BG33)+('Power Systems'!BJ35*'Power Systems'!BG33))/BG23</f>
        <v>0.12053985665981887</v>
      </c>
      <c r="BK25" s="245">
        <v>0.12111458717465937</v>
      </c>
      <c r="BL25" s="247">
        <f>((BJ23*BM25)-(BH23*BK25))/BI23</f>
        <v>0.11904871680755925</v>
      </c>
      <c r="BM25" s="583">
        <f>(('Civil OE'!BJ25*'Civil OE'!BG23)+('Civil AM'!BJ25*'Civil AM'!BG23)+(Defence!BM35*Defence!BJ33)+('Power Systems'!BM35*'Power Systems'!BJ33))/BJ23</f>
        <v>0.1200393182135648</v>
      </c>
    </row>
    <row r="26" spans="1:72" customFormat="1">
      <c r="A26" s="185" t="s">
        <v>244</v>
      </c>
      <c r="B26" s="198"/>
      <c r="C26" s="27"/>
      <c r="D26" s="27"/>
      <c r="E26" s="27"/>
      <c r="F26" s="27"/>
      <c r="G26" s="27"/>
      <c r="H26" s="27"/>
      <c r="I26" s="27"/>
      <c r="J26" s="27"/>
      <c r="K26" s="27"/>
      <c r="L26" s="27"/>
      <c r="M26" s="27"/>
      <c r="N26" s="27"/>
      <c r="O26" s="27"/>
      <c r="P26" s="27"/>
      <c r="Q26" s="199">
        <f>-414/P23</f>
        <v>-2.9861511829197922E-2</v>
      </c>
      <c r="R26" s="199"/>
      <c r="S26" s="229"/>
      <c r="T26" s="559">
        <f>725/Q23</f>
        <v>5.4290849183765165E-2</v>
      </c>
      <c r="U26" s="986" t="s">
        <v>667</v>
      </c>
      <c r="V26" s="987" t="s">
        <v>667</v>
      </c>
      <c r="W26" s="559">
        <f>439/T23</f>
        <v>3.1850830733512296E-2</v>
      </c>
      <c r="X26" s="199"/>
      <c r="Y26" s="229"/>
      <c r="Z26" s="565" t="s">
        <v>667</v>
      </c>
      <c r="AA26" s="986" t="s">
        <v>667</v>
      </c>
      <c r="AB26" s="987" t="s">
        <v>667</v>
      </c>
      <c r="AC26" s="565" t="s">
        <v>667</v>
      </c>
      <c r="AD26" s="986" t="s">
        <v>667</v>
      </c>
      <c r="AE26" s="987" t="s">
        <v>667</v>
      </c>
      <c r="AF26" s="565" t="s">
        <v>667</v>
      </c>
      <c r="AG26" s="986" t="s">
        <v>667</v>
      </c>
      <c r="AH26" s="987" t="s">
        <v>667</v>
      </c>
      <c r="AI26" s="559">
        <f>61/AF23</f>
        <v>3.9482200647249187E-3</v>
      </c>
      <c r="AJ26" s="199">
        <f>-121/5410</f>
        <v>-2.2365988909426988E-2</v>
      </c>
      <c r="AK26" s="229">
        <f>((AI23*AL26)-(5410*AJ26))/AH23</f>
        <v>-2.8454591923666724E-2</v>
      </c>
      <c r="AL26" s="559">
        <f>-288/AI23</f>
        <v>-2.5196850393700787E-2</v>
      </c>
      <c r="AM26" s="199">
        <f>6/5227</f>
        <v>1.1478859766596518E-3</v>
      </c>
      <c r="AN26" s="229">
        <f>((AL23*AO26)-(5227*AM26))/AK23</f>
        <v>3.5664335664335661E-2</v>
      </c>
      <c r="AO26" s="559">
        <f>210/AL23</f>
        <v>1.9183337900794739E-2</v>
      </c>
      <c r="AP26" s="199">
        <f>155/AM23</f>
        <v>2.9201205727204221E-2</v>
      </c>
      <c r="AQ26" s="229">
        <f>((AO23*AR26)-(5227*AP26))/AN23</f>
        <v>-8.7545309950015533E-3</v>
      </c>
      <c r="AR26" s="559">
        <f>88/AO23</f>
        <v>6.9340477503742814E-3</v>
      </c>
      <c r="AS26" s="199">
        <f>-103/AP23</f>
        <v>-1.4820143884892086E-2</v>
      </c>
      <c r="AT26" s="229">
        <f>((AR23*AU26)-(5227*AS26))/AQ23</f>
        <v>-1.9805545326122363E-2</v>
      </c>
      <c r="AU26" s="559">
        <f>-245/AR23</f>
        <v>-1.5899798818872088E-2</v>
      </c>
      <c r="AV26" s="199">
        <f>-78/AS23</f>
        <v>-9.5331214861891951E-3</v>
      </c>
      <c r="AW26" s="229">
        <f>((AU23*AX26)-(5227*AV26))/AT23</f>
        <v>-2.0191431201292062E-2</v>
      </c>
      <c r="AX26" s="559">
        <f>-245/AU23</f>
        <v>-1.3727028238458091E-2</v>
      </c>
      <c r="AY26" s="199">
        <f>-29/AV23</f>
        <v>-3.2019432483162196E-3</v>
      </c>
      <c r="AZ26" s="247">
        <f>((AX23*BA26)-(AV23*AY26))/AW23</f>
        <v>4.04213760836667E-2</v>
      </c>
      <c r="BA26" s="583">
        <v>2.0724661232987739E-2</v>
      </c>
      <c r="BB26" s="245">
        <v>1.2187841711735632E-2</v>
      </c>
      <c r="BC26" s="247">
        <f>((BA23*BD26)-(AY23*BB26))/AZ23</f>
        <v>1.1570296057391006E-2</v>
      </c>
      <c r="BD26" s="583">
        <v>1.1865260832347969E-2</v>
      </c>
      <c r="BE26" s="245">
        <v>1.2572848732757108E-2</v>
      </c>
      <c r="BF26" s="247">
        <f>((BD23*BG26)-(BB23*BE26))/BC23</f>
        <v>1.161440593092185E-2</v>
      </c>
      <c r="BG26" s="583">
        <f>(('Civil OE'!BD70*'Civil OE'!BA23)+('Civil AM'!BD376*'Civil AM'!BA23)+(Defence!BG36*Defence!BD33)+('Power Systems'!BG36*'Power Systems'!BD33))/BD23</f>
        <v>1.2078367027166704E-2</v>
      </c>
      <c r="BH26" s="245">
        <v>0</v>
      </c>
      <c r="BI26" s="247">
        <f>((BG23*BJ26)-(BE23*BH26))/BF23</f>
        <v>0</v>
      </c>
      <c r="BJ26" s="583">
        <f>(('Civil OE'!BG70*'Civil OE'!BD23)+('Civil AM'!BG376*'Civil AM'!BD23)+(Defence!BJ36*Defence!BG33)+('Power Systems'!BJ36*'Power Systems'!BG33))/BG23</f>
        <v>0</v>
      </c>
      <c r="BK26" s="245">
        <v>0</v>
      </c>
      <c r="BL26" s="247">
        <f>((BJ23*BM26)-(BH23*BK26))/BI23</f>
        <v>0</v>
      </c>
      <c r="BM26" s="583">
        <f>(('Civil OE'!BJ70*'Civil OE'!BG23)+('Civil AM'!BJ376*'Civil AM'!BG23)+(Defence!BM36*Defence!BJ33)+('Power Systems'!BM36*'Power Systems'!BJ33))/BJ23</f>
        <v>0</v>
      </c>
    </row>
    <row r="27" spans="1:72" customFormat="1">
      <c r="A27" s="185" t="s">
        <v>245</v>
      </c>
      <c r="B27" s="198"/>
      <c r="C27" s="27"/>
      <c r="D27" s="27"/>
      <c r="E27" s="27"/>
      <c r="F27" s="27"/>
      <c r="G27" s="27"/>
      <c r="H27" s="27"/>
      <c r="I27" s="27"/>
      <c r="J27" s="27"/>
      <c r="K27" s="27"/>
      <c r="L27" s="27"/>
      <c r="M27" s="27"/>
      <c r="N27" s="27"/>
      <c r="O27" s="27"/>
      <c r="P27" s="27"/>
      <c r="Q27" s="199">
        <f>Q24-Q25-Q26</f>
        <v>-5.2041704279304213E-17</v>
      </c>
      <c r="R27" s="199"/>
      <c r="S27" s="229"/>
      <c r="T27" s="559">
        <f>T24-T25-T26</f>
        <v>0</v>
      </c>
      <c r="U27" s="986" t="s">
        <v>667</v>
      </c>
      <c r="V27" s="987" t="s">
        <v>667</v>
      </c>
      <c r="W27" s="559">
        <v>0</v>
      </c>
      <c r="X27" s="199"/>
      <c r="Y27" s="229"/>
      <c r="Z27" s="565" t="s">
        <v>667</v>
      </c>
      <c r="AA27" s="986" t="s">
        <v>667</v>
      </c>
      <c r="AB27" s="987" t="s">
        <v>667</v>
      </c>
      <c r="AC27" s="565" t="s">
        <v>667</v>
      </c>
      <c r="AD27" s="986" t="s">
        <v>667</v>
      </c>
      <c r="AE27" s="987" t="s">
        <v>667</v>
      </c>
      <c r="AF27" s="565" t="s">
        <v>667</v>
      </c>
      <c r="AG27" s="986" t="s">
        <v>667</v>
      </c>
      <c r="AH27" s="987" t="s">
        <v>667</v>
      </c>
      <c r="AI27" s="559">
        <f t="shared" ref="AI27:AP27" si="67">AI24-AI25-AI26</f>
        <v>-3.2297734627831726E-2</v>
      </c>
      <c r="AJ27" s="199">
        <f t="shared" si="67"/>
        <v>4.4362292051755951E-3</v>
      </c>
      <c r="AK27" s="229">
        <f t="shared" si="67"/>
        <v>2.4876469585960174E-2</v>
      </c>
      <c r="AL27" s="559">
        <f t="shared" si="67"/>
        <v>1.6622922134733077E-3</v>
      </c>
      <c r="AM27" s="199">
        <f t="shared" si="67"/>
        <v>-2.8314520757604753E-2</v>
      </c>
      <c r="AN27" s="229">
        <f t="shared" si="67"/>
        <v>2.6122377622377624E-2</v>
      </c>
      <c r="AO27" s="559">
        <f t="shared" si="67"/>
        <v>1.2971590390065124E-4</v>
      </c>
      <c r="AP27" s="199">
        <f t="shared" si="67"/>
        <v>1.4318010550115612E-4</v>
      </c>
      <c r="AQ27" s="229">
        <f t="shared" ref="AQ27:AS27" si="68">AQ24-AQ25-AQ26</f>
        <v>-8.2507514105246808E-3</v>
      </c>
      <c r="AR27" s="559">
        <f t="shared" si="68"/>
        <v>-2.7665274604049472E-3</v>
      </c>
      <c r="AS27" s="199">
        <f t="shared" si="68"/>
        <v>2.086330935251875E-3</v>
      </c>
      <c r="AT27" s="229">
        <f t="shared" ref="AT27:AV27" si="69">AT24-AT25-AT26</f>
        <v>-2.9774783317925432E-2</v>
      </c>
      <c r="AU27" s="559">
        <f t="shared" si="69"/>
        <v>4.1839184891947073E-3</v>
      </c>
      <c r="AV27" s="199">
        <f t="shared" si="69"/>
        <v>-1.3524810559765437E-2</v>
      </c>
      <c r="AW27" s="229">
        <f t="shared" ref="AW27:AY27" si="70">AW24-AW25-AW26</f>
        <v>-2.9799257811743349E-2</v>
      </c>
      <c r="AX27" s="559">
        <f t="shared" si="70"/>
        <v>-2.3935454952935514E-3</v>
      </c>
      <c r="AY27" s="199">
        <f t="shared" si="70"/>
        <v>-6.5142983327812426E-3</v>
      </c>
      <c r="AZ27" s="247">
        <f>AZ24-AZ25-AZ26</f>
        <v>5.3626613343027499E-3</v>
      </c>
      <c r="BA27" s="583">
        <f t="shared" ref="BA27:BK27" si="71">BA24-BA25-BA26</f>
        <v>-1.3183898417423734E-16</v>
      </c>
      <c r="BB27" s="245">
        <f t="shared" si="71"/>
        <v>0</v>
      </c>
      <c r="BC27" s="247">
        <f>BC24-BC25-BC26</f>
        <v>2.3245294578089215E-16</v>
      </c>
      <c r="BD27" s="583">
        <f t="shared" si="71"/>
        <v>1.5612511283791264E-17</v>
      </c>
      <c r="BE27" s="245">
        <f t="shared" si="71"/>
        <v>0</v>
      </c>
      <c r="BF27" s="247">
        <f>BF24-BF25-BF26</f>
        <v>-3.3480163086352377E-16</v>
      </c>
      <c r="BG27" s="583">
        <f t="shared" si="71"/>
        <v>-1.0928757898653885E-16</v>
      </c>
      <c r="BH27" s="245">
        <f t="shared" si="71"/>
        <v>-8.3266726846886741E-17</v>
      </c>
      <c r="BI27" s="247">
        <f>BI24-BI25-BI26</f>
        <v>8.3266726846886741E-17</v>
      </c>
      <c r="BJ27" s="583">
        <f t="shared" ref="BJ27" si="72">BJ24-BJ25-BJ26</f>
        <v>-5.5511151231257827E-17</v>
      </c>
      <c r="BK27" s="245">
        <f t="shared" si="71"/>
        <v>1.3877787807814457E-16</v>
      </c>
      <c r="BL27" s="247">
        <f>BL24-BL25-BL26</f>
        <v>-1.2490009027033011E-16</v>
      </c>
      <c r="BM27" s="583">
        <f t="shared" ref="BM27" si="73">BM24-BM25-BM26</f>
        <v>2.6367796834847468E-16</v>
      </c>
    </row>
    <row r="28" spans="1:72" customFormat="1">
      <c r="A28" s="193"/>
      <c r="B28" s="19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541"/>
      <c r="T28" s="570"/>
      <c r="U28" s="3"/>
      <c r="V28" s="567"/>
      <c r="W28" s="550"/>
      <c r="Y28" s="539"/>
      <c r="Z28" s="550"/>
      <c r="AB28" s="539"/>
      <c r="AC28" s="550"/>
      <c r="AE28" s="539"/>
      <c r="AF28" s="550"/>
      <c r="AH28" s="539"/>
      <c r="AI28" s="550"/>
      <c r="AK28" s="539"/>
      <c r="AL28" s="550"/>
      <c r="AN28" s="539"/>
      <c r="AO28" s="550"/>
      <c r="AQ28" s="539"/>
      <c r="AR28" s="550"/>
      <c r="AT28" s="539"/>
      <c r="AU28" s="609"/>
      <c r="AW28" s="539"/>
      <c r="AX28" s="609"/>
      <c r="AY28" s="7"/>
      <c r="AZ28" s="539"/>
      <c r="BA28" s="550"/>
      <c r="BC28" s="539"/>
      <c r="BD28" s="550"/>
      <c r="BF28" s="539"/>
      <c r="BG28" s="550"/>
      <c r="BI28" s="539"/>
      <c r="BJ28" s="550"/>
      <c r="BL28" s="539"/>
      <c r="BM28" s="550"/>
    </row>
    <row r="29" spans="1:72">
      <c r="A29" s="305" t="s">
        <v>642</v>
      </c>
      <c r="B29" s="306">
        <f t="shared" ref="B29:T29" si="74">+B1</f>
        <v>2000</v>
      </c>
      <c r="C29" s="306">
        <f t="shared" si="74"/>
        <v>2001</v>
      </c>
      <c r="D29" s="306">
        <f t="shared" si="74"/>
        <v>2002</v>
      </c>
      <c r="E29" s="306">
        <f t="shared" si="74"/>
        <v>2003</v>
      </c>
      <c r="F29" s="306">
        <f t="shared" si="74"/>
        <v>2004</v>
      </c>
      <c r="G29" s="306">
        <f t="shared" si="74"/>
        <v>2005</v>
      </c>
      <c r="H29" s="306">
        <f t="shared" si="74"/>
        <v>2006</v>
      </c>
      <c r="I29" s="306">
        <f t="shared" si="74"/>
        <v>2007</v>
      </c>
      <c r="J29" s="306">
        <f t="shared" si="74"/>
        <v>2008</v>
      </c>
      <c r="K29" s="306">
        <f t="shared" si="74"/>
        <v>2009</v>
      </c>
      <c r="L29" s="306">
        <f t="shared" si="74"/>
        <v>2010</v>
      </c>
      <c r="M29" s="306">
        <f t="shared" si="74"/>
        <v>2011</v>
      </c>
      <c r="N29" s="306">
        <f t="shared" si="74"/>
        <v>2012</v>
      </c>
      <c r="O29" s="306">
        <f t="shared" si="74"/>
        <v>2013</v>
      </c>
      <c r="P29" s="306">
        <f t="shared" si="74"/>
        <v>2014</v>
      </c>
      <c r="Q29" s="306">
        <f t="shared" si="74"/>
        <v>2015</v>
      </c>
      <c r="R29" s="313" t="str">
        <f t="shared" ref="R29:S29" si="75">+R$1</f>
        <v>1H16</v>
      </c>
      <c r="S29" s="314" t="str">
        <f t="shared" si="75"/>
        <v>2H16</v>
      </c>
      <c r="T29" s="548">
        <f t="shared" si="74"/>
        <v>2016</v>
      </c>
      <c r="U29" s="313" t="str">
        <f t="shared" ref="U29:V29" si="76">+U$1</f>
        <v>1H17</v>
      </c>
      <c r="V29" s="314" t="str">
        <f t="shared" si="76"/>
        <v>2H17</v>
      </c>
      <c r="W29" s="548">
        <f>+W1</f>
        <v>2017</v>
      </c>
      <c r="X29" s="313" t="str">
        <f t="shared" ref="X29:Y29" si="77">+X$1</f>
        <v>1H17</v>
      </c>
      <c r="Y29" s="314" t="str">
        <f t="shared" si="77"/>
        <v>2H17</v>
      </c>
      <c r="Z29" s="548">
        <f>+Z$1</f>
        <v>2017</v>
      </c>
      <c r="AA29" s="313" t="str">
        <f t="shared" ref="AA29:BM29" si="78">+AA$1</f>
        <v>1H18</v>
      </c>
      <c r="AB29" s="314" t="str">
        <f t="shared" si="78"/>
        <v>2H18</v>
      </c>
      <c r="AC29" s="548">
        <f t="shared" si="78"/>
        <v>2018</v>
      </c>
      <c r="AD29" s="313" t="str">
        <f t="shared" si="78"/>
        <v>1H19</v>
      </c>
      <c r="AE29" s="314" t="str">
        <f t="shared" si="78"/>
        <v>2H19</v>
      </c>
      <c r="AF29" s="548">
        <f t="shared" si="78"/>
        <v>2019</v>
      </c>
      <c r="AG29" s="313" t="str">
        <f t="shared" si="78"/>
        <v>1H20</v>
      </c>
      <c r="AH29" s="314" t="str">
        <f t="shared" si="78"/>
        <v>2H20</v>
      </c>
      <c r="AI29" s="548">
        <f t="shared" si="78"/>
        <v>2020</v>
      </c>
      <c r="AJ29" s="313" t="str">
        <f t="shared" si="78"/>
        <v>1H21</v>
      </c>
      <c r="AK29" s="314" t="str">
        <f t="shared" si="78"/>
        <v>2H21</v>
      </c>
      <c r="AL29" s="548">
        <f t="shared" si="78"/>
        <v>2021</v>
      </c>
      <c r="AM29" s="313" t="str">
        <f t="shared" si="78"/>
        <v>1H22</v>
      </c>
      <c r="AN29" s="314" t="str">
        <f t="shared" si="78"/>
        <v>2H22</v>
      </c>
      <c r="AO29" s="548">
        <f t="shared" si="78"/>
        <v>2022</v>
      </c>
      <c r="AP29" s="313" t="str">
        <f t="shared" si="78"/>
        <v>1H23</v>
      </c>
      <c r="AQ29" s="314" t="str">
        <f t="shared" si="78"/>
        <v>2H23</v>
      </c>
      <c r="AR29" s="548">
        <f t="shared" si="78"/>
        <v>2023</v>
      </c>
      <c r="AS29" s="313" t="str">
        <f t="shared" si="78"/>
        <v>1H24</v>
      </c>
      <c r="AT29" s="314" t="str">
        <f t="shared" si="78"/>
        <v>2H24</v>
      </c>
      <c r="AU29" s="548">
        <f t="shared" si="78"/>
        <v>2024</v>
      </c>
      <c r="AV29" s="313" t="str">
        <f t="shared" si="78"/>
        <v>1H25</v>
      </c>
      <c r="AW29" s="314" t="str">
        <f t="shared" si="78"/>
        <v>2H25</v>
      </c>
      <c r="AX29" s="548">
        <f t="shared" si="78"/>
        <v>2025</v>
      </c>
      <c r="AY29" s="313" t="str">
        <f t="shared" si="78"/>
        <v>1H26</v>
      </c>
      <c r="AZ29" s="538" t="str">
        <f t="shared" si="78"/>
        <v>2H26e</v>
      </c>
      <c r="BA29" s="572">
        <f t="shared" si="78"/>
        <v>2026</v>
      </c>
      <c r="BB29" s="537" t="str">
        <f t="shared" si="78"/>
        <v>1H27e</v>
      </c>
      <c r="BC29" s="538" t="str">
        <f t="shared" si="78"/>
        <v>2H27e</v>
      </c>
      <c r="BD29" s="572">
        <f t="shared" si="78"/>
        <v>2027</v>
      </c>
      <c r="BE29" s="537" t="str">
        <f t="shared" si="78"/>
        <v>1H28e</v>
      </c>
      <c r="BF29" s="538" t="str">
        <f t="shared" si="78"/>
        <v>2H28e</v>
      </c>
      <c r="BG29" s="572">
        <f t="shared" si="78"/>
        <v>2028</v>
      </c>
      <c r="BH29" s="537" t="str">
        <f t="shared" si="78"/>
        <v>1H29e</v>
      </c>
      <c r="BI29" s="538" t="str">
        <f t="shared" si="78"/>
        <v>2H29e</v>
      </c>
      <c r="BJ29" s="572">
        <f t="shared" si="78"/>
        <v>2029</v>
      </c>
      <c r="BK29" s="537" t="str">
        <f t="shared" si="78"/>
        <v>1H30e</v>
      </c>
      <c r="BL29" s="538" t="str">
        <f t="shared" si="78"/>
        <v>2H30e</v>
      </c>
      <c r="BM29" s="572">
        <f t="shared" si="78"/>
        <v>2030</v>
      </c>
    </row>
    <row r="30" spans="1:72" customFormat="1">
      <c r="A30" s="193"/>
      <c r="B30" s="198"/>
      <c r="C30" s="198"/>
      <c r="D30" s="198"/>
      <c r="E30" s="198"/>
      <c r="F30" s="198"/>
      <c r="G30" s="198"/>
      <c r="H30" s="198"/>
      <c r="I30" s="198"/>
      <c r="J30" s="198"/>
      <c r="K30" s="198"/>
      <c r="L30" s="198"/>
      <c r="M30" s="198"/>
      <c r="N30" s="198"/>
      <c r="O30" s="198"/>
      <c r="P30" s="198"/>
      <c r="Q30" s="198"/>
      <c r="R30" s="198"/>
      <c r="S30" s="569"/>
      <c r="T30" s="571"/>
      <c r="U30" s="200"/>
      <c r="V30" s="213"/>
      <c r="W30" s="556"/>
      <c r="X30" s="10"/>
      <c r="Y30" s="216"/>
      <c r="Z30" s="553" t="s">
        <v>675</v>
      </c>
      <c r="AA30" s="27"/>
      <c r="AB30" s="218"/>
      <c r="AC30" s="553"/>
      <c r="AD30" s="27"/>
      <c r="AE30" s="218"/>
      <c r="AF30" s="553"/>
      <c r="AG30" s="27"/>
      <c r="AH30" s="218"/>
      <c r="AI30" s="553"/>
      <c r="AJ30" s="27"/>
      <c r="AK30" s="218"/>
      <c r="AL30" s="553"/>
      <c r="AM30" s="27"/>
      <c r="AN30" s="218"/>
      <c r="AO30" s="553"/>
      <c r="AP30" s="27"/>
      <c r="AQ30" s="539"/>
      <c r="AR30" s="550"/>
      <c r="AT30" s="539"/>
      <c r="AU30" s="550"/>
      <c r="AW30" s="539"/>
      <c r="AX30" s="550"/>
      <c r="AZ30" s="539"/>
      <c r="BA30" s="550"/>
      <c r="BC30" s="539"/>
      <c r="BD30" s="550"/>
      <c r="BF30" s="539"/>
      <c r="BG30" s="550"/>
      <c r="BI30" s="539"/>
      <c r="BJ30" s="550"/>
      <c r="BL30" s="539"/>
      <c r="BM30" s="550"/>
    </row>
    <row r="31" spans="1:72" customFormat="1">
      <c r="A31" s="2" t="s">
        <v>8</v>
      </c>
      <c r="B31" s="27"/>
      <c r="C31" s="27"/>
      <c r="D31" s="27"/>
      <c r="E31" s="27"/>
      <c r="F31" s="27"/>
      <c r="G31" s="27"/>
      <c r="H31" s="27"/>
      <c r="I31" s="27"/>
      <c r="J31" s="27"/>
      <c r="K31" s="27"/>
      <c r="L31" s="27"/>
      <c r="M31" s="27"/>
      <c r="N31" s="27"/>
      <c r="O31" s="27"/>
      <c r="P31" s="27">
        <f>+Civil!P6</f>
        <v>1675</v>
      </c>
      <c r="Q31" s="27">
        <f>+Civil!Q6</f>
        <v>1526</v>
      </c>
      <c r="R31" s="27">
        <v>399</v>
      </c>
      <c r="S31" s="218">
        <f>T31-R31</f>
        <v>786</v>
      </c>
      <c r="T31" s="553">
        <f>+Civil!T6</f>
        <v>1185</v>
      </c>
      <c r="U31" s="27">
        <v>543</v>
      </c>
      <c r="V31" s="218">
        <f>W31-U31</f>
        <v>649</v>
      </c>
      <c r="W31" s="553">
        <f>+Civil!W6</f>
        <v>1192</v>
      </c>
      <c r="X31" s="27">
        <v>137</v>
      </c>
      <c r="Y31" s="218">
        <f>Z31-X31</f>
        <v>336</v>
      </c>
      <c r="Z31" s="553">
        <v>473</v>
      </c>
      <c r="AA31" s="27">
        <v>175</v>
      </c>
      <c r="AB31" s="218">
        <f>AC31-AA31</f>
        <v>318</v>
      </c>
      <c r="AC31" s="553">
        <v>493</v>
      </c>
      <c r="AD31" s="27">
        <v>276</v>
      </c>
      <c r="AE31" s="218">
        <f>AF31-AD31</f>
        <v>346</v>
      </c>
      <c r="AF31" s="553">
        <v>622</v>
      </c>
      <c r="AG31" s="27">
        <v>-1552</v>
      </c>
      <c r="AH31" s="218">
        <f>AI31-AG31</f>
        <v>-435</v>
      </c>
      <c r="AI31" s="553">
        <v>-1987</v>
      </c>
      <c r="AJ31" s="27">
        <v>380</v>
      </c>
      <c r="AK31" s="218">
        <f>AL31-AJ31</f>
        <v>94</v>
      </c>
      <c r="AL31" s="553">
        <v>474</v>
      </c>
      <c r="AM31" s="27">
        <v>256</v>
      </c>
      <c r="AN31" s="218">
        <f>AO31-AM31</f>
        <v>597</v>
      </c>
      <c r="AO31" s="553">
        <v>853</v>
      </c>
      <c r="AP31" s="27">
        <v>690</v>
      </c>
      <c r="AQ31" s="218">
        <f>AR31-AP31</f>
        <v>704</v>
      </c>
      <c r="AR31" s="553">
        <v>1394</v>
      </c>
      <c r="AS31" s="27">
        <v>992</v>
      </c>
      <c r="AT31" s="218">
        <f>AU31-AS31</f>
        <v>998</v>
      </c>
      <c r="AU31" s="553">
        <v>1990</v>
      </c>
      <c r="AV31" s="27">
        <v>1477</v>
      </c>
      <c r="AW31" s="218">
        <f>AX31-AV31</f>
        <v>1198</v>
      </c>
      <c r="AX31" s="553">
        <v>2675</v>
      </c>
      <c r="AY31" s="27">
        <v>1857</v>
      </c>
      <c r="AZ31" s="237">
        <f>+Civil!AZ6</f>
        <v>1606.750200913059</v>
      </c>
      <c r="BA31" s="576">
        <f>+Civil!BA6</f>
        <v>3463.7502009130585</v>
      </c>
      <c r="BB31" s="48">
        <f>+Civil!BB6</f>
        <v>1970.2967224690337</v>
      </c>
      <c r="BC31" s="237">
        <f>+Civil!BC6</f>
        <v>1888.1549320563586</v>
      </c>
      <c r="BD31" s="576">
        <f>+Civil!BD6</f>
        <v>3858.4516545253919</v>
      </c>
      <c r="BE31" s="48">
        <f>+Civil!BE6</f>
        <v>2187.7000297682507</v>
      </c>
      <c r="BF31" s="237">
        <f>+Civil!BF6</f>
        <v>2162.9409907115596</v>
      </c>
      <c r="BG31" s="576">
        <f>+Civil!BG6</f>
        <v>4350.6410204798103</v>
      </c>
      <c r="BH31" s="48">
        <f>+Civil!BH6</f>
        <v>2473.4744086733717</v>
      </c>
      <c r="BI31" s="237">
        <f>+Civil!BI6</f>
        <v>2439.333934524464</v>
      </c>
      <c r="BJ31" s="576">
        <f>+Civil!BJ6</f>
        <v>4912.8083431978357</v>
      </c>
      <c r="BK31" s="48">
        <f>+Civil!BK6</f>
        <v>2763.5540887733587</v>
      </c>
      <c r="BL31" s="237">
        <f>+Civil!BL6</f>
        <v>2704.2176663995078</v>
      </c>
      <c r="BM31" s="576">
        <f>+Civil!BM6</f>
        <v>5467.7717551728665</v>
      </c>
    </row>
    <row r="32" spans="1:72" customFormat="1">
      <c r="A32" s="185" t="s">
        <v>250</v>
      </c>
      <c r="B32" s="165"/>
      <c r="C32" s="165"/>
      <c r="D32" s="165"/>
      <c r="E32" s="165"/>
      <c r="F32" s="165"/>
      <c r="G32" s="165"/>
      <c r="H32" s="165"/>
      <c r="I32" s="165"/>
      <c r="J32" s="165"/>
      <c r="K32" s="165"/>
      <c r="L32" s="165"/>
      <c r="M32" s="165"/>
      <c r="N32" s="165"/>
      <c r="O32" s="165"/>
      <c r="P32" s="165">
        <f>+P31/P6</f>
        <v>0.24499049290624542</v>
      </c>
      <c r="Q32" s="165">
        <f t="shared" ref="Q32:BM32" si="79">+Q31/Q6</f>
        <v>0.22010673590076446</v>
      </c>
      <c r="R32" s="165">
        <f t="shared" si="79"/>
        <v>0.12582781456953643</v>
      </c>
      <c r="S32" s="229">
        <f t="shared" si="79"/>
        <v>0.20174537987679672</v>
      </c>
      <c r="T32" s="559">
        <f t="shared" si="79"/>
        <v>0.16768076977501062</v>
      </c>
      <c r="U32" s="165">
        <f t="shared" ref="U32:V32" si="80">+U31/U6</f>
        <v>0.14771490750816105</v>
      </c>
      <c r="V32" s="229">
        <f t="shared" si="80"/>
        <v>0.14929836668967103</v>
      </c>
      <c r="W32" s="559">
        <f t="shared" si="79"/>
        <v>0.14857285304748846</v>
      </c>
      <c r="X32" s="165">
        <f t="shared" si="79"/>
        <v>4.7935619314205737E-2</v>
      </c>
      <c r="Y32" s="229">
        <f t="shared" si="79"/>
        <v>8.9839572192513373E-2</v>
      </c>
      <c r="Z32" s="559">
        <f>+Z31/Z6</f>
        <v>7.1688390421339801E-2</v>
      </c>
      <c r="AA32" s="165">
        <f t="shared" ref="AA32:AB32" si="81">+AA31/AA6</f>
        <v>4.8611111111111112E-2</v>
      </c>
      <c r="AB32" s="229">
        <f t="shared" si="81"/>
        <v>8.4171519322392807E-2</v>
      </c>
      <c r="AC32" s="559">
        <f>+AC31/AC6</f>
        <v>6.6820276497695855E-2</v>
      </c>
      <c r="AD32" s="165">
        <f t="shared" ref="AD32:AE32" si="82">+AD31/AD6</f>
        <v>6.8690890990542555E-2</v>
      </c>
      <c r="AE32" s="229">
        <f t="shared" si="82"/>
        <v>8.4617265835167529E-2</v>
      </c>
      <c r="AF32" s="559">
        <f t="shared" si="79"/>
        <v>7.6723818921919332E-2</v>
      </c>
      <c r="AG32" s="165">
        <f t="shared" ref="AG32:AH32" si="83">+AG31/AG6</f>
        <v>-0.61685214626391094</v>
      </c>
      <c r="AH32" s="229">
        <f t="shared" si="83"/>
        <v>-0.17045454545454544</v>
      </c>
      <c r="AI32" s="559">
        <f>+AI31/AI6</f>
        <v>-0.39206787687450673</v>
      </c>
      <c r="AJ32" s="165">
        <f t="shared" ref="AJ32:AK32" si="84">+AJ31/AJ6</f>
        <v>0.17527675276752769</v>
      </c>
      <c r="AK32" s="229">
        <f t="shared" si="84"/>
        <v>3.9695945945945943E-2</v>
      </c>
      <c r="AL32" s="559">
        <f t="shared" si="79"/>
        <v>0.10449735449735449</v>
      </c>
      <c r="AM32" s="165">
        <f t="shared" si="79"/>
        <v>0.10944848225737494</v>
      </c>
      <c r="AN32" s="229">
        <f t="shared" ref="AN32:AP32" si="85">+AN31/AN6</f>
        <v>0.17836868837765163</v>
      </c>
      <c r="AO32" s="559">
        <f t="shared" si="79"/>
        <v>0.15001758705592683</v>
      </c>
      <c r="AP32" s="165">
        <f t="shared" si="85"/>
        <v>0.21185139699109609</v>
      </c>
      <c r="AQ32" s="229">
        <f t="shared" ref="AQ32:AS32" si="86">+AQ31/AQ6</f>
        <v>0.17208506477633831</v>
      </c>
      <c r="AR32" s="559">
        <f t="shared" si="86"/>
        <v>0.18971148611867175</v>
      </c>
      <c r="AS32" s="165">
        <f t="shared" si="86"/>
        <v>0.24083515416363194</v>
      </c>
      <c r="AT32" s="229">
        <f t="shared" ref="AT32:AV32" si="87">+AT31/AT6</f>
        <v>0.20280430806746597</v>
      </c>
      <c r="AU32" s="559">
        <f t="shared" si="87"/>
        <v>0.22013274336283187</v>
      </c>
      <c r="AV32" s="165">
        <f t="shared" si="87"/>
        <v>0.30860844128708737</v>
      </c>
      <c r="AW32" s="229">
        <f t="shared" ref="AW32:AY32" si="88">+AW31/AW6</f>
        <v>0.21408148677626876</v>
      </c>
      <c r="AX32" s="559">
        <f t="shared" si="88"/>
        <v>0.25765748410710848</v>
      </c>
      <c r="AY32" s="165">
        <f t="shared" si="88"/>
        <v>0.30019398642095052</v>
      </c>
      <c r="AZ32" s="247">
        <f t="shared" si="79"/>
        <v>0.25017984226412243</v>
      </c>
      <c r="BA32" s="583">
        <f t="shared" si="79"/>
        <v>0.2747180840965126</v>
      </c>
      <c r="BB32" s="245">
        <f t="shared" si="79"/>
        <v>0.27578953705753484</v>
      </c>
      <c r="BC32" s="247">
        <f t="shared" si="79"/>
        <v>0.26844282790940138</v>
      </c>
      <c r="BD32" s="583">
        <f t="shared" si="79"/>
        <v>0.27214480460595497</v>
      </c>
      <c r="BE32" s="245">
        <f t="shared" si="79"/>
        <v>0.28865286774002291</v>
      </c>
      <c r="BF32" s="247">
        <f t="shared" si="79"/>
        <v>0.28219902387247492</v>
      </c>
      <c r="BG32" s="583">
        <f t="shared" si="79"/>
        <v>0.28540782630699063</v>
      </c>
      <c r="BH32" s="245">
        <f t="shared" si="79"/>
        <v>0.2974249618698584</v>
      </c>
      <c r="BI32" s="247">
        <f t="shared" si="79"/>
        <v>0.29243291034362223</v>
      </c>
      <c r="BJ32" s="583">
        <f t="shared" si="79"/>
        <v>0.29492515724006757</v>
      </c>
      <c r="BK32" s="245">
        <f t="shared" si="79"/>
        <v>0.30476541982574162</v>
      </c>
      <c r="BL32" s="247">
        <f t="shared" si="79"/>
        <v>0.30124372115638098</v>
      </c>
      <c r="BM32" s="583">
        <f t="shared" si="79"/>
        <v>0.30301344702322297</v>
      </c>
    </row>
    <row r="33" spans="1:71" customFormat="1">
      <c r="A33" s="2" t="s">
        <v>670</v>
      </c>
      <c r="B33" s="27"/>
      <c r="C33" s="27"/>
      <c r="D33" s="27"/>
      <c r="E33" s="27"/>
      <c r="F33" s="27"/>
      <c r="G33" s="27"/>
      <c r="H33" s="27"/>
      <c r="I33" s="27"/>
      <c r="J33" s="27"/>
      <c r="K33" s="27"/>
      <c r="L33" s="27"/>
      <c r="M33" s="27"/>
      <c r="N33" s="27"/>
      <c r="O33" s="27"/>
      <c r="P33" s="27">
        <f>+Defence!P6</f>
        <v>567</v>
      </c>
      <c r="Q33" s="27">
        <f>+Defence!Q6</f>
        <v>579</v>
      </c>
      <c r="R33" s="27">
        <v>211</v>
      </c>
      <c r="S33" s="218">
        <f>T33-R33</f>
        <v>353</v>
      </c>
      <c r="T33" s="553">
        <f>+Defence!T6</f>
        <v>564</v>
      </c>
      <c r="U33" s="27">
        <v>230</v>
      </c>
      <c r="V33" s="218">
        <f>W33-U33</f>
        <v>345</v>
      </c>
      <c r="W33" s="553">
        <f>+Defence!W6</f>
        <v>575</v>
      </c>
      <c r="X33" s="27">
        <v>292</v>
      </c>
      <c r="Y33" s="218">
        <f>Z33-X33</f>
        <v>436</v>
      </c>
      <c r="Z33" s="553">
        <v>728</v>
      </c>
      <c r="AA33" s="27">
        <v>281</v>
      </c>
      <c r="AB33" s="218">
        <f>AC33-AA33</f>
        <v>409</v>
      </c>
      <c r="AC33" s="553">
        <v>690</v>
      </c>
      <c r="AD33" s="27">
        <v>295</v>
      </c>
      <c r="AE33" s="218">
        <f>AF33-AD33</f>
        <v>374</v>
      </c>
      <c r="AF33" s="553">
        <v>669</v>
      </c>
      <c r="AG33" s="27">
        <v>332</v>
      </c>
      <c r="AH33" s="218">
        <f>AI33-AG33</f>
        <v>352</v>
      </c>
      <c r="AI33" s="553">
        <v>684</v>
      </c>
      <c r="AJ33" s="27">
        <v>395</v>
      </c>
      <c r="AK33" s="218">
        <f>AL33-AJ33</f>
        <v>326</v>
      </c>
      <c r="AL33" s="553">
        <v>721</v>
      </c>
      <c r="AM33" s="27">
        <v>326</v>
      </c>
      <c r="AN33" s="218">
        <f>AO33-AM33</f>
        <v>400</v>
      </c>
      <c r="AO33" s="553">
        <v>726</v>
      </c>
      <c r="AP33" s="27">
        <v>379</v>
      </c>
      <c r="AQ33" s="218">
        <f>AR33-AP33</f>
        <v>425</v>
      </c>
      <c r="AR33" s="553">
        <v>804</v>
      </c>
      <c r="AS33" s="27">
        <v>476</v>
      </c>
      <c r="AT33" s="218">
        <f>AU33-AS33</f>
        <v>432</v>
      </c>
      <c r="AU33" s="553">
        <v>908</v>
      </c>
      <c r="AV33" s="27">
        <v>462</v>
      </c>
      <c r="AW33" s="218">
        <f>AX33-AV33</f>
        <v>471</v>
      </c>
      <c r="AX33" s="553">
        <v>933</v>
      </c>
      <c r="AY33" s="27">
        <v>639</v>
      </c>
      <c r="AZ33" s="237">
        <f>+Defence!AZ6</f>
        <v>624.69954889278347</v>
      </c>
      <c r="BA33" s="576">
        <f>+Defence!BA6</f>
        <v>1263.6995488927835</v>
      </c>
      <c r="BB33" s="48">
        <f>+Defence!BB6</f>
        <v>619.93187999999998</v>
      </c>
      <c r="BC33" s="237">
        <f>+Defence!BC6</f>
        <v>668.73622466858831</v>
      </c>
      <c r="BD33" s="576">
        <f>+Defence!BD6</f>
        <v>1288.6681046685883</v>
      </c>
      <c r="BE33" s="48">
        <f>+Defence!BE6</f>
        <v>672.54001920000007</v>
      </c>
      <c r="BF33" s="237">
        <f>+Defence!BF6</f>
        <v>726.92706278868593</v>
      </c>
      <c r="BG33" s="576">
        <f>+Defence!BG6</f>
        <v>1399.467081988686</v>
      </c>
      <c r="BH33" s="48">
        <f>+Defence!BH6</f>
        <v>729.46901280960003</v>
      </c>
      <c r="BI33" s="237">
        <f>+Defence!BI6</f>
        <v>789.94658591662403</v>
      </c>
      <c r="BJ33" s="576">
        <f>+Defence!BJ6</f>
        <v>1519.4155987262241</v>
      </c>
      <c r="BK33" s="48">
        <f>+Defence!BK6</f>
        <v>791.06962944960014</v>
      </c>
      <c r="BL33" s="237">
        <f>+Defence!BL6</f>
        <v>858.18813713496183</v>
      </c>
      <c r="BM33" s="576">
        <f>+Defence!BM6</f>
        <v>1649.257766584562</v>
      </c>
    </row>
    <row r="34" spans="1:71" customFormat="1">
      <c r="A34" s="185" t="s">
        <v>250</v>
      </c>
      <c r="B34" s="165"/>
      <c r="C34" s="165"/>
      <c r="D34" s="165"/>
      <c r="E34" s="165"/>
      <c r="F34" s="165"/>
      <c r="G34" s="165"/>
      <c r="H34" s="165"/>
      <c r="I34" s="165"/>
      <c r="J34" s="165"/>
      <c r="K34" s="165"/>
      <c r="L34" s="165"/>
      <c r="M34" s="165"/>
      <c r="N34" s="165"/>
      <c r="O34" s="165"/>
      <c r="P34" s="165">
        <f t="shared" ref="P34:BM34" si="89">+P33/P8</f>
        <v>0.27404543257612374</v>
      </c>
      <c r="Q34" s="165">
        <f t="shared" si="89"/>
        <v>0.28452088452088453</v>
      </c>
      <c r="R34" s="165">
        <f t="shared" ref="R34:S34" si="90">+R33/R8</f>
        <v>0.21057884231536927</v>
      </c>
      <c r="S34" s="229">
        <f t="shared" si="90"/>
        <v>0.29246064623032314</v>
      </c>
      <c r="T34" s="559">
        <f t="shared" si="89"/>
        <v>0.25531914893617019</v>
      </c>
      <c r="U34" s="165">
        <f t="shared" si="89"/>
        <v>0.21946564885496184</v>
      </c>
      <c r="V34" s="229">
        <f t="shared" si="89"/>
        <v>0.28117359413202936</v>
      </c>
      <c r="W34" s="559">
        <f t="shared" si="89"/>
        <v>0.25274725274725274</v>
      </c>
      <c r="X34" s="165">
        <f t="shared" ref="X34:Y34" si="91">+X33/X8</f>
        <v>0.19756427604871449</v>
      </c>
      <c r="Y34" s="229">
        <f t="shared" si="91"/>
        <v>0.25616921269095183</v>
      </c>
      <c r="Z34" s="559">
        <f t="shared" si="89"/>
        <v>0.2289308176100629</v>
      </c>
      <c r="AA34" s="165">
        <f t="shared" si="89"/>
        <v>0.19858657243816255</v>
      </c>
      <c r="AB34" s="229">
        <f t="shared" ref="AB34" si="92">+AB33/AB8</f>
        <v>0.23932124049151551</v>
      </c>
      <c r="AC34" s="559">
        <f t="shared" si="89"/>
        <v>0.22087067861715748</v>
      </c>
      <c r="AD34" s="165">
        <f t="shared" si="89"/>
        <v>0.19745649263721554</v>
      </c>
      <c r="AE34" s="229">
        <f t="shared" si="89"/>
        <v>0.21298405466970388</v>
      </c>
      <c r="AF34" s="559">
        <f t="shared" si="89"/>
        <v>0.20584615384615385</v>
      </c>
      <c r="AG34" s="165">
        <f t="shared" ref="AG34:AH34" si="93">+AG33/AG8</f>
        <v>0.21377978106889892</v>
      </c>
      <c r="AH34" s="229">
        <f t="shared" si="93"/>
        <v>0.19533851276359601</v>
      </c>
      <c r="AI34" s="559">
        <f t="shared" si="89"/>
        <v>0.20387481371087929</v>
      </c>
      <c r="AJ34" s="165">
        <f t="shared" ref="AJ34:AK34" si="94">+AJ33/AJ8</f>
        <v>0.2295177222545032</v>
      </c>
      <c r="AK34" s="229">
        <f t="shared" si="94"/>
        <v>0.19793564055859139</v>
      </c>
      <c r="AL34" s="559">
        <f t="shared" si="89"/>
        <v>0.21407363420427553</v>
      </c>
      <c r="AM34" s="165">
        <f t="shared" si="89"/>
        <v>0.20261031696706028</v>
      </c>
      <c r="AN34" s="229">
        <f t="shared" ref="AN34:AP34" si="95">+AN33/AN8</f>
        <v>0.19502681618722575</v>
      </c>
      <c r="AO34" s="559">
        <f t="shared" si="89"/>
        <v>0.19836065573770492</v>
      </c>
      <c r="AP34" s="165">
        <f t="shared" si="95"/>
        <v>0.19811813904861475</v>
      </c>
      <c r="AQ34" s="229">
        <f t="shared" ref="AQ34:AS34" si="96">+AQ33/AQ8</f>
        <v>0.19639556377079481</v>
      </c>
      <c r="AR34" s="559">
        <f t="shared" si="96"/>
        <v>0.19720382634289918</v>
      </c>
      <c r="AS34" s="165">
        <f t="shared" si="96"/>
        <v>0.21451104100946372</v>
      </c>
      <c r="AT34" s="229">
        <f t="shared" ref="AT34:AV34" si="97">+AT33/AT8</f>
        <v>0.18758141554494137</v>
      </c>
      <c r="AU34" s="559">
        <f t="shared" si="97"/>
        <v>0.20079610791685096</v>
      </c>
      <c r="AV34" s="165">
        <f t="shared" si="97"/>
        <v>0.2078272604588394</v>
      </c>
      <c r="AW34" s="229">
        <f t="shared" ref="AW34:AY34" si="98">+AW33/AW8</f>
        <v>0.18477834444880345</v>
      </c>
      <c r="AX34" s="559">
        <f t="shared" si="98"/>
        <v>0.19551550712489521</v>
      </c>
      <c r="AY34" s="165">
        <f t="shared" si="98"/>
        <v>0.25724637681159418</v>
      </c>
      <c r="AZ34" s="247">
        <f t="shared" si="89"/>
        <v>0.23362360310786609</v>
      </c>
      <c r="BA34" s="583">
        <f t="shared" si="89"/>
        <v>0.24500000000000002</v>
      </c>
      <c r="BB34" s="245">
        <f t="shared" si="89"/>
        <v>0.23499999999999996</v>
      </c>
      <c r="BC34" s="247">
        <f t="shared" si="89"/>
        <v>0.23499999999999993</v>
      </c>
      <c r="BD34" s="583">
        <f t="shared" si="89"/>
        <v>0.23499999999999999</v>
      </c>
      <c r="BE34" s="245">
        <f t="shared" si="89"/>
        <v>0.24</v>
      </c>
      <c r="BF34" s="247">
        <f t="shared" si="89"/>
        <v>0.23999999999999991</v>
      </c>
      <c r="BG34" s="583">
        <f t="shared" si="89"/>
        <v>0.24</v>
      </c>
      <c r="BH34" s="245">
        <f t="shared" si="89"/>
        <v>0.245</v>
      </c>
      <c r="BI34" s="247">
        <f t="shared" si="89"/>
        <v>0.24500000000000002</v>
      </c>
      <c r="BJ34" s="583">
        <f t="shared" si="89"/>
        <v>0.245</v>
      </c>
      <c r="BK34" s="245">
        <f t="shared" si="89"/>
        <v>0.25</v>
      </c>
      <c r="BL34" s="247">
        <f t="shared" si="89"/>
        <v>0.25</v>
      </c>
      <c r="BM34" s="583">
        <f t="shared" si="89"/>
        <v>0.25</v>
      </c>
    </row>
    <row r="35" spans="1:71" customFormat="1">
      <c r="A35" s="2" t="s">
        <v>10</v>
      </c>
      <c r="B35" s="27"/>
      <c r="C35" s="27"/>
      <c r="D35" s="27"/>
      <c r="E35" s="27"/>
      <c r="F35" s="27"/>
      <c r="G35" s="27"/>
      <c r="H35" s="27"/>
      <c r="I35" s="27"/>
      <c r="J35" s="27"/>
      <c r="K35" s="27"/>
      <c r="L35" s="27"/>
      <c r="M35" s="27"/>
      <c r="N35" s="27"/>
      <c r="O35" s="27"/>
      <c r="P35" s="27">
        <f>+'Power Systems'!P6</f>
        <v>742</v>
      </c>
      <c r="Q35" s="27">
        <f>+'Power Systems'!Q6</f>
        <v>656</v>
      </c>
      <c r="R35" s="27">
        <v>254</v>
      </c>
      <c r="S35" s="218">
        <f>T35-R35</f>
        <v>453</v>
      </c>
      <c r="T35" s="553">
        <f>+'Power Systems'!T6</f>
        <v>707</v>
      </c>
      <c r="U35" s="27">
        <v>319</v>
      </c>
      <c r="V35" s="218">
        <f>W35-U35</f>
        <v>523</v>
      </c>
      <c r="W35" s="553">
        <f>+'Power Systems'!W6</f>
        <v>842</v>
      </c>
      <c r="X35" s="27">
        <v>283</v>
      </c>
      <c r="Y35" s="218">
        <f>Z35-X35</f>
        <v>514</v>
      </c>
      <c r="Z35" s="553">
        <v>797</v>
      </c>
      <c r="AA35" s="27">
        <v>354</v>
      </c>
      <c r="AB35" s="218">
        <f>AC35-AA35</f>
        <v>528</v>
      </c>
      <c r="AC35" s="553">
        <v>882</v>
      </c>
      <c r="AD35" s="27">
        <v>389</v>
      </c>
      <c r="AE35" s="218">
        <f>AF35-AD35</f>
        <v>520</v>
      </c>
      <c r="AF35" s="553">
        <v>909</v>
      </c>
      <c r="AG35" s="27">
        <v>263</v>
      </c>
      <c r="AH35" s="218">
        <f>AI35-AG35</f>
        <v>415</v>
      </c>
      <c r="AI35" s="553">
        <v>678</v>
      </c>
      <c r="AJ35" s="27">
        <v>301</v>
      </c>
      <c r="AK35" s="218">
        <f>AL35-AJ35</f>
        <v>477</v>
      </c>
      <c r="AL35" s="553">
        <v>778</v>
      </c>
      <c r="AM35" s="27">
        <v>401</v>
      </c>
      <c r="AN35" s="218">
        <f>AO35-AM35</f>
        <v>517</v>
      </c>
      <c r="AO35" s="553">
        <v>918</v>
      </c>
      <c r="AP35" s="27">
        <v>452</v>
      </c>
      <c r="AQ35" s="218">
        <f>AR35-AP35</f>
        <v>598</v>
      </c>
      <c r="AR35" s="553">
        <v>1050</v>
      </c>
      <c r="AS35" s="27">
        <v>507</v>
      </c>
      <c r="AT35" s="218">
        <f>AU35-AS35</f>
        <v>692</v>
      </c>
      <c r="AU35" s="553">
        <v>1199</v>
      </c>
      <c r="AV35" s="27">
        <v>635</v>
      </c>
      <c r="AW35" s="218">
        <f>AX35-AV35</f>
        <v>887</v>
      </c>
      <c r="AX35" s="553">
        <v>1522</v>
      </c>
      <c r="AY35" s="27">
        <v>901</v>
      </c>
      <c r="AZ35" s="237">
        <f>+'Power Systems'!AZ6</f>
        <v>1085.5041748160265</v>
      </c>
      <c r="BA35" s="576">
        <f>+'Power Systems'!BA6</f>
        <v>1986.5041748160265</v>
      </c>
      <c r="BB35" s="48">
        <f>+'Power Systems'!BB6</f>
        <v>1079.6730839999998</v>
      </c>
      <c r="BC35" s="237">
        <f>+'Power Systems'!BC6</f>
        <v>1340.9500909044971</v>
      </c>
      <c r="BD35" s="576">
        <f>+'Power Systems'!BD6</f>
        <v>2420.6231749044969</v>
      </c>
      <c r="BE35" s="48">
        <f>+'Power Systems'!BE6</f>
        <v>1322.0203331999999</v>
      </c>
      <c r="BF35" s="237">
        <f>+'Power Systems'!BF6</f>
        <v>1639.5351640129686</v>
      </c>
      <c r="BG35" s="576">
        <f>+'Power Systems'!BG6</f>
        <v>2961.5554972129685</v>
      </c>
      <c r="BH35" s="48">
        <f>+'Power Systems'!BH6</f>
        <v>1623.720527058</v>
      </c>
      <c r="BI35" s="237">
        <f>+'Power Systems'!BI6</f>
        <v>2010.4444714197386</v>
      </c>
      <c r="BJ35" s="576">
        <f>+'Power Systems'!BJ6</f>
        <v>3634.1649984777387</v>
      </c>
      <c r="BK35" s="48">
        <f>+'Power Systems'!BK6</f>
        <v>2000.7342682488002</v>
      </c>
      <c r="BL35" s="237">
        <f>+'Power Systems'!BL6</f>
        <v>2473.2757647097901</v>
      </c>
      <c r="BM35" s="576">
        <f>+'Power Systems'!BM6</f>
        <v>4474.0100329585903</v>
      </c>
    </row>
    <row r="36" spans="1:71" customFormat="1">
      <c r="A36" s="185" t="s">
        <v>250</v>
      </c>
      <c r="B36" s="201"/>
      <c r="C36" s="201"/>
      <c r="D36" s="201"/>
      <c r="E36" s="201"/>
      <c r="F36" s="201"/>
      <c r="G36" s="201"/>
      <c r="H36" s="201"/>
      <c r="I36" s="201"/>
      <c r="J36" s="201"/>
      <c r="K36" s="201"/>
      <c r="L36" s="201"/>
      <c r="M36" s="201"/>
      <c r="N36" s="201"/>
      <c r="O36" s="165"/>
      <c r="P36" s="165">
        <f>+P35/P10</f>
        <v>0.2727941176470588</v>
      </c>
      <c r="Q36" s="165">
        <f t="shared" ref="Q36:BM36" si="99">+Q35/Q10</f>
        <v>0.27505241090146748</v>
      </c>
      <c r="R36" s="165">
        <f t="shared" ref="R36:S36" si="100">+R35/R10</f>
        <v>0.23431734317343172</v>
      </c>
      <c r="S36" s="229">
        <f t="shared" si="100"/>
        <v>0.28835136855506049</v>
      </c>
      <c r="T36" s="559">
        <f t="shared" si="99"/>
        <v>0.26629001883239173</v>
      </c>
      <c r="U36" s="165">
        <f t="shared" si="99"/>
        <v>0.25871857258718572</v>
      </c>
      <c r="V36" s="229">
        <f t="shared" si="99"/>
        <v>0.30946745562130179</v>
      </c>
      <c r="W36" s="559">
        <f t="shared" si="99"/>
        <v>0.28806021211084504</v>
      </c>
      <c r="X36" s="165">
        <f t="shared" ref="X36:Y36" si="101">+X35/X10</f>
        <v>0.22196078431372548</v>
      </c>
      <c r="Y36" s="229">
        <f t="shared" si="101"/>
        <v>0.29659549913444894</v>
      </c>
      <c r="Z36" s="559">
        <f t="shared" si="99"/>
        <v>0.26496010638297873</v>
      </c>
      <c r="AA36" s="165">
        <f t="shared" si="99"/>
        <v>0.24065261726716519</v>
      </c>
      <c r="AB36" s="229">
        <f t="shared" ref="AB36" si="102">+AB35/AB10</f>
        <v>0.26229508196721313</v>
      </c>
      <c r="AC36" s="559">
        <f t="shared" si="99"/>
        <v>0.25315729047072333</v>
      </c>
      <c r="AD36" s="165">
        <f t="shared" si="99"/>
        <v>0.25048293625241469</v>
      </c>
      <c r="AE36" s="229">
        <f t="shared" si="99"/>
        <v>0.26104417670682734</v>
      </c>
      <c r="AF36" s="559">
        <f t="shared" si="99"/>
        <v>0.25641748942172071</v>
      </c>
      <c r="AG36" s="165">
        <f t="shared" ref="AG36:AH36" si="103">+AG35/AG10</f>
        <v>0.21663920922570015</v>
      </c>
      <c r="AH36" s="229">
        <f t="shared" si="103"/>
        <v>0.27284681130834976</v>
      </c>
      <c r="AI36" s="559">
        <f t="shared" si="99"/>
        <v>0.24789762340036564</v>
      </c>
      <c r="AJ36" s="165">
        <f t="shared" ref="AJ36:AK36" si="104">+AJ35/AJ10</f>
        <v>0.25486875529212533</v>
      </c>
      <c r="AK36" s="229">
        <f t="shared" si="104"/>
        <v>0.30420918367346939</v>
      </c>
      <c r="AL36" s="559">
        <f t="shared" si="99"/>
        <v>0.28301200436522372</v>
      </c>
      <c r="AM36" s="165">
        <f t="shared" si="99"/>
        <v>0.29248723559445661</v>
      </c>
      <c r="AN36" s="229">
        <f t="shared" ref="AN36:AP36" si="105">+AN35/AN10</f>
        <v>0.26163967611336031</v>
      </c>
      <c r="AO36" s="559">
        <f t="shared" si="99"/>
        <v>0.27427547057066032</v>
      </c>
      <c r="AP36" s="165">
        <f t="shared" si="105"/>
        <v>0.2547914317925592</v>
      </c>
      <c r="AQ36" s="229">
        <f t="shared" ref="AQ36:AS36" si="106">+AQ35/AQ10</f>
        <v>0.27256153144940748</v>
      </c>
      <c r="AR36" s="559">
        <f t="shared" si="106"/>
        <v>0.26461693548387094</v>
      </c>
      <c r="AS36" s="165">
        <f t="shared" si="106"/>
        <v>0.27599346761023408</v>
      </c>
      <c r="AT36" s="229">
        <f t="shared" ref="AT36:AV36" si="107">+AT35/AT10</f>
        <v>0.28430566967953985</v>
      </c>
      <c r="AU36" s="559">
        <f t="shared" si="107"/>
        <v>0.28073050807773353</v>
      </c>
      <c r="AV36" s="165">
        <f t="shared" si="107"/>
        <v>0.31096963761018609</v>
      </c>
      <c r="AW36" s="229">
        <f t="shared" ref="AW36:AY36" si="108">+AW35/AW10</f>
        <v>0.31122807017543858</v>
      </c>
      <c r="AX36" s="559">
        <f t="shared" si="108"/>
        <v>0.31112019623875714</v>
      </c>
      <c r="AY36" s="165">
        <f t="shared" si="108"/>
        <v>0.34600614439324118</v>
      </c>
      <c r="AZ36" s="247">
        <f t="shared" si="99"/>
        <v>0.33517084127436042</v>
      </c>
      <c r="BA36" s="583">
        <f t="shared" si="99"/>
        <v>0.34</v>
      </c>
      <c r="BB36" s="245">
        <f t="shared" si="99"/>
        <v>0.34499999999999997</v>
      </c>
      <c r="BC36" s="247">
        <f t="shared" si="99"/>
        <v>0.34499999999999992</v>
      </c>
      <c r="BD36" s="583">
        <f t="shared" si="99"/>
        <v>0.34499999999999997</v>
      </c>
      <c r="BE36" s="245">
        <f t="shared" si="99"/>
        <v>0.35</v>
      </c>
      <c r="BF36" s="247">
        <f t="shared" si="99"/>
        <v>0.35000000000000003</v>
      </c>
      <c r="BG36" s="583">
        <f t="shared" si="99"/>
        <v>0.35</v>
      </c>
      <c r="BH36" s="245">
        <f t="shared" si="99"/>
        <v>0.35499999999999998</v>
      </c>
      <c r="BI36" s="247">
        <f t="shared" si="99"/>
        <v>0.35500000000000004</v>
      </c>
      <c r="BJ36" s="583">
        <f t="shared" si="99"/>
        <v>0.35499999999999998</v>
      </c>
      <c r="BK36" s="245">
        <f t="shared" si="99"/>
        <v>0.36</v>
      </c>
      <c r="BL36" s="247">
        <f t="shared" si="99"/>
        <v>0.36000000000000004</v>
      </c>
      <c r="BM36" s="583">
        <f t="shared" si="99"/>
        <v>0.36</v>
      </c>
    </row>
    <row r="37" spans="1:71" customFormat="1">
      <c r="A37" s="2" t="s">
        <v>1039</v>
      </c>
      <c r="B37" s="27"/>
      <c r="C37" s="27"/>
      <c r="D37" s="27"/>
      <c r="E37" s="27"/>
      <c r="F37" s="27"/>
      <c r="G37" s="27"/>
      <c r="H37" s="27"/>
      <c r="I37" s="27"/>
      <c r="J37" s="27"/>
      <c r="K37" s="27"/>
      <c r="L37" s="27"/>
      <c r="M37" s="27"/>
      <c r="N37" s="27"/>
      <c r="O37" s="27"/>
      <c r="P37" s="27"/>
      <c r="Q37" s="27"/>
      <c r="R37" s="27">
        <v>0</v>
      </c>
      <c r="S37" s="218">
        <f>T37-R37</f>
        <v>0</v>
      </c>
      <c r="T37" s="553"/>
      <c r="U37" s="27">
        <v>0</v>
      </c>
      <c r="V37" s="218">
        <f>W37-U37</f>
        <v>0</v>
      </c>
      <c r="W37" s="553"/>
      <c r="X37" s="27">
        <v>0</v>
      </c>
      <c r="Y37" s="218">
        <f>Z37-X37</f>
        <v>0</v>
      </c>
      <c r="Z37" s="553">
        <v>0</v>
      </c>
      <c r="AA37" s="27">
        <v>0</v>
      </c>
      <c r="AB37" s="218">
        <f>AC37-AA37</f>
        <v>0</v>
      </c>
      <c r="AC37" s="553">
        <v>0</v>
      </c>
      <c r="AD37" s="27">
        <v>0</v>
      </c>
      <c r="AE37" s="218">
        <f>AF37-AD37</f>
        <v>0</v>
      </c>
      <c r="AF37" s="553">
        <v>0</v>
      </c>
      <c r="AG37" s="27">
        <v>0</v>
      </c>
      <c r="AH37" s="218">
        <f>AI37-AG37</f>
        <v>2</v>
      </c>
      <c r="AI37" s="553">
        <v>2</v>
      </c>
      <c r="AJ37" s="27">
        <v>0</v>
      </c>
      <c r="AK37" s="218">
        <f>AL37-AJ37</f>
        <v>1</v>
      </c>
      <c r="AL37" s="553">
        <v>1</v>
      </c>
      <c r="AM37" s="27">
        <v>-2</v>
      </c>
      <c r="AN37" s="218">
        <f>AO37-AM37</f>
        <v>1</v>
      </c>
      <c r="AO37" s="553">
        <v>-1</v>
      </c>
      <c r="AP37" s="27">
        <v>0</v>
      </c>
      <c r="AQ37" s="218">
        <f>AR37-AP37</f>
        <v>1</v>
      </c>
      <c r="AR37" s="553">
        <v>1</v>
      </c>
      <c r="AS37" s="27">
        <v>2</v>
      </c>
      <c r="AT37" s="218">
        <f>AU37-AS37</f>
        <v>-5</v>
      </c>
      <c r="AU37" s="553">
        <v>-3</v>
      </c>
      <c r="AV37" s="27">
        <v>0</v>
      </c>
      <c r="AW37" s="218">
        <f>AX37-AV37</f>
        <v>-2</v>
      </c>
      <c r="AX37" s="553">
        <v>-2</v>
      </c>
      <c r="AY37" s="27">
        <v>0</v>
      </c>
      <c r="AZ37" s="237">
        <v>0</v>
      </c>
      <c r="BA37" s="576">
        <v>0</v>
      </c>
      <c r="BB37" s="48">
        <v>0</v>
      </c>
      <c r="BC37" s="237">
        <v>0</v>
      </c>
      <c r="BD37" s="576">
        <v>0</v>
      </c>
      <c r="BE37" s="48">
        <v>0</v>
      </c>
      <c r="BF37" s="237">
        <v>0</v>
      </c>
      <c r="BG37" s="576">
        <v>0</v>
      </c>
      <c r="BH37" s="48">
        <v>0</v>
      </c>
      <c r="BI37" s="237">
        <v>0</v>
      </c>
      <c r="BJ37" s="576">
        <v>0</v>
      </c>
      <c r="BK37" s="48">
        <v>0</v>
      </c>
      <c r="BL37" s="237">
        <v>0</v>
      </c>
      <c r="BM37" s="576">
        <v>0</v>
      </c>
      <c r="BS37" s="176"/>
    </row>
    <row r="38" spans="1:71" customFormat="1">
      <c r="A38" s="185" t="s">
        <v>250</v>
      </c>
      <c r="B38" s="201"/>
      <c r="C38" s="201"/>
      <c r="D38" s="201"/>
      <c r="E38" s="201"/>
      <c r="F38" s="201"/>
      <c r="G38" s="201"/>
      <c r="H38" s="201"/>
      <c r="I38" s="201"/>
      <c r="J38" s="201"/>
      <c r="K38" s="201"/>
      <c r="L38" s="201"/>
      <c r="M38" s="201"/>
      <c r="N38" s="201"/>
      <c r="O38" s="165"/>
      <c r="P38" s="165"/>
      <c r="Q38" s="165"/>
      <c r="R38" s="165"/>
      <c r="S38" s="229"/>
      <c r="T38" s="559"/>
      <c r="U38" s="165"/>
      <c r="V38" s="229"/>
      <c r="W38" s="559"/>
      <c r="X38" s="165"/>
      <c r="Y38" s="229"/>
      <c r="Z38" s="553">
        <v>0</v>
      </c>
      <c r="AA38" s="165"/>
      <c r="AB38" s="229"/>
      <c r="AC38" s="559">
        <v>0</v>
      </c>
      <c r="AD38" s="165"/>
      <c r="AE38" s="229"/>
      <c r="AF38" s="559">
        <v>0</v>
      </c>
      <c r="AG38" s="165"/>
      <c r="AH38" s="229"/>
      <c r="AI38" s="559">
        <f t="shared" ref="AI38:BC38" si="109">AI37/AI12</f>
        <v>0.4</v>
      </c>
      <c r="AJ38" s="165"/>
      <c r="AK38" s="229"/>
      <c r="AL38" s="559">
        <f t="shared" si="109"/>
        <v>0.5</v>
      </c>
      <c r="AM38" s="165">
        <f t="shared" si="109"/>
        <v>-2</v>
      </c>
      <c r="AN38" s="229">
        <f t="shared" ref="AN38:AP38" si="110">AN37/AN12</f>
        <v>0.5</v>
      </c>
      <c r="AO38" s="559">
        <f t="shared" si="109"/>
        <v>-0.33333333333333331</v>
      </c>
      <c r="AP38" s="165">
        <f t="shared" si="110"/>
        <v>0</v>
      </c>
      <c r="AQ38" s="229">
        <f t="shared" ref="AQ38:AS38" si="111">AQ37/AQ12</f>
        <v>0.33333333333333331</v>
      </c>
      <c r="AR38" s="559">
        <f t="shared" si="111"/>
        <v>0.25</v>
      </c>
      <c r="AS38" s="165">
        <f t="shared" si="111"/>
        <v>1</v>
      </c>
      <c r="AT38" s="229">
        <f t="shared" ref="AT38:AV38" si="112">AT37/AT12</f>
        <v>-0.38461538461538464</v>
      </c>
      <c r="AU38" s="559">
        <f t="shared" si="112"/>
        <v>-0.2</v>
      </c>
      <c r="AV38" s="165">
        <f t="shared" si="112"/>
        <v>0</v>
      </c>
      <c r="AW38" s="229">
        <f t="shared" ref="AW38:AY38" si="113">AW37/AW12</f>
        <v>-0.2857142857142857</v>
      </c>
      <c r="AX38" s="559">
        <f t="shared" si="113"/>
        <v>-0.15384615384615385</v>
      </c>
      <c r="AY38" s="165">
        <f t="shared" si="113"/>
        <v>0</v>
      </c>
      <c r="AZ38" s="247" t="e">
        <f t="shared" si="109"/>
        <v>#DIV/0!</v>
      </c>
      <c r="BA38" s="583">
        <f t="shared" si="109"/>
        <v>0</v>
      </c>
      <c r="BB38" s="245">
        <f t="shared" si="109"/>
        <v>0</v>
      </c>
      <c r="BC38" s="247">
        <f t="shared" si="109"/>
        <v>0</v>
      </c>
      <c r="BD38" s="583" t="str">
        <f>IFERROR(BD37/BD12,"")</f>
        <v/>
      </c>
      <c r="BE38" s="245">
        <f t="shared" ref="BE38:BF38" si="114">BE37/BE12</f>
        <v>0</v>
      </c>
      <c r="BF38" s="247">
        <f t="shared" si="114"/>
        <v>0</v>
      </c>
      <c r="BG38" s="583" t="str">
        <f>IFERROR(BG37/BG12,"")</f>
        <v/>
      </c>
      <c r="BH38" s="245">
        <f t="shared" ref="BH38:BL38" si="115">BH37/BH12</f>
        <v>0</v>
      </c>
      <c r="BI38" s="247">
        <f t="shared" si="115"/>
        <v>0</v>
      </c>
      <c r="BJ38" s="583" t="str">
        <f>IFERROR(BJ37/BJ12,"")</f>
        <v/>
      </c>
      <c r="BK38" s="245">
        <f t="shared" si="115"/>
        <v>0</v>
      </c>
      <c r="BL38" s="247">
        <f t="shared" si="115"/>
        <v>0</v>
      </c>
      <c r="BM38" s="583" t="str">
        <f>IFERROR(BM37/BM12,"")</f>
        <v/>
      </c>
    </row>
    <row r="39" spans="1:71" customFormat="1" hidden="1" outlineLevel="1">
      <c r="A39" s="2" t="s">
        <v>9</v>
      </c>
      <c r="B39" s="27"/>
      <c r="C39" s="27"/>
      <c r="D39" s="27"/>
      <c r="E39" s="27"/>
      <c r="F39" s="27"/>
      <c r="G39" s="27"/>
      <c r="H39" s="27"/>
      <c r="I39" s="27"/>
      <c r="J39" s="27"/>
      <c r="K39" s="27"/>
      <c r="L39" s="27"/>
      <c r="M39" s="27"/>
      <c r="N39" s="27"/>
      <c r="O39" s="27"/>
      <c r="P39" s="27">
        <v>425</v>
      </c>
      <c r="Q39" s="27">
        <v>260</v>
      </c>
      <c r="R39" s="27">
        <v>108</v>
      </c>
      <c r="S39" s="218">
        <f>T39-R39</f>
        <v>128</v>
      </c>
      <c r="T39" s="553">
        <v>236</v>
      </c>
      <c r="U39" s="27">
        <v>94</v>
      </c>
      <c r="V39" s="218">
        <f>W39-U39</f>
        <v>131</v>
      </c>
      <c r="W39" s="553">
        <v>225</v>
      </c>
      <c r="X39" s="27"/>
      <c r="Y39" s="218"/>
      <c r="Z39" s="553"/>
      <c r="AA39" s="27"/>
      <c r="AB39" s="218"/>
      <c r="AC39" s="553"/>
      <c r="AD39" s="27"/>
      <c r="AE39" s="218"/>
      <c r="AF39" s="553"/>
      <c r="AG39" s="27"/>
      <c r="AH39" s="218"/>
      <c r="AI39" s="553"/>
      <c r="AJ39" s="27"/>
      <c r="AK39" s="218"/>
      <c r="AL39" s="553"/>
      <c r="AM39" s="27"/>
      <c r="AN39" s="218"/>
      <c r="AO39" s="553"/>
      <c r="AP39" s="27"/>
      <c r="AQ39" s="218"/>
      <c r="AR39" s="553"/>
      <c r="AS39" s="27"/>
      <c r="AT39" s="541"/>
      <c r="AU39" s="578"/>
      <c r="AV39" s="2"/>
      <c r="AW39" s="541"/>
      <c r="AX39" s="578"/>
      <c r="AY39" s="2"/>
      <c r="AZ39" s="541"/>
      <c r="BA39" s="578"/>
      <c r="BB39" s="2"/>
      <c r="BC39" s="541"/>
      <c r="BD39" s="578"/>
      <c r="BE39" s="2"/>
      <c r="BF39" s="541"/>
      <c r="BG39" s="578"/>
      <c r="BH39" s="2"/>
      <c r="BI39" s="541"/>
      <c r="BJ39" s="578"/>
      <c r="BK39" s="2"/>
      <c r="BL39" s="541"/>
      <c r="BM39" s="578"/>
    </row>
    <row r="40" spans="1:71" customFormat="1" hidden="1" outlineLevel="1">
      <c r="A40" s="185" t="s">
        <v>250</v>
      </c>
      <c r="B40" s="165"/>
      <c r="C40" s="165"/>
      <c r="D40" s="165"/>
      <c r="E40" s="165"/>
      <c r="F40" s="165"/>
      <c r="G40" s="165"/>
      <c r="H40" s="165"/>
      <c r="I40" s="165"/>
      <c r="J40" s="165"/>
      <c r="K40" s="165"/>
      <c r="L40" s="165"/>
      <c r="M40" s="165"/>
      <c r="N40" s="165"/>
      <c r="O40" s="165"/>
      <c r="P40" s="165">
        <f>+P39/P14</f>
        <v>0.248683440608543</v>
      </c>
      <c r="Q40" s="165">
        <f>+Q39/Q14</f>
        <v>0.19637462235649547</v>
      </c>
      <c r="R40" s="165"/>
      <c r="S40" s="229"/>
      <c r="T40" s="559">
        <f>+T39/T14</f>
        <v>0.2118491921005386</v>
      </c>
      <c r="U40" s="165"/>
      <c r="V40" s="229"/>
      <c r="W40" s="559">
        <f>+W39/W14</f>
        <v>0.20891364902506965</v>
      </c>
      <c r="X40" s="165"/>
      <c r="Y40" s="229"/>
      <c r="Z40" s="559"/>
      <c r="AA40" s="165"/>
      <c r="AB40" s="229"/>
      <c r="AC40" s="559"/>
      <c r="AD40" s="165"/>
      <c r="AE40" s="229"/>
      <c r="AF40" s="559"/>
      <c r="AG40" s="165"/>
      <c r="AH40" s="229"/>
      <c r="AI40" s="559"/>
      <c r="AJ40" s="165"/>
      <c r="AK40" s="229"/>
      <c r="AL40" s="559"/>
      <c r="AM40" s="165"/>
      <c r="AN40" s="229"/>
      <c r="AO40" s="559"/>
      <c r="AP40" s="165"/>
      <c r="AQ40" s="229"/>
      <c r="AR40" s="559"/>
      <c r="AS40" s="165"/>
      <c r="AT40" s="544"/>
      <c r="AU40" s="584"/>
      <c r="AV40" s="45"/>
      <c r="AW40" s="544"/>
      <c r="AX40" s="584"/>
      <c r="AY40" s="45"/>
      <c r="AZ40" s="544"/>
      <c r="BA40" s="584"/>
      <c r="BB40" s="45"/>
      <c r="BC40" s="544"/>
      <c r="BD40" s="584"/>
      <c r="BE40" s="45"/>
      <c r="BF40" s="544"/>
      <c r="BG40" s="584"/>
      <c r="BH40" s="45"/>
      <c r="BI40" s="544"/>
      <c r="BJ40" s="584"/>
      <c r="BK40" s="45"/>
      <c r="BL40" s="544"/>
      <c r="BM40" s="584"/>
    </row>
    <row r="41" spans="1:71" customFormat="1" hidden="1" outlineLevel="1">
      <c r="A41" s="2" t="s">
        <v>395</v>
      </c>
      <c r="B41" s="27"/>
      <c r="C41" s="27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>
        <v>119</v>
      </c>
      <c r="Q41" s="27">
        <v>111</v>
      </c>
      <c r="R41" s="27">
        <v>51</v>
      </c>
      <c r="S41" s="218">
        <f>T41-R41</f>
        <v>70</v>
      </c>
      <c r="T41" s="553">
        <v>121</v>
      </c>
      <c r="U41" s="27">
        <v>56</v>
      </c>
      <c r="V41" s="218">
        <f>W41-U41</f>
        <v>77</v>
      </c>
      <c r="W41" s="553">
        <v>133</v>
      </c>
      <c r="X41" s="27"/>
      <c r="Y41" s="218"/>
      <c r="Z41" s="553"/>
      <c r="AA41" s="27"/>
      <c r="AB41" s="218"/>
      <c r="AC41" s="553"/>
      <c r="AD41" s="27"/>
      <c r="AE41" s="218"/>
      <c r="AF41" s="553"/>
      <c r="AG41" s="27"/>
      <c r="AH41" s="218"/>
      <c r="AI41" s="553"/>
      <c r="AJ41" s="27"/>
      <c r="AK41" s="218"/>
      <c r="AL41" s="553"/>
      <c r="AM41" s="27"/>
      <c r="AN41" s="218"/>
      <c r="AO41" s="553"/>
      <c r="AP41" s="27"/>
      <c r="AQ41" s="218"/>
      <c r="AR41" s="553"/>
      <c r="AS41" s="27"/>
      <c r="AT41" s="541"/>
      <c r="AU41" s="578"/>
      <c r="AV41" s="2"/>
      <c r="AW41" s="541"/>
      <c r="AX41" s="578"/>
      <c r="AY41" s="2"/>
      <c r="AZ41" s="541"/>
      <c r="BA41" s="578"/>
      <c r="BB41" s="2"/>
      <c r="BC41" s="541"/>
      <c r="BD41" s="578"/>
      <c r="BE41" s="2"/>
      <c r="BF41" s="541"/>
      <c r="BG41" s="578"/>
      <c r="BH41" s="2"/>
      <c r="BI41" s="541"/>
      <c r="BJ41" s="578"/>
      <c r="BK41" s="2"/>
      <c r="BL41" s="541"/>
      <c r="BM41" s="578"/>
    </row>
    <row r="42" spans="1:71" customFormat="1" hidden="1" outlineLevel="1">
      <c r="A42" s="185" t="s">
        <v>250</v>
      </c>
      <c r="B42" s="165"/>
      <c r="C42" s="165"/>
      <c r="D42" s="165"/>
      <c r="E42" s="165"/>
      <c r="F42" s="165"/>
      <c r="G42" s="165"/>
      <c r="H42" s="165"/>
      <c r="I42" s="165"/>
      <c r="J42" s="165"/>
      <c r="K42" s="165"/>
      <c r="L42" s="165"/>
      <c r="M42" s="165"/>
      <c r="N42" s="165"/>
      <c r="O42" s="165"/>
      <c r="P42" s="165">
        <f>+P41/P16</f>
        <v>0.18652037617554859</v>
      </c>
      <c r="Q42" s="165">
        <f>+Q41/Q16</f>
        <v>0.16157205240174671</v>
      </c>
      <c r="R42" s="165"/>
      <c r="S42" s="229"/>
      <c r="T42" s="559">
        <f>+T41/T16</f>
        <v>0.15572715572715573</v>
      </c>
      <c r="U42" s="165"/>
      <c r="V42" s="229"/>
      <c r="W42" s="559">
        <f>+W41/W16</f>
        <v>0.16259168704156479</v>
      </c>
      <c r="X42" s="165"/>
      <c r="Y42" s="229"/>
      <c r="Z42" s="559"/>
      <c r="AA42" s="165"/>
      <c r="AB42" s="229"/>
      <c r="AC42" s="559"/>
      <c r="AD42" s="165"/>
      <c r="AE42" s="229"/>
      <c r="AF42" s="559"/>
      <c r="AG42" s="165"/>
      <c r="AH42" s="229"/>
      <c r="AI42" s="559"/>
      <c r="AJ42" s="165"/>
      <c r="AK42" s="229"/>
      <c r="AL42" s="559"/>
      <c r="AM42" s="165"/>
      <c r="AN42" s="229"/>
      <c r="AO42" s="559"/>
      <c r="AP42" s="165"/>
      <c r="AQ42" s="229"/>
      <c r="AR42" s="559"/>
      <c r="AS42" s="165"/>
      <c r="AT42" s="544"/>
      <c r="AU42" s="584"/>
      <c r="AV42" s="45"/>
      <c r="AW42" s="544"/>
      <c r="AX42" s="584"/>
      <c r="AY42" s="45"/>
      <c r="AZ42" s="544"/>
      <c r="BA42" s="584"/>
      <c r="BB42" s="45"/>
      <c r="BC42" s="544"/>
      <c r="BD42" s="584"/>
      <c r="BE42" s="45"/>
      <c r="BF42" s="544"/>
      <c r="BG42" s="584"/>
      <c r="BH42" s="45"/>
      <c r="BI42" s="544"/>
      <c r="BJ42" s="584"/>
      <c r="BK42" s="45"/>
      <c r="BL42" s="544"/>
      <c r="BM42" s="584"/>
    </row>
    <row r="43" spans="1:71" customFormat="1" hidden="1" outlineLevel="1">
      <c r="A43" s="2" t="s">
        <v>671</v>
      </c>
      <c r="B43" s="165"/>
      <c r="C43" s="165"/>
      <c r="D43" s="165"/>
      <c r="E43" s="165"/>
      <c r="F43" s="165"/>
      <c r="G43" s="165"/>
      <c r="H43" s="165"/>
      <c r="I43" s="165"/>
      <c r="J43" s="165"/>
      <c r="K43" s="165"/>
      <c r="L43" s="165"/>
      <c r="M43" s="165"/>
      <c r="N43" s="165"/>
      <c r="O43" s="165"/>
      <c r="P43" s="165"/>
      <c r="Q43" s="165"/>
      <c r="R43" s="27">
        <v>0</v>
      </c>
      <c r="S43" s="218">
        <f>T43-R43</f>
        <v>0</v>
      </c>
      <c r="T43" s="559"/>
      <c r="U43" s="27">
        <v>0</v>
      </c>
      <c r="V43" s="218">
        <f>W43-U43</f>
        <v>0</v>
      </c>
      <c r="W43" s="559"/>
      <c r="X43" s="27">
        <v>50</v>
      </c>
      <c r="Y43" s="218">
        <f>Z43-X43</f>
        <v>-50</v>
      </c>
      <c r="Z43" s="559"/>
      <c r="AA43" s="27">
        <v>85</v>
      </c>
      <c r="AB43" s="218">
        <f>AC43-AA43</f>
        <v>71</v>
      </c>
      <c r="AC43" s="553">
        <v>156</v>
      </c>
      <c r="AD43" s="27">
        <v>80</v>
      </c>
      <c r="AE43" s="218">
        <f>AF43-AD43</f>
        <v>126</v>
      </c>
      <c r="AF43" s="553">
        <v>206</v>
      </c>
      <c r="AG43" s="27">
        <v>37</v>
      </c>
      <c r="AH43" s="218">
        <f>AI43-AG43</f>
        <v>-37</v>
      </c>
      <c r="AI43" s="553">
        <v>0</v>
      </c>
      <c r="AJ43" s="27">
        <v>48</v>
      </c>
      <c r="AK43" s="218">
        <f>AL43-AJ43</f>
        <v>-48</v>
      </c>
      <c r="AL43" s="553">
        <v>0</v>
      </c>
      <c r="AM43" s="27">
        <v>0</v>
      </c>
      <c r="AN43" s="218">
        <f>AO43-AM43</f>
        <v>0</v>
      </c>
      <c r="AO43" s="553">
        <f>AO18*AO44</f>
        <v>0</v>
      </c>
      <c r="AP43" s="27">
        <v>0</v>
      </c>
      <c r="AQ43" s="218">
        <f>AR43-AP43</f>
        <v>0</v>
      </c>
      <c r="AR43" s="553">
        <v>0</v>
      </c>
      <c r="AS43" s="27">
        <v>0</v>
      </c>
      <c r="AT43" s="218">
        <f>AU43-AS43</f>
        <v>0</v>
      </c>
      <c r="AU43" s="553">
        <v>0</v>
      </c>
      <c r="AV43" s="27">
        <v>0</v>
      </c>
      <c r="AW43" s="218">
        <f>AX43-AV43</f>
        <v>0</v>
      </c>
      <c r="AX43" s="553">
        <v>0</v>
      </c>
      <c r="AY43" s="27">
        <v>0</v>
      </c>
      <c r="AZ43" s="237">
        <f>BA43-AY43</f>
        <v>0</v>
      </c>
      <c r="BA43" s="576">
        <f t="shared" ref="BA43:BM43" si="116">BA18*BA44</f>
        <v>0</v>
      </c>
      <c r="BB43" s="48">
        <f>BB18*BB44</f>
        <v>0</v>
      </c>
      <c r="BC43" s="237">
        <f>BD43-BB43</f>
        <v>0</v>
      </c>
      <c r="BD43" s="576">
        <f t="shared" si="116"/>
        <v>0</v>
      </c>
      <c r="BE43" s="48">
        <f>BE18*BE44</f>
        <v>0</v>
      </c>
      <c r="BF43" s="237">
        <f>BG43-BE43</f>
        <v>0</v>
      </c>
      <c r="BG43" s="576">
        <f t="shared" si="116"/>
        <v>0</v>
      </c>
      <c r="BH43" s="48">
        <f>BH18*BH44</f>
        <v>0</v>
      </c>
      <c r="BI43" s="237">
        <f>BJ43-BH43</f>
        <v>0</v>
      </c>
      <c r="BJ43" s="576">
        <f t="shared" si="116"/>
        <v>0</v>
      </c>
      <c r="BK43" s="48">
        <f>BK18*BK44</f>
        <v>0</v>
      </c>
      <c r="BL43" s="237">
        <f>BM43-BK43</f>
        <v>0</v>
      </c>
      <c r="BM43" s="576">
        <f t="shared" si="116"/>
        <v>0</v>
      </c>
    </row>
    <row r="44" spans="1:71" customFormat="1" hidden="1" outlineLevel="1">
      <c r="A44" s="185" t="s">
        <v>250</v>
      </c>
      <c r="B44" s="165"/>
      <c r="C44" s="165"/>
      <c r="D44" s="165"/>
      <c r="E44" s="165"/>
      <c r="F44" s="165"/>
      <c r="G44" s="165"/>
      <c r="H44" s="165"/>
      <c r="I44" s="165"/>
      <c r="J44" s="165"/>
      <c r="K44" s="165"/>
      <c r="L44" s="165"/>
      <c r="M44" s="165"/>
      <c r="N44" s="165"/>
      <c r="O44" s="165"/>
      <c r="P44" s="165"/>
      <c r="Q44" s="165"/>
      <c r="R44" s="165"/>
      <c r="S44" s="229"/>
      <c r="T44" s="559"/>
      <c r="U44" s="165"/>
      <c r="V44" s="229"/>
      <c r="W44" s="559"/>
      <c r="X44" s="165"/>
      <c r="Y44" s="229"/>
      <c r="Z44" s="559"/>
      <c r="AA44" s="165"/>
      <c r="AB44" s="229"/>
      <c r="AC44" s="559">
        <f>+AC43/AC18</f>
        <v>0.20025673940949937</v>
      </c>
      <c r="AD44" s="165"/>
      <c r="AE44" s="229"/>
      <c r="AF44" s="559">
        <f>+AF43/AF18</f>
        <v>0.22008547008547008</v>
      </c>
      <c r="AG44" s="165"/>
      <c r="AH44" s="229"/>
      <c r="AI44" s="559"/>
      <c r="AJ44" s="165"/>
      <c r="AK44" s="229"/>
      <c r="AL44" s="559"/>
      <c r="AM44" s="165"/>
      <c r="AN44" s="229"/>
      <c r="AO44" s="559"/>
      <c r="AP44" s="165"/>
      <c r="AQ44" s="229"/>
      <c r="AR44" s="559"/>
      <c r="AS44" s="165"/>
      <c r="AT44" s="545"/>
      <c r="AU44" s="585"/>
      <c r="AV44" s="165"/>
      <c r="AW44" s="545"/>
      <c r="AX44" s="585"/>
      <c r="AY44" s="165"/>
      <c r="AZ44" s="545"/>
      <c r="BA44" s="585"/>
      <c r="BB44" s="985"/>
      <c r="BC44" s="545"/>
      <c r="BD44" s="585"/>
      <c r="BE44" s="985"/>
      <c r="BF44" s="545"/>
      <c r="BG44" s="585"/>
      <c r="BH44" s="985"/>
      <c r="BI44" s="545"/>
      <c r="BJ44" s="585"/>
      <c r="BK44" s="985"/>
      <c r="BL44" s="545"/>
      <c r="BM44" s="585"/>
    </row>
    <row r="45" spans="1:71" customFormat="1" collapsed="1">
      <c r="A45" s="2" t="s">
        <v>708</v>
      </c>
      <c r="B45" s="27"/>
      <c r="C45" s="27"/>
      <c r="D45" s="27"/>
      <c r="E45" s="27"/>
      <c r="F45" s="27"/>
      <c r="G45" s="27"/>
      <c r="H45" s="27"/>
      <c r="I45" s="27"/>
      <c r="J45" s="27"/>
      <c r="K45" s="27"/>
      <c r="L45" s="27"/>
      <c r="M45" s="27"/>
      <c r="N45" s="27"/>
      <c r="O45" s="27"/>
      <c r="P45" s="27">
        <f>P48-P41-P39-P35-P33-P31</f>
        <v>-5</v>
      </c>
      <c r="Q45" s="27">
        <f>Q48-Q41-Q39-Q35-Q33-Q31</f>
        <v>50</v>
      </c>
      <c r="R45" s="27">
        <v>10</v>
      </c>
      <c r="S45" s="218">
        <f>T45-R45</f>
        <v>0</v>
      </c>
      <c r="T45" s="553">
        <f>T48-T41-T39-T35-T33-T31</f>
        <v>10</v>
      </c>
      <c r="U45" s="27">
        <v>10</v>
      </c>
      <c r="V45" s="218">
        <f>W45-U45</f>
        <v>-4</v>
      </c>
      <c r="W45" s="553">
        <f>W48-W41-W39-W35-W33-W31</f>
        <v>6</v>
      </c>
      <c r="X45" s="27">
        <v>0</v>
      </c>
      <c r="Y45" s="218">
        <f>Z45-X45</f>
        <v>0</v>
      </c>
      <c r="Z45" s="553">
        <v>0</v>
      </c>
      <c r="AA45" s="27">
        <v>2</v>
      </c>
      <c r="AB45" s="218">
        <f>AC45-AA45</f>
        <v>33</v>
      </c>
      <c r="AC45" s="553">
        <v>35</v>
      </c>
      <c r="AD45" s="27">
        <v>-45</v>
      </c>
      <c r="AE45" s="218">
        <f>AF45-AD45</f>
        <v>-19</v>
      </c>
      <c r="AF45" s="553">
        <v>-64</v>
      </c>
      <c r="AG45" s="27">
        <v>-17</v>
      </c>
      <c r="AH45" s="218">
        <f>AI45-AG45</f>
        <v>27</v>
      </c>
      <c r="AI45" s="553">
        <f>15-5</f>
        <v>10</v>
      </c>
      <c r="AJ45" s="27">
        <v>1</v>
      </c>
      <c r="AK45" s="218">
        <f>AL45-AJ45</f>
        <v>21</v>
      </c>
      <c r="AL45" s="553">
        <f>32-10</f>
        <v>22</v>
      </c>
      <c r="AM45" s="27">
        <v>0</v>
      </c>
      <c r="AN45" s="218">
        <f>AO45-AM45</f>
        <v>-19</v>
      </c>
      <c r="AO45" s="553">
        <f>-29+10</f>
        <v>-19</v>
      </c>
      <c r="AP45" s="27">
        <v>-6</v>
      </c>
      <c r="AQ45" s="218">
        <f>AR45-AP45</f>
        <v>-12</v>
      </c>
      <c r="AR45" s="553">
        <f>-15-3</f>
        <v>-18</v>
      </c>
      <c r="AS45" s="27">
        <v>0</v>
      </c>
      <c r="AT45" s="218">
        <f>AU45-AS45</f>
        <v>-2</v>
      </c>
      <c r="AU45" s="553">
        <f>1-3</f>
        <v>-2</v>
      </c>
      <c r="AV45" s="27">
        <v>-2</v>
      </c>
      <c r="AW45" s="218">
        <f>AX45-AV45</f>
        <v>0</v>
      </c>
      <c r="AX45" s="553">
        <v>-2</v>
      </c>
      <c r="AY45" s="27">
        <v>0</v>
      </c>
      <c r="AZ45" s="237">
        <f>BA45-AY45</f>
        <v>-2</v>
      </c>
      <c r="BA45" s="586">
        <v>-2</v>
      </c>
      <c r="BB45" s="48">
        <f>BD45/2</f>
        <v>-1</v>
      </c>
      <c r="BC45" s="237">
        <f>BD45-BB45</f>
        <v>-1</v>
      </c>
      <c r="BD45" s="576">
        <f>BA45</f>
        <v>-2</v>
      </c>
      <c r="BE45" s="48">
        <f>BG45/2</f>
        <v>-1</v>
      </c>
      <c r="BF45" s="237">
        <f>BG45-BE45</f>
        <v>-1</v>
      </c>
      <c r="BG45" s="576">
        <f>BD45</f>
        <v>-2</v>
      </c>
      <c r="BH45" s="48">
        <f>BJ45/2</f>
        <v>-1</v>
      </c>
      <c r="BI45" s="237">
        <f>BJ45-BH45</f>
        <v>-1</v>
      </c>
      <c r="BJ45" s="576">
        <f>BG45</f>
        <v>-2</v>
      </c>
      <c r="BK45" s="48">
        <f>BM45/2</f>
        <v>-1</v>
      </c>
      <c r="BL45" s="237">
        <f>BM45-BK45</f>
        <v>-1</v>
      </c>
      <c r="BM45" s="576">
        <f>BJ45</f>
        <v>-2</v>
      </c>
    </row>
    <row r="46" spans="1:71" customFormat="1">
      <c r="A46" s="12" t="s">
        <v>711</v>
      </c>
      <c r="B46" s="190"/>
      <c r="C46" s="190"/>
      <c r="D46" s="190"/>
      <c r="E46" s="190"/>
      <c r="F46" s="190"/>
      <c r="G46" s="190"/>
      <c r="H46" s="190"/>
      <c r="I46" s="190"/>
      <c r="J46" s="190"/>
      <c r="K46" s="190"/>
      <c r="L46" s="190"/>
      <c r="M46" s="190"/>
      <c r="N46" s="190"/>
      <c r="O46" s="190"/>
      <c r="P46" s="190"/>
      <c r="Q46" s="190"/>
      <c r="R46" s="190"/>
      <c r="S46" s="226"/>
      <c r="T46" s="555"/>
      <c r="U46" s="190"/>
      <c r="V46" s="226"/>
      <c r="W46" s="555"/>
      <c r="X46" s="190">
        <f>X31+X33+X35+X45</f>
        <v>712</v>
      </c>
      <c r="Y46" s="226">
        <f>Y31+Y33+Y35+Y45</f>
        <v>1286</v>
      </c>
      <c r="Z46" s="555">
        <f>Z31+Z33+Z35+Z45</f>
        <v>1998</v>
      </c>
      <c r="AA46" s="190">
        <f>AA31+AA33+AA35+AA37+AA43+AA45</f>
        <v>897</v>
      </c>
      <c r="AB46" s="226">
        <f>AB31+AB33+AB35+AB37+AB43+AB45</f>
        <v>1359</v>
      </c>
      <c r="AC46" s="555">
        <f>AC31+AC33+AC35+AC43+AC45</f>
        <v>2256</v>
      </c>
      <c r="AD46" s="190">
        <f>AD31+AD33+AD35+AD37+AD43+AD45</f>
        <v>995</v>
      </c>
      <c r="AE46" s="226">
        <f>AE31+AE33+AE35+AE37+AE43+AE45</f>
        <v>1347</v>
      </c>
      <c r="AF46" s="555">
        <f>AF31+AF33+AF35+AF43+AF45</f>
        <v>2342</v>
      </c>
      <c r="AG46" s="190">
        <f t="shared" ref="AG46:AH46" si="117">AG31+AG33+AG35+AG37+AG43+AG45</f>
        <v>-937</v>
      </c>
      <c r="AH46" s="226">
        <f t="shared" si="117"/>
        <v>324</v>
      </c>
      <c r="AI46" s="555">
        <f>AI31+AI33+AI35+AI37+AI45</f>
        <v>-613</v>
      </c>
      <c r="AJ46" s="190">
        <f t="shared" ref="AJ46:BM46" si="118">AJ31+AJ33+AJ35+AJ37+AJ45</f>
        <v>1077</v>
      </c>
      <c r="AK46" s="226">
        <f t="shared" si="118"/>
        <v>919</v>
      </c>
      <c r="AL46" s="555">
        <f t="shared" si="118"/>
        <v>1996</v>
      </c>
      <c r="AM46" s="190">
        <f t="shared" si="118"/>
        <v>981</v>
      </c>
      <c r="AN46" s="226">
        <f t="shared" si="118"/>
        <v>1496</v>
      </c>
      <c r="AO46" s="555">
        <f t="shared" si="118"/>
        <v>2477</v>
      </c>
      <c r="AP46" s="190">
        <f t="shared" si="118"/>
        <v>1515</v>
      </c>
      <c r="AQ46" s="226">
        <f t="shared" si="118"/>
        <v>1716</v>
      </c>
      <c r="AR46" s="555">
        <f t="shared" si="118"/>
        <v>3231</v>
      </c>
      <c r="AS46" s="190">
        <f t="shared" si="118"/>
        <v>1977</v>
      </c>
      <c r="AT46" s="226">
        <f t="shared" si="118"/>
        <v>2115</v>
      </c>
      <c r="AU46" s="555">
        <f t="shared" si="118"/>
        <v>4092</v>
      </c>
      <c r="AV46" s="190">
        <f t="shared" si="118"/>
        <v>2572</v>
      </c>
      <c r="AW46" s="226">
        <f t="shared" si="118"/>
        <v>2554</v>
      </c>
      <c r="AX46" s="555">
        <f t="shared" si="118"/>
        <v>5126</v>
      </c>
      <c r="AY46" s="190">
        <f t="shared" ref="AY46" si="119">AY31+AY33+AY35+AY37+AY45</f>
        <v>3397</v>
      </c>
      <c r="AZ46" s="241">
        <f t="shared" si="118"/>
        <v>3314.9539246218692</v>
      </c>
      <c r="BA46" s="579">
        <f t="shared" si="118"/>
        <v>6711.9539246218683</v>
      </c>
      <c r="BB46" s="204">
        <f t="shared" si="118"/>
        <v>3668.9016864690338</v>
      </c>
      <c r="BC46" s="241">
        <f t="shared" si="118"/>
        <v>3896.8412476294443</v>
      </c>
      <c r="BD46" s="579">
        <f t="shared" si="118"/>
        <v>7565.7429340984763</v>
      </c>
      <c r="BE46" s="204">
        <f t="shared" si="118"/>
        <v>4181.2603821682505</v>
      </c>
      <c r="BF46" s="241">
        <f t="shared" si="118"/>
        <v>4528.4032175132143</v>
      </c>
      <c r="BG46" s="579">
        <f t="shared" si="118"/>
        <v>8709.6635996814657</v>
      </c>
      <c r="BH46" s="204">
        <f t="shared" si="118"/>
        <v>4825.6639485409714</v>
      </c>
      <c r="BI46" s="241">
        <f t="shared" si="118"/>
        <v>5238.7249918608268</v>
      </c>
      <c r="BJ46" s="579">
        <f t="shared" si="118"/>
        <v>10064.388940401797</v>
      </c>
      <c r="BK46" s="204">
        <f t="shared" si="118"/>
        <v>5554.3579864717594</v>
      </c>
      <c r="BL46" s="241">
        <f t="shared" si="118"/>
        <v>6034.6815682442593</v>
      </c>
      <c r="BM46" s="579">
        <f t="shared" si="118"/>
        <v>11589.039554716019</v>
      </c>
    </row>
    <row r="47" spans="1:71" customFormat="1">
      <c r="A47" t="s">
        <v>705</v>
      </c>
      <c r="B47" s="27"/>
      <c r="C47" s="27"/>
      <c r="D47" s="27"/>
      <c r="E47" s="27"/>
      <c r="F47" s="27"/>
      <c r="G47" s="27"/>
      <c r="H47" s="27"/>
      <c r="I47" s="27"/>
      <c r="J47" s="27"/>
      <c r="K47" s="27"/>
      <c r="L47" s="27"/>
      <c r="M47" s="27"/>
      <c r="N47" s="27"/>
      <c r="O47" s="27"/>
      <c r="P47" s="27"/>
      <c r="Q47" s="27"/>
      <c r="R47" s="10"/>
      <c r="S47" s="216"/>
      <c r="T47" s="553"/>
      <c r="U47" s="10"/>
      <c r="V47" s="216"/>
      <c r="W47" s="553"/>
      <c r="X47" s="10">
        <v>120</v>
      </c>
      <c r="Y47" s="216">
        <f>Z47-X47</f>
        <v>128</v>
      </c>
      <c r="Z47" s="556">
        <v>248</v>
      </c>
      <c r="AA47" s="10">
        <v>109</v>
      </c>
      <c r="AB47" s="216">
        <f>AC47-AA47</f>
        <v>85</v>
      </c>
      <c r="AC47" s="556">
        <v>194</v>
      </c>
      <c r="AD47" s="10">
        <v>35</v>
      </c>
      <c r="AE47" s="216">
        <f>AF47-AD47</f>
        <v>10</v>
      </c>
      <c r="AF47" s="556">
        <v>45</v>
      </c>
      <c r="AG47" s="10">
        <v>-28</v>
      </c>
      <c r="AH47" s="216">
        <f>AI47-AG47</f>
        <v>28</v>
      </c>
      <c r="AI47" s="556">
        <v>0</v>
      </c>
      <c r="AJ47" s="10">
        <v>-28</v>
      </c>
      <c r="AK47" s="216">
        <f>AL47-AJ47</f>
        <v>28</v>
      </c>
      <c r="AL47" s="556">
        <v>0</v>
      </c>
      <c r="AM47" s="10">
        <v>0</v>
      </c>
      <c r="AN47" s="216">
        <f>AO47-AM47</f>
        <v>0</v>
      </c>
      <c r="AO47" s="556">
        <v>0</v>
      </c>
      <c r="AP47" s="10">
        <v>0</v>
      </c>
      <c r="AQ47" s="216">
        <f>AR47-AP47</f>
        <v>0</v>
      </c>
      <c r="AR47" s="556">
        <v>0</v>
      </c>
      <c r="AS47" s="10">
        <v>0</v>
      </c>
      <c r="AT47" s="216">
        <f>AU47-AS47</f>
        <v>0</v>
      </c>
      <c r="AU47" s="556">
        <v>0</v>
      </c>
      <c r="AV47" s="10">
        <v>0</v>
      </c>
      <c r="AW47" s="216">
        <f>AX47-AV47</f>
        <v>0</v>
      </c>
      <c r="AX47" s="556"/>
      <c r="AY47" s="10">
        <v>0</v>
      </c>
      <c r="AZ47" s="236">
        <f>BA47-AY47</f>
        <v>0</v>
      </c>
      <c r="BA47" s="580">
        <v>0</v>
      </c>
      <c r="BB47" s="56">
        <f>BD47/2</f>
        <v>0</v>
      </c>
      <c r="BC47" s="236">
        <f>BD47-BB47</f>
        <v>0</v>
      </c>
      <c r="BD47" s="580">
        <v>0</v>
      </c>
      <c r="BE47" s="56">
        <f>BG47/2</f>
        <v>0</v>
      </c>
      <c r="BF47" s="236">
        <f>BG47-BE47</f>
        <v>0</v>
      </c>
      <c r="BG47" s="580">
        <v>0</v>
      </c>
      <c r="BH47" s="56">
        <f>BJ47/2</f>
        <v>0</v>
      </c>
      <c r="BI47" s="236">
        <f>BJ47-BH47</f>
        <v>0</v>
      </c>
      <c r="BJ47" s="580">
        <v>0</v>
      </c>
      <c r="BK47" s="56">
        <f>BM47/2</f>
        <v>0</v>
      </c>
      <c r="BL47" s="236">
        <f>BM47-BK47</f>
        <v>0</v>
      </c>
      <c r="BM47" s="580">
        <v>0</v>
      </c>
    </row>
    <row r="48" spans="1:71" customFormat="1">
      <c r="A48" s="9" t="s">
        <v>707</v>
      </c>
      <c r="B48" s="22"/>
      <c r="C48" s="22"/>
      <c r="D48" s="22"/>
      <c r="E48" s="22"/>
      <c r="F48" s="22"/>
      <c r="G48" s="22"/>
      <c r="H48" s="22"/>
      <c r="I48" s="22"/>
      <c r="J48" s="22"/>
      <c r="K48" s="22"/>
      <c r="L48" s="22"/>
      <c r="M48" s="22"/>
      <c r="N48" s="22"/>
      <c r="O48" s="22"/>
      <c r="P48" s="22">
        <v>3523</v>
      </c>
      <c r="Q48" s="22">
        <v>3182</v>
      </c>
      <c r="R48" s="22">
        <f t="shared" ref="R48:S48" si="120">R31+R33+R35+R39+R41+R45</f>
        <v>1033</v>
      </c>
      <c r="S48" s="227">
        <f t="shared" si="120"/>
        <v>1790</v>
      </c>
      <c r="T48" s="557">
        <v>2823</v>
      </c>
      <c r="U48" s="22">
        <f t="shared" ref="U48:V48" si="121">U31+U33+U35+U39+U41+U45</f>
        <v>1252</v>
      </c>
      <c r="V48" s="227">
        <f t="shared" si="121"/>
        <v>1721</v>
      </c>
      <c r="W48" s="557">
        <v>2973</v>
      </c>
      <c r="X48" s="22">
        <f t="shared" ref="X48:Y48" si="122">X46+X47</f>
        <v>832</v>
      </c>
      <c r="Y48" s="227">
        <f t="shared" si="122"/>
        <v>1414</v>
      </c>
      <c r="Z48" s="557">
        <f t="shared" ref="Z48:BM48" si="123">Z46+Z47</f>
        <v>2246</v>
      </c>
      <c r="AA48" s="22">
        <f t="shared" si="123"/>
        <v>1006</v>
      </c>
      <c r="AB48" s="227">
        <f t="shared" si="123"/>
        <v>1444</v>
      </c>
      <c r="AC48" s="557">
        <f t="shared" si="123"/>
        <v>2450</v>
      </c>
      <c r="AD48" s="22">
        <f t="shared" si="123"/>
        <v>1030</v>
      </c>
      <c r="AE48" s="227">
        <f t="shared" si="123"/>
        <v>1357</v>
      </c>
      <c r="AF48" s="557">
        <f t="shared" si="123"/>
        <v>2387</v>
      </c>
      <c r="AG48" s="22">
        <f t="shared" ref="AG48:AH48" si="124">AG46+AG47</f>
        <v>-965</v>
      </c>
      <c r="AH48" s="227">
        <f t="shared" si="124"/>
        <v>352</v>
      </c>
      <c r="AI48" s="557">
        <f t="shared" si="123"/>
        <v>-613</v>
      </c>
      <c r="AJ48" s="22">
        <f t="shared" ref="AJ48:AK48" si="125">AJ46+AJ47</f>
        <v>1049</v>
      </c>
      <c r="AK48" s="227">
        <f t="shared" si="125"/>
        <v>947</v>
      </c>
      <c r="AL48" s="557">
        <f t="shared" si="123"/>
        <v>1996</v>
      </c>
      <c r="AM48" s="22">
        <f t="shared" si="123"/>
        <v>981</v>
      </c>
      <c r="AN48" s="227">
        <f t="shared" ref="AN48:AP48" si="126">AN46+AN47</f>
        <v>1496</v>
      </c>
      <c r="AO48" s="557">
        <f t="shared" si="123"/>
        <v>2477</v>
      </c>
      <c r="AP48" s="22">
        <f t="shared" si="126"/>
        <v>1515</v>
      </c>
      <c r="AQ48" s="227">
        <f t="shared" ref="AQ48:AS48" si="127">AQ46+AQ47</f>
        <v>1716</v>
      </c>
      <c r="AR48" s="557">
        <f t="shared" si="127"/>
        <v>3231</v>
      </c>
      <c r="AS48" s="22">
        <f t="shared" si="127"/>
        <v>1977</v>
      </c>
      <c r="AT48" s="227">
        <f t="shared" ref="AT48:AV48" si="128">AT46+AT47</f>
        <v>2115</v>
      </c>
      <c r="AU48" s="557">
        <f t="shared" si="128"/>
        <v>4092</v>
      </c>
      <c r="AV48" s="22">
        <f t="shared" si="128"/>
        <v>2572</v>
      </c>
      <c r="AW48" s="227">
        <f t="shared" ref="AW48:AY48" si="129">AW46+AW47</f>
        <v>2554</v>
      </c>
      <c r="AX48" s="557">
        <f t="shared" si="129"/>
        <v>5126</v>
      </c>
      <c r="AY48" s="22">
        <f t="shared" si="129"/>
        <v>3397</v>
      </c>
      <c r="AZ48" s="244">
        <f t="shared" si="123"/>
        <v>3314.9539246218692</v>
      </c>
      <c r="BA48" s="581">
        <f t="shared" si="123"/>
        <v>6711.9539246218683</v>
      </c>
      <c r="BB48" s="181">
        <f t="shared" si="123"/>
        <v>3668.9016864690338</v>
      </c>
      <c r="BC48" s="244">
        <f t="shared" si="123"/>
        <v>3896.8412476294443</v>
      </c>
      <c r="BD48" s="581">
        <f t="shared" si="123"/>
        <v>7565.7429340984763</v>
      </c>
      <c r="BE48" s="181">
        <f t="shared" si="123"/>
        <v>4181.2603821682505</v>
      </c>
      <c r="BF48" s="244">
        <f t="shared" si="123"/>
        <v>4528.4032175132143</v>
      </c>
      <c r="BG48" s="581">
        <f t="shared" si="123"/>
        <v>8709.6635996814657</v>
      </c>
      <c r="BH48" s="181">
        <f t="shared" si="123"/>
        <v>4825.6639485409714</v>
      </c>
      <c r="BI48" s="244">
        <f t="shared" si="123"/>
        <v>5238.7249918608268</v>
      </c>
      <c r="BJ48" s="581">
        <f t="shared" si="123"/>
        <v>10064.388940401797</v>
      </c>
      <c r="BK48" s="181">
        <f t="shared" si="123"/>
        <v>5554.3579864717594</v>
      </c>
      <c r="BL48" s="244">
        <f t="shared" si="123"/>
        <v>6034.6815682442593</v>
      </c>
      <c r="BM48" s="581">
        <f t="shared" si="123"/>
        <v>11589.039554716019</v>
      </c>
    </row>
    <row r="49" spans="1:76" customFormat="1">
      <c r="A49" s="191" t="s">
        <v>626</v>
      </c>
      <c r="B49" s="202"/>
      <c r="C49" s="202"/>
      <c r="D49" s="202"/>
      <c r="E49" s="202"/>
      <c r="F49" s="202"/>
      <c r="G49" s="202"/>
      <c r="H49" s="202"/>
      <c r="I49" s="202"/>
      <c r="J49" s="202"/>
      <c r="K49" s="202"/>
      <c r="L49" s="202"/>
      <c r="M49" s="202"/>
      <c r="N49" s="202"/>
      <c r="O49" s="202"/>
      <c r="P49" s="202">
        <f>+P48/P23</f>
        <v>0.2541113675706867</v>
      </c>
      <c r="Q49" s="202">
        <f t="shared" ref="Q49:BM49" si="130">+Q48/Q23</f>
        <v>0.23828066496929759</v>
      </c>
      <c r="R49" s="202">
        <f t="shared" ref="R49:S49" si="131">+R48/R23</f>
        <v>0.1681588800260459</v>
      </c>
      <c r="S49" s="230">
        <f t="shared" si="131"/>
        <v>0.2342931937172775</v>
      </c>
      <c r="T49" s="558">
        <f t="shared" si="130"/>
        <v>0.2048175288398752</v>
      </c>
      <c r="U49" s="202">
        <f t="shared" si="130"/>
        <v>0.18237436270939547</v>
      </c>
      <c r="V49" s="230">
        <f t="shared" si="130"/>
        <v>0.20924012158054711</v>
      </c>
      <c r="W49" s="558">
        <f t="shared" si="130"/>
        <v>0.19701789264413519</v>
      </c>
      <c r="X49" s="202">
        <f t="shared" ref="X49:Y49" si="132">+X48/X23</f>
        <v>0.13772554212878663</v>
      </c>
      <c r="Y49" s="230">
        <f t="shared" si="132"/>
        <v>0.1853211009174312</v>
      </c>
      <c r="Z49" s="558">
        <f t="shared" si="130"/>
        <v>0.16428937166264354</v>
      </c>
      <c r="AA49" s="202">
        <f t="shared" si="130"/>
        <v>0.14289772727272726</v>
      </c>
      <c r="AB49" s="230">
        <f t="shared" si="130"/>
        <v>0.17989286159212659</v>
      </c>
      <c r="AC49" s="558">
        <f t="shared" si="130"/>
        <v>0.16260702196854052</v>
      </c>
      <c r="AD49" s="202">
        <f t="shared" si="130"/>
        <v>0.14007887936896504</v>
      </c>
      <c r="AE49" s="230">
        <f t="shared" si="130"/>
        <v>0.16759293565518094</v>
      </c>
      <c r="AF49" s="558">
        <f t="shared" si="130"/>
        <v>0.15449838187702267</v>
      </c>
      <c r="AG49" s="202">
        <f t="shared" ref="AG49:AH49" si="133">+AG48/AG23</f>
        <v>-0.173529940658155</v>
      </c>
      <c r="AH49" s="230">
        <f t="shared" si="133"/>
        <v>5.9976145851081956E-2</v>
      </c>
      <c r="AI49" s="558">
        <f t="shared" si="130"/>
        <v>-5.3630796150481191E-2</v>
      </c>
      <c r="AJ49" s="202">
        <f t="shared" ref="AJ49:AK49" si="134">+AJ48/AJ23</f>
        <v>0.20068873158599579</v>
      </c>
      <c r="AK49" s="230">
        <f t="shared" si="134"/>
        <v>0.16555944055944055</v>
      </c>
      <c r="AL49" s="558">
        <f t="shared" si="130"/>
        <v>0.18233305928564902</v>
      </c>
      <c r="AM49" s="202">
        <f t="shared" si="130"/>
        <v>0.1848153730218538</v>
      </c>
      <c r="AN49" s="230">
        <f t="shared" ref="AN49:AP49" si="135">+AN48/AN23</f>
        <v>0.20262765813355005</v>
      </c>
      <c r="AO49" s="558">
        <f t="shared" si="130"/>
        <v>0.19517768497360335</v>
      </c>
      <c r="AP49" s="202">
        <f t="shared" si="135"/>
        <v>0.21798561151079138</v>
      </c>
      <c r="AQ49" s="230">
        <f t="shared" ref="AQ49:AS49" si="136">+AQ48/AQ23</f>
        <v>0.20286085825747724</v>
      </c>
      <c r="AR49" s="558">
        <f t="shared" si="136"/>
        <v>0.20968265299500291</v>
      </c>
      <c r="AS49" s="202">
        <f t="shared" si="136"/>
        <v>0.24162796382302615</v>
      </c>
      <c r="AT49" s="230">
        <f t="shared" ref="AT49:AV49" si="137">+AT48/AT23</f>
        <v>0.21880819366852886</v>
      </c>
      <c r="AU49" s="558">
        <f t="shared" si="137"/>
        <v>0.2292693859255939</v>
      </c>
      <c r="AV49" s="202">
        <f t="shared" si="137"/>
        <v>0.283979242574804</v>
      </c>
      <c r="AW49" s="230">
        <f t="shared" ref="AW49:AY49" si="138">+AW48/AW23</f>
        <v>0.23213961097982186</v>
      </c>
      <c r="AX49" s="558">
        <f t="shared" si="138"/>
        <v>0.25554613889027367</v>
      </c>
      <c r="AY49" s="202">
        <f t="shared" si="138"/>
        <v>0.30117918255164466</v>
      </c>
      <c r="AZ49" s="482">
        <f t="shared" si="130"/>
        <v>0.26874378739354793</v>
      </c>
      <c r="BA49" s="582">
        <f t="shared" si="130"/>
        <v>0.28423624364538819</v>
      </c>
      <c r="BB49" s="205">
        <f t="shared" si="130"/>
        <v>0.28409827204334548</v>
      </c>
      <c r="BC49" s="482">
        <f t="shared" si="130"/>
        <v>0.28312392394778024</v>
      </c>
      <c r="BD49" s="582">
        <f t="shared" si="130"/>
        <v>0.28359558444716199</v>
      </c>
      <c r="BE49" s="205">
        <f t="shared" si="130"/>
        <v>0.29526692302017837</v>
      </c>
      <c r="BF49" s="482">
        <f t="shared" si="130"/>
        <v>0.2945237180291797</v>
      </c>
      <c r="BG49" s="582">
        <f t="shared" si="130"/>
        <v>0.29488004199323742</v>
      </c>
      <c r="BH49" s="205">
        <f t="shared" si="130"/>
        <v>0.30407302247858914</v>
      </c>
      <c r="BI49" s="482">
        <f t="shared" si="130"/>
        <v>0.30410828154260278</v>
      </c>
      <c r="BJ49" s="582">
        <f t="shared" si="130"/>
        <v>0.3040913745386869</v>
      </c>
      <c r="BK49" s="205">
        <f t="shared" si="130"/>
        <v>0.31217971502872688</v>
      </c>
      <c r="BL49" s="482">
        <f t="shared" si="130"/>
        <v>0.31304589378264452</v>
      </c>
      <c r="BM49" s="582">
        <f t="shared" si="130"/>
        <v>0.31263015538712363</v>
      </c>
    </row>
    <row r="50" spans="1:76" customFormat="1">
      <c r="A50" s="193"/>
      <c r="B50" s="19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541"/>
      <c r="T50" s="570"/>
      <c r="U50" s="3"/>
      <c r="V50" s="567"/>
      <c r="W50" s="550"/>
      <c r="Y50" s="539"/>
      <c r="Z50" s="550"/>
      <c r="AB50" s="539"/>
      <c r="AC50" s="550"/>
      <c r="AE50" s="539"/>
      <c r="AF50" s="550"/>
      <c r="AH50" s="539"/>
      <c r="AI50" s="550"/>
      <c r="AK50" s="539"/>
      <c r="AL50" s="550"/>
      <c r="AN50" s="539"/>
      <c r="AO50" s="550"/>
      <c r="AQ50" s="539"/>
      <c r="AR50" s="550"/>
      <c r="AT50" s="539"/>
      <c r="AU50" s="550"/>
      <c r="AW50" s="539"/>
      <c r="AX50" s="550"/>
      <c r="AZ50" s="539"/>
      <c r="BA50" s="550"/>
      <c r="BC50" s="539"/>
      <c r="BD50" s="550"/>
      <c r="BF50" s="539"/>
      <c r="BG50" s="550"/>
      <c r="BI50" s="539"/>
      <c r="BJ50" s="550"/>
      <c r="BL50" s="539"/>
      <c r="BM50" s="550"/>
    </row>
    <row r="51" spans="1:76">
      <c r="A51" s="305" t="s">
        <v>903</v>
      </c>
      <c r="B51" s="306">
        <f t="shared" ref="B51:AN51" si="139">+B$1</f>
        <v>2000</v>
      </c>
      <c r="C51" s="306">
        <f t="shared" si="139"/>
        <v>2001</v>
      </c>
      <c r="D51" s="306">
        <f t="shared" si="139"/>
        <v>2002</v>
      </c>
      <c r="E51" s="306">
        <f t="shared" si="139"/>
        <v>2003</v>
      </c>
      <c r="F51" s="306">
        <f t="shared" si="139"/>
        <v>2004</v>
      </c>
      <c r="G51" s="306">
        <f t="shared" si="139"/>
        <v>2005</v>
      </c>
      <c r="H51" s="306">
        <f t="shared" si="139"/>
        <v>2006</v>
      </c>
      <c r="I51" s="306">
        <f t="shared" si="139"/>
        <v>2007</v>
      </c>
      <c r="J51" s="306">
        <f t="shared" si="139"/>
        <v>2008</v>
      </c>
      <c r="K51" s="306">
        <f t="shared" si="139"/>
        <v>2009</v>
      </c>
      <c r="L51" s="306">
        <f t="shared" si="139"/>
        <v>2010</v>
      </c>
      <c r="M51" s="306">
        <f t="shared" si="139"/>
        <v>2011</v>
      </c>
      <c r="N51" s="306">
        <f t="shared" si="139"/>
        <v>2012</v>
      </c>
      <c r="O51" s="306">
        <f t="shared" si="139"/>
        <v>2013</v>
      </c>
      <c r="P51" s="306">
        <f t="shared" si="139"/>
        <v>2014</v>
      </c>
      <c r="Q51" s="306">
        <f t="shared" si="139"/>
        <v>2015</v>
      </c>
      <c r="R51" s="313" t="str">
        <f t="shared" si="139"/>
        <v>1H16</v>
      </c>
      <c r="S51" s="314" t="str">
        <f t="shared" si="139"/>
        <v>2H16</v>
      </c>
      <c r="T51" s="548">
        <f t="shared" si="139"/>
        <v>2016</v>
      </c>
      <c r="U51" s="313" t="str">
        <f t="shared" si="139"/>
        <v>1H17</v>
      </c>
      <c r="V51" s="314" t="str">
        <f t="shared" si="139"/>
        <v>2H17</v>
      </c>
      <c r="W51" s="548">
        <f t="shared" si="139"/>
        <v>2017</v>
      </c>
      <c r="X51" s="313" t="str">
        <f t="shared" si="139"/>
        <v>1H17</v>
      </c>
      <c r="Y51" s="314" t="str">
        <f t="shared" si="139"/>
        <v>2H17</v>
      </c>
      <c r="Z51" s="548">
        <f>+Z$1</f>
        <v>2017</v>
      </c>
      <c r="AA51" s="313" t="str">
        <f t="shared" si="139"/>
        <v>1H18</v>
      </c>
      <c r="AB51" s="314" t="str">
        <f t="shared" si="139"/>
        <v>2H18</v>
      </c>
      <c r="AC51" s="548">
        <f t="shared" ref="AC51:BM51" si="140">+AC$1</f>
        <v>2018</v>
      </c>
      <c r="AD51" s="313" t="str">
        <f t="shared" si="139"/>
        <v>1H19</v>
      </c>
      <c r="AE51" s="314" t="str">
        <f t="shared" si="139"/>
        <v>2H19</v>
      </c>
      <c r="AF51" s="548">
        <f t="shared" si="140"/>
        <v>2019</v>
      </c>
      <c r="AG51" s="313" t="str">
        <f t="shared" si="139"/>
        <v>1H20</v>
      </c>
      <c r="AH51" s="314" t="str">
        <f t="shared" si="139"/>
        <v>2H20</v>
      </c>
      <c r="AI51" s="548">
        <f t="shared" si="140"/>
        <v>2020</v>
      </c>
      <c r="AJ51" s="313" t="str">
        <f t="shared" si="139"/>
        <v>1H21</v>
      </c>
      <c r="AK51" s="314" t="str">
        <f t="shared" si="139"/>
        <v>2H21</v>
      </c>
      <c r="AL51" s="548">
        <f t="shared" si="140"/>
        <v>2021</v>
      </c>
      <c r="AM51" s="313" t="str">
        <f t="shared" si="139"/>
        <v>1H22</v>
      </c>
      <c r="AN51" s="314" t="str">
        <f t="shared" si="139"/>
        <v>2H22</v>
      </c>
      <c r="AO51" s="548">
        <f t="shared" si="140"/>
        <v>2022</v>
      </c>
      <c r="AP51" s="313" t="str">
        <f t="shared" si="140"/>
        <v>1H23</v>
      </c>
      <c r="AQ51" s="314" t="str">
        <f t="shared" si="140"/>
        <v>2H23</v>
      </c>
      <c r="AR51" s="548">
        <f t="shared" si="140"/>
        <v>2023</v>
      </c>
      <c r="AS51" s="313" t="str">
        <f t="shared" si="140"/>
        <v>1H24</v>
      </c>
      <c r="AT51" s="314" t="str">
        <f>+AT$1</f>
        <v>2H24</v>
      </c>
      <c r="AU51" s="548">
        <f t="shared" si="140"/>
        <v>2024</v>
      </c>
      <c r="AV51" s="313" t="str">
        <f t="shared" si="140"/>
        <v>1H25</v>
      </c>
      <c r="AW51" s="314" t="str">
        <f>+AW$1</f>
        <v>2H25</v>
      </c>
      <c r="AX51" s="548">
        <f t="shared" si="140"/>
        <v>2025</v>
      </c>
      <c r="AY51" s="313" t="str">
        <f t="shared" si="140"/>
        <v>1H26</v>
      </c>
      <c r="AZ51" s="538" t="str">
        <f t="shared" si="140"/>
        <v>2H26e</v>
      </c>
      <c r="BA51" s="572">
        <f t="shared" si="140"/>
        <v>2026</v>
      </c>
      <c r="BB51" s="537" t="str">
        <f t="shared" si="140"/>
        <v>1H27e</v>
      </c>
      <c r="BC51" s="538" t="str">
        <f t="shared" si="140"/>
        <v>2H27e</v>
      </c>
      <c r="BD51" s="572">
        <f t="shared" si="140"/>
        <v>2027</v>
      </c>
      <c r="BE51" s="537" t="str">
        <f t="shared" si="140"/>
        <v>1H28e</v>
      </c>
      <c r="BF51" s="538" t="str">
        <f t="shared" si="140"/>
        <v>2H28e</v>
      </c>
      <c r="BG51" s="572">
        <f t="shared" si="140"/>
        <v>2028</v>
      </c>
      <c r="BH51" s="537" t="str">
        <f t="shared" si="140"/>
        <v>1H29e</v>
      </c>
      <c r="BI51" s="538" t="str">
        <f t="shared" si="140"/>
        <v>2H29e</v>
      </c>
      <c r="BJ51" s="572">
        <f t="shared" si="140"/>
        <v>2029</v>
      </c>
      <c r="BK51" s="537" t="str">
        <f t="shared" si="140"/>
        <v>1H30e</v>
      </c>
      <c r="BL51" s="538" t="str">
        <f t="shared" si="140"/>
        <v>2H30e</v>
      </c>
      <c r="BM51" s="572">
        <f t="shared" si="140"/>
        <v>2030</v>
      </c>
    </row>
    <row r="52" spans="1:76" customFormat="1">
      <c r="A52" s="193"/>
      <c r="B52" s="198"/>
      <c r="C52" s="198"/>
      <c r="D52" s="198"/>
      <c r="E52" s="198"/>
      <c r="F52" s="198"/>
      <c r="G52" s="198"/>
      <c r="H52" s="198"/>
      <c r="I52" s="198"/>
      <c r="J52" s="198"/>
      <c r="K52" s="198"/>
      <c r="L52" s="198"/>
      <c r="M52" s="198"/>
      <c r="N52" s="198"/>
      <c r="O52" s="198"/>
      <c r="P52" s="198"/>
      <c r="Q52" s="198"/>
      <c r="R52" s="198"/>
      <c r="S52" s="569"/>
      <c r="T52" s="571"/>
      <c r="U52" s="200"/>
      <c r="V52" s="213"/>
      <c r="W52" s="556"/>
      <c r="X52" s="10"/>
      <c r="Y52" s="216"/>
      <c r="Z52" s="553" t="s">
        <v>675</v>
      </c>
      <c r="AA52" s="27"/>
      <c r="AB52" s="218"/>
      <c r="AC52" s="553"/>
      <c r="AD52" s="27"/>
      <c r="AE52" s="218"/>
      <c r="AF52" s="553"/>
      <c r="AG52" s="27"/>
      <c r="AH52" s="218"/>
      <c r="AI52" s="553"/>
      <c r="AJ52" s="27"/>
      <c r="AK52" s="218"/>
      <c r="AL52" s="553"/>
      <c r="AM52" s="27"/>
      <c r="AN52" s="218"/>
      <c r="AO52" s="553"/>
      <c r="AP52" s="27"/>
      <c r="AQ52" s="539"/>
      <c r="AR52" s="550"/>
      <c r="AT52" s="539"/>
      <c r="AU52" s="550"/>
      <c r="AW52" s="539"/>
      <c r="AX52" s="550"/>
      <c r="AZ52" s="539"/>
      <c r="BA52" s="550"/>
      <c r="BC52" s="539"/>
      <c r="BD52" s="550"/>
      <c r="BF52" s="539"/>
      <c r="BG52" s="550"/>
      <c r="BI52" s="539"/>
      <c r="BJ52" s="550"/>
      <c r="BL52" s="539"/>
      <c r="BM52" s="550"/>
    </row>
    <row r="53" spans="1:76" customFormat="1">
      <c r="A53" s="2" t="s">
        <v>8</v>
      </c>
      <c r="B53" s="27">
        <v>332</v>
      </c>
      <c r="C53" s="27">
        <v>347</v>
      </c>
      <c r="D53" s="27">
        <v>150</v>
      </c>
      <c r="E53" s="27">
        <v>131</v>
      </c>
      <c r="F53" s="27">
        <v>194</v>
      </c>
      <c r="G53" s="27">
        <v>454</v>
      </c>
      <c r="H53" s="27">
        <v>519</v>
      </c>
      <c r="I53" s="27">
        <v>564</v>
      </c>
      <c r="J53" s="27">
        <v>566</v>
      </c>
      <c r="K53" s="27">
        <v>493</v>
      </c>
      <c r="L53" s="27">
        <v>392</v>
      </c>
      <c r="M53" s="27">
        <v>499</v>
      </c>
      <c r="N53" s="27">
        <v>743</v>
      </c>
      <c r="O53" s="27">
        <v>844</v>
      </c>
      <c r="P53" s="27">
        <v>942</v>
      </c>
      <c r="Q53" s="27">
        <v>812</v>
      </c>
      <c r="R53" s="27">
        <v>31</v>
      </c>
      <c r="S53" s="218">
        <f>T53-R53</f>
        <v>336</v>
      </c>
      <c r="T53" s="553">
        <v>367</v>
      </c>
      <c r="U53" s="27">
        <v>173</v>
      </c>
      <c r="V53" s="218">
        <f>W53-U53</f>
        <v>347</v>
      </c>
      <c r="W53" s="553">
        <v>520</v>
      </c>
      <c r="X53" s="27">
        <v>-250</v>
      </c>
      <c r="Y53" s="218">
        <f>Z53-X53</f>
        <v>-93</v>
      </c>
      <c r="Z53" s="553">
        <v>-343</v>
      </c>
      <c r="AA53" s="27">
        <v>-112</v>
      </c>
      <c r="AB53" s="218">
        <f>AC53-AA53</f>
        <v>-50</v>
      </c>
      <c r="AC53" s="553">
        <v>-162</v>
      </c>
      <c r="AD53" s="27">
        <v>-21</v>
      </c>
      <c r="AE53" s="218">
        <f>AF53-AD53</f>
        <v>65</v>
      </c>
      <c r="AF53" s="553">
        <v>44</v>
      </c>
      <c r="AG53" s="27">
        <v>-1816</v>
      </c>
      <c r="AH53" s="218">
        <f>AI53-AG53</f>
        <v>-719</v>
      </c>
      <c r="AI53" s="553">
        <v>-2535</v>
      </c>
      <c r="AJ53" s="27">
        <v>39</v>
      </c>
      <c r="AK53" s="218">
        <f>AL53-AJ53</f>
        <v>-211</v>
      </c>
      <c r="AL53" s="553">
        <v>-172</v>
      </c>
      <c r="AM53" s="27">
        <v>-79</v>
      </c>
      <c r="AN53" s="218">
        <f>AO53-AM53</f>
        <v>222</v>
      </c>
      <c r="AO53" s="553">
        <v>143</v>
      </c>
      <c r="AP53" s="27">
        <v>405</v>
      </c>
      <c r="AQ53" s="218">
        <f>AR53-AP53</f>
        <v>445</v>
      </c>
      <c r="AR53" s="553">
        <v>850</v>
      </c>
      <c r="AS53" s="27">
        <v>740</v>
      </c>
      <c r="AT53" s="218">
        <f>AU53-AS53</f>
        <v>765</v>
      </c>
      <c r="AU53" s="553">
        <v>1505</v>
      </c>
      <c r="AV53" s="27">
        <v>1193</v>
      </c>
      <c r="AW53" s="218">
        <f>AX53-AV53</f>
        <v>937</v>
      </c>
      <c r="AX53" s="553">
        <v>2130</v>
      </c>
      <c r="AY53" s="27">
        <v>1567</v>
      </c>
      <c r="AZ53" s="237">
        <f>Civil!AZ14</f>
        <v>1321.7683082665922</v>
      </c>
      <c r="BA53" s="576">
        <f>Civil!BA14</f>
        <v>2888.7683082665917</v>
      </c>
      <c r="BB53" s="48">
        <f>Civil!BB14</f>
        <v>1670.2260108196479</v>
      </c>
      <c r="BC53" s="237">
        <f>Civil!BC14</f>
        <v>1593.8839975152641</v>
      </c>
      <c r="BD53" s="576">
        <f>Civil!BD14</f>
        <v>3264.110008334912</v>
      </c>
      <c r="BE53" s="48">
        <f>Civil!BE14</f>
        <v>1845.8550402162191</v>
      </c>
      <c r="BF53" s="237">
        <f>Civil!BF14</f>
        <v>1816.3883118373253</v>
      </c>
      <c r="BG53" s="576">
        <f>Civil!BG14</f>
        <v>3662.2433520535446</v>
      </c>
      <c r="BH53" s="48">
        <f>Civil!BH14</f>
        <v>2111.8688001899368</v>
      </c>
      <c r="BI53" s="237">
        <f>Civil!BI14</f>
        <v>2076.4043204736654</v>
      </c>
      <c r="BJ53" s="576">
        <f>Civil!BJ14</f>
        <v>4188.2731206636017</v>
      </c>
      <c r="BK53" s="48">
        <f>Civil!BK14</f>
        <v>2385.1637253992103</v>
      </c>
      <c r="BL53" s="237">
        <f>Civil!BL14</f>
        <v>2330.3755036452339</v>
      </c>
      <c r="BM53" s="576">
        <f>Civil!BM14</f>
        <v>4715.5392290444443</v>
      </c>
      <c r="BX53" s="176"/>
    </row>
    <row r="54" spans="1:76" customFormat="1">
      <c r="A54" s="185" t="s">
        <v>250</v>
      </c>
      <c r="B54" s="165">
        <f t="shared" ref="B54:BM54" si="141">B53/B6</f>
        <v>0.10539682539682539</v>
      </c>
      <c r="C54" s="165">
        <f t="shared" si="141"/>
        <v>0.10078419982573338</v>
      </c>
      <c r="D54" s="165">
        <f t="shared" si="141"/>
        <v>5.4764512595837894E-2</v>
      </c>
      <c r="E54" s="165">
        <f t="shared" si="141"/>
        <v>4.8626577579806977E-2</v>
      </c>
      <c r="F54" s="165">
        <f t="shared" si="141"/>
        <v>6.3815789473684215E-2</v>
      </c>
      <c r="G54" s="165">
        <f t="shared" si="141"/>
        <v>0.13329418672930124</v>
      </c>
      <c r="H54" s="165">
        <f t="shared" si="141"/>
        <v>0.13283849500895828</v>
      </c>
      <c r="I54" s="165">
        <f t="shared" si="141"/>
        <v>0.13967310549777118</v>
      </c>
      <c r="J54" s="165">
        <f t="shared" si="141"/>
        <v>0.12572190137716571</v>
      </c>
      <c r="K54" s="165">
        <f t="shared" si="141"/>
        <v>0.11002008480249945</v>
      </c>
      <c r="L54" s="165">
        <f t="shared" si="141"/>
        <v>7.9690994104492777E-2</v>
      </c>
      <c r="M54" s="165">
        <f t="shared" si="141"/>
        <v>8.9554917444364682E-2</v>
      </c>
      <c r="N54" s="165">
        <f t="shared" si="141"/>
        <v>0.1154264408886127</v>
      </c>
      <c r="O54" s="165">
        <f t="shared" si="141"/>
        <v>0.12682193839218633</v>
      </c>
      <c r="P54" s="165">
        <f t="shared" si="141"/>
        <v>0.13777972795085563</v>
      </c>
      <c r="Q54" s="165">
        <f t="shared" si="141"/>
        <v>0.1171210154334343</v>
      </c>
      <c r="R54" s="165">
        <f t="shared" ref="R54:S54" si="142">R53/R6</f>
        <v>9.7760958688111015E-3</v>
      </c>
      <c r="S54" s="229">
        <f t="shared" si="142"/>
        <v>8.6242299794661192E-2</v>
      </c>
      <c r="T54" s="559">
        <f t="shared" si="141"/>
        <v>5.1931512664496957E-2</v>
      </c>
      <c r="U54" s="165">
        <f t="shared" si="141"/>
        <v>4.7062023939064203E-2</v>
      </c>
      <c r="V54" s="229">
        <f t="shared" si="141"/>
        <v>7.9825166781688522E-2</v>
      </c>
      <c r="W54" s="559">
        <f>W53/W6</f>
        <v>6.4813660725414432E-2</v>
      </c>
      <c r="X54" s="165">
        <f t="shared" ref="X54:Y54" si="143">X53/X6</f>
        <v>-8.7473757872638211E-2</v>
      </c>
      <c r="Y54" s="229">
        <f t="shared" si="143"/>
        <v>-2.4866310160427809E-2</v>
      </c>
      <c r="Z54" s="559">
        <f>Z53/Z6</f>
        <v>-5.1985450136404973E-2</v>
      </c>
      <c r="AA54" s="165">
        <f t="shared" ref="AA54:AB54" si="144">AA53/AA6</f>
        <v>-3.111111111111111E-2</v>
      </c>
      <c r="AB54" s="229">
        <f t="shared" si="144"/>
        <v>-1.3234515616728428E-2</v>
      </c>
      <c r="AC54" s="559">
        <f t="shared" si="141"/>
        <v>-2.1957169964760097E-2</v>
      </c>
      <c r="AD54" s="165">
        <f t="shared" si="141"/>
        <v>-5.2264808362369342E-3</v>
      </c>
      <c r="AE54" s="229">
        <f t="shared" si="141"/>
        <v>1.5896307165566153E-2</v>
      </c>
      <c r="AF54" s="559">
        <f>AF53/AF6</f>
        <v>5.4274084124830389E-3</v>
      </c>
      <c r="AG54" s="165">
        <f t="shared" ref="AG54:AH54" si="145">AG53/AG6</f>
        <v>-0.72178060413354528</v>
      </c>
      <c r="AH54" s="229">
        <f t="shared" si="145"/>
        <v>-0.28173981191222569</v>
      </c>
      <c r="AI54" s="559">
        <f t="shared" si="141"/>
        <v>-0.50019731649565902</v>
      </c>
      <c r="AJ54" s="165">
        <f t="shared" si="141"/>
        <v>1.7988929889298892E-2</v>
      </c>
      <c r="AK54" s="229">
        <f t="shared" si="141"/>
        <v>-8.9104729729729729E-2</v>
      </c>
      <c r="AL54" s="559">
        <f t="shared" si="141"/>
        <v>-3.7918871252204583E-2</v>
      </c>
      <c r="AM54" s="165">
        <f t="shared" si="141"/>
        <v>-3.37751175716118E-2</v>
      </c>
      <c r="AN54" s="229">
        <f t="shared" ref="AN54:AP54" si="146">AN53/AN6</f>
        <v>6.6328054974604117E-2</v>
      </c>
      <c r="AO54" s="559">
        <f t="shared" si="141"/>
        <v>2.5149489975378123E-2</v>
      </c>
      <c r="AP54" s="165">
        <f t="shared" si="146"/>
        <v>0.12434755910346945</v>
      </c>
      <c r="AQ54" s="229">
        <f t="shared" ref="AQ54:AS54" si="147">AQ53/AQ6</f>
        <v>0.10877536054754339</v>
      </c>
      <c r="AR54" s="559">
        <f t="shared" si="147"/>
        <v>0.11567773543821448</v>
      </c>
      <c r="AS54" s="165">
        <f t="shared" si="147"/>
        <v>0.17965525613012867</v>
      </c>
      <c r="AT54" s="229">
        <f t="shared" ref="AT54:AV54" si="148">AT53/AT6</f>
        <v>0.15545620808778704</v>
      </c>
      <c r="AU54" s="559">
        <f t="shared" si="148"/>
        <v>0.16648230088495575</v>
      </c>
      <c r="AV54" s="165">
        <f t="shared" si="148"/>
        <v>0.24926870037609694</v>
      </c>
      <c r="AW54" s="229">
        <f t="shared" ref="AW54:AY54" si="149">AW53/AW6</f>
        <v>0.16744102930664762</v>
      </c>
      <c r="AX54" s="559">
        <f t="shared" si="149"/>
        <v>0.20516278173762281</v>
      </c>
      <c r="AY54" s="165">
        <f t="shared" si="149"/>
        <v>0.25331393469123831</v>
      </c>
      <c r="AZ54" s="247">
        <f t="shared" si="141"/>
        <v>0.20580659438158985</v>
      </c>
      <c r="BA54" s="583">
        <f t="shared" si="141"/>
        <v>0.22911493295230315</v>
      </c>
      <c r="BB54" s="245">
        <f t="shared" si="141"/>
        <v>0.23378755750462527</v>
      </c>
      <c r="BC54" s="247">
        <f t="shared" si="141"/>
        <v>0.22660573048767568</v>
      </c>
      <c r="BD54" s="583">
        <f t="shared" si="141"/>
        <v>0.23022462375258479</v>
      </c>
      <c r="BE54" s="245">
        <f t="shared" si="141"/>
        <v>0.24354863260080004</v>
      </c>
      <c r="BF54" s="247">
        <f t="shared" si="141"/>
        <v>0.23698427778431316</v>
      </c>
      <c r="BG54" s="583">
        <f t="shared" si="141"/>
        <v>0.24024802542811396</v>
      </c>
      <c r="BH54" s="245">
        <f t="shared" si="141"/>
        <v>0.25394339847143355</v>
      </c>
      <c r="BI54" s="247">
        <f t="shared" si="141"/>
        <v>0.24892408123882295</v>
      </c>
      <c r="BJ54" s="583">
        <f t="shared" si="141"/>
        <v>0.25142994034895111</v>
      </c>
      <c r="BK54" s="245">
        <f t="shared" si="141"/>
        <v>0.26303643814225891</v>
      </c>
      <c r="BL54" s="247">
        <f t="shared" si="141"/>
        <v>0.25959855123069597</v>
      </c>
      <c r="BM54" s="583">
        <f t="shared" si="141"/>
        <v>0.26132615996894587</v>
      </c>
    </row>
    <row r="55" spans="1:76" customFormat="1">
      <c r="A55" s="2" t="s">
        <v>670</v>
      </c>
      <c r="B55" s="27">
        <v>154</v>
      </c>
      <c r="C55" s="27">
        <v>175</v>
      </c>
      <c r="D55" s="27">
        <v>183</v>
      </c>
      <c r="E55" s="27">
        <v>147</v>
      </c>
      <c r="F55" s="27">
        <v>179</v>
      </c>
      <c r="G55" s="27">
        <v>180</v>
      </c>
      <c r="H55" s="27">
        <v>193</v>
      </c>
      <c r="I55" s="27">
        <v>199</v>
      </c>
      <c r="J55" s="27">
        <v>223</v>
      </c>
      <c r="K55" s="27">
        <v>253</v>
      </c>
      <c r="L55" s="27">
        <v>309</v>
      </c>
      <c r="M55" s="27">
        <v>376</v>
      </c>
      <c r="N55" s="27">
        <v>395</v>
      </c>
      <c r="O55" s="27">
        <v>438</v>
      </c>
      <c r="P55" s="27">
        <v>366</v>
      </c>
      <c r="Q55" s="27">
        <v>393</v>
      </c>
      <c r="R55" s="27">
        <v>128</v>
      </c>
      <c r="S55" s="218">
        <f>T55-R55</f>
        <v>256</v>
      </c>
      <c r="T55" s="553">
        <v>384</v>
      </c>
      <c r="U55" s="27">
        <v>148</v>
      </c>
      <c r="V55" s="218">
        <f>W55-U55</f>
        <v>226</v>
      </c>
      <c r="W55" s="553">
        <v>374</v>
      </c>
      <c r="X55" s="27">
        <v>180</v>
      </c>
      <c r="Y55" s="218">
        <f>Z55-X55</f>
        <v>274</v>
      </c>
      <c r="Z55" s="553">
        <v>454</v>
      </c>
      <c r="AA55" s="27">
        <v>162</v>
      </c>
      <c r="AB55" s="218">
        <f>AC55-AA55</f>
        <v>265</v>
      </c>
      <c r="AC55" s="553">
        <v>427</v>
      </c>
      <c r="AD55" s="27">
        <v>173</v>
      </c>
      <c r="AE55" s="218">
        <f>AF55-AD55</f>
        <v>242</v>
      </c>
      <c r="AF55" s="553">
        <v>415</v>
      </c>
      <c r="AG55" s="27">
        <v>210</v>
      </c>
      <c r="AH55" s="218">
        <f>AI55-AG55</f>
        <v>251</v>
      </c>
      <c r="AI55" s="553">
        <v>461</v>
      </c>
      <c r="AJ55" s="27">
        <v>269</v>
      </c>
      <c r="AK55" s="218">
        <f>AL55-AJ55</f>
        <v>188</v>
      </c>
      <c r="AL55" s="553">
        <v>457</v>
      </c>
      <c r="AM55" s="27">
        <v>189</v>
      </c>
      <c r="AN55" s="218">
        <f>AO55-AM55</f>
        <v>243</v>
      </c>
      <c r="AO55" s="553">
        <v>432</v>
      </c>
      <c r="AP55" s="27">
        <v>261</v>
      </c>
      <c r="AQ55" s="218">
        <f>AR55-AP55</f>
        <v>301</v>
      </c>
      <c r="AR55" s="553">
        <v>562</v>
      </c>
      <c r="AS55" s="27">
        <v>345</v>
      </c>
      <c r="AT55" s="218">
        <f>AU55-AS55</f>
        <v>299</v>
      </c>
      <c r="AU55" s="553">
        <v>644</v>
      </c>
      <c r="AV55" s="27">
        <v>342</v>
      </c>
      <c r="AW55" s="218">
        <f>AX55-AV55</f>
        <v>347</v>
      </c>
      <c r="AX55" s="553">
        <v>689</v>
      </c>
      <c r="AY55" s="27">
        <v>522</v>
      </c>
      <c r="AZ55" s="237">
        <f>+Defence!AZ14</f>
        <v>485.80168177180724</v>
      </c>
      <c r="BA55" s="576">
        <f>+Defence!BA14</f>
        <v>1007.8016817718072</v>
      </c>
      <c r="BB55" s="48">
        <f>+Defence!BB14</f>
        <v>489.03147999999999</v>
      </c>
      <c r="BC55" s="237">
        <f>+Defence!BC14</f>
        <v>527.45192154761207</v>
      </c>
      <c r="BD55" s="576">
        <f>+Defence!BD14</f>
        <v>1016.4834015476119</v>
      </c>
      <c r="BE55" s="48">
        <f>+Defence!BE14</f>
        <v>533.42751520000002</v>
      </c>
      <c r="BF55" s="237">
        <f>+Defence!BF14</f>
        <v>576.48392470770966</v>
      </c>
      <c r="BG55" s="576">
        <f>+Defence!BG14</f>
        <v>1109.9114399077098</v>
      </c>
      <c r="BH55" s="48">
        <f>+Defence!BH14</f>
        <v>581.59778570560002</v>
      </c>
      <c r="BI55" s="237">
        <f>+Defence!BI14</f>
        <v>629.73299695404774</v>
      </c>
      <c r="BJ55" s="576">
        <f>+Defence!BJ14</f>
        <v>1211.3307826596479</v>
      </c>
      <c r="BK55" s="48">
        <f>+Defence!BK14</f>
        <v>633.85570355968014</v>
      </c>
      <c r="BL55" s="237">
        <f>+Defence!BL14</f>
        <v>687.55050970796947</v>
      </c>
      <c r="BM55" s="576">
        <f>+Defence!BM14</f>
        <v>1321.4062132676497</v>
      </c>
    </row>
    <row r="56" spans="1:76" customFormat="1">
      <c r="A56" s="185" t="s">
        <v>250</v>
      </c>
      <c r="B56" s="165">
        <f t="shared" ref="B56:BM56" si="150">B55/B8</f>
        <v>0.1097647897362794</v>
      </c>
      <c r="C56" s="165">
        <f t="shared" si="150"/>
        <v>0.125</v>
      </c>
      <c r="D56" s="165">
        <f t="shared" si="150"/>
        <v>0.13299418604651161</v>
      </c>
      <c r="E56" s="165">
        <f t="shared" si="150"/>
        <v>0.10515021459227468</v>
      </c>
      <c r="F56" s="165">
        <f t="shared" si="150"/>
        <v>0.13027656477438138</v>
      </c>
      <c r="G56" s="165">
        <f t="shared" si="150"/>
        <v>0.12676056338028169</v>
      </c>
      <c r="H56" s="165">
        <f t="shared" si="150"/>
        <v>0.12054965646470955</v>
      </c>
      <c r="I56" s="165">
        <f t="shared" si="150"/>
        <v>0.11894799760908548</v>
      </c>
      <c r="J56" s="165">
        <f t="shared" si="150"/>
        <v>0.13226571767497033</v>
      </c>
      <c r="K56" s="165">
        <f t="shared" si="150"/>
        <v>0.12587064676616916</v>
      </c>
      <c r="L56" s="165">
        <f t="shared" si="150"/>
        <v>0.14554875176636833</v>
      </c>
      <c r="M56" s="165">
        <f t="shared" si="150"/>
        <v>0.16823266219239374</v>
      </c>
      <c r="N56" s="165">
        <f t="shared" si="150"/>
        <v>0.16342573438146463</v>
      </c>
      <c r="O56" s="165">
        <f t="shared" si="150"/>
        <v>0.1690467001157854</v>
      </c>
      <c r="P56" s="165">
        <f t="shared" si="150"/>
        <v>0.17689705171580475</v>
      </c>
      <c r="Q56" s="165">
        <f t="shared" si="150"/>
        <v>0.19312039312039311</v>
      </c>
      <c r="R56" s="165">
        <f t="shared" si="150"/>
        <v>0.1277445109780439</v>
      </c>
      <c r="S56" s="229">
        <f t="shared" si="150"/>
        <v>0.21209610604805301</v>
      </c>
      <c r="T56" s="559">
        <f t="shared" si="150"/>
        <v>0.17383431416930739</v>
      </c>
      <c r="U56" s="165">
        <f t="shared" ref="U56:V56" si="151">U55/U8</f>
        <v>0.14122137404580154</v>
      </c>
      <c r="V56" s="229">
        <f t="shared" si="151"/>
        <v>0.18418907905460472</v>
      </c>
      <c r="W56" s="559">
        <f t="shared" si="150"/>
        <v>0.16439560439560438</v>
      </c>
      <c r="X56" s="165">
        <f t="shared" si="150"/>
        <v>0.12178619756427606</v>
      </c>
      <c r="Y56" s="229">
        <f t="shared" si="150"/>
        <v>0.16098707403055229</v>
      </c>
      <c r="Z56" s="559">
        <f>Z55/Z8</f>
        <v>0.14276729559748427</v>
      </c>
      <c r="AA56" s="165">
        <f t="shared" ref="AA56:AB56" si="152">AA55/AA8</f>
        <v>0.11448763250883393</v>
      </c>
      <c r="AB56" s="229">
        <f t="shared" si="152"/>
        <v>0.155061439438268</v>
      </c>
      <c r="AC56" s="559">
        <f t="shared" si="150"/>
        <v>0.13668373879641485</v>
      </c>
      <c r="AD56" s="165">
        <f t="shared" si="150"/>
        <v>0.11579651941097724</v>
      </c>
      <c r="AE56" s="229">
        <f t="shared" si="150"/>
        <v>0.13781321184510251</v>
      </c>
      <c r="AF56" s="559">
        <f t="shared" si="150"/>
        <v>0.12769230769230769</v>
      </c>
      <c r="AG56" s="165">
        <f t="shared" si="150"/>
        <v>0.13522215067611076</v>
      </c>
      <c r="AH56" s="229">
        <f t="shared" ref="AH56" si="153">AH55/AH8</f>
        <v>0.1392896781354051</v>
      </c>
      <c r="AI56" s="559">
        <f t="shared" si="150"/>
        <v>0.13740685543964232</v>
      </c>
      <c r="AJ56" s="165">
        <f t="shared" si="150"/>
        <v>0.15630447414294016</v>
      </c>
      <c r="AK56" s="229">
        <f t="shared" si="150"/>
        <v>0.11414693381906496</v>
      </c>
      <c r="AL56" s="559">
        <f t="shared" si="150"/>
        <v>0.13568883610451307</v>
      </c>
      <c r="AM56" s="165">
        <f t="shared" si="150"/>
        <v>0.11746426351771287</v>
      </c>
      <c r="AN56" s="229">
        <f t="shared" ref="AN56:AP56" si="154">AN55/AN8</f>
        <v>0.11847879083373963</v>
      </c>
      <c r="AO56" s="559">
        <f t="shared" si="150"/>
        <v>0.11803278688524591</v>
      </c>
      <c r="AP56" s="165">
        <f t="shared" si="154"/>
        <v>0.13643491897543125</v>
      </c>
      <c r="AQ56" s="229">
        <f t="shared" ref="AQ56:AS56" si="155">AQ55/AQ8</f>
        <v>0.13909426987060999</v>
      </c>
      <c r="AR56" s="559">
        <f t="shared" si="155"/>
        <v>0.13784645572725043</v>
      </c>
      <c r="AS56" s="165">
        <f t="shared" si="155"/>
        <v>0.15547543938711131</v>
      </c>
      <c r="AT56" s="229">
        <f t="shared" ref="AT56:AV56" si="156">AT55/AT8</f>
        <v>0.12983065566652194</v>
      </c>
      <c r="AU56" s="559">
        <f t="shared" si="156"/>
        <v>0.14241486068111456</v>
      </c>
      <c r="AV56" s="165">
        <f t="shared" si="156"/>
        <v>0.15384615384615385</v>
      </c>
      <c r="AW56" s="229">
        <f t="shared" ref="AW56:AY56" si="157">AW55/AW8</f>
        <v>0.13613181639858768</v>
      </c>
      <c r="AX56" s="559">
        <f t="shared" si="157"/>
        <v>0.14438390611902766</v>
      </c>
      <c r="AY56" s="165">
        <f t="shared" si="157"/>
        <v>0.21014492753623187</v>
      </c>
      <c r="AZ56" s="247">
        <f t="shared" si="150"/>
        <v>0.18167891987844148</v>
      </c>
      <c r="BA56" s="583">
        <f t="shared" si="150"/>
        <v>0.19538775039559786</v>
      </c>
      <c r="BB56" s="245">
        <f t="shared" si="150"/>
        <v>0.18537907390728153</v>
      </c>
      <c r="BC56" s="247">
        <f t="shared" si="150"/>
        <v>0.18535140910770376</v>
      </c>
      <c r="BD56" s="583">
        <f t="shared" si="150"/>
        <v>0.18536471764785459</v>
      </c>
      <c r="BE56" s="245">
        <f t="shared" si="150"/>
        <v>0.19035685608759087</v>
      </c>
      <c r="BF56" s="247">
        <f t="shared" si="150"/>
        <v>0.19033015691984179</v>
      </c>
      <c r="BG56" s="583">
        <f t="shared" si="150"/>
        <v>0.19034298770308902</v>
      </c>
      <c r="BH56" s="245">
        <f t="shared" si="150"/>
        <v>0.19533586073664233</v>
      </c>
      <c r="BI56" s="247">
        <f t="shared" si="150"/>
        <v>0.19531014755221168</v>
      </c>
      <c r="BJ56" s="583">
        <f t="shared" si="150"/>
        <v>0.19532249241116836</v>
      </c>
      <c r="BK56" s="245">
        <f t="shared" si="150"/>
        <v>0.20031602780677341</v>
      </c>
      <c r="BL56" s="247">
        <f t="shared" si="150"/>
        <v>0.20029131141434164</v>
      </c>
      <c r="BM56" s="583">
        <f t="shared" si="150"/>
        <v>0.20030316667905435</v>
      </c>
    </row>
    <row r="57" spans="1:76" customFormat="1">
      <c r="A57" s="2" t="s">
        <v>10</v>
      </c>
      <c r="B57" s="27">
        <v>0</v>
      </c>
      <c r="C57" s="27">
        <v>0</v>
      </c>
      <c r="D57" s="27">
        <v>0</v>
      </c>
      <c r="E57" s="27">
        <v>0</v>
      </c>
      <c r="F57" s="27">
        <v>0</v>
      </c>
      <c r="G57" s="27">
        <v>0</v>
      </c>
      <c r="H57" s="27">
        <v>0</v>
      </c>
      <c r="I57" s="27">
        <v>0</v>
      </c>
      <c r="J57" s="27">
        <v>0</v>
      </c>
      <c r="K57" s="27">
        <v>0</v>
      </c>
      <c r="L57" s="27">
        <v>0</v>
      </c>
      <c r="M57" s="27">
        <v>80</v>
      </c>
      <c r="N57" s="27">
        <v>109</v>
      </c>
      <c r="O57" s="27">
        <v>294</v>
      </c>
      <c r="P57" s="27">
        <v>253</v>
      </c>
      <c r="Q57" s="27">
        <v>194</v>
      </c>
      <c r="R57" s="27">
        <v>13</v>
      </c>
      <c r="S57" s="218">
        <f>T57-R57</f>
        <v>178</v>
      </c>
      <c r="T57" s="553">
        <v>191</v>
      </c>
      <c r="U57" s="27">
        <v>66</v>
      </c>
      <c r="V57" s="218">
        <f>W57-U57</f>
        <v>264</v>
      </c>
      <c r="W57" s="553">
        <v>330</v>
      </c>
      <c r="X57" s="27">
        <v>26</v>
      </c>
      <c r="Y57" s="218">
        <f>Z57-X57</f>
        <v>235</v>
      </c>
      <c r="Z57" s="553">
        <v>261</v>
      </c>
      <c r="AA57" s="27">
        <v>80</v>
      </c>
      <c r="AB57" s="218">
        <f>AC57-AA57</f>
        <v>237</v>
      </c>
      <c r="AC57" s="553">
        <v>317</v>
      </c>
      <c r="AD57" s="27">
        <v>96</v>
      </c>
      <c r="AE57" s="218">
        <f>AF57-AD57</f>
        <v>261</v>
      </c>
      <c r="AF57" s="553">
        <v>357</v>
      </c>
      <c r="AG57" s="27">
        <v>33</v>
      </c>
      <c r="AH57" s="218">
        <f>AI57-AG57</f>
        <v>155</v>
      </c>
      <c r="AI57" s="553">
        <v>188</v>
      </c>
      <c r="AJ57" s="27">
        <v>41</v>
      </c>
      <c r="AK57" s="218">
        <f>AL57-AJ57</f>
        <v>201</v>
      </c>
      <c r="AL57" s="553">
        <v>242</v>
      </c>
      <c r="AM57" s="27">
        <v>119</v>
      </c>
      <c r="AN57" s="218">
        <f>AO57-AM57</f>
        <v>162</v>
      </c>
      <c r="AO57" s="553">
        <v>281</v>
      </c>
      <c r="AP57" s="27">
        <v>125</v>
      </c>
      <c r="AQ57" s="218">
        <f>AR57-AP57</f>
        <v>288</v>
      </c>
      <c r="AR57" s="553">
        <v>413</v>
      </c>
      <c r="AS57" s="27">
        <v>189</v>
      </c>
      <c r="AT57" s="218">
        <f>AU57-AS57</f>
        <v>371</v>
      </c>
      <c r="AU57" s="553">
        <v>560</v>
      </c>
      <c r="AV57" s="27">
        <v>313</v>
      </c>
      <c r="AW57" s="218">
        <f>AX57-AV57</f>
        <v>539</v>
      </c>
      <c r="AX57" s="553">
        <v>852</v>
      </c>
      <c r="AY57" s="27">
        <v>528</v>
      </c>
      <c r="AZ57" s="237">
        <f>'Power Systems'!AZ14</f>
        <v>710.95846091578107</v>
      </c>
      <c r="BA57" s="576">
        <f>'Power Systems'!BA14</f>
        <v>1238.9584609157812</v>
      </c>
      <c r="BB57" s="48">
        <f>'Power Systems'!BB14</f>
        <v>686.66346599999986</v>
      </c>
      <c r="BC57" s="237">
        <f>'Power Systems'!BC14</f>
        <v>851.38157904848708</v>
      </c>
      <c r="BD57" s="576">
        <f>'Power Systems'!BD14</f>
        <v>1538.0450450484868</v>
      </c>
      <c r="BE57" s="48">
        <f>'Power Systems'!BE14</f>
        <v>855.87021419999985</v>
      </c>
      <c r="BF57" s="237">
        <f>'Power Systems'!BF14</f>
        <v>1059.986891151194</v>
      </c>
      <c r="BG57" s="576">
        <f>'Power Systems'!BG14</f>
        <v>1915.8571053511937</v>
      </c>
      <c r="BH57" s="48">
        <f>'Power Systems'!BH14</f>
        <v>1069.4225987069999</v>
      </c>
      <c r="BI57" s="237">
        <f>'Power Systems'!BI14</f>
        <v>1322.6995481833499</v>
      </c>
      <c r="BJ57" s="576">
        <f>'Power Systems'!BJ14</f>
        <v>2392.1221468903495</v>
      </c>
      <c r="BK57" s="48">
        <f>'Power Systems'!BK14</f>
        <v>1339.8228454992</v>
      </c>
      <c r="BL57" s="237">
        <f>'Power Systems'!BL14</f>
        <v>1654.8505098065266</v>
      </c>
      <c r="BM57" s="576">
        <f>'Power Systems'!BM14</f>
        <v>2994.6733553057265</v>
      </c>
      <c r="BS57" s="176"/>
    </row>
    <row r="58" spans="1:76" customFormat="1">
      <c r="A58" s="185" t="s">
        <v>250</v>
      </c>
      <c r="B58" s="201" t="s">
        <v>248</v>
      </c>
      <c r="C58" s="201" t="s">
        <v>248</v>
      </c>
      <c r="D58" s="201" t="s">
        <v>248</v>
      </c>
      <c r="E58" s="201" t="s">
        <v>248</v>
      </c>
      <c r="F58" s="201" t="s">
        <v>248</v>
      </c>
      <c r="G58" s="201" t="s">
        <v>248</v>
      </c>
      <c r="H58" s="201" t="s">
        <v>248</v>
      </c>
      <c r="I58" s="201" t="s">
        <v>248</v>
      </c>
      <c r="J58" s="201" t="s">
        <v>248</v>
      </c>
      <c r="K58" s="201" t="s">
        <v>248</v>
      </c>
      <c r="L58" s="201" t="s">
        <v>248</v>
      </c>
      <c r="M58" s="201" t="s">
        <v>248</v>
      </c>
      <c r="N58" s="201" t="s">
        <v>248</v>
      </c>
      <c r="O58" s="165">
        <f t="shared" ref="O58:BM58" si="158">O57/O10</f>
        <v>0.10385022960084776</v>
      </c>
      <c r="P58" s="165">
        <f t="shared" si="158"/>
        <v>9.3014705882352944E-2</v>
      </c>
      <c r="Q58" s="165">
        <f t="shared" si="158"/>
        <v>8.1341719077568139E-2</v>
      </c>
      <c r="R58" s="165">
        <f t="shared" si="158"/>
        <v>1.1992619926199263E-2</v>
      </c>
      <c r="S58" s="229">
        <f t="shared" si="158"/>
        <v>0.11330362826225335</v>
      </c>
      <c r="T58" s="559">
        <f t="shared" si="158"/>
        <v>7.1939736346516014E-2</v>
      </c>
      <c r="U58" s="165">
        <f t="shared" ref="U58:V58" si="159">U57/U10</f>
        <v>5.3527980535279802E-2</v>
      </c>
      <c r="V58" s="229">
        <f t="shared" si="159"/>
        <v>0.15621301775147928</v>
      </c>
      <c r="W58" s="559">
        <f t="shared" si="158"/>
        <v>0.11289770783441669</v>
      </c>
      <c r="X58" s="165">
        <f t="shared" si="158"/>
        <v>2.0392156862745099E-2</v>
      </c>
      <c r="Y58" s="229">
        <f t="shared" si="158"/>
        <v>0.13560300057703403</v>
      </c>
      <c r="Z58" s="559">
        <f>Z57/Z10</f>
        <v>8.6768617021276598E-2</v>
      </c>
      <c r="AA58" s="165">
        <f t="shared" ref="AA58:AB58" si="160">AA57/AA10</f>
        <v>5.4384772263766146E-2</v>
      </c>
      <c r="AB58" s="229">
        <f t="shared" si="160"/>
        <v>0.11773472429210134</v>
      </c>
      <c r="AC58" s="559">
        <f t="shared" si="158"/>
        <v>9.0987370838117101E-2</v>
      </c>
      <c r="AD58" s="165">
        <f t="shared" si="158"/>
        <v>6.1815840309079204E-2</v>
      </c>
      <c r="AE58" s="229">
        <f t="shared" si="158"/>
        <v>0.13102409638554216</v>
      </c>
      <c r="AF58" s="559">
        <f t="shared" si="158"/>
        <v>0.10070521861777151</v>
      </c>
      <c r="AG58" s="165">
        <f t="shared" si="158"/>
        <v>2.7182866556836903E-2</v>
      </c>
      <c r="AH58" s="229">
        <f t="shared" ref="AH58" si="161">AH57/AH10</f>
        <v>0.10190664036817883</v>
      </c>
      <c r="AI58" s="559">
        <f t="shared" si="158"/>
        <v>6.873857404021938E-2</v>
      </c>
      <c r="AJ58" s="165">
        <f t="shared" si="158"/>
        <v>3.4716342082980522E-2</v>
      </c>
      <c r="AK58" s="229">
        <f t="shared" si="158"/>
        <v>0.12818877551020408</v>
      </c>
      <c r="AL58" s="559">
        <f t="shared" si="158"/>
        <v>8.8032011640596583E-2</v>
      </c>
      <c r="AM58" s="165">
        <f t="shared" si="158"/>
        <v>8.6797957695113059E-2</v>
      </c>
      <c r="AN58" s="229">
        <f t="shared" ref="AN58:AP58" si="162">AN57/AN10</f>
        <v>8.1983805668016191E-2</v>
      </c>
      <c r="AO58" s="559">
        <f t="shared" si="158"/>
        <v>8.3955781296683601E-2</v>
      </c>
      <c r="AP58" s="165">
        <f t="shared" si="162"/>
        <v>7.046223224351747E-2</v>
      </c>
      <c r="AQ58" s="229">
        <f t="shared" ref="AQ58:AS58" si="163">AQ57/AQ10</f>
        <v>0.13126709206927986</v>
      </c>
      <c r="AR58" s="559">
        <f t="shared" si="163"/>
        <v>0.10408266129032258</v>
      </c>
      <c r="AS58" s="165">
        <f t="shared" si="163"/>
        <v>0.10288513881328253</v>
      </c>
      <c r="AT58" s="229">
        <f t="shared" ref="AT58:AV58" si="164">AT57/AT10</f>
        <v>0.15242399342645852</v>
      </c>
      <c r="AU58" s="559">
        <f t="shared" si="164"/>
        <v>0.1311168344649965</v>
      </c>
      <c r="AV58" s="165">
        <f t="shared" si="164"/>
        <v>0.15328109696376102</v>
      </c>
      <c r="AW58" s="229">
        <f t="shared" ref="AW58:AY58" si="165">AW57/AW10</f>
        <v>0.18912280701754386</v>
      </c>
      <c r="AX58" s="559">
        <f t="shared" si="165"/>
        <v>0.17416189697465248</v>
      </c>
      <c r="AY58" s="165">
        <f t="shared" si="165"/>
        <v>0.20276497695852536</v>
      </c>
      <c r="AZ58" s="247">
        <f t="shared" si="158"/>
        <v>0.21952245876590309</v>
      </c>
      <c r="BA58" s="583">
        <f t="shared" si="158"/>
        <v>0.2120538592627815</v>
      </c>
      <c r="BB58" s="245">
        <f t="shared" si="158"/>
        <v>0.21941724701733881</v>
      </c>
      <c r="BC58" s="247">
        <f t="shared" si="158"/>
        <v>0.21904368161353688</v>
      </c>
      <c r="BD58" s="583">
        <f t="shared" si="158"/>
        <v>0.21921030338093131</v>
      </c>
      <c r="BE58" s="245">
        <f t="shared" si="158"/>
        <v>0.22658847783749048</v>
      </c>
      <c r="BF58" s="247">
        <f t="shared" si="158"/>
        <v>0.22628085084485774</v>
      </c>
      <c r="BG58" s="583">
        <f t="shared" si="158"/>
        <v>0.22641817366041336</v>
      </c>
      <c r="BH58" s="245">
        <f t="shared" si="158"/>
        <v>0.23381180210171959</v>
      </c>
      <c r="BI58" s="247">
        <f t="shared" si="158"/>
        <v>0.23355946721248949</v>
      </c>
      <c r="BJ58" s="583">
        <f t="shared" si="158"/>
        <v>0.23367220874720443</v>
      </c>
      <c r="BK58" s="245">
        <f t="shared" si="158"/>
        <v>0.24107960364066264</v>
      </c>
      <c r="BL58" s="247">
        <f t="shared" si="158"/>
        <v>0.24087333569140174</v>
      </c>
      <c r="BM58" s="583">
        <f t="shared" si="158"/>
        <v>0.24096557673500413</v>
      </c>
    </row>
    <row r="59" spans="1:76" customFormat="1">
      <c r="A59" s="2" t="s">
        <v>1039</v>
      </c>
      <c r="B59" s="27"/>
      <c r="C59" s="27"/>
      <c r="D59" s="27"/>
      <c r="E59" s="27"/>
      <c r="F59" s="27"/>
      <c r="G59" s="27"/>
      <c r="H59" s="27"/>
      <c r="I59" s="27"/>
      <c r="J59" s="27"/>
      <c r="K59" s="27"/>
      <c r="L59" s="27"/>
      <c r="M59" s="27"/>
      <c r="N59" s="27"/>
      <c r="O59" s="27"/>
      <c r="P59" s="27"/>
      <c r="Q59" s="27"/>
      <c r="R59" s="27">
        <v>0</v>
      </c>
      <c r="S59" s="218">
        <f>T59-R59</f>
        <v>0</v>
      </c>
      <c r="T59" s="553"/>
      <c r="U59" s="27">
        <v>0</v>
      </c>
      <c r="V59" s="218">
        <f>W59-U59</f>
        <v>0</v>
      </c>
      <c r="W59" s="553"/>
      <c r="X59" s="27">
        <v>0</v>
      </c>
      <c r="Y59" s="218">
        <f>Z59-X59</f>
        <v>0</v>
      </c>
      <c r="Z59" s="553"/>
      <c r="AA59" s="27">
        <v>0</v>
      </c>
      <c r="AB59" s="218">
        <f>AC59-AA59</f>
        <v>0</v>
      </c>
      <c r="AC59" s="553"/>
      <c r="AD59" s="27">
        <v>0</v>
      </c>
      <c r="AE59" s="218">
        <f>AF59-AD59</f>
        <v>0</v>
      </c>
      <c r="AF59" s="553"/>
      <c r="AG59" s="27">
        <v>0</v>
      </c>
      <c r="AH59" s="218">
        <f>AI59-AG59</f>
        <v>-45</v>
      </c>
      <c r="AI59" s="553">
        <v>-45</v>
      </c>
      <c r="AJ59" s="27">
        <v>-28</v>
      </c>
      <c r="AK59" s="218">
        <f>AL59-AJ59</f>
        <v>-42</v>
      </c>
      <c r="AL59" s="553">
        <v>-70</v>
      </c>
      <c r="AM59" s="27">
        <v>-48</v>
      </c>
      <c r="AN59" s="218">
        <f>AO59-AM59</f>
        <v>-84</v>
      </c>
      <c r="AO59" s="553">
        <v>-132</v>
      </c>
      <c r="AP59" s="27">
        <v>-78</v>
      </c>
      <c r="AQ59" s="218">
        <f>AR59-AP59</f>
        <v>-82</v>
      </c>
      <c r="AR59" s="553">
        <v>-160</v>
      </c>
      <c r="AS59" s="27">
        <v>-91</v>
      </c>
      <c r="AT59" s="218">
        <f>AU59-AS59</f>
        <v>-86</v>
      </c>
      <c r="AU59" s="553">
        <v>-177</v>
      </c>
      <c r="AV59" s="27">
        <v>-78</v>
      </c>
      <c r="AW59" s="218">
        <f>AX59-AV59</f>
        <v>-62</v>
      </c>
      <c r="AX59" s="553">
        <v>-140</v>
      </c>
      <c r="AY59" s="27">
        <v>-30</v>
      </c>
      <c r="AZ59" s="237">
        <v>-90</v>
      </c>
      <c r="BA59" s="576">
        <v>-120</v>
      </c>
      <c r="BB59" s="48">
        <v>-45</v>
      </c>
      <c r="BC59" s="237">
        <v>-45</v>
      </c>
      <c r="BD59" s="576">
        <v>-90</v>
      </c>
      <c r="BE59" s="48">
        <v>-30</v>
      </c>
      <c r="BF59" s="237">
        <v>-30</v>
      </c>
      <c r="BG59" s="576">
        <v>-60</v>
      </c>
      <c r="BH59" s="48">
        <v>-15</v>
      </c>
      <c r="BI59" s="237">
        <v>-15</v>
      </c>
      <c r="BJ59" s="576">
        <v>-30</v>
      </c>
      <c r="BK59" s="48">
        <v>0</v>
      </c>
      <c r="BL59" s="237">
        <v>0</v>
      </c>
      <c r="BM59" s="576">
        <v>0</v>
      </c>
      <c r="BS59" s="176"/>
    </row>
    <row r="60" spans="1:76" customFormat="1">
      <c r="A60" s="185" t="s">
        <v>250</v>
      </c>
      <c r="B60" s="201"/>
      <c r="C60" s="201"/>
      <c r="D60" s="201"/>
      <c r="E60" s="201"/>
      <c r="F60" s="201"/>
      <c r="G60" s="201"/>
      <c r="H60" s="201"/>
      <c r="I60" s="201"/>
      <c r="J60" s="201"/>
      <c r="K60" s="201"/>
      <c r="L60" s="201"/>
      <c r="M60" s="201"/>
      <c r="N60" s="201"/>
      <c r="O60" s="165"/>
      <c r="P60" s="165"/>
      <c r="Q60" s="165"/>
      <c r="R60" s="165"/>
      <c r="S60" s="229"/>
      <c r="T60" s="559"/>
      <c r="U60" s="165"/>
      <c r="V60" s="229"/>
      <c r="W60" s="559"/>
      <c r="X60" s="165"/>
      <c r="Y60" s="229"/>
      <c r="Z60" s="559"/>
      <c r="AA60" s="165"/>
      <c r="AB60" s="229"/>
      <c r="AC60" s="559"/>
      <c r="AD60" s="165"/>
      <c r="AE60" s="229"/>
      <c r="AF60" s="559"/>
      <c r="AG60" s="165"/>
      <c r="AH60" s="229"/>
      <c r="AI60" s="559"/>
      <c r="AJ60" s="165"/>
      <c r="AK60" s="229"/>
      <c r="AL60" s="559"/>
      <c r="AM60" s="165"/>
      <c r="AN60" s="229"/>
      <c r="AO60" s="559"/>
      <c r="AP60" s="165"/>
      <c r="AQ60" s="229"/>
      <c r="AR60" s="559"/>
      <c r="AS60" s="165"/>
      <c r="AT60" s="544"/>
      <c r="AU60" s="584"/>
      <c r="AV60" s="165"/>
      <c r="AW60" s="544"/>
      <c r="AX60" s="584"/>
      <c r="AY60" s="165"/>
      <c r="AZ60" s="544"/>
      <c r="BA60" s="584"/>
      <c r="BB60" s="45"/>
      <c r="BC60" s="544"/>
      <c r="BD60" s="584"/>
      <c r="BE60" s="45"/>
      <c r="BF60" s="544"/>
      <c r="BG60" s="584"/>
      <c r="BH60" s="45"/>
      <c r="BI60" s="544"/>
      <c r="BJ60" s="584"/>
      <c r="BK60" s="45"/>
      <c r="BL60" s="544"/>
      <c r="BM60" s="584"/>
    </row>
    <row r="61" spans="1:76" customFormat="1" hidden="1" outlineLevel="1">
      <c r="A61" s="2" t="s">
        <v>9</v>
      </c>
      <c r="B61" s="27">
        <v>67</v>
      </c>
      <c r="C61" s="27">
        <v>73</v>
      </c>
      <c r="D61" s="27">
        <v>82</v>
      </c>
      <c r="E61" s="27">
        <v>78</v>
      </c>
      <c r="F61" s="27">
        <v>78</v>
      </c>
      <c r="G61" s="27">
        <v>89</v>
      </c>
      <c r="H61" s="27">
        <v>101</v>
      </c>
      <c r="I61" s="27">
        <v>113</v>
      </c>
      <c r="J61" s="27">
        <v>183</v>
      </c>
      <c r="K61" s="27">
        <v>263</v>
      </c>
      <c r="L61" s="27">
        <v>332</v>
      </c>
      <c r="M61" s="27">
        <v>287</v>
      </c>
      <c r="N61" s="27">
        <v>294</v>
      </c>
      <c r="O61" s="27">
        <v>233</v>
      </c>
      <c r="P61" s="27">
        <v>138</v>
      </c>
      <c r="Q61" s="27">
        <v>15</v>
      </c>
      <c r="R61" s="27">
        <v>-13</v>
      </c>
      <c r="S61" s="218">
        <f>T61-R61</f>
        <v>-14</v>
      </c>
      <c r="T61" s="553">
        <v>-27</v>
      </c>
      <c r="U61" s="27">
        <v>-31</v>
      </c>
      <c r="V61" s="218">
        <f>W61-U61</f>
        <v>6</v>
      </c>
      <c r="W61" s="553">
        <v>-25</v>
      </c>
      <c r="X61" s="27">
        <v>0</v>
      </c>
      <c r="Y61" s="218">
        <f>Z61-X61</f>
        <v>0</v>
      </c>
      <c r="Z61" s="553"/>
      <c r="AA61" s="27">
        <v>0</v>
      </c>
      <c r="AB61" s="218">
        <f>AC61-AA61</f>
        <v>0</v>
      </c>
      <c r="AC61" s="553"/>
      <c r="AD61" s="27">
        <v>0</v>
      </c>
      <c r="AE61" s="218">
        <f>AF61-AD61</f>
        <v>0</v>
      </c>
      <c r="AF61" s="553"/>
      <c r="AG61" s="27">
        <v>0</v>
      </c>
      <c r="AH61" s="218">
        <f>AI61-AG61</f>
        <v>0</v>
      </c>
      <c r="AI61" s="553"/>
      <c r="AJ61" s="27">
        <v>0</v>
      </c>
      <c r="AK61" s="218">
        <f>AL61-AJ61</f>
        <v>0</v>
      </c>
      <c r="AL61" s="553"/>
      <c r="AM61" s="27">
        <v>0</v>
      </c>
      <c r="AN61" s="218">
        <f>AO61-AM61</f>
        <v>0</v>
      </c>
      <c r="AO61" s="553"/>
      <c r="AP61" s="27">
        <v>0</v>
      </c>
      <c r="AQ61" s="218">
        <f>AR61-AP61</f>
        <v>0</v>
      </c>
      <c r="AR61" s="553"/>
      <c r="AS61" s="27"/>
      <c r="AT61" s="541"/>
      <c r="AU61" s="578"/>
      <c r="AV61" s="27"/>
      <c r="AW61" s="541"/>
      <c r="AX61" s="578"/>
      <c r="AY61" s="27"/>
      <c r="AZ61" s="541"/>
      <c r="BA61" s="578"/>
      <c r="BB61" s="2"/>
      <c r="BC61" s="541"/>
      <c r="BD61" s="578"/>
      <c r="BE61" s="2"/>
      <c r="BF61" s="541"/>
      <c r="BG61" s="578"/>
      <c r="BH61" s="2"/>
      <c r="BI61" s="541"/>
      <c r="BJ61" s="578"/>
      <c r="BK61" s="2"/>
      <c r="BL61" s="541"/>
      <c r="BM61" s="578"/>
    </row>
    <row r="62" spans="1:76" customFormat="1" hidden="1" outlineLevel="1">
      <c r="A62" s="185" t="s">
        <v>250</v>
      </c>
      <c r="B62" s="165">
        <f t="shared" ref="B62:W62" si="166">B61/B14</f>
        <v>8.9214380825565917E-2</v>
      </c>
      <c r="C62" s="165">
        <f t="shared" si="166"/>
        <v>8.8270858524788387E-2</v>
      </c>
      <c r="D62" s="165">
        <f t="shared" si="166"/>
        <v>8.3333333333333329E-2</v>
      </c>
      <c r="E62" s="165">
        <f t="shared" si="166"/>
        <v>7.7766699900299108E-2</v>
      </c>
      <c r="F62" s="165">
        <f t="shared" si="166"/>
        <v>8.0996884735202487E-2</v>
      </c>
      <c r="G62" s="165">
        <f t="shared" si="166"/>
        <v>8.1130355515041025E-2</v>
      </c>
      <c r="H62" s="165">
        <f t="shared" si="166"/>
        <v>7.7752117013086985E-2</v>
      </c>
      <c r="I62" s="165">
        <f t="shared" si="166"/>
        <v>7.2997416020671835E-2</v>
      </c>
      <c r="J62" s="165">
        <f t="shared" si="166"/>
        <v>8.3030852994555357E-2</v>
      </c>
      <c r="K62" s="165">
        <f t="shared" si="166"/>
        <v>0.10158362302047122</v>
      </c>
      <c r="L62" s="165">
        <f t="shared" si="166"/>
        <v>0.12813585488228482</v>
      </c>
      <c r="M62" s="165">
        <f t="shared" si="166"/>
        <v>0.12637604579480405</v>
      </c>
      <c r="N62" s="165">
        <f t="shared" si="166"/>
        <v>0.13072476656291684</v>
      </c>
      <c r="O62" s="165">
        <f t="shared" si="166"/>
        <v>0.11438389788905252</v>
      </c>
      <c r="P62" s="165">
        <f t="shared" si="166"/>
        <v>8.0748976009362206E-2</v>
      </c>
      <c r="Q62" s="165">
        <f t="shared" si="166"/>
        <v>1.1329305135951661E-2</v>
      </c>
      <c r="R62" s="165"/>
      <c r="S62" s="229"/>
      <c r="T62" s="559">
        <f t="shared" si="166"/>
        <v>-2.423698384201077E-2</v>
      </c>
      <c r="U62" s="165"/>
      <c r="V62" s="229"/>
      <c r="W62" s="559">
        <f t="shared" si="166"/>
        <v>-2.3212627669452181E-2</v>
      </c>
      <c r="X62" s="165"/>
      <c r="Y62" s="229"/>
      <c r="Z62" s="559"/>
      <c r="AA62" s="165"/>
      <c r="AB62" s="229"/>
      <c r="AC62" s="559"/>
      <c r="AD62" s="165"/>
      <c r="AE62" s="229"/>
      <c r="AF62" s="559"/>
      <c r="AG62" s="165"/>
      <c r="AH62" s="229"/>
      <c r="AI62" s="559"/>
      <c r="AJ62" s="165"/>
      <c r="AK62" s="229"/>
      <c r="AL62" s="559"/>
      <c r="AM62" s="165"/>
      <c r="AN62" s="229"/>
      <c r="AO62" s="559"/>
      <c r="AP62" s="165"/>
      <c r="AQ62" s="229"/>
      <c r="AR62" s="559"/>
      <c r="AS62" s="165"/>
      <c r="AT62" s="544"/>
      <c r="AU62" s="584"/>
      <c r="AV62" s="165"/>
      <c r="AW62" s="544"/>
      <c r="AX62" s="584"/>
      <c r="AY62" s="165"/>
      <c r="AZ62" s="544"/>
      <c r="BA62" s="584"/>
      <c r="BB62" s="45"/>
      <c r="BC62" s="544"/>
      <c r="BD62" s="584"/>
      <c r="BE62" s="45"/>
      <c r="BF62" s="544"/>
      <c r="BG62" s="584"/>
      <c r="BH62" s="45"/>
      <c r="BI62" s="544"/>
      <c r="BJ62" s="584"/>
      <c r="BK62" s="45"/>
      <c r="BL62" s="544"/>
      <c r="BM62" s="584"/>
    </row>
    <row r="63" spans="1:76" customFormat="1" hidden="1" outlineLevel="1">
      <c r="A63" s="2" t="s">
        <v>395</v>
      </c>
      <c r="B63" s="27">
        <v>-48</v>
      </c>
      <c r="C63" s="27">
        <v>-64</v>
      </c>
      <c r="D63" s="27">
        <v>-41</v>
      </c>
      <c r="E63" s="27">
        <v>23</v>
      </c>
      <c r="F63" s="27">
        <v>14</v>
      </c>
      <c r="G63" s="27">
        <v>1</v>
      </c>
      <c r="H63" s="27">
        <v>-18</v>
      </c>
      <c r="I63" s="27">
        <v>5</v>
      </c>
      <c r="J63" s="27">
        <v>-2</v>
      </c>
      <c r="K63" s="27">
        <v>24</v>
      </c>
      <c r="L63" s="27">
        <v>27</v>
      </c>
      <c r="M63" s="27">
        <v>16</v>
      </c>
      <c r="N63" s="27">
        <v>19</v>
      </c>
      <c r="O63" s="27">
        <f>10+64</f>
        <v>74</v>
      </c>
      <c r="P63" s="27">
        <v>50</v>
      </c>
      <c r="Q63" s="27">
        <v>70</v>
      </c>
      <c r="R63" s="27">
        <v>18</v>
      </c>
      <c r="S63" s="218">
        <f>T63-R63</f>
        <v>27</v>
      </c>
      <c r="T63" s="553">
        <v>45</v>
      </c>
      <c r="U63" s="27">
        <v>14</v>
      </c>
      <c r="V63" s="218">
        <f>W63-U63</f>
        <v>24</v>
      </c>
      <c r="W63" s="553">
        <v>38</v>
      </c>
      <c r="X63" s="27">
        <v>0</v>
      </c>
      <c r="Y63" s="218">
        <f>Z63-X63</f>
        <v>0</v>
      </c>
      <c r="Z63" s="553"/>
      <c r="AA63" s="27">
        <v>0</v>
      </c>
      <c r="AB63" s="218">
        <f>AC63-AA63</f>
        <v>0</v>
      </c>
      <c r="AC63" s="553"/>
      <c r="AD63" s="27">
        <v>0</v>
      </c>
      <c r="AE63" s="218">
        <f>AF63-AD63</f>
        <v>0</v>
      </c>
      <c r="AF63" s="553"/>
      <c r="AG63" s="27">
        <v>0</v>
      </c>
      <c r="AH63" s="218">
        <f>AI63-AG63</f>
        <v>0</v>
      </c>
      <c r="AI63" s="553"/>
      <c r="AJ63" s="27">
        <v>0</v>
      </c>
      <c r="AK63" s="218">
        <f>AL63-AJ63</f>
        <v>0</v>
      </c>
      <c r="AL63" s="553"/>
      <c r="AM63" s="27">
        <v>0</v>
      </c>
      <c r="AN63" s="218">
        <f>AO63-AM63</f>
        <v>0</v>
      </c>
      <c r="AO63" s="553"/>
      <c r="AP63" s="27">
        <v>0</v>
      </c>
      <c r="AQ63" s="218">
        <f>AR63-AP63</f>
        <v>0</v>
      </c>
      <c r="AR63" s="553"/>
      <c r="AS63" s="27"/>
      <c r="AT63" s="541"/>
      <c r="AU63" s="578"/>
      <c r="AV63" s="27"/>
      <c r="AW63" s="541"/>
      <c r="AX63" s="578"/>
      <c r="AY63" s="27"/>
      <c r="AZ63" s="541"/>
      <c r="BA63" s="578"/>
      <c r="BB63" s="2"/>
      <c r="BC63" s="541"/>
      <c r="BD63" s="578"/>
      <c r="BE63" s="2"/>
      <c r="BF63" s="541"/>
      <c r="BG63" s="578"/>
      <c r="BH63" s="2"/>
      <c r="BI63" s="541"/>
      <c r="BJ63" s="578"/>
      <c r="BK63" s="2"/>
      <c r="BL63" s="541"/>
      <c r="BM63" s="578"/>
    </row>
    <row r="64" spans="1:76" customFormat="1" hidden="1" outlineLevel="1">
      <c r="A64" s="185" t="s">
        <v>250</v>
      </c>
      <c r="B64" s="165">
        <f t="shared" ref="B64:W64" si="167">B63/B16</f>
        <v>-0.10084033613445378</v>
      </c>
      <c r="C64" s="165">
        <f t="shared" si="167"/>
        <v>-0.10526315789473684</v>
      </c>
      <c r="D64" s="165">
        <f t="shared" si="167"/>
        <v>-6.416275430359937E-2</v>
      </c>
      <c r="E64" s="165">
        <f t="shared" si="167"/>
        <v>4.5275590551181105E-2</v>
      </c>
      <c r="F64" s="165">
        <f t="shared" si="167"/>
        <v>2.8629856850715747E-2</v>
      </c>
      <c r="G64" s="165">
        <f t="shared" si="167"/>
        <v>1.869158878504673E-3</v>
      </c>
      <c r="H64" s="165">
        <f t="shared" si="167"/>
        <v>-3.2967032967032968E-2</v>
      </c>
      <c r="I64" s="165">
        <f t="shared" si="167"/>
        <v>8.9605734767025085E-3</v>
      </c>
      <c r="J64" s="165">
        <f t="shared" si="167"/>
        <v>-2.6490066225165563E-3</v>
      </c>
      <c r="K64" s="165">
        <f t="shared" si="167"/>
        <v>2.3346303501945526E-2</v>
      </c>
      <c r="L64" s="165">
        <f t="shared" si="167"/>
        <v>2.1897810218978103E-2</v>
      </c>
      <c r="M64" s="165">
        <f t="shared" si="167"/>
        <v>1.4773776546629732E-2</v>
      </c>
      <c r="N64" s="165">
        <f t="shared" si="167"/>
        <v>1.9750519750519752E-2</v>
      </c>
      <c r="O64" s="165">
        <f t="shared" si="167"/>
        <v>4.8114434330299091E-2</v>
      </c>
      <c r="P64" s="165">
        <f t="shared" si="167"/>
        <v>7.8369905956112859E-2</v>
      </c>
      <c r="Q64" s="165">
        <f t="shared" si="167"/>
        <v>0.10189228529839883</v>
      </c>
      <c r="R64" s="165"/>
      <c r="S64" s="229"/>
      <c r="T64" s="559">
        <f t="shared" si="167"/>
        <v>5.7915057915057917E-2</v>
      </c>
      <c r="U64" s="165"/>
      <c r="V64" s="229"/>
      <c r="W64" s="559">
        <f t="shared" si="167"/>
        <v>4.6454767726161368E-2</v>
      </c>
      <c r="X64" s="165"/>
      <c r="Y64" s="229"/>
      <c r="Z64" s="559"/>
      <c r="AA64" s="165"/>
      <c r="AB64" s="229"/>
      <c r="AC64" s="559"/>
      <c r="AD64" s="165"/>
      <c r="AE64" s="229"/>
      <c r="AF64" s="559"/>
      <c r="AG64" s="165"/>
      <c r="AH64" s="229"/>
      <c r="AI64" s="559"/>
      <c r="AJ64" s="165"/>
      <c r="AK64" s="229"/>
      <c r="AL64" s="559"/>
      <c r="AM64" s="165"/>
      <c r="AN64" s="229"/>
      <c r="AO64" s="559"/>
      <c r="AP64" s="165"/>
      <c r="AQ64" s="229"/>
      <c r="AR64" s="559"/>
      <c r="AS64" s="165"/>
      <c r="AT64" s="544"/>
      <c r="AU64" s="584"/>
      <c r="AV64" s="165"/>
      <c r="AW64" s="544"/>
      <c r="AX64" s="584"/>
      <c r="AY64" s="165"/>
      <c r="AZ64" s="544"/>
      <c r="BA64" s="584"/>
      <c r="BB64" s="45"/>
      <c r="BC64" s="544"/>
      <c r="BD64" s="584"/>
      <c r="BE64" s="45"/>
      <c r="BF64" s="544"/>
      <c r="BG64" s="584"/>
      <c r="BH64" s="45"/>
      <c r="BI64" s="544"/>
      <c r="BJ64" s="584"/>
      <c r="BK64" s="45"/>
      <c r="BL64" s="544"/>
      <c r="BM64" s="584"/>
    </row>
    <row r="65" spans="1:67" customFormat="1" hidden="1" outlineLevel="1">
      <c r="A65" s="2" t="s">
        <v>671</v>
      </c>
      <c r="B65" s="165"/>
      <c r="C65" s="165"/>
      <c r="D65" s="165"/>
      <c r="E65" s="165"/>
      <c r="F65" s="165"/>
      <c r="G65" s="165"/>
      <c r="H65" s="165"/>
      <c r="I65" s="165"/>
      <c r="J65" s="165"/>
      <c r="K65" s="165"/>
      <c r="L65" s="165"/>
      <c r="M65" s="165"/>
      <c r="N65" s="165"/>
      <c r="O65" s="165"/>
      <c r="P65" s="165"/>
      <c r="Q65" s="165"/>
      <c r="R65" s="27">
        <v>0</v>
      </c>
      <c r="S65" s="218">
        <f>T65-R65</f>
        <v>0</v>
      </c>
      <c r="T65" s="559"/>
      <c r="U65" s="27">
        <v>0</v>
      </c>
      <c r="V65" s="218">
        <f>W65-U65</f>
        <v>0</v>
      </c>
      <c r="W65" s="559"/>
      <c r="X65" s="27">
        <v>8</v>
      </c>
      <c r="Y65" s="218">
        <f>Z65-X65</f>
        <v>57.789473684210535</v>
      </c>
      <c r="Z65" s="553">
        <f>75/1.14</f>
        <v>65.789473684210535</v>
      </c>
      <c r="AA65" s="27">
        <v>40</v>
      </c>
      <c r="AB65" s="218">
        <f>AC65-AA65</f>
        <v>27</v>
      </c>
      <c r="AC65" s="553">
        <v>67</v>
      </c>
      <c r="AD65" s="27">
        <v>32</v>
      </c>
      <c r="AE65" s="218">
        <f>AF65-AD65</f>
        <v>79</v>
      </c>
      <c r="AF65" s="553">
        <v>111</v>
      </c>
      <c r="AG65" s="27">
        <v>0</v>
      </c>
      <c r="AH65" s="218">
        <f>AI65-AG65</f>
        <v>0</v>
      </c>
      <c r="AI65" s="553">
        <v>0</v>
      </c>
      <c r="AJ65" s="27">
        <v>0</v>
      </c>
      <c r="AK65" s="218">
        <f>AL65-AJ65</f>
        <v>0</v>
      </c>
      <c r="AL65" s="553"/>
      <c r="AM65" s="27">
        <v>0</v>
      </c>
      <c r="AN65" s="218">
        <f>AO65-AM65</f>
        <v>0</v>
      </c>
      <c r="AO65" s="553"/>
      <c r="AP65" s="27">
        <v>0</v>
      </c>
      <c r="AQ65" s="218">
        <f>AR65-AP65</f>
        <v>0</v>
      </c>
      <c r="AR65" s="553"/>
      <c r="AS65" s="27"/>
      <c r="AT65" s="541"/>
      <c r="AU65" s="578"/>
      <c r="AV65" s="27"/>
      <c r="AW65" s="541"/>
      <c r="AX65" s="578"/>
      <c r="AY65" s="27"/>
      <c r="AZ65" s="541"/>
      <c r="BA65" s="578"/>
      <c r="BB65" s="2"/>
      <c r="BC65" s="541"/>
      <c r="BD65" s="578"/>
      <c r="BE65" s="2"/>
      <c r="BF65" s="541"/>
      <c r="BG65" s="578"/>
      <c r="BH65" s="2"/>
      <c r="BI65" s="541"/>
      <c r="BJ65" s="578"/>
      <c r="BK65" s="2"/>
      <c r="BL65" s="541"/>
      <c r="BM65" s="578"/>
    </row>
    <row r="66" spans="1:67" customFormat="1" hidden="1" outlineLevel="1">
      <c r="A66" s="185" t="s">
        <v>250</v>
      </c>
      <c r="B66" s="165"/>
      <c r="C66" s="165"/>
      <c r="D66" s="165"/>
      <c r="E66" s="165"/>
      <c r="F66" s="165"/>
      <c r="G66" s="165"/>
      <c r="H66" s="165"/>
      <c r="I66" s="165"/>
      <c r="J66" s="165"/>
      <c r="K66" s="165"/>
      <c r="L66" s="165"/>
      <c r="M66" s="165"/>
      <c r="N66" s="165"/>
      <c r="O66" s="165"/>
      <c r="P66" s="165"/>
      <c r="Q66" s="165"/>
      <c r="R66" s="165"/>
      <c r="S66" s="229"/>
      <c r="T66" s="559"/>
      <c r="U66" s="165"/>
      <c r="V66" s="229"/>
      <c r="W66" s="559"/>
      <c r="X66" s="165"/>
      <c r="Y66" s="229"/>
      <c r="Z66" s="559">
        <f>Z65/Z18</f>
        <v>9.0689238210399037E-2</v>
      </c>
      <c r="AA66" s="165"/>
      <c r="AB66" s="229"/>
      <c r="AC66" s="559">
        <f>AC65/AC18</f>
        <v>8.6007702182284984E-2</v>
      </c>
      <c r="AD66" s="165"/>
      <c r="AE66" s="229"/>
      <c r="AF66" s="559">
        <f>AF65/AF18</f>
        <v>0.11858974358974358</v>
      </c>
      <c r="AG66" s="165"/>
      <c r="AH66" s="229"/>
      <c r="AI66" s="559" t="e">
        <f>AI65/AI18</f>
        <v>#DIV/0!</v>
      </c>
      <c r="AJ66" s="165"/>
      <c r="AK66" s="229"/>
      <c r="AL66" s="559"/>
      <c r="AM66" s="165"/>
      <c r="AN66" s="229"/>
      <c r="AO66" s="559"/>
      <c r="AP66" s="165"/>
      <c r="AQ66" s="229"/>
      <c r="AR66" s="559"/>
      <c r="AS66" s="165"/>
      <c r="AT66" s="545"/>
      <c r="AU66" s="585"/>
      <c r="AV66" s="165"/>
      <c r="AW66" s="545"/>
      <c r="AX66" s="585"/>
      <c r="AY66" s="165"/>
      <c r="AZ66" s="545"/>
      <c r="BA66" s="585"/>
      <c r="BB66" s="985"/>
      <c r="BC66" s="545"/>
      <c r="BD66" s="585"/>
      <c r="BE66" s="985"/>
      <c r="BF66" s="545"/>
      <c r="BG66" s="585"/>
      <c r="BH66" s="985"/>
      <c r="BI66" s="545"/>
      <c r="BJ66" s="585"/>
      <c r="BK66" s="985"/>
      <c r="BL66" s="545"/>
      <c r="BM66" s="585"/>
    </row>
    <row r="67" spans="1:67" customFormat="1" collapsed="1">
      <c r="A67" s="2" t="s">
        <v>708</v>
      </c>
      <c r="B67" s="27">
        <f>56-2</f>
        <v>54</v>
      </c>
      <c r="C67" s="27">
        <v>63</v>
      </c>
      <c r="D67" s="27">
        <v>-12</v>
      </c>
      <c r="E67" s="27">
        <v>-4</v>
      </c>
      <c r="F67" s="27">
        <f>-7-41</f>
        <v>-48</v>
      </c>
      <c r="G67" s="27">
        <v>-45</v>
      </c>
      <c r="H67" s="27">
        <v>-47</v>
      </c>
      <c r="I67" s="27">
        <v>-49</v>
      </c>
      <c r="J67" s="27">
        <v>-51</v>
      </c>
      <c r="K67" s="27">
        <v>-50</v>
      </c>
      <c r="L67" s="27">
        <v>-50</v>
      </c>
      <c r="M67" s="27">
        <v>-52</v>
      </c>
      <c r="N67" s="27">
        <f>-11-54</f>
        <v>-65</v>
      </c>
      <c r="O67" s="27">
        <f>2-54</f>
        <v>-52</v>
      </c>
      <c r="P67" s="27">
        <f>-2-13-53</f>
        <v>-68</v>
      </c>
      <c r="Q67" s="27">
        <f>52+7-51</f>
        <v>8</v>
      </c>
      <c r="R67" s="27">
        <v>-19</v>
      </c>
      <c r="S67" s="218">
        <f>T67-R67</f>
        <v>-26</v>
      </c>
      <c r="T67" s="553">
        <f>-1-44</f>
        <v>-45</v>
      </c>
      <c r="U67" s="27">
        <v>-25</v>
      </c>
      <c r="V67" s="218">
        <f>W67-U67</f>
        <v>-37</v>
      </c>
      <c r="W67" s="553">
        <v>-62</v>
      </c>
      <c r="X67" s="27">
        <v>-26</v>
      </c>
      <c r="Y67" s="218">
        <f>Z67-X67</f>
        <v>-29</v>
      </c>
      <c r="Z67" s="553">
        <v>-55</v>
      </c>
      <c r="AA67" s="27">
        <v>-24</v>
      </c>
      <c r="AB67" s="218">
        <f>AC67-AA67</f>
        <v>8</v>
      </c>
      <c r="AC67" s="553">
        <v>-16</v>
      </c>
      <c r="AD67" s="27">
        <v>-77</v>
      </c>
      <c r="AE67" s="218">
        <f>AF67-AD67</f>
        <v>-40</v>
      </c>
      <c r="AF67" s="553">
        <v>-117</v>
      </c>
      <c r="AG67" s="27">
        <v>-40</v>
      </c>
      <c r="AH67" s="218">
        <f>AI67-AG67</f>
        <v>-37</v>
      </c>
      <c r="AI67" s="553">
        <f>-20-57</f>
        <v>-77</v>
      </c>
      <c r="AJ67" s="27">
        <v>-14</v>
      </c>
      <c r="AK67" s="218">
        <f>AL67-AJ67</f>
        <v>-29</v>
      </c>
      <c r="AL67" s="553">
        <f>2-45</f>
        <v>-43</v>
      </c>
      <c r="AM67" s="27">
        <v>-56</v>
      </c>
      <c r="AN67" s="218">
        <f>AO67-AM67</f>
        <v>-16</v>
      </c>
      <c r="AO67" s="553">
        <f>-31-41</f>
        <v>-72</v>
      </c>
      <c r="AP67" s="27">
        <v>-40</v>
      </c>
      <c r="AQ67" s="218">
        <f>AR67-AP67</f>
        <v>-35</v>
      </c>
      <c r="AR67" s="553">
        <f>-15-60</f>
        <v>-75</v>
      </c>
      <c r="AS67" s="27">
        <v>-34</v>
      </c>
      <c r="AT67" s="218">
        <f>AU67-AS67</f>
        <v>-34</v>
      </c>
      <c r="AU67" s="553">
        <v>-68</v>
      </c>
      <c r="AV67" s="27">
        <v>-37</v>
      </c>
      <c r="AW67" s="218">
        <f>AX67-AV67</f>
        <v>-32</v>
      </c>
      <c r="AX67" s="553">
        <v>-69</v>
      </c>
      <c r="AY67" s="27">
        <v>-53</v>
      </c>
      <c r="AZ67" s="237">
        <f>BA67-AY67</f>
        <v>-28.228666538890593</v>
      </c>
      <c r="BA67" s="576">
        <f>AX67*(1+BA24)</f>
        <v>-81.228666538890593</v>
      </c>
      <c r="BB67" s="48">
        <f>BD67/2</f>
        <v>-45.8840699293062</v>
      </c>
      <c r="BC67" s="237">
        <f>BD67-BB67</f>
        <v>-45.8840699293062</v>
      </c>
      <c r="BD67" s="576">
        <f>BA67*(1+BD24)</f>
        <v>-91.7681398586124</v>
      </c>
      <c r="BE67" s="48">
        <f>BG67/2</f>
        <v>-50.800246333444477</v>
      </c>
      <c r="BF67" s="237">
        <f>BG67-BE67</f>
        <v>-50.800246333444477</v>
      </c>
      <c r="BG67" s="576">
        <f>BD67*(1+BG24)</f>
        <v>-101.60049266688895</v>
      </c>
      <c r="BH67" s="48">
        <f>BJ67/2</f>
        <v>-56.923700744761362</v>
      </c>
      <c r="BI67" s="237">
        <f>BJ67-BH67</f>
        <v>-56.923700744761362</v>
      </c>
      <c r="BJ67" s="576">
        <f>BG67*(1+BJ24)</f>
        <v>-113.84740148952272</v>
      </c>
      <c r="BK67" s="48">
        <f>BM67/2</f>
        <v>-63.756782972355523</v>
      </c>
      <c r="BL67" s="237">
        <f>BM67-BK67</f>
        <v>-63.756782972355523</v>
      </c>
      <c r="BM67" s="576">
        <f t="shared" ref="BM67" si="168">BJ67*(1+BM24)</f>
        <v>-127.51356594471105</v>
      </c>
    </row>
    <row r="68" spans="1:67" customFormat="1">
      <c r="A68" s="12" t="s">
        <v>712</v>
      </c>
      <c r="B68" s="190"/>
      <c r="C68" s="190"/>
      <c r="D68" s="190"/>
      <c r="E68" s="190"/>
      <c r="F68" s="190"/>
      <c r="G68" s="190"/>
      <c r="H68" s="190"/>
      <c r="I68" s="190"/>
      <c r="J68" s="190"/>
      <c r="K68" s="190"/>
      <c r="L68" s="190"/>
      <c r="M68" s="190"/>
      <c r="N68" s="190"/>
      <c r="O68" s="190"/>
      <c r="P68" s="190"/>
      <c r="Q68" s="190"/>
      <c r="R68" s="190"/>
      <c r="S68" s="226"/>
      <c r="T68" s="555"/>
      <c r="U68" s="190"/>
      <c r="V68" s="226"/>
      <c r="W68" s="555"/>
      <c r="X68" s="190">
        <f t="shared" ref="X68:Y68" si="169">X53+X55+X57+X67</f>
        <v>-70</v>
      </c>
      <c r="Y68" s="226">
        <f t="shared" si="169"/>
        <v>387</v>
      </c>
      <c r="Z68" s="555">
        <f>Z53+Z55+Z57+Z67</f>
        <v>317</v>
      </c>
      <c r="AA68" s="190">
        <f>AA53+AA55+AA57+AA59+AA65+AA67</f>
        <v>146</v>
      </c>
      <c r="AB68" s="226">
        <f>AB53+AB55+AB57+AB59+AB65+AB67</f>
        <v>487</v>
      </c>
      <c r="AC68" s="555">
        <f>AC53+AC55+AC57+AC65+AC67</f>
        <v>633</v>
      </c>
      <c r="AD68" s="190">
        <f>AD53+AD55+AD57+AD59+AD65+AD67</f>
        <v>203</v>
      </c>
      <c r="AE68" s="226">
        <f>AE53+AE55+AE57+AE59+AE65+AE67</f>
        <v>607</v>
      </c>
      <c r="AF68" s="555">
        <f>AF53+AF55+AF57+AF65+AF67</f>
        <v>810</v>
      </c>
      <c r="AG68" s="190">
        <f t="shared" ref="AG68:AH68" si="170">AG53+AG55+AG57+AG59+AG65+AG67</f>
        <v>-1613</v>
      </c>
      <c r="AH68" s="226">
        <f t="shared" si="170"/>
        <v>-395</v>
      </c>
      <c r="AI68" s="555">
        <f>AI53+AI55+AI57+AI59+AI67</f>
        <v>-2008</v>
      </c>
      <c r="AJ68" s="190">
        <f t="shared" ref="AJ68:BM68" si="171">AJ53+AJ55+AJ57+AJ59+AJ67</f>
        <v>307</v>
      </c>
      <c r="AK68" s="226">
        <f t="shared" si="171"/>
        <v>107</v>
      </c>
      <c r="AL68" s="555">
        <f t="shared" si="171"/>
        <v>414</v>
      </c>
      <c r="AM68" s="190">
        <f t="shared" si="171"/>
        <v>125</v>
      </c>
      <c r="AN68" s="226">
        <f t="shared" si="171"/>
        <v>527</v>
      </c>
      <c r="AO68" s="555">
        <f t="shared" si="171"/>
        <v>652</v>
      </c>
      <c r="AP68" s="190">
        <f t="shared" si="171"/>
        <v>673</v>
      </c>
      <c r="AQ68" s="226">
        <f t="shared" si="171"/>
        <v>917</v>
      </c>
      <c r="AR68" s="555">
        <f t="shared" si="171"/>
        <v>1590</v>
      </c>
      <c r="AS68" s="190">
        <f t="shared" si="171"/>
        <v>1149</v>
      </c>
      <c r="AT68" s="226">
        <f t="shared" si="171"/>
        <v>1315</v>
      </c>
      <c r="AU68" s="555">
        <f t="shared" si="171"/>
        <v>2464</v>
      </c>
      <c r="AV68" s="190">
        <f t="shared" si="171"/>
        <v>1733</v>
      </c>
      <c r="AW68" s="226">
        <f t="shared" si="171"/>
        <v>1729</v>
      </c>
      <c r="AX68" s="555">
        <f t="shared" si="171"/>
        <v>3462</v>
      </c>
      <c r="AY68" s="190">
        <f t="shared" ref="AY68" si="172">AY53+AY55+AY57+AY59+AY67</f>
        <v>2534</v>
      </c>
      <c r="AZ68" s="241">
        <f t="shared" si="171"/>
        <v>2400.2997844152897</v>
      </c>
      <c r="BA68" s="579">
        <f t="shared" si="171"/>
        <v>4934.2997844152887</v>
      </c>
      <c r="BB68" s="204">
        <f t="shared" si="171"/>
        <v>2755.0368868903415</v>
      </c>
      <c r="BC68" s="241">
        <f t="shared" si="171"/>
        <v>2881.8334281820567</v>
      </c>
      <c r="BD68" s="579">
        <f t="shared" si="171"/>
        <v>5636.8703150723977</v>
      </c>
      <c r="BE68" s="204">
        <f t="shared" si="171"/>
        <v>3154.3525232827742</v>
      </c>
      <c r="BF68" s="241">
        <f t="shared" si="171"/>
        <v>3372.0588813627842</v>
      </c>
      <c r="BG68" s="579">
        <f t="shared" si="171"/>
        <v>6526.4114046455588</v>
      </c>
      <c r="BH68" s="204">
        <f t="shared" si="171"/>
        <v>3690.9654838577753</v>
      </c>
      <c r="BI68" s="241">
        <f t="shared" si="171"/>
        <v>3956.9131648663019</v>
      </c>
      <c r="BJ68" s="579">
        <f t="shared" si="171"/>
        <v>7647.8786487240768</v>
      </c>
      <c r="BK68" s="204">
        <f t="shared" si="171"/>
        <v>4295.0854914857346</v>
      </c>
      <c r="BL68" s="241">
        <f t="shared" si="171"/>
        <v>4609.0197401873738</v>
      </c>
      <c r="BM68" s="579">
        <f t="shared" si="171"/>
        <v>8904.1052316731093</v>
      </c>
      <c r="BO68" s="2"/>
    </row>
    <row r="69" spans="1:67" customFormat="1">
      <c r="A69" t="s">
        <v>705</v>
      </c>
      <c r="B69" s="27"/>
      <c r="C69" s="27"/>
      <c r="D69" s="27"/>
      <c r="E69" s="27"/>
      <c r="F69" s="27"/>
      <c r="G69" s="27"/>
      <c r="H69" s="27"/>
      <c r="I69" s="27"/>
      <c r="J69" s="27"/>
      <c r="K69" s="27"/>
      <c r="L69" s="27"/>
      <c r="M69" s="27"/>
      <c r="N69" s="27"/>
      <c r="O69" s="27"/>
      <c r="P69" s="27"/>
      <c r="Q69" s="27"/>
      <c r="R69" s="10"/>
      <c r="S69" s="216"/>
      <c r="T69" s="553"/>
      <c r="U69" s="10"/>
      <c r="V69" s="216"/>
      <c r="W69" s="553"/>
      <c r="X69" s="10">
        <v>-14</v>
      </c>
      <c r="Y69" s="216">
        <f>Z69-X69</f>
        <v>3</v>
      </c>
      <c r="Z69" s="556">
        <v>-11</v>
      </c>
      <c r="AA69" s="10">
        <v>-5</v>
      </c>
      <c r="AB69" s="216">
        <f>AC69-AA69</f>
        <v>-12</v>
      </c>
      <c r="AC69" s="556">
        <f>-35+21-3</f>
        <v>-17</v>
      </c>
      <c r="AD69" s="10">
        <v>0</v>
      </c>
      <c r="AE69" s="216">
        <f>AF69-AD69</f>
        <v>-2</v>
      </c>
      <c r="AF69" s="556">
        <v>-2</v>
      </c>
      <c r="AG69" s="10">
        <v>-17</v>
      </c>
      <c r="AH69" s="216">
        <f>AI69-AG69</f>
        <v>17</v>
      </c>
      <c r="AI69" s="556">
        <v>0</v>
      </c>
      <c r="AJ69" s="10">
        <v>0</v>
      </c>
      <c r="AK69" s="216">
        <f>AL69-AJ69</f>
        <v>0</v>
      </c>
      <c r="AL69" s="556">
        <v>0</v>
      </c>
      <c r="AM69" s="10">
        <v>0</v>
      </c>
      <c r="AN69" s="216">
        <f>AO69-AM69</f>
        <v>0</v>
      </c>
      <c r="AO69" s="556">
        <v>0</v>
      </c>
      <c r="AP69" s="10">
        <v>0</v>
      </c>
      <c r="AQ69" s="216">
        <f>AR69-AP69</f>
        <v>0</v>
      </c>
      <c r="AR69" s="556">
        <v>0</v>
      </c>
      <c r="AS69" s="10">
        <v>0</v>
      </c>
      <c r="AT69" s="216">
        <f>AU69-AS69</f>
        <v>0</v>
      </c>
      <c r="AU69" s="556">
        <v>0</v>
      </c>
      <c r="AV69" s="10">
        <v>0</v>
      </c>
      <c r="AW69" s="216">
        <f>AX69-AV69</f>
        <v>0</v>
      </c>
      <c r="AX69" s="556">
        <v>0</v>
      </c>
      <c r="AY69" s="10">
        <v>0</v>
      </c>
      <c r="AZ69" s="236">
        <f>BA69-AY69</f>
        <v>0</v>
      </c>
      <c r="BA69" s="580">
        <v>0</v>
      </c>
      <c r="BB69" s="48">
        <f>BD69/2</f>
        <v>0</v>
      </c>
      <c r="BC69" s="236">
        <f>BD69-BB69</f>
        <v>0</v>
      </c>
      <c r="BD69" s="580">
        <v>0</v>
      </c>
      <c r="BE69" s="48">
        <f>BG69/2</f>
        <v>0</v>
      </c>
      <c r="BF69" s="236">
        <f>BG69-BE69</f>
        <v>0</v>
      </c>
      <c r="BG69" s="580">
        <v>0</v>
      </c>
      <c r="BH69" s="48">
        <f>BJ69/2</f>
        <v>0</v>
      </c>
      <c r="BI69" s="236">
        <f>BJ69-BH69</f>
        <v>0</v>
      </c>
      <c r="BJ69" s="580">
        <v>0</v>
      </c>
      <c r="BK69" s="48">
        <f>BM69/2</f>
        <v>0</v>
      </c>
      <c r="BL69" s="236">
        <f>BM69-BK69</f>
        <v>0</v>
      </c>
      <c r="BM69" s="580">
        <v>0</v>
      </c>
    </row>
    <row r="70" spans="1:67" customFormat="1">
      <c r="A70" s="9" t="s">
        <v>709</v>
      </c>
      <c r="B70" s="22">
        <f t="shared" ref="B70:S70" si="173">B53+B55+B57+B61+B63+B67</f>
        <v>559</v>
      </c>
      <c r="C70" s="22">
        <f t="shared" si="173"/>
        <v>594</v>
      </c>
      <c r="D70" s="22">
        <f t="shared" si="173"/>
        <v>362</v>
      </c>
      <c r="E70" s="22">
        <f t="shared" si="173"/>
        <v>375</v>
      </c>
      <c r="F70" s="22">
        <f t="shared" si="173"/>
        <v>417</v>
      </c>
      <c r="G70" s="22">
        <f t="shared" si="173"/>
        <v>679</v>
      </c>
      <c r="H70" s="22">
        <f t="shared" si="173"/>
        <v>748</v>
      </c>
      <c r="I70" s="22">
        <f t="shared" si="173"/>
        <v>832</v>
      </c>
      <c r="J70" s="22">
        <f t="shared" si="173"/>
        <v>919</v>
      </c>
      <c r="K70" s="22">
        <f t="shared" si="173"/>
        <v>983</v>
      </c>
      <c r="L70" s="22">
        <f t="shared" si="173"/>
        <v>1010</v>
      </c>
      <c r="M70" s="22">
        <f t="shared" si="173"/>
        <v>1206</v>
      </c>
      <c r="N70" s="22">
        <f t="shared" si="173"/>
        <v>1495</v>
      </c>
      <c r="O70" s="22">
        <f t="shared" si="173"/>
        <v>1831</v>
      </c>
      <c r="P70" s="22">
        <f>P53+P55+P57+P61+P63+P67</f>
        <v>1681</v>
      </c>
      <c r="Q70" s="22">
        <f t="shared" si="173"/>
        <v>1492</v>
      </c>
      <c r="R70" s="22">
        <f t="shared" si="173"/>
        <v>158</v>
      </c>
      <c r="S70" s="227">
        <f t="shared" si="173"/>
        <v>757</v>
      </c>
      <c r="T70" s="557">
        <f>T53+T55+T57+T61+T63+T67</f>
        <v>915</v>
      </c>
      <c r="U70" s="22">
        <f t="shared" ref="U70:V70" si="174">U53+U55+U57+U61+U63+U67</f>
        <v>345</v>
      </c>
      <c r="V70" s="227">
        <f t="shared" si="174"/>
        <v>830</v>
      </c>
      <c r="W70" s="557">
        <f>W53+W55+W57+W61+W63+W67</f>
        <v>1175</v>
      </c>
      <c r="X70" s="22">
        <f>X68+X69</f>
        <v>-84</v>
      </c>
      <c r="Y70" s="227">
        <f>Y68+Y69</f>
        <v>390</v>
      </c>
      <c r="Z70" s="557">
        <f t="shared" ref="Z70:BM70" si="175">Z68+Z69</f>
        <v>306</v>
      </c>
      <c r="AA70" s="22">
        <f>AA68+AA69</f>
        <v>141</v>
      </c>
      <c r="AB70" s="227">
        <f>AB68+AB69</f>
        <v>475</v>
      </c>
      <c r="AC70" s="557">
        <f t="shared" si="175"/>
        <v>616</v>
      </c>
      <c r="AD70" s="22">
        <f>AD68+AD69</f>
        <v>203</v>
      </c>
      <c r="AE70" s="227">
        <f>AE68+AE69</f>
        <v>605</v>
      </c>
      <c r="AF70" s="557">
        <f t="shared" si="175"/>
        <v>808</v>
      </c>
      <c r="AG70" s="22">
        <f>AG68+AG69</f>
        <v>-1630</v>
      </c>
      <c r="AH70" s="227">
        <f>AH68+AH69</f>
        <v>-378</v>
      </c>
      <c r="AI70" s="557">
        <f t="shared" si="175"/>
        <v>-2008</v>
      </c>
      <c r="AJ70" s="22">
        <f>AJ68+AJ69</f>
        <v>307</v>
      </c>
      <c r="AK70" s="227">
        <f>AK68+AK69</f>
        <v>107</v>
      </c>
      <c r="AL70" s="557">
        <f t="shared" si="175"/>
        <v>414</v>
      </c>
      <c r="AM70" s="22">
        <f t="shared" ref="AM70:AR70" si="176">AM68+AM69</f>
        <v>125</v>
      </c>
      <c r="AN70" s="227">
        <f t="shared" si="176"/>
        <v>527</v>
      </c>
      <c r="AO70" s="557">
        <f t="shared" si="176"/>
        <v>652</v>
      </c>
      <c r="AP70" s="22">
        <f t="shared" si="176"/>
        <v>673</v>
      </c>
      <c r="AQ70" s="227">
        <f t="shared" si="176"/>
        <v>917</v>
      </c>
      <c r="AR70" s="557">
        <f t="shared" si="176"/>
        <v>1590</v>
      </c>
      <c r="AS70" s="22">
        <f t="shared" ref="AS70:AU70" si="177">AS68+AS69</f>
        <v>1149</v>
      </c>
      <c r="AT70" s="227">
        <f t="shared" si="177"/>
        <v>1315</v>
      </c>
      <c r="AU70" s="557">
        <f t="shared" si="177"/>
        <v>2464</v>
      </c>
      <c r="AV70" s="22">
        <f t="shared" ref="AV70:AX70" si="178">AV68+AV69</f>
        <v>1733</v>
      </c>
      <c r="AW70" s="227">
        <f t="shared" si="178"/>
        <v>1729</v>
      </c>
      <c r="AX70" s="557">
        <f t="shared" si="178"/>
        <v>3462</v>
      </c>
      <c r="AY70" s="22">
        <f t="shared" ref="AY70" si="179">AY68+AY69</f>
        <v>2534</v>
      </c>
      <c r="AZ70" s="244">
        <f t="shared" ref="AZ70" si="180">AZ68+AZ69</f>
        <v>2400.2997844152897</v>
      </c>
      <c r="BA70" s="581">
        <f t="shared" si="175"/>
        <v>4934.2997844152887</v>
      </c>
      <c r="BB70" s="181">
        <f t="shared" si="175"/>
        <v>2755.0368868903415</v>
      </c>
      <c r="BC70" s="244">
        <f t="shared" si="175"/>
        <v>2881.8334281820567</v>
      </c>
      <c r="BD70" s="581">
        <f t="shared" si="175"/>
        <v>5636.8703150723977</v>
      </c>
      <c r="BE70" s="181">
        <f t="shared" si="175"/>
        <v>3154.3525232827742</v>
      </c>
      <c r="BF70" s="244">
        <f t="shared" si="175"/>
        <v>3372.0588813627842</v>
      </c>
      <c r="BG70" s="581">
        <f t="shared" si="175"/>
        <v>6526.4114046455588</v>
      </c>
      <c r="BH70" s="181">
        <f t="shared" si="175"/>
        <v>3690.9654838577753</v>
      </c>
      <c r="BI70" s="244">
        <f t="shared" si="175"/>
        <v>3956.9131648663019</v>
      </c>
      <c r="BJ70" s="581">
        <f t="shared" si="175"/>
        <v>7647.8786487240768</v>
      </c>
      <c r="BK70" s="181">
        <f t="shared" si="175"/>
        <v>4295.0854914857346</v>
      </c>
      <c r="BL70" s="244">
        <f t="shared" si="175"/>
        <v>4609.0197401873738</v>
      </c>
      <c r="BM70" s="581">
        <f t="shared" si="175"/>
        <v>8904.1052316731093</v>
      </c>
    </row>
    <row r="71" spans="1:67" customFormat="1">
      <c r="A71" s="191" t="s">
        <v>242</v>
      </c>
      <c r="B71" s="202">
        <f t="shared" ref="B71:BM71" si="181">B70/B23</f>
        <v>9.5327421555252381E-2</v>
      </c>
      <c r="C71" s="202">
        <f t="shared" si="181"/>
        <v>9.3868520859671303E-2</v>
      </c>
      <c r="D71" s="202">
        <f t="shared" si="181"/>
        <v>6.2543192812715961E-2</v>
      </c>
      <c r="E71" s="202">
        <f t="shared" si="181"/>
        <v>6.6430469441984052E-2</v>
      </c>
      <c r="F71" s="202">
        <f t="shared" si="181"/>
        <v>7.011938792668572E-2</v>
      </c>
      <c r="G71" s="202">
        <f t="shared" si="181"/>
        <v>0.10514091049860638</v>
      </c>
      <c r="H71" s="202">
        <f t="shared" si="181"/>
        <v>0.10172718618251055</v>
      </c>
      <c r="I71" s="202">
        <f t="shared" si="181"/>
        <v>0.10643469361647691</v>
      </c>
      <c r="J71" s="202">
        <f t="shared" si="181"/>
        <v>0.10047009948617033</v>
      </c>
      <c r="K71" s="202">
        <f t="shared" si="181"/>
        <v>9.7249703205381871E-2</v>
      </c>
      <c r="L71" s="202">
        <f t="shared" si="181"/>
        <v>9.2950487759985281E-2</v>
      </c>
      <c r="M71" s="202">
        <f t="shared" si="181"/>
        <v>0.10694333599361533</v>
      </c>
      <c r="N71" s="202">
        <f t="shared" si="181"/>
        <v>0.12245065115898109</v>
      </c>
      <c r="O71" s="202">
        <f t="shared" si="181"/>
        <v>0.1180909384069655</v>
      </c>
      <c r="P71" s="202">
        <f t="shared" si="181"/>
        <v>0.12124927870744374</v>
      </c>
      <c r="Q71" s="202">
        <f t="shared" si="181"/>
        <v>0.11172682342369328</v>
      </c>
      <c r="R71" s="197">
        <f>R70/R23</f>
        <v>2.5720332085300342E-2</v>
      </c>
      <c r="S71" s="230">
        <f>S70/S23</f>
        <v>9.9083769633507859E-2</v>
      </c>
      <c r="T71" s="558">
        <f t="shared" si="181"/>
        <v>6.6386127838641812E-2</v>
      </c>
      <c r="U71" s="197">
        <f>U70/U23</f>
        <v>5.0254916241806266E-2</v>
      </c>
      <c r="V71" s="230">
        <f>V70/V23</f>
        <v>0.10091185410334347</v>
      </c>
      <c r="W71" s="558">
        <f t="shared" si="181"/>
        <v>7.7866136514247841E-2</v>
      </c>
      <c r="X71" s="197">
        <f t="shared" ref="X71:AH71" si="182">X70/X23</f>
        <v>-1.3904982618771726E-2</v>
      </c>
      <c r="Y71" s="230">
        <f t="shared" si="182"/>
        <v>5.1114023591087812E-2</v>
      </c>
      <c r="Z71" s="558">
        <f t="shared" si="182"/>
        <v>2.2383146807109941E-2</v>
      </c>
      <c r="AA71" s="197">
        <f t="shared" si="182"/>
        <v>2.002840909090909E-2</v>
      </c>
      <c r="AB71" s="230">
        <f t="shared" si="182"/>
        <v>5.917528341846269E-2</v>
      </c>
      <c r="AC71" s="558">
        <f t="shared" si="182"/>
        <v>4.0884051237804475E-2</v>
      </c>
      <c r="AD71" s="197">
        <f t="shared" si="182"/>
        <v>2.7607779137766898E-2</v>
      </c>
      <c r="AE71" s="230">
        <f t="shared" si="182"/>
        <v>7.4719031740150668E-2</v>
      </c>
      <c r="AF71" s="558">
        <f t="shared" si="182"/>
        <v>5.2297734627831716E-2</v>
      </c>
      <c r="AG71" s="197">
        <f t="shared" si="182"/>
        <v>-0.2931127495054846</v>
      </c>
      <c r="AH71" s="230">
        <f t="shared" si="182"/>
        <v>-6.4406202078718694E-2</v>
      </c>
      <c r="AI71" s="558">
        <f t="shared" si="181"/>
        <v>-0.17567804024496939</v>
      </c>
      <c r="AJ71" s="197">
        <f>AJ70/AJ23</f>
        <v>5.8733499139085515E-2</v>
      </c>
      <c r="AK71" s="230">
        <f>AK70/AK23</f>
        <v>1.8706293706293706E-2</v>
      </c>
      <c r="AL71" s="558">
        <f t="shared" si="181"/>
        <v>3.7818580432995338E-2</v>
      </c>
      <c r="AM71" s="197">
        <f t="shared" ref="AM71:AR71" si="183">AM70/AM23</f>
        <v>2.3549359457422758E-2</v>
      </c>
      <c r="AN71" s="230">
        <f t="shared" si="183"/>
        <v>7.138019775159149E-2</v>
      </c>
      <c r="AO71" s="558">
        <f t="shared" si="183"/>
        <v>5.1374990150500358E-2</v>
      </c>
      <c r="AP71" s="197">
        <f t="shared" si="183"/>
        <v>9.6834532374100724E-2</v>
      </c>
      <c r="AQ71" s="230">
        <f t="shared" si="183"/>
        <v>0.10840524884738149</v>
      </c>
      <c r="AR71" s="558">
        <f t="shared" si="183"/>
        <v>0.10318644947757803</v>
      </c>
      <c r="AS71" s="197">
        <f t="shared" ref="AS71:AU71" si="184">AS70/AS23</f>
        <v>0.14043021266194083</v>
      </c>
      <c r="AT71" s="230">
        <f t="shared" si="184"/>
        <v>0.13604386509414443</v>
      </c>
      <c r="AU71" s="558">
        <f t="shared" si="184"/>
        <v>0.13805468399820708</v>
      </c>
      <c r="AV71" s="197">
        <f t="shared" ref="AV71:AX71" si="185">AV70/AV23</f>
        <v>0.19134371204593131</v>
      </c>
      <c r="AW71" s="230">
        <f t="shared" si="185"/>
        <v>0.15715324486457008</v>
      </c>
      <c r="AX71" s="558">
        <f t="shared" si="185"/>
        <v>0.1725908569719328</v>
      </c>
      <c r="AY71" s="197">
        <f t="shared" ref="AY71" si="186">AY70/AY23</f>
        <v>0.22466530720808583</v>
      </c>
      <c r="AZ71" s="482">
        <f t="shared" si="181"/>
        <v>0.19459264581400265</v>
      </c>
      <c r="BA71" s="582">
        <f t="shared" si="181"/>
        <v>0.20895656488307368</v>
      </c>
      <c r="BB71" s="205">
        <f t="shared" si="181"/>
        <v>0.21333393093301956</v>
      </c>
      <c r="BC71" s="482">
        <f t="shared" si="181"/>
        <v>0.20937881132497546</v>
      </c>
      <c r="BD71" s="582">
        <f t="shared" si="181"/>
        <v>0.21129339780380746</v>
      </c>
      <c r="BE71" s="205">
        <f t="shared" si="181"/>
        <v>0.22275005107136198</v>
      </c>
      <c r="BF71" s="482">
        <f t="shared" si="181"/>
        <v>0.21931600863442449</v>
      </c>
      <c r="BG71" s="582">
        <f t="shared" si="181"/>
        <v>0.22096243408728328</v>
      </c>
      <c r="BH71" s="205">
        <f t="shared" si="181"/>
        <v>0.23257380590708432</v>
      </c>
      <c r="BI71" s="482">
        <f t="shared" si="181"/>
        <v>0.22969903261773678</v>
      </c>
      <c r="BJ71" s="582">
        <f t="shared" si="181"/>
        <v>0.2310775094610695</v>
      </c>
      <c r="BK71" s="205">
        <f t="shared" si="181"/>
        <v>0.24140297907009117</v>
      </c>
      <c r="BL71" s="482">
        <f t="shared" si="181"/>
        <v>0.23909044540499083</v>
      </c>
      <c r="BM71" s="582">
        <f t="shared" si="181"/>
        <v>0.24020038839443558</v>
      </c>
    </row>
    <row r="72" spans="1:67" customFormat="1">
      <c r="S72" s="539"/>
      <c r="T72" s="550"/>
      <c r="V72" s="539"/>
      <c r="W72" s="550"/>
      <c r="Y72" s="539"/>
      <c r="Z72" s="550"/>
      <c r="AA72" s="177"/>
      <c r="AB72" s="214"/>
      <c r="AC72" s="560"/>
      <c r="AD72" s="177"/>
      <c r="AE72" s="214"/>
      <c r="AF72" s="560"/>
      <c r="AG72" s="177"/>
      <c r="AH72" s="214"/>
      <c r="AI72" s="560"/>
      <c r="AJ72" s="177"/>
      <c r="AK72" s="214"/>
      <c r="AL72" s="560"/>
      <c r="AM72" s="177"/>
      <c r="AN72" s="214"/>
      <c r="AO72" s="560"/>
      <c r="AP72" s="177"/>
      <c r="AQ72" s="546"/>
      <c r="AR72" s="587"/>
      <c r="AS72" s="44"/>
      <c r="AT72" s="546"/>
      <c r="AU72" s="587"/>
      <c r="AV72" s="44"/>
      <c r="AW72" s="546"/>
      <c r="AX72" s="587"/>
      <c r="AY72" s="44"/>
      <c r="AZ72" s="546"/>
      <c r="BA72" s="587"/>
      <c r="BB72" s="44"/>
      <c r="BC72" s="546"/>
      <c r="BD72" s="587"/>
      <c r="BE72" s="44"/>
      <c r="BF72" s="546"/>
      <c r="BG72" s="587"/>
      <c r="BH72" s="44"/>
      <c r="BI72" s="546"/>
      <c r="BJ72" s="587"/>
      <c r="BK72" s="44"/>
      <c r="BL72" s="546"/>
      <c r="BM72" s="587"/>
    </row>
    <row r="73" spans="1:67">
      <c r="A73" s="310" t="s">
        <v>628</v>
      </c>
      <c r="B73" s="311"/>
      <c r="C73" s="311"/>
      <c r="D73" s="311"/>
      <c r="E73" s="311"/>
      <c r="F73" s="311"/>
      <c r="G73" s="311"/>
      <c r="H73" s="311"/>
      <c r="I73" s="311"/>
      <c r="J73" s="311"/>
      <c r="K73" s="311"/>
      <c r="L73" s="311"/>
      <c r="M73" s="311"/>
      <c r="N73" s="311"/>
      <c r="O73" s="311"/>
      <c r="P73" s="311"/>
      <c r="Q73" s="311"/>
      <c r="R73" s="307"/>
      <c r="S73" s="316"/>
      <c r="T73" s="566"/>
      <c r="U73" s="307"/>
      <c r="V73" s="316"/>
      <c r="W73" s="551"/>
      <c r="X73" s="525"/>
      <c r="Y73" s="317"/>
      <c r="Z73" s="551"/>
      <c r="AA73" s="525"/>
      <c r="AB73" s="317"/>
      <c r="AC73" s="551"/>
      <c r="AD73" s="525"/>
      <c r="AE73" s="317"/>
      <c r="AF73" s="551"/>
      <c r="AG73" s="525"/>
      <c r="AH73" s="317"/>
      <c r="AI73" s="551"/>
      <c r="AJ73" s="525"/>
      <c r="AK73" s="317"/>
      <c r="AL73" s="551"/>
      <c r="AM73" s="525"/>
      <c r="AN73" s="317"/>
      <c r="AO73" s="551"/>
      <c r="AP73" s="525"/>
      <c r="AQ73" s="317"/>
      <c r="AR73" s="551"/>
      <c r="AS73" s="525"/>
      <c r="AT73" s="317"/>
      <c r="AU73" s="551"/>
      <c r="AV73" s="525"/>
      <c r="AW73" s="317"/>
      <c r="AX73" s="551"/>
      <c r="AY73" s="525"/>
      <c r="AZ73" s="215"/>
      <c r="BA73" s="574"/>
      <c r="BB73" s="179"/>
      <c r="BC73" s="215"/>
      <c r="BD73" s="574"/>
      <c r="BE73" s="179"/>
      <c r="BF73" s="215"/>
      <c r="BG73" s="574"/>
      <c r="BH73" s="179"/>
      <c r="BI73" s="215"/>
      <c r="BJ73" s="574"/>
      <c r="BK73" s="179"/>
      <c r="BL73" s="215"/>
      <c r="BM73" s="574"/>
    </row>
    <row r="74" spans="1:67" customFormat="1">
      <c r="S74" s="539"/>
      <c r="T74" s="550"/>
      <c r="V74" s="539"/>
      <c r="W74" s="550"/>
      <c r="Y74" s="539"/>
      <c r="Z74" s="550"/>
      <c r="AB74" s="539"/>
      <c r="AC74" s="550"/>
      <c r="AE74" s="539"/>
      <c r="AF74" s="550"/>
      <c r="AH74" s="539"/>
      <c r="AI74" s="550"/>
      <c r="AK74" s="539"/>
      <c r="AL74" s="550"/>
      <c r="AN74" s="539"/>
      <c r="AO74" s="550"/>
      <c r="AQ74" s="539"/>
      <c r="AR74" s="550"/>
      <c r="AT74" s="539"/>
      <c r="AU74" s="550"/>
      <c r="AW74" s="539"/>
      <c r="AX74" s="550"/>
      <c r="AZ74" s="539"/>
      <c r="BA74" s="550"/>
      <c r="BC74" s="539"/>
      <c r="BD74" s="550"/>
      <c r="BF74" s="539"/>
      <c r="BG74" s="550"/>
      <c r="BI74" s="539"/>
      <c r="BJ74" s="550"/>
      <c r="BL74" s="539"/>
      <c r="BM74" s="550"/>
    </row>
    <row r="75" spans="1:67" customFormat="1">
      <c r="A75" t="s">
        <v>8</v>
      </c>
      <c r="B75" s="10">
        <v>26100</v>
      </c>
      <c r="C75" s="10">
        <v>24300</v>
      </c>
      <c r="D75" s="10">
        <v>21800</v>
      </c>
      <c r="E75" s="10">
        <v>20400</v>
      </c>
      <c r="F75" s="10">
        <v>19900</v>
      </c>
      <c r="G75" s="10">
        <v>20450</v>
      </c>
      <c r="H75" s="10">
        <v>21800</v>
      </c>
      <c r="I75" s="10">
        <v>22800</v>
      </c>
      <c r="J75" s="10">
        <v>22700</v>
      </c>
      <c r="K75" s="10">
        <v>19800</v>
      </c>
      <c r="L75" s="10">
        <v>19500</v>
      </c>
      <c r="M75" s="10">
        <v>19800</v>
      </c>
      <c r="N75" s="10">
        <v>21500</v>
      </c>
      <c r="O75" s="10">
        <v>23400</v>
      </c>
      <c r="P75" s="10">
        <v>23900</v>
      </c>
      <c r="Q75" s="10">
        <v>23100</v>
      </c>
      <c r="R75" s="10"/>
      <c r="S75" s="216"/>
      <c r="T75" s="556">
        <v>23800</v>
      </c>
      <c r="U75" s="10"/>
      <c r="V75" s="216"/>
      <c r="W75" s="556">
        <v>24600</v>
      </c>
      <c r="X75" s="10"/>
      <c r="Y75" s="216"/>
      <c r="Z75" s="556">
        <v>24600</v>
      </c>
      <c r="AA75" s="10"/>
      <c r="AB75" s="216"/>
      <c r="AC75" s="556">
        <v>25500</v>
      </c>
      <c r="AD75" s="10"/>
      <c r="AE75" s="216"/>
      <c r="AF75" s="556">
        <v>26100</v>
      </c>
      <c r="AG75" s="10"/>
      <c r="AH75" s="216"/>
      <c r="AI75" s="556">
        <v>23300</v>
      </c>
      <c r="AJ75" s="10"/>
      <c r="AK75" s="216"/>
      <c r="AL75" s="556">
        <v>17900</v>
      </c>
      <c r="AM75" s="10"/>
      <c r="AN75" s="216"/>
      <c r="AO75" s="556">
        <v>17700</v>
      </c>
      <c r="AP75" s="10"/>
      <c r="AQ75" s="539"/>
      <c r="AR75" s="556">
        <v>18300</v>
      </c>
      <c r="AT75" s="539"/>
      <c r="AU75" s="550">
        <v>18700</v>
      </c>
      <c r="AW75" s="539"/>
      <c r="AX75" s="550">
        <v>19400</v>
      </c>
      <c r="AZ75" s="539"/>
      <c r="BA75" s="550"/>
      <c r="BC75" s="539"/>
      <c r="BD75" s="550"/>
      <c r="BF75" s="539"/>
      <c r="BG75" s="550"/>
      <c r="BI75" s="539"/>
      <c r="BJ75" s="550"/>
      <c r="BL75" s="539"/>
      <c r="BM75" s="550"/>
    </row>
    <row r="76" spans="1:67" customFormat="1">
      <c r="A76" t="s">
        <v>670</v>
      </c>
      <c r="B76" s="10">
        <v>7700</v>
      </c>
      <c r="C76" s="10">
        <v>7200</v>
      </c>
      <c r="D76" s="10">
        <v>6000</v>
      </c>
      <c r="E76" s="10">
        <v>5000</v>
      </c>
      <c r="F76" s="10">
        <v>5100</v>
      </c>
      <c r="G76" s="10">
        <v>5100</v>
      </c>
      <c r="H76" s="10">
        <v>5400</v>
      </c>
      <c r="I76" s="10">
        <v>5600</v>
      </c>
      <c r="J76" s="10">
        <v>5700</v>
      </c>
      <c r="K76" s="10">
        <v>7100</v>
      </c>
      <c r="L76" s="10">
        <v>6900</v>
      </c>
      <c r="M76" s="10">
        <v>7600</v>
      </c>
      <c r="N76" s="10">
        <v>7800</v>
      </c>
      <c r="O76" s="10">
        <v>7900</v>
      </c>
      <c r="P76" s="10">
        <v>7000</v>
      </c>
      <c r="Q76" s="10">
        <v>6300</v>
      </c>
      <c r="R76" s="10"/>
      <c r="S76" s="216"/>
      <c r="T76" s="556">
        <v>6000</v>
      </c>
      <c r="U76" s="10"/>
      <c r="V76" s="216"/>
      <c r="W76" s="556">
        <v>6100</v>
      </c>
      <c r="X76" s="10"/>
      <c r="Y76" s="216"/>
      <c r="Z76" s="556">
        <v>6100</v>
      </c>
      <c r="AA76" s="10"/>
      <c r="AB76" s="216"/>
      <c r="AC76" s="556">
        <v>10500</v>
      </c>
      <c r="AD76" s="10"/>
      <c r="AE76" s="216"/>
      <c r="AF76" s="556">
        <v>9900</v>
      </c>
      <c r="AG76" s="10"/>
      <c r="AH76" s="216"/>
      <c r="AI76" s="556">
        <v>10600</v>
      </c>
      <c r="AJ76" s="10"/>
      <c r="AK76" s="216"/>
      <c r="AL76" s="556">
        <v>11100</v>
      </c>
      <c r="AM76" s="10"/>
      <c r="AN76" s="216"/>
      <c r="AO76" s="556">
        <v>11000</v>
      </c>
      <c r="AP76" s="10"/>
      <c r="AQ76" s="539"/>
      <c r="AR76" s="556">
        <v>12000</v>
      </c>
      <c r="AT76" s="539"/>
      <c r="AU76" s="550">
        <v>12500</v>
      </c>
      <c r="AW76" s="539"/>
      <c r="AX76" s="550">
        <v>12800</v>
      </c>
      <c r="AZ76" s="539"/>
      <c r="BA76" s="550"/>
      <c r="BC76" s="539"/>
      <c r="BD76" s="550"/>
      <c r="BF76" s="539"/>
      <c r="BG76" s="550"/>
      <c r="BI76" s="539"/>
      <c r="BJ76" s="550"/>
      <c r="BL76" s="539"/>
      <c r="BM76" s="550"/>
    </row>
    <row r="77" spans="1:67" customFormat="1">
      <c r="A77" t="s">
        <v>10</v>
      </c>
      <c r="B77" s="10">
        <v>0</v>
      </c>
      <c r="C77" s="10"/>
      <c r="D77" s="10">
        <v>0</v>
      </c>
      <c r="E77" s="10">
        <v>0</v>
      </c>
      <c r="F77" s="10">
        <v>0</v>
      </c>
      <c r="G77" s="10">
        <v>0</v>
      </c>
      <c r="H77" s="10">
        <v>0</v>
      </c>
      <c r="I77" s="10">
        <v>0</v>
      </c>
      <c r="J77" s="10">
        <v>0</v>
      </c>
      <c r="K77" s="10">
        <v>0</v>
      </c>
      <c r="L77" s="10">
        <v>0</v>
      </c>
      <c r="M77" s="10">
        <v>900</v>
      </c>
      <c r="N77" s="10">
        <v>1000</v>
      </c>
      <c r="O77" s="10">
        <v>10700</v>
      </c>
      <c r="P77" s="10">
        <v>10700</v>
      </c>
      <c r="Q77" s="10">
        <v>10600</v>
      </c>
      <c r="R77" s="10"/>
      <c r="S77" s="216"/>
      <c r="T77" s="556">
        <v>10300</v>
      </c>
      <c r="U77" s="10"/>
      <c r="V77" s="216"/>
      <c r="W77" s="556">
        <v>10100</v>
      </c>
      <c r="X77" s="10"/>
      <c r="Y77" s="216"/>
      <c r="Z77" s="556">
        <v>10100</v>
      </c>
      <c r="AA77" s="10"/>
      <c r="AB77" s="216"/>
      <c r="AC77" s="556">
        <v>10500</v>
      </c>
      <c r="AD77" s="10"/>
      <c r="AE77" s="216"/>
      <c r="AF77" s="556">
        <v>10400</v>
      </c>
      <c r="AG77" s="10"/>
      <c r="AH77" s="216"/>
      <c r="AI77" s="556">
        <v>8900</v>
      </c>
      <c r="AJ77" s="10"/>
      <c r="AK77" s="216"/>
      <c r="AL77" s="556">
        <v>9100</v>
      </c>
      <c r="AM77" s="10"/>
      <c r="AN77" s="216"/>
      <c r="AO77" s="556">
        <v>9400</v>
      </c>
      <c r="AP77" s="10"/>
      <c r="AQ77" s="539"/>
      <c r="AR77" s="556">
        <v>9800</v>
      </c>
      <c r="AT77" s="539"/>
      <c r="AU77" s="550">
        <v>9900</v>
      </c>
      <c r="AW77" s="539"/>
      <c r="AX77" s="550">
        <v>10000</v>
      </c>
      <c r="AZ77" s="539"/>
      <c r="BA77" s="550"/>
      <c r="BC77" s="539"/>
      <c r="BD77" s="550"/>
      <c r="BF77" s="539"/>
      <c r="BG77" s="550"/>
      <c r="BI77" s="539"/>
      <c r="BJ77" s="550"/>
      <c r="BL77" s="539"/>
      <c r="BM77" s="550"/>
    </row>
    <row r="78" spans="1:67" customFormat="1">
      <c r="A78" t="s">
        <v>1039</v>
      </c>
      <c r="B78" s="10"/>
      <c r="C78" s="10"/>
      <c r="D78" s="10"/>
      <c r="E78" s="10"/>
      <c r="F78" s="10"/>
      <c r="G78" s="10"/>
      <c r="H78" s="10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216"/>
      <c r="T78" s="556"/>
      <c r="U78" s="10"/>
      <c r="V78" s="216"/>
      <c r="W78" s="556"/>
      <c r="X78" s="10"/>
      <c r="Y78" s="216"/>
      <c r="Z78" s="556"/>
      <c r="AA78" s="10"/>
      <c r="AB78" s="216"/>
      <c r="AC78" s="556"/>
      <c r="AD78" s="10"/>
      <c r="AE78" s="216"/>
      <c r="AF78" s="556"/>
      <c r="AG78" s="10"/>
      <c r="AH78" s="216"/>
      <c r="AI78" s="556"/>
      <c r="AJ78" s="10"/>
      <c r="AK78" s="216"/>
      <c r="AL78" s="556">
        <v>400</v>
      </c>
      <c r="AM78" s="10"/>
      <c r="AN78" s="216"/>
      <c r="AO78" s="556">
        <v>800</v>
      </c>
      <c r="AP78" s="10"/>
      <c r="AQ78" s="539"/>
      <c r="AR78" s="556">
        <v>1200</v>
      </c>
      <c r="AT78" s="539"/>
      <c r="AU78" s="550">
        <v>1200</v>
      </c>
      <c r="AW78" s="539"/>
      <c r="AX78" s="550">
        <v>200</v>
      </c>
      <c r="AZ78" s="539"/>
      <c r="BA78" s="550"/>
      <c r="BC78" s="539"/>
      <c r="BD78" s="550"/>
      <c r="BF78" s="539"/>
      <c r="BG78" s="550"/>
      <c r="BI78" s="539"/>
      <c r="BJ78" s="550"/>
      <c r="BL78" s="539"/>
      <c r="BM78" s="550"/>
    </row>
    <row r="79" spans="1:67" customFormat="1" hidden="1" outlineLevel="1">
      <c r="A79" t="s">
        <v>671</v>
      </c>
      <c r="B79" s="10"/>
      <c r="C79" s="10"/>
      <c r="D79" s="10"/>
      <c r="E79" s="10"/>
      <c r="F79" s="10"/>
      <c r="G79" s="10"/>
      <c r="H79" s="10"/>
      <c r="I79" s="10"/>
      <c r="J79" s="10"/>
      <c r="K79" s="10"/>
      <c r="L79" s="10"/>
      <c r="M79" s="10"/>
      <c r="N79" s="10"/>
      <c r="O79" s="10"/>
      <c r="P79" s="10"/>
      <c r="Q79" s="10"/>
      <c r="R79" s="10"/>
      <c r="S79" s="216"/>
      <c r="T79" s="556"/>
      <c r="U79" s="10"/>
      <c r="V79" s="216"/>
      <c r="W79" s="556"/>
      <c r="X79" s="10"/>
      <c r="Y79" s="216"/>
      <c r="Z79" s="556"/>
      <c r="AA79" s="10"/>
      <c r="AB79" s="216"/>
      <c r="AC79" s="556">
        <v>3700</v>
      </c>
      <c r="AD79" s="10"/>
      <c r="AE79" s="216"/>
      <c r="AF79" s="556">
        <v>3900</v>
      </c>
      <c r="AG79" s="10"/>
      <c r="AH79" s="216"/>
      <c r="AI79" s="556">
        <v>3800</v>
      </c>
      <c r="AJ79" s="10"/>
      <c r="AK79" s="216"/>
      <c r="AL79" s="556">
        <v>4000</v>
      </c>
      <c r="AM79" s="10"/>
      <c r="AN79" s="216"/>
      <c r="AO79" s="556">
        <v>2800</v>
      </c>
      <c r="AP79" s="10"/>
      <c r="AQ79" s="539"/>
      <c r="AR79" s="556">
        <v>0</v>
      </c>
      <c r="AT79" s="539"/>
      <c r="AU79" s="550"/>
      <c r="AW79" s="539"/>
      <c r="AX79" s="550"/>
      <c r="AZ79" s="539"/>
      <c r="BA79" s="550"/>
      <c r="BC79" s="539"/>
      <c r="BD79" s="550"/>
      <c r="BF79" s="539"/>
      <c r="BG79" s="550"/>
      <c r="BI79" s="539"/>
      <c r="BJ79" s="550"/>
      <c r="BL79" s="539"/>
      <c r="BM79" s="550"/>
    </row>
    <row r="80" spans="1:67" customFormat="1" hidden="1" outlineLevel="1">
      <c r="A80" t="s">
        <v>9</v>
      </c>
      <c r="B80" s="10">
        <v>6500</v>
      </c>
      <c r="C80" s="10">
        <v>6600</v>
      </c>
      <c r="D80" s="10">
        <v>6500</v>
      </c>
      <c r="E80" s="10">
        <v>7300</v>
      </c>
      <c r="F80" s="10">
        <v>7200</v>
      </c>
      <c r="G80" s="10">
        <v>7200</v>
      </c>
      <c r="H80" s="10">
        <v>7400</v>
      </c>
      <c r="I80" s="10">
        <v>7700</v>
      </c>
      <c r="J80" s="10">
        <v>8100</v>
      </c>
      <c r="K80" s="10">
        <v>8300</v>
      </c>
      <c r="L80" s="10">
        <v>9000</v>
      </c>
      <c r="M80" s="10">
        <v>8600</v>
      </c>
      <c r="N80" s="10">
        <v>8800</v>
      </c>
      <c r="O80" s="10">
        <v>6900</v>
      </c>
      <c r="P80" s="10">
        <v>6400</v>
      </c>
      <c r="Q80" s="10">
        <v>6000</v>
      </c>
      <c r="R80" s="10"/>
      <c r="S80" s="216"/>
      <c r="T80" s="556">
        <v>5300</v>
      </c>
      <c r="U80" s="10"/>
      <c r="V80" s="216"/>
      <c r="W80" s="556">
        <v>4600</v>
      </c>
      <c r="X80" s="10"/>
      <c r="Y80" s="216"/>
      <c r="Z80" s="556">
        <v>4600</v>
      </c>
      <c r="AA80" s="10"/>
      <c r="AB80" s="216"/>
      <c r="AC80" s="556"/>
      <c r="AD80" s="10"/>
      <c r="AE80" s="216"/>
      <c r="AF80" s="556"/>
      <c r="AG80" s="10"/>
      <c r="AH80" s="216"/>
      <c r="AI80" s="556"/>
      <c r="AJ80" s="10"/>
      <c r="AK80" s="216"/>
      <c r="AL80" s="556"/>
      <c r="AM80" s="10"/>
      <c r="AN80" s="216"/>
      <c r="AO80" s="556"/>
      <c r="AP80" s="10"/>
      <c r="AQ80" s="539"/>
      <c r="AR80" s="556"/>
      <c r="AT80" s="539"/>
      <c r="AU80" s="550"/>
      <c r="AW80" s="539"/>
      <c r="AX80" s="550"/>
      <c r="AZ80" s="539"/>
      <c r="BA80" s="550"/>
      <c r="BC80" s="539"/>
      <c r="BD80" s="550"/>
      <c r="BF80" s="539"/>
      <c r="BG80" s="550"/>
      <c r="BI80" s="539"/>
      <c r="BJ80" s="550"/>
      <c r="BL80" s="539"/>
      <c r="BM80" s="550"/>
    </row>
    <row r="81" spans="1:65" customFormat="1" hidden="1" outlineLevel="1">
      <c r="A81" t="s">
        <v>636</v>
      </c>
      <c r="B81" s="10">
        <v>5600</v>
      </c>
      <c r="C81" s="10">
        <v>5100</v>
      </c>
      <c r="D81" s="10">
        <v>4800</v>
      </c>
      <c r="E81" s="10">
        <v>3300</v>
      </c>
      <c r="F81" s="10">
        <v>2900</v>
      </c>
      <c r="G81" s="10">
        <v>2850</v>
      </c>
      <c r="H81" s="10">
        <v>2700</v>
      </c>
      <c r="I81" s="10">
        <v>2500</v>
      </c>
      <c r="J81" s="10">
        <v>2500</v>
      </c>
      <c r="K81" s="10">
        <v>3300</v>
      </c>
      <c r="L81" s="10">
        <v>3500</v>
      </c>
      <c r="M81" s="10">
        <v>3500</v>
      </c>
      <c r="N81" s="10">
        <v>3700</v>
      </c>
      <c r="O81" s="10">
        <v>3900</v>
      </c>
      <c r="P81" s="10">
        <v>4100</v>
      </c>
      <c r="Q81" s="10">
        <v>4100</v>
      </c>
      <c r="R81" s="10"/>
      <c r="S81" s="216"/>
      <c r="T81" s="556">
        <v>4300</v>
      </c>
      <c r="U81" s="10"/>
      <c r="V81" s="216"/>
      <c r="W81" s="556">
        <v>4400</v>
      </c>
      <c r="X81" s="10"/>
      <c r="Y81" s="216"/>
      <c r="Z81" s="556">
        <v>4400</v>
      </c>
      <c r="AA81" s="10"/>
      <c r="AB81" s="216"/>
      <c r="AC81" s="556"/>
      <c r="AD81" s="10"/>
      <c r="AE81" s="216"/>
      <c r="AF81" s="556"/>
      <c r="AG81" s="10"/>
      <c r="AH81" s="216"/>
      <c r="AI81" s="556"/>
      <c r="AJ81" s="10"/>
      <c r="AK81" s="216"/>
      <c r="AL81" s="556"/>
      <c r="AM81" s="10"/>
      <c r="AN81" s="216"/>
      <c r="AO81" s="556"/>
      <c r="AP81" s="10"/>
      <c r="AQ81" s="539"/>
      <c r="AR81" s="556"/>
      <c r="AT81" s="539"/>
      <c r="AU81" s="550"/>
      <c r="AW81" s="539"/>
      <c r="AX81" s="550"/>
      <c r="AZ81" s="539"/>
      <c r="BA81" s="550"/>
      <c r="BC81" s="539"/>
      <c r="BD81" s="550"/>
      <c r="BF81" s="539"/>
      <c r="BG81" s="550"/>
      <c r="BI81" s="539"/>
      <c r="BJ81" s="550"/>
      <c r="BL81" s="539"/>
      <c r="BM81" s="550"/>
    </row>
    <row r="82" spans="1:65" customFormat="1" collapsed="1">
      <c r="A82" t="s">
        <v>635</v>
      </c>
      <c r="B82" s="10">
        <v>700</v>
      </c>
      <c r="C82" s="10">
        <v>100</v>
      </c>
      <c r="D82" s="10">
        <v>100</v>
      </c>
      <c r="E82" s="10">
        <v>100</v>
      </c>
      <c r="F82" s="10">
        <v>100</v>
      </c>
      <c r="G82" s="10">
        <v>0</v>
      </c>
      <c r="H82" s="10">
        <v>0</v>
      </c>
      <c r="I82" s="10">
        <v>0</v>
      </c>
      <c r="J82" s="10">
        <v>0</v>
      </c>
      <c r="K82" s="10">
        <v>0</v>
      </c>
      <c r="L82" s="10">
        <v>0</v>
      </c>
      <c r="M82" s="10">
        <v>0</v>
      </c>
      <c r="N82" s="10">
        <v>0</v>
      </c>
      <c r="O82" s="10">
        <v>2400</v>
      </c>
      <c r="P82" s="10">
        <v>2000</v>
      </c>
      <c r="Q82" s="10">
        <v>400</v>
      </c>
      <c r="R82" s="10"/>
      <c r="S82" s="216"/>
      <c r="T82" s="556">
        <v>200</v>
      </c>
      <c r="U82" s="10"/>
      <c r="V82" s="216"/>
      <c r="W82" s="556">
        <v>200</v>
      </c>
      <c r="X82" s="10"/>
      <c r="Y82" s="216"/>
      <c r="Z82" s="556">
        <v>200</v>
      </c>
      <c r="AA82" s="10"/>
      <c r="AB82" s="216"/>
      <c r="AC82" s="556">
        <f>100+4200</f>
        <v>4300</v>
      </c>
      <c r="AD82" s="10"/>
      <c r="AE82" s="216"/>
      <c r="AF82" s="556">
        <f>100+1300</f>
        <v>1400</v>
      </c>
      <c r="AG82" s="10"/>
      <c r="AH82" s="216"/>
      <c r="AI82" s="556">
        <f>100+1500</f>
        <v>1600</v>
      </c>
      <c r="AJ82" s="10"/>
      <c r="AK82" s="216"/>
      <c r="AL82" s="556">
        <f>100+1400</f>
        <v>1500</v>
      </c>
      <c r="AM82" s="10"/>
      <c r="AN82" s="216"/>
      <c r="AO82" s="556">
        <v>100</v>
      </c>
      <c r="AP82" s="10"/>
      <c r="AQ82" s="539"/>
      <c r="AR82" s="556">
        <v>100</v>
      </c>
      <c r="AT82" s="539"/>
      <c r="AU82" s="550">
        <v>100</v>
      </c>
      <c r="AW82" s="539"/>
      <c r="AX82" s="550">
        <v>200</v>
      </c>
      <c r="AZ82" s="539"/>
      <c r="BA82" s="550"/>
      <c r="BC82" s="539"/>
      <c r="BD82" s="550"/>
      <c r="BF82" s="539"/>
      <c r="BG82" s="550"/>
      <c r="BI82" s="539"/>
      <c r="BJ82" s="550"/>
      <c r="BL82" s="539"/>
      <c r="BM82" s="550"/>
    </row>
    <row r="83" spans="1:65" customFormat="1">
      <c r="A83" s="2" t="s">
        <v>629</v>
      </c>
      <c r="B83" s="27">
        <f t="shared" ref="B83:W83" si="187">SUM(B75:B82)</f>
        <v>46600</v>
      </c>
      <c r="C83" s="27">
        <f t="shared" si="187"/>
        <v>43300</v>
      </c>
      <c r="D83" s="27">
        <f t="shared" si="187"/>
        <v>39200</v>
      </c>
      <c r="E83" s="27">
        <f t="shared" si="187"/>
        <v>36100</v>
      </c>
      <c r="F83" s="27">
        <f t="shared" si="187"/>
        <v>35200</v>
      </c>
      <c r="G83" s="27">
        <f t="shared" si="187"/>
        <v>35600</v>
      </c>
      <c r="H83" s="27">
        <f t="shared" si="187"/>
        <v>37300</v>
      </c>
      <c r="I83" s="27">
        <f t="shared" si="187"/>
        <v>38600</v>
      </c>
      <c r="J83" s="27">
        <f t="shared" si="187"/>
        <v>39000</v>
      </c>
      <c r="K83" s="27">
        <f t="shared" si="187"/>
        <v>38500</v>
      </c>
      <c r="L83" s="27">
        <f t="shared" si="187"/>
        <v>38900</v>
      </c>
      <c r="M83" s="27">
        <f t="shared" si="187"/>
        <v>40400</v>
      </c>
      <c r="N83" s="27">
        <f t="shared" si="187"/>
        <v>42800</v>
      </c>
      <c r="O83" s="27">
        <f t="shared" si="187"/>
        <v>55200</v>
      </c>
      <c r="P83" s="27">
        <f t="shared" si="187"/>
        <v>54100</v>
      </c>
      <c r="Q83" s="27">
        <f t="shared" si="187"/>
        <v>50500</v>
      </c>
      <c r="R83" s="27"/>
      <c r="S83" s="218"/>
      <c r="T83" s="553">
        <f t="shared" si="187"/>
        <v>49900</v>
      </c>
      <c r="U83" s="27"/>
      <c r="V83" s="218"/>
      <c r="W83" s="553">
        <f t="shared" si="187"/>
        <v>50000</v>
      </c>
      <c r="X83" s="27"/>
      <c r="Y83" s="218"/>
      <c r="Z83" s="553">
        <f t="shared" ref="Z83:AO83" si="188">SUM(Z75:Z82)</f>
        <v>50000</v>
      </c>
      <c r="AA83" s="27"/>
      <c r="AB83" s="218"/>
      <c r="AC83" s="553">
        <f t="shared" si="188"/>
        <v>54500</v>
      </c>
      <c r="AD83" s="27"/>
      <c r="AE83" s="218"/>
      <c r="AF83" s="553">
        <f t="shared" si="188"/>
        <v>51700</v>
      </c>
      <c r="AG83" s="27"/>
      <c r="AH83" s="218"/>
      <c r="AI83" s="553">
        <f t="shared" si="188"/>
        <v>48200</v>
      </c>
      <c r="AJ83" s="27"/>
      <c r="AK83" s="218"/>
      <c r="AL83" s="553">
        <f t="shared" si="188"/>
        <v>44000</v>
      </c>
      <c r="AM83" s="27"/>
      <c r="AN83" s="218"/>
      <c r="AO83" s="553">
        <f t="shared" si="188"/>
        <v>41800</v>
      </c>
      <c r="AP83" s="27"/>
      <c r="AQ83" s="539"/>
      <c r="AR83" s="553">
        <f t="shared" ref="AR83" si="189">SUM(AR75:AR82)</f>
        <v>41400</v>
      </c>
      <c r="AT83" s="539"/>
      <c r="AU83" s="553">
        <f t="shared" ref="AU83" si="190">SUM(AU75:AU82)</f>
        <v>42400</v>
      </c>
      <c r="AW83" s="539"/>
      <c r="AX83" s="553">
        <f t="shared" ref="AX83" si="191">SUM(AX75:AX82)</f>
        <v>42600</v>
      </c>
      <c r="AZ83" s="539"/>
      <c r="BA83" s="550"/>
      <c r="BC83" s="539"/>
      <c r="BD83" s="550"/>
      <c r="BF83" s="539"/>
      <c r="BG83" s="550"/>
      <c r="BI83" s="539"/>
      <c r="BJ83" s="550"/>
      <c r="BL83" s="539"/>
      <c r="BM83" s="550"/>
    </row>
    <row r="84" spans="1:65" customFormat="1">
      <c r="A84" t="s">
        <v>61</v>
      </c>
      <c r="B84" s="165"/>
      <c r="C84" s="165">
        <f t="shared" ref="C84:Q84" si="192">C83/B83-1</f>
        <v>-7.0815450643776812E-2</v>
      </c>
      <c r="D84" s="165">
        <f t="shared" si="192"/>
        <v>-9.4688221709006926E-2</v>
      </c>
      <c r="E84" s="165">
        <f t="shared" si="192"/>
        <v>-7.9081632653061229E-2</v>
      </c>
      <c r="F84" s="165">
        <f t="shared" si="192"/>
        <v>-2.4930747922437657E-2</v>
      </c>
      <c r="G84" s="165">
        <f t="shared" si="192"/>
        <v>1.1363636363636465E-2</v>
      </c>
      <c r="H84" s="165">
        <f t="shared" si="192"/>
        <v>4.7752808988763995E-2</v>
      </c>
      <c r="I84" s="165">
        <f t="shared" si="192"/>
        <v>3.4852546916890104E-2</v>
      </c>
      <c r="J84" s="165">
        <f t="shared" si="192"/>
        <v>1.0362694300518172E-2</v>
      </c>
      <c r="K84" s="165">
        <f t="shared" si="192"/>
        <v>-1.2820512820512775E-2</v>
      </c>
      <c r="L84" s="165">
        <f t="shared" si="192"/>
        <v>1.0389610389610393E-2</v>
      </c>
      <c r="M84" s="165">
        <f t="shared" si="192"/>
        <v>3.8560411311054033E-2</v>
      </c>
      <c r="N84" s="165">
        <f t="shared" si="192"/>
        <v>5.9405940594059459E-2</v>
      </c>
      <c r="O84" s="165">
        <f t="shared" si="192"/>
        <v>0.28971962616822422</v>
      </c>
      <c r="P84" s="165">
        <f t="shared" si="192"/>
        <v>-1.9927536231884035E-2</v>
      </c>
      <c r="Q84" s="165">
        <f t="shared" si="192"/>
        <v>-6.6543438077633965E-2</v>
      </c>
      <c r="R84" s="165"/>
      <c r="S84" s="229"/>
      <c r="T84" s="559">
        <f>T83/Q83-1</f>
        <v>-1.1881188118811892E-2</v>
      </c>
      <c r="U84" s="165"/>
      <c r="V84" s="229"/>
      <c r="W84" s="559">
        <f>W83/T83-1</f>
        <v>2.0040080160319551E-3</v>
      </c>
      <c r="X84" s="165"/>
      <c r="Y84" s="229"/>
      <c r="Z84" s="559"/>
      <c r="AA84" s="165"/>
      <c r="AB84" s="229"/>
      <c r="AC84" s="559">
        <f>AC83/Z83-1</f>
        <v>9.000000000000008E-2</v>
      </c>
      <c r="AD84" s="165"/>
      <c r="AE84" s="229"/>
      <c r="AF84" s="559">
        <f>AF83/AC83-1</f>
        <v>-5.1376146788990829E-2</v>
      </c>
      <c r="AG84" s="165"/>
      <c r="AH84" s="229"/>
      <c r="AI84" s="559">
        <f>AI83/AF83-1</f>
        <v>-6.7698259187620846E-2</v>
      </c>
      <c r="AJ84" s="165"/>
      <c r="AK84" s="229"/>
      <c r="AL84" s="559">
        <f>AL83/AI83-1</f>
        <v>-8.7136929460580936E-2</v>
      </c>
      <c r="AM84" s="165"/>
      <c r="AN84" s="229"/>
      <c r="AO84" s="559">
        <f>AO83/AL83-1</f>
        <v>-5.0000000000000044E-2</v>
      </c>
      <c r="AP84" s="165"/>
      <c r="AQ84" s="539"/>
      <c r="AR84" s="559">
        <f>AR83/AO83-1</f>
        <v>-9.5693779904306719E-3</v>
      </c>
      <c r="AT84" s="539"/>
      <c r="AU84" s="559">
        <f>AU83/AR83-1</f>
        <v>2.4154589371980784E-2</v>
      </c>
      <c r="AW84" s="539"/>
      <c r="AX84" s="559">
        <f>AX83/AU83-1</f>
        <v>4.7169811320755262E-3</v>
      </c>
      <c r="AZ84" s="539"/>
      <c r="BA84" s="550"/>
      <c r="BC84" s="539"/>
      <c r="BD84" s="550"/>
      <c r="BF84" s="539"/>
      <c r="BG84" s="550"/>
      <c r="BI84" s="539"/>
      <c r="BJ84" s="550"/>
      <c r="BL84" s="539"/>
      <c r="BM84" s="550"/>
    </row>
    <row r="85" spans="1:65" customFormat="1">
      <c r="A85" t="s">
        <v>637</v>
      </c>
      <c r="B85" s="203">
        <f t="shared" ref="B85:AO85" si="193">B23/B83*1000</f>
        <v>125.83690987124463</v>
      </c>
      <c r="C85" s="203">
        <f t="shared" si="193"/>
        <v>146.1431870669746</v>
      </c>
      <c r="D85" s="203">
        <f t="shared" si="193"/>
        <v>147.65306122448979</v>
      </c>
      <c r="E85" s="203">
        <f t="shared" si="193"/>
        <v>156.37119113573408</v>
      </c>
      <c r="F85" s="203">
        <f t="shared" si="193"/>
        <v>168.94886363636363</v>
      </c>
      <c r="G85" s="203">
        <f t="shared" si="193"/>
        <v>181.40449438202248</v>
      </c>
      <c r="H85" s="203">
        <f t="shared" si="193"/>
        <v>197.13136729222518</v>
      </c>
      <c r="I85" s="203">
        <f t="shared" si="193"/>
        <v>202.51295336787564</v>
      </c>
      <c r="J85" s="203">
        <f t="shared" si="193"/>
        <v>234.53846153846152</v>
      </c>
      <c r="K85" s="203">
        <f t="shared" si="193"/>
        <v>262.5454545454545</v>
      </c>
      <c r="L85" s="203">
        <f t="shared" si="193"/>
        <v>279.33161953727512</v>
      </c>
      <c r="M85" s="203">
        <f t="shared" si="193"/>
        <v>279.13366336633663</v>
      </c>
      <c r="N85" s="203">
        <f t="shared" si="193"/>
        <v>285.25700934579442</v>
      </c>
      <c r="O85" s="203">
        <f t="shared" si="193"/>
        <v>280.88768115942031</v>
      </c>
      <c r="P85" s="203">
        <f t="shared" si="193"/>
        <v>256.26617375231052</v>
      </c>
      <c r="Q85" s="203">
        <f t="shared" si="193"/>
        <v>264.43564356435644</v>
      </c>
      <c r="R85" s="203"/>
      <c r="S85" s="234"/>
      <c r="T85" s="561">
        <f t="shared" si="193"/>
        <v>276.2124248496994</v>
      </c>
      <c r="U85" s="203"/>
      <c r="V85" s="234"/>
      <c r="W85" s="561">
        <f t="shared" si="193"/>
        <v>301.8</v>
      </c>
      <c r="X85" s="203"/>
      <c r="Y85" s="234"/>
      <c r="Z85" s="561">
        <f t="shared" si="193"/>
        <v>273.42</v>
      </c>
      <c r="AA85" s="203"/>
      <c r="AB85" s="234"/>
      <c r="AC85" s="561">
        <f t="shared" si="193"/>
        <v>276.45871559633031</v>
      </c>
      <c r="AD85" s="203"/>
      <c r="AE85" s="234"/>
      <c r="AF85" s="561">
        <f t="shared" si="193"/>
        <v>298.83945841392648</v>
      </c>
      <c r="AG85" s="203"/>
      <c r="AH85" s="234"/>
      <c r="AI85" s="561">
        <f t="shared" si="193"/>
        <v>237.13692946058092</v>
      </c>
      <c r="AJ85" s="203"/>
      <c r="AK85" s="234"/>
      <c r="AL85" s="561">
        <f t="shared" si="193"/>
        <v>248.79545454545453</v>
      </c>
      <c r="AM85" s="203"/>
      <c r="AN85" s="234"/>
      <c r="AO85" s="561">
        <f t="shared" si="193"/>
        <v>303.61244019138758</v>
      </c>
      <c r="AP85" s="203"/>
      <c r="AQ85" s="539"/>
      <c r="AR85" s="561">
        <f t="shared" ref="AR85" si="194">AR23/AR83*1000</f>
        <v>372.19806763285021</v>
      </c>
      <c r="AT85" s="539"/>
      <c r="AU85" s="561">
        <f t="shared" ref="AU85" si="195">AU23/AU83*1000</f>
        <v>420.94339622641508</v>
      </c>
      <c r="AW85" s="539"/>
      <c r="AX85" s="561">
        <f t="shared" ref="AX85" si="196">AX23/AX83*1000</f>
        <v>470.86854460093895</v>
      </c>
      <c r="AZ85" s="539"/>
      <c r="BA85" s="550"/>
      <c r="BC85" s="539"/>
      <c r="BD85" s="550"/>
      <c r="BF85" s="539"/>
      <c r="BG85" s="550"/>
      <c r="BI85" s="539"/>
      <c r="BJ85" s="550"/>
      <c r="BL85" s="539"/>
      <c r="BM85" s="550"/>
    </row>
    <row r="86" spans="1:65" customFormat="1">
      <c r="A86" t="s">
        <v>641</v>
      </c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>
        <v>10000</v>
      </c>
      <c r="M86" s="10">
        <v>12400</v>
      </c>
      <c r="N86" s="10">
        <v>14700</v>
      </c>
      <c r="O86" s="10">
        <v>16600</v>
      </c>
      <c r="P86" s="10">
        <v>15500</v>
      </c>
      <c r="Q86" s="10">
        <v>15690</v>
      </c>
      <c r="R86" s="10"/>
      <c r="S86" s="216"/>
      <c r="T86" s="556">
        <v>16526</v>
      </c>
      <c r="U86" s="10"/>
      <c r="V86" s="216"/>
      <c r="W86" s="556">
        <v>18245</v>
      </c>
      <c r="X86" s="10"/>
      <c r="Y86" s="216"/>
      <c r="Z86" s="556">
        <v>18245</v>
      </c>
      <c r="AA86" s="10"/>
      <c r="AB86" s="216"/>
      <c r="AC86" s="556">
        <v>17326</v>
      </c>
      <c r="AD86" s="10"/>
      <c r="AE86" s="216"/>
      <c r="AF86" s="556"/>
      <c r="AG86" s="10"/>
      <c r="AH86" s="216"/>
      <c r="AI86" s="556"/>
      <c r="AJ86" s="10"/>
      <c r="AK86" s="216"/>
      <c r="AL86" s="556"/>
      <c r="AM86" s="10"/>
      <c r="AN86" s="216"/>
      <c r="AO86" s="556"/>
      <c r="AP86" s="10"/>
      <c r="AQ86" s="539"/>
      <c r="AR86" s="550"/>
      <c r="AT86" s="539"/>
      <c r="AU86" s="550"/>
      <c r="AW86" s="539"/>
      <c r="AX86" s="550"/>
      <c r="AZ86" s="539"/>
      <c r="BA86" s="550"/>
      <c r="BC86" s="539"/>
      <c r="BD86" s="550"/>
      <c r="BF86" s="539"/>
      <c r="BG86" s="550"/>
      <c r="BI86" s="539"/>
      <c r="BJ86" s="550"/>
      <c r="BL86" s="539"/>
      <c r="BM86" s="550"/>
    </row>
    <row r="87" spans="1:65" customFormat="1">
      <c r="A87" s="185" t="s">
        <v>638</v>
      </c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>
        <v>7210</v>
      </c>
      <c r="R87" s="10"/>
      <c r="S87" s="216"/>
      <c r="T87" s="556">
        <v>7611</v>
      </c>
      <c r="U87" s="10"/>
      <c r="V87" s="216"/>
      <c r="W87" s="556"/>
      <c r="X87" s="10"/>
      <c r="Y87" s="216"/>
      <c r="Z87" s="556"/>
      <c r="AB87" s="539"/>
      <c r="AC87" s="550">
        <v>7645</v>
      </c>
      <c r="AE87" s="539"/>
      <c r="AF87" s="550"/>
      <c r="AH87" s="539"/>
      <c r="AI87" s="550"/>
      <c r="AK87" s="539"/>
      <c r="AL87" s="550"/>
      <c r="AN87" s="539"/>
      <c r="AO87" s="550"/>
      <c r="AQ87" s="539"/>
      <c r="AR87" s="550"/>
      <c r="AT87" s="539"/>
      <c r="AU87" s="550"/>
      <c r="AW87" s="539"/>
      <c r="AX87" s="550"/>
      <c r="AZ87" s="539"/>
      <c r="BA87" s="550"/>
      <c r="BC87" s="539"/>
      <c r="BD87" s="550"/>
      <c r="BF87" s="539"/>
      <c r="BG87" s="550"/>
      <c r="BI87" s="539"/>
      <c r="BJ87" s="550"/>
      <c r="BL87" s="539"/>
      <c r="BM87" s="550"/>
    </row>
    <row r="88" spans="1:65" customFormat="1">
      <c r="A88" s="185" t="s">
        <v>639</v>
      </c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>
        <v>3204</v>
      </c>
      <c r="R88" s="10"/>
      <c r="S88" s="216"/>
      <c r="T88" s="556">
        <v>3435</v>
      </c>
      <c r="U88" s="10"/>
      <c r="V88" s="216"/>
      <c r="W88" s="556"/>
      <c r="X88" s="10"/>
      <c r="Y88" s="216"/>
      <c r="Z88" s="556"/>
      <c r="AB88" s="539"/>
      <c r="AC88" s="550">
        <v>3922</v>
      </c>
      <c r="AE88" s="539"/>
      <c r="AF88" s="550"/>
      <c r="AH88" s="539"/>
      <c r="AI88" s="550"/>
      <c r="AK88" s="539"/>
      <c r="AL88" s="550"/>
      <c r="AN88" s="539"/>
      <c r="AO88" s="550"/>
      <c r="AQ88" s="539"/>
      <c r="AR88" s="550"/>
      <c r="AT88" s="539"/>
      <c r="AU88" s="550"/>
      <c r="AW88" s="539"/>
      <c r="AX88" s="550"/>
      <c r="AZ88" s="539"/>
      <c r="BA88" s="550"/>
      <c r="BC88" s="539"/>
      <c r="BD88" s="550"/>
      <c r="BF88" s="539"/>
      <c r="BG88" s="550"/>
      <c r="BI88" s="539"/>
      <c r="BJ88" s="550"/>
      <c r="BL88" s="539"/>
      <c r="BM88" s="550"/>
    </row>
    <row r="89" spans="1:65" customFormat="1">
      <c r="A89" s="185" t="s">
        <v>365</v>
      </c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>
        <v>1554</v>
      </c>
      <c r="R89" s="10"/>
      <c r="S89" s="216"/>
      <c r="T89" s="556">
        <v>1623</v>
      </c>
      <c r="U89" s="10"/>
      <c r="V89" s="216"/>
      <c r="W89" s="556"/>
      <c r="X89" s="10"/>
      <c r="Y89" s="216"/>
      <c r="Z89" s="556"/>
      <c r="AB89" s="539"/>
      <c r="AC89" s="550">
        <v>1162</v>
      </c>
      <c r="AE89" s="539"/>
      <c r="AF89" s="550"/>
      <c r="AH89" s="539"/>
      <c r="AI89" s="550"/>
      <c r="AK89" s="539"/>
      <c r="AL89" s="550"/>
      <c r="AN89" s="539"/>
      <c r="AO89" s="550"/>
      <c r="AQ89" s="539"/>
      <c r="AR89" s="550"/>
      <c r="AT89" s="539"/>
      <c r="AU89" s="550"/>
      <c r="AW89" s="539"/>
      <c r="AX89" s="550"/>
      <c r="AZ89" s="539"/>
      <c r="BA89" s="550"/>
      <c r="BC89" s="539"/>
      <c r="BD89" s="550"/>
      <c r="BF89" s="539"/>
      <c r="BG89" s="550"/>
      <c r="BI89" s="539"/>
      <c r="BJ89" s="550"/>
      <c r="BL89" s="539"/>
      <c r="BM89" s="550"/>
    </row>
    <row r="90" spans="1:65" customFormat="1">
      <c r="A90" s="185" t="s">
        <v>640</v>
      </c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>
        <v>1614</v>
      </c>
      <c r="R90" s="10"/>
      <c r="S90" s="216"/>
      <c r="T90" s="556">
        <v>1622</v>
      </c>
      <c r="U90" s="10"/>
      <c r="V90" s="216"/>
      <c r="W90" s="556"/>
      <c r="X90" s="10"/>
      <c r="Y90" s="216"/>
      <c r="Z90" s="556"/>
      <c r="AB90" s="539"/>
      <c r="AC90" s="550">
        <v>1916</v>
      </c>
      <c r="AE90" s="539"/>
      <c r="AF90" s="550"/>
      <c r="AH90" s="539"/>
      <c r="AI90" s="550"/>
      <c r="AK90" s="539"/>
      <c r="AL90" s="550"/>
      <c r="AN90" s="539"/>
      <c r="AO90" s="550"/>
      <c r="AQ90" s="539"/>
      <c r="AR90" s="550"/>
      <c r="AT90" s="539"/>
      <c r="AU90" s="550"/>
      <c r="AW90" s="539"/>
      <c r="AX90" s="550"/>
      <c r="AZ90" s="539"/>
      <c r="BA90" s="550"/>
      <c r="BC90" s="539"/>
      <c r="BD90" s="550"/>
      <c r="BF90" s="539"/>
      <c r="BG90" s="550"/>
      <c r="BI90" s="539"/>
      <c r="BJ90" s="550"/>
      <c r="BL90" s="539"/>
      <c r="BM90" s="550"/>
    </row>
    <row r="91" spans="1:65" customFormat="1">
      <c r="A91" s="185" t="s">
        <v>16</v>
      </c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>
        <v>2108</v>
      </c>
      <c r="R91" s="10"/>
      <c r="S91" s="216"/>
      <c r="T91" s="556">
        <v>2235</v>
      </c>
      <c r="U91" s="10"/>
      <c r="V91" s="216"/>
      <c r="W91" s="556"/>
      <c r="X91" s="10"/>
      <c r="Y91" s="216"/>
      <c r="Z91" s="556"/>
      <c r="AB91" s="539"/>
      <c r="AC91" s="550">
        <v>2681</v>
      </c>
      <c r="AE91" s="539"/>
      <c r="AF91" s="550"/>
      <c r="AH91" s="539"/>
      <c r="AI91" s="550"/>
      <c r="AK91" s="539"/>
      <c r="AL91" s="550"/>
      <c r="AN91" s="539"/>
      <c r="AO91" s="550"/>
      <c r="AQ91" s="539"/>
      <c r="AR91" s="550"/>
      <c r="AT91" s="539"/>
      <c r="AU91" s="550"/>
      <c r="AW91" s="539"/>
      <c r="AX91" s="550"/>
      <c r="AZ91" s="539"/>
      <c r="BA91" s="550"/>
      <c r="BC91" s="539"/>
      <c r="BD91" s="550"/>
      <c r="BF91" s="539"/>
      <c r="BG91" s="550"/>
      <c r="BI91" s="539"/>
      <c r="BJ91" s="550"/>
      <c r="BL91" s="539"/>
      <c r="BM91" s="550"/>
    </row>
    <row r="92" spans="1:65" customFormat="1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216"/>
      <c r="T92" s="556"/>
      <c r="U92" s="10"/>
      <c r="V92" s="216"/>
      <c r="W92" s="556"/>
      <c r="X92" s="10"/>
      <c r="Y92" s="216"/>
      <c r="Z92" s="556"/>
      <c r="AB92" s="539"/>
      <c r="AC92" s="550"/>
      <c r="AE92" s="539"/>
      <c r="AF92" s="550"/>
      <c r="AH92" s="539"/>
      <c r="AI92" s="550"/>
      <c r="AK92" s="539"/>
      <c r="AL92" s="550"/>
      <c r="AN92" s="539"/>
      <c r="AO92" s="550"/>
      <c r="AQ92" s="539"/>
      <c r="AR92" s="550"/>
      <c r="AT92" s="539"/>
      <c r="AU92" s="550"/>
      <c r="AW92" s="539"/>
      <c r="AX92" s="550"/>
      <c r="AZ92" s="539"/>
      <c r="BA92" s="550"/>
      <c r="BC92" s="539"/>
      <c r="BD92" s="550"/>
      <c r="BF92" s="539"/>
      <c r="BG92" s="550"/>
      <c r="BI92" s="539"/>
      <c r="BJ92" s="550"/>
      <c r="BL92" s="539"/>
      <c r="BM92" s="550"/>
    </row>
    <row r="93" spans="1:65" customFormat="1">
      <c r="A93" t="s">
        <v>630</v>
      </c>
      <c r="B93" s="10">
        <v>1388</v>
      </c>
      <c r="C93" s="10">
        <v>1430</v>
      </c>
      <c r="D93" s="10">
        <v>1313</v>
      </c>
      <c r="E93" s="10">
        <v>1316</v>
      </c>
      <c r="F93" s="10">
        <v>1278</v>
      </c>
      <c r="G93" s="10">
        <v>1320</v>
      </c>
      <c r="H93" s="10">
        <v>1456</v>
      </c>
      <c r="I93" s="10">
        <v>1534</v>
      </c>
      <c r="J93" s="10">
        <v>1649</v>
      </c>
      <c r="K93" s="10">
        <v>1725</v>
      </c>
      <c r="L93" s="10">
        <v>1847</v>
      </c>
      <c r="M93" s="10">
        <v>2037</v>
      </c>
      <c r="N93" s="10">
        <v>2163</v>
      </c>
      <c r="O93" s="10">
        <v>2843</v>
      </c>
      <c r="P93" s="10">
        <v>2646</v>
      </c>
      <c r="Q93" s="10">
        <v>2514</v>
      </c>
      <c r="R93" s="10"/>
      <c r="S93" s="216"/>
      <c r="T93" s="556">
        <v>2788</v>
      </c>
      <c r="U93" s="10"/>
      <c r="V93" s="216"/>
      <c r="W93" s="556">
        <v>2982</v>
      </c>
      <c r="X93" s="10"/>
      <c r="Y93" s="216"/>
      <c r="Z93" s="556">
        <v>2982</v>
      </c>
      <c r="AA93" s="10"/>
      <c r="AB93" s="216"/>
      <c r="AC93" s="556">
        <v>3208</v>
      </c>
      <c r="AD93" s="10"/>
      <c r="AE93" s="216"/>
      <c r="AF93" s="556">
        <v>3075</v>
      </c>
      <c r="AG93" s="10"/>
      <c r="AH93" s="216"/>
      <c r="AI93" s="556">
        <v>2568</v>
      </c>
      <c r="AJ93" s="10"/>
      <c r="AK93" s="216"/>
      <c r="AL93" s="556">
        <v>2546</v>
      </c>
      <c r="AM93" s="10"/>
      <c r="AN93" s="216"/>
      <c r="AO93" s="556">
        <v>2746</v>
      </c>
      <c r="AP93" s="10"/>
      <c r="AQ93" s="539"/>
      <c r="AR93" s="556">
        <v>2940</v>
      </c>
      <c r="AT93" s="539"/>
      <c r="AU93" s="550">
        <v>3056</v>
      </c>
      <c r="AW93" s="539"/>
      <c r="AX93" s="550">
        <v>3107</v>
      </c>
      <c r="AZ93" s="539"/>
      <c r="BA93" s="550"/>
      <c r="BC93" s="539"/>
      <c r="BD93" s="550"/>
      <c r="BF93" s="539"/>
      <c r="BG93" s="550"/>
      <c r="BI93" s="539"/>
      <c r="BJ93" s="550"/>
      <c r="BL93" s="539"/>
      <c r="BM93" s="550"/>
    </row>
    <row r="94" spans="1:65" customFormat="1">
      <c r="A94" t="s">
        <v>631</v>
      </c>
      <c r="B94" s="10">
        <v>128</v>
      </c>
      <c r="C94" s="10">
        <v>128</v>
      </c>
      <c r="D94" s="10">
        <v>108</v>
      </c>
      <c r="E94" s="10">
        <v>132</v>
      </c>
      <c r="F94" s="10">
        <v>128</v>
      </c>
      <c r="G94" s="10">
        <v>138</v>
      </c>
      <c r="H94" s="10">
        <v>158</v>
      </c>
      <c r="I94" s="10">
        <v>172</v>
      </c>
      <c r="J94" s="10">
        <v>180</v>
      </c>
      <c r="K94" s="10">
        <v>194</v>
      </c>
      <c r="L94" s="10">
        <v>212</v>
      </c>
      <c r="M94" s="10">
        <v>245</v>
      </c>
      <c r="N94" s="10">
        <v>265</v>
      </c>
      <c r="O94" s="10">
        <v>374</v>
      </c>
      <c r="P94" s="10">
        <v>362</v>
      </c>
      <c r="Q94" s="10">
        <v>334</v>
      </c>
      <c r="R94" s="10"/>
      <c r="S94" s="216"/>
      <c r="T94" s="556">
        <v>376</v>
      </c>
      <c r="U94" s="10"/>
      <c r="V94" s="216"/>
      <c r="W94" s="556">
        <v>413</v>
      </c>
      <c r="X94" s="10"/>
      <c r="Y94" s="216"/>
      <c r="Z94" s="556">
        <v>413</v>
      </c>
      <c r="AA94" s="10"/>
      <c r="AB94" s="216"/>
      <c r="AC94" s="556">
        <v>479</v>
      </c>
      <c r="AD94" s="10"/>
      <c r="AE94" s="216"/>
      <c r="AF94" s="556">
        <v>473</v>
      </c>
      <c r="AG94" s="10"/>
      <c r="AH94" s="216"/>
      <c r="AI94" s="556">
        <v>433</v>
      </c>
      <c r="AJ94" s="10"/>
      <c r="AK94" s="216"/>
      <c r="AL94" s="556">
        <v>379</v>
      </c>
      <c r="AM94" s="10"/>
      <c r="AN94" s="216"/>
      <c r="AO94" s="556">
        <v>405</v>
      </c>
      <c r="AP94" s="10"/>
      <c r="AQ94" s="539"/>
      <c r="AR94" s="556">
        <v>416</v>
      </c>
      <c r="AT94" s="539"/>
      <c r="AU94" s="550">
        <v>369</v>
      </c>
      <c r="AW94" s="539"/>
      <c r="AX94" s="550">
        <v>437</v>
      </c>
      <c r="AZ94" s="539"/>
      <c r="BA94" s="550"/>
      <c r="BC94" s="539"/>
      <c r="BD94" s="550"/>
      <c r="BF94" s="539"/>
      <c r="BG94" s="550"/>
      <c r="BI94" s="539"/>
      <c r="BJ94" s="550"/>
      <c r="BL94" s="539"/>
      <c r="BM94" s="550"/>
    </row>
    <row r="95" spans="1:65" customFormat="1">
      <c r="A95" t="s">
        <v>132</v>
      </c>
      <c r="B95" s="10"/>
      <c r="C95" s="10"/>
      <c r="D95" s="10"/>
      <c r="E95" s="10"/>
      <c r="F95" s="10">
        <v>19</v>
      </c>
      <c r="G95" s="10">
        <v>26</v>
      </c>
      <c r="H95" s="10">
        <v>36</v>
      </c>
      <c r="I95" s="10">
        <v>36</v>
      </c>
      <c r="J95" s="10">
        <v>40</v>
      </c>
      <c r="K95" s="10">
        <v>31</v>
      </c>
      <c r="L95" s="10">
        <v>50</v>
      </c>
      <c r="M95" s="10">
        <v>59</v>
      </c>
      <c r="N95" s="10">
        <v>55</v>
      </c>
      <c r="O95" s="10">
        <v>79</v>
      </c>
      <c r="P95" s="10">
        <v>21</v>
      </c>
      <c r="Q95" s="10">
        <v>5</v>
      </c>
      <c r="R95" s="10"/>
      <c r="S95" s="216"/>
      <c r="T95" s="556">
        <v>35</v>
      </c>
      <c r="U95" s="10"/>
      <c r="V95" s="216"/>
      <c r="W95" s="556">
        <v>34</v>
      </c>
      <c r="X95" s="10"/>
      <c r="Y95" s="216"/>
      <c r="Z95" s="556">
        <v>34</v>
      </c>
      <c r="AA95" s="10"/>
      <c r="AB95" s="216"/>
      <c r="AC95" s="556">
        <v>35</v>
      </c>
      <c r="AD95" s="10"/>
      <c r="AE95" s="216"/>
      <c r="AF95" s="556">
        <v>30</v>
      </c>
      <c r="AG95" s="10"/>
      <c r="AH95" s="216"/>
      <c r="AI95" s="556">
        <v>25</v>
      </c>
      <c r="AJ95" s="10"/>
      <c r="AK95" s="216"/>
      <c r="AL95" s="556">
        <v>28</v>
      </c>
      <c r="AM95" s="10"/>
      <c r="AN95" s="216"/>
      <c r="AO95" s="556">
        <v>47</v>
      </c>
      <c r="AP95" s="10"/>
      <c r="AQ95" s="539"/>
      <c r="AR95" s="556">
        <v>66</v>
      </c>
      <c r="AT95" s="539"/>
      <c r="AU95" s="550">
        <v>136</v>
      </c>
      <c r="AW95" s="539"/>
      <c r="AX95" s="550">
        <v>104</v>
      </c>
      <c r="AZ95" s="539"/>
      <c r="BA95" s="550"/>
      <c r="BC95" s="539"/>
      <c r="BD95" s="550"/>
      <c r="BF95" s="539"/>
      <c r="BG95" s="550"/>
      <c r="BI95" s="539"/>
      <c r="BJ95" s="550"/>
      <c r="BL95" s="539"/>
      <c r="BM95" s="550"/>
    </row>
    <row r="96" spans="1:65" customFormat="1">
      <c r="A96" t="s">
        <v>632</v>
      </c>
      <c r="B96" s="10">
        <v>84</v>
      </c>
      <c r="C96" s="10">
        <v>89</v>
      </c>
      <c r="D96" s="10">
        <v>83</v>
      </c>
      <c r="E96" s="10">
        <v>112</v>
      </c>
      <c r="F96" s="10">
        <v>103</v>
      </c>
      <c r="G96" s="10">
        <v>132</v>
      </c>
      <c r="H96" s="10">
        <v>145</v>
      </c>
      <c r="I96" s="10">
        <v>248</v>
      </c>
      <c r="J96" s="10">
        <v>218</v>
      </c>
      <c r="K96" s="10">
        <v>263</v>
      </c>
      <c r="L96" s="10">
        <v>221</v>
      </c>
      <c r="M96" s="10">
        <v>23</v>
      </c>
      <c r="N96" s="10">
        <v>245</v>
      </c>
      <c r="O96" s="10">
        <v>421</v>
      </c>
      <c r="P96" s="10">
        <v>328</v>
      </c>
      <c r="Q96" s="10">
        <v>299</v>
      </c>
      <c r="R96" s="10"/>
      <c r="S96" s="216"/>
      <c r="T96" s="556">
        <v>623</v>
      </c>
      <c r="U96" s="10"/>
      <c r="V96" s="216"/>
      <c r="W96" s="556">
        <v>372</v>
      </c>
      <c r="X96" s="10"/>
      <c r="Y96" s="216"/>
      <c r="Z96" s="556">
        <v>372</v>
      </c>
      <c r="AA96" s="10"/>
      <c r="AB96" s="216"/>
      <c r="AC96" s="556">
        <v>470</v>
      </c>
      <c r="AD96" s="10"/>
      <c r="AE96" s="216"/>
      <c r="AF96" s="556">
        <v>356</v>
      </c>
      <c r="AG96" s="10"/>
      <c r="AH96" s="216"/>
      <c r="AI96" s="556">
        <v>97</v>
      </c>
      <c r="AJ96" s="10"/>
      <c r="AK96" s="216"/>
      <c r="AL96" s="556">
        <v>253</v>
      </c>
      <c r="AM96" s="10"/>
      <c r="AN96" s="216"/>
      <c r="AO96" s="556">
        <v>270</v>
      </c>
      <c r="AP96" s="10"/>
      <c r="AQ96" s="539"/>
      <c r="AR96" s="556">
        <v>346</v>
      </c>
      <c r="AT96" s="539"/>
      <c r="AU96" s="550">
        <v>387</v>
      </c>
      <c r="AW96" s="539"/>
      <c r="AX96" s="550">
        <v>403</v>
      </c>
      <c r="AZ96" s="539"/>
      <c r="BA96" s="550"/>
      <c r="BC96" s="539"/>
      <c r="BD96" s="550"/>
      <c r="BF96" s="539"/>
      <c r="BG96" s="550"/>
      <c r="BI96" s="539"/>
      <c r="BJ96" s="550"/>
      <c r="BL96" s="539"/>
      <c r="BM96" s="550"/>
    </row>
    <row r="97" spans="1:65" customFormat="1">
      <c r="A97" s="2" t="s">
        <v>633</v>
      </c>
      <c r="B97" s="27">
        <f t="shared" ref="B97:T97" si="197">SUM(B93:B96)</f>
        <v>1600</v>
      </c>
      <c r="C97" s="27">
        <f t="shared" si="197"/>
        <v>1647</v>
      </c>
      <c r="D97" s="27">
        <f t="shared" si="197"/>
        <v>1504</v>
      </c>
      <c r="E97" s="27">
        <f t="shared" si="197"/>
        <v>1560</v>
      </c>
      <c r="F97" s="27">
        <f t="shared" si="197"/>
        <v>1528</v>
      </c>
      <c r="G97" s="27">
        <f t="shared" si="197"/>
        <v>1616</v>
      </c>
      <c r="H97" s="27">
        <f t="shared" si="197"/>
        <v>1795</v>
      </c>
      <c r="I97" s="27">
        <f t="shared" si="197"/>
        <v>1990</v>
      </c>
      <c r="J97" s="27">
        <f t="shared" si="197"/>
        <v>2087</v>
      </c>
      <c r="K97" s="27">
        <f t="shared" si="197"/>
        <v>2213</v>
      </c>
      <c r="L97" s="27">
        <f t="shared" si="197"/>
        <v>2330</v>
      </c>
      <c r="M97" s="27">
        <f t="shared" si="197"/>
        <v>2364</v>
      </c>
      <c r="N97" s="27">
        <f t="shared" si="197"/>
        <v>2728</v>
      </c>
      <c r="O97" s="27">
        <f t="shared" si="197"/>
        <v>3717</v>
      </c>
      <c r="P97" s="27">
        <f t="shared" si="197"/>
        <v>3357</v>
      </c>
      <c r="Q97" s="27">
        <f t="shared" si="197"/>
        <v>3152</v>
      </c>
      <c r="R97" s="27"/>
      <c r="S97" s="218"/>
      <c r="T97" s="553">
        <f t="shared" si="197"/>
        <v>3822</v>
      </c>
      <c r="U97" s="27"/>
      <c r="V97" s="218"/>
      <c r="W97" s="553">
        <f t="shared" ref="W97:AO97" si="198">SUM(W93:W96)</f>
        <v>3801</v>
      </c>
      <c r="X97" s="27"/>
      <c r="Y97" s="218"/>
      <c r="Z97" s="553">
        <f t="shared" si="198"/>
        <v>3801</v>
      </c>
      <c r="AA97" s="27"/>
      <c r="AB97" s="218"/>
      <c r="AC97" s="553">
        <f t="shared" si="198"/>
        <v>4192</v>
      </c>
      <c r="AD97" s="27"/>
      <c r="AE97" s="218"/>
      <c r="AF97" s="553">
        <f t="shared" si="198"/>
        <v>3934</v>
      </c>
      <c r="AG97" s="27"/>
      <c r="AH97" s="218"/>
      <c r="AI97" s="553">
        <f t="shared" si="198"/>
        <v>3123</v>
      </c>
      <c r="AJ97" s="27"/>
      <c r="AK97" s="218"/>
      <c r="AL97" s="553">
        <f t="shared" si="198"/>
        <v>3206</v>
      </c>
      <c r="AM97" s="27"/>
      <c r="AN97" s="218"/>
      <c r="AO97" s="553">
        <f t="shared" si="198"/>
        <v>3468</v>
      </c>
      <c r="AP97" s="27"/>
      <c r="AQ97" s="539"/>
      <c r="AR97" s="553">
        <f t="shared" ref="AR97" si="199">SUM(AR93:AR96)</f>
        <v>3768</v>
      </c>
      <c r="AT97" s="539"/>
      <c r="AU97" s="553">
        <f t="shared" ref="AU97" si="200">SUM(AU93:AU96)</f>
        <v>3948</v>
      </c>
      <c r="AW97" s="539"/>
      <c r="AX97" s="553">
        <f t="shared" ref="AX97" si="201">SUM(AX93:AX96)</f>
        <v>4051</v>
      </c>
      <c r="AZ97" s="539"/>
      <c r="BA97" s="550"/>
      <c r="BC97" s="539"/>
      <c r="BD97" s="550"/>
      <c r="BF97" s="539"/>
      <c r="BG97" s="550"/>
      <c r="BI97" s="539"/>
      <c r="BJ97" s="550"/>
      <c r="BL97" s="539"/>
      <c r="BM97" s="550"/>
    </row>
    <row r="98" spans="1:65" customFormat="1">
      <c r="A98" t="s">
        <v>273</v>
      </c>
      <c r="B98" s="165">
        <f t="shared" ref="B98:AO98" si="202">B97/B23</f>
        <v>0.27285129604365621</v>
      </c>
      <c r="C98" s="165">
        <f t="shared" si="202"/>
        <v>0.26027180783817949</v>
      </c>
      <c r="D98" s="165">
        <f t="shared" si="202"/>
        <v>0.25984796129923982</v>
      </c>
      <c r="E98" s="165">
        <f t="shared" si="202"/>
        <v>0.27635075287865368</v>
      </c>
      <c r="F98" s="165">
        <f t="shared" si="202"/>
        <v>0.25693627038843114</v>
      </c>
      <c r="G98" s="165">
        <f t="shared" si="202"/>
        <v>0.25023227005264786</v>
      </c>
      <c r="H98" s="165">
        <f t="shared" si="202"/>
        <v>0.24411804705562357</v>
      </c>
      <c r="I98" s="165">
        <f t="shared" si="202"/>
        <v>0.25457336574133299</v>
      </c>
      <c r="J98" s="165">
        <f t="shared" si="202"/>
        <v>0.2281622389854597</v>
      </c>
      <c r="K98" s="165">
        <f t="shared" si="202"/>
        <v>0.21893549663632766</v>
      </c>
      <c r="L98" s="165">
        <f t="shared" si="202"/>
        <v>0.21443033314927296</v>
      </c>
      <c r="M98" s="165">
        <f t="shared" si="202"/>
        <v>0.20963022080340515</v>
      </c>
      <c r="N98" s="165">
        <f t="shared" si="202"/>
        <v>0.22344172331886314</v>
      </c>
      <c r="O98" s="165">
        <f t="shared" si="202"/>
        <v>0.23972911963882618</v>
      </c>
      <c r="P98" s="165">
        <f t="shared" si="202"/>
        <v>0.24213791113675706</v>
      </c>
      <c r="Q98" s="165">
        <f t="shared" si="202"/>
        <v>0.23603414707203835</v>
      </c>
      <c r="R98" s="165"/>
      <c r="S98" s="229"/>
      <c r="T98" s="559">
        <f t="shared" si="202"/>
        <v>0.27729812087353989</v>
      </c>
      <c r="U98" s="165"/>
      <c r="V98" s="229"/>
      <c r="W98" s="559">
        <f t="shared" si="202"/>
        <v>0.25188866799204773</v>
      </c>
      <c r="X98" s="165"/>
      <c r="Y98" s="229"/>
      <c r="Z98" s="559">
        <f t="shared" si="202"/>
        <v>0.27803379416282642</v>
      </c>
      <c r="AA98" s="165"/>
      <c r="AB98" s="229"/>
      <c r="AC98" s="559">
        <f t="shared" si="202"/>
        <v>0.27822393309882526</v>
      </c>
      <c r="AD98" s="165"/>
      <c r="AE98" s="229"/>
      <c r="AF98" s="559">
        <f t="shared" si="202"/>
        <v>0.25462783171521036</v>
      </c>
      <c r="AG98" s="165"/>
      <c r="AH98" s="229"/>
      <c r="AI98" s="559">
        <f t="shared" si="202"/>
        <v>0.27322834645669292</v>
      </c>
      <c r="AJ98" s="165"/>
      <c r="AK98" s="229"/>
      <c r="AL98" s="559">
        <f t="shared" si="202"/>
        <v>0.29286562528546634</v>
      </c>
      <c r="AM98" s="165"/>
      <c r="AN98" s="229"/>
      <c r="AO98" s="559">
        <f t="shared" si="202"/>
        <v>0.27326451816247732</v>
      </c>
      <c r="AP98" s="165"/>
      <c r="AQ98" s="539"/>
      <c r="AR98" s="559">
        <f t="shared" ref="AR98" si="203">AR97/AR23</f>
        <v>0.2445324161204491</v>
      </c>
      <c r="AT98" s="539"/>
      <c r="AU98" s="559">
        <f t="shared" ref="AU98" si="204">AU97/AU23</f>
        <v>0.22120125504258181</v>
      </c>
      <c r="AW98" s="539"/>
      <c r="AX98" s="559">
        <f t="shared" ref="AX98" si="205">AX97/AX23</f>
        <v>0.20195423500673015</v>
      </c>
      <c r="AZ98" s="539"/>
      <c r="BA98" s="550"/>
      <c r="BC98" s="539"/>
      <c r="BD98" s="550"/>
      <c r="BF98" s="539"/>
      <c r="BG98" s="550"/>
      <c r="BI98" s="539"/>
      <c r="BJ98" s="550"/>
      <c r="BL98" s="539"/>
      <c r="BM98" s="550"/>
    </row>
    <row r="99" spans="1:65" customFormat="1">
      <c r="A99" t="s">
        <v>634</v>
      </c>
      <c r="B99" s="203">
        <f t="shared" ref="B99:T99" si="206">B97/B83*1000</f>
        <v>34.334763948497852</v>
      </c>
      <c r="C99" s="203">
        <f t="shared" si="206"/>
        <v>38.036951501154732</v>
      </c>
      <c r="D99" s="203">
        <f t="shared" si="206"/>
        <v>38.367346938775512</v>
      </c>
      <c r="E99" s="203">
        <f t="shared" si="206"/>
        <v>43.21329639889197</v>
      </c>
      <c r="F99" s="203">
        <f t="shared" si="206"/>
        <v>43.409090909090914</v>
      </c>
      <c r="G99" s="203">
        <f t="shared" si="206"/>
        <v>45.393258426966291</v>
      </c>
      <c r="H99" s="203">
        <f t="shared" si="206"/>
        <v>48.123324396782841</v>
      </c>
      <c r="I99" s="203">
        <f t="shared" si="206"/>
        <v>51.554404145077719</v>
      </c>
      <c r="J99" s="203">
        <f t="shared" si="206"/>
        <v>53.512820512820511</v>
      </c>
      <c r="K99" s="203">
        <f t="shared" si="206"/>
        <v>57.480519480519476</v>
      </c>
      <c r="L99" s="203">
        <f t="shared" si="206"/>
        <v>59.897172236503856</v>
      </c>
      <c r="M99" s="203">
        <f t="shared" si="206"/>
        <v>58.514851485148519</v>
      </c>
      <c r="N99" s="203">
        <f t="shared" si="206"/>
        <v>63.738317757009348</v>
      </c>
      <c r="O99" s="203">
        <f t="shared" si="206"/>
        <v>67.336956521739125</v>
      </c>
      <c r="P99" s="203">
        <f t="shared" si="206"/>
        <v>62.05175600739372</v>
      </c>
      <c r="Q99" s="203">
        <f t="shared" si="206"/>
        <v>62.415841584158414</v>
      </c>
      <c r="R99" s="203"/>
      <c r="S99" s="234"/>
      <c r="T99" s="561">
        <f t="shared" si="206"/>
        <v>76.593186372745492</v>
      </c>
      <c r="U99" s="203"/>
      <c r="V99" s="234"/>
      <c r="W99" s="561">
        <f t="shared" ref="W99:AO99" si="207">W97/W83*1000</f>
        <v>76.02000000000001</v>
      </c>
      <c r="X99" s="203"/>
      <c r="Y99" s="234"/>
      <c r="Z99" s="561">
        <f t="shared" si="207"/>
        <v>76.02000000000001</v>
      </c>
      <c r="AA99" s="203"/>
      <c r="AB99" s="234"/>
      <c r="AC99" s="561">
        <f t="shared" si="207"/>
        <v>76.917431192660544</v>
      </c>
      <c r="AD99" s="203"/>
      <c r="AE99" s="234"/>
      <c r="AF99" s="561">
        <f t="shared" si="207"/>
        <v>76.092843326885884</v>
      </c>
      <c r="AG99" s="203"/>
      <c r="AH99" s="234"/>
      <c r="AI99" s="561">
        <f t="shared" si="207"/>
        <v>64.792531120331958</v>
      </c>
      <c r="AJ99" s="203"/>
      <c r="AK99" s="234"/>
      <c r="AL99" s="561">
        <f t="shared" si="207"/>
        <v>72.86363636363636</v>
      </c>
      <c r="AM99" s="203"/>
      <c r="AN99" s="234"/>
      <c r="AO99" s="561">
        <f t="shared" si="207"/>
        <v>82.966507177033492</v>
      </c>
      <c r="AP99" s="203"/>
      <c r="AQ99" s="539"/>
      <c r="AR99" s="561">
        <f t="shared" ref="AR99" si="208">AR97/AR83*1000</f>
        <v>91.014492753623188</v>
      </c>
      <c r="AT99" s="539"/>
      <c r="AU99" s="561">
        <f t="shared" ref="AU99" si="209">AU97/AU83*1000</f>
        <v>93.113207547169807</v>
      </c>
      <c r="AW99" s="539"/>
      <c r="AX99" s="561">
        <f t="shared" ref="AX99" si="210">AX97/AX83*1000</f>
        <v>95.093896713615024</v>
      </c>
      <c r="AZ99" s="539"/>
      <c r="BA99" s="550"/>
      <c r="BC99" s="539"/>
      <c r="BD99" s="550"/>
      <c r="BF99" s="539"/>
      <c r="BG99" s="550"/>
      <c r="BI99" s="539"/>
      <c r="BJ99" s="550"/>
      <c r="BL99" s="539"/>
      <c r="BM99" s="550"/>
    </row>
    <row r="100" spans="1:65">
      <c r="K100" s="39"/>
      <c r="L100" s="39"/>
      <c r="M100" s="39"/>
      <c r="N100" s="39"/>
      <c r="O100" s="39"/>
      <c r="P100" s="39"/>
      <c r="Q100" s="39"/>
      <c r="R100" s="39"/>
      <c r="S100" s="39"/>
      <c r="T100" s="39"/>
      <c r="U100" s="39"/>
      <c r="V100" s="39"/>
    </row>
    <row r="101" spans="1:65">
      <c r="T101" s="32"/>
      <c r="U101" s="32"/>
      <c r="V101" s="32"/>
      <c r="W101" s="32"/>
      <c r="X101" s="32"/>
      <c r="Y101" s="32"/>
    </row>
  </sheetData>
  <pageMargins left="0.7" right="0.7" top="0.75" bottom="0.75" header="0.3" footer="0.3"/>
  <pageSetup scale="66" fitToHeight="0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9">
    <tabColor theme="8"/>
    <pageSetUpPr fitToPage="1"/>
  </sheetPr>
  <dimension ref="A1:XAL181"/>
  <sheetViews>
    <sheetView showGridLines="0" zoomScaleNormal="100" workbookViewId="0">
      <pane xSplit="1" ySplit="3" topLeftCell="AC15" activePane="bottomRight" state="frozen"/>
      <selection sqref="A1:XFD1048576"/>
      <selection pane="topRight" sqref="A1:XFD1048576"/>
      <selection pane="bottomLeft" sqref="A1:XFD1048576"/>
      <selection pane="bottomRight" activeCell="BA46" sqref="BA46"/>
    </sheetView>
  </sheetViews>
  <sheetFormatPr defaultColWidth="9.140625" defaultRowHeight="10.199999999999999" outlineLevelRow="1" outlineLevelCol="1"/>
  <cols>
    <col min="1" max="1" width="53.7109375" style="25" customWidth="1"/>
    <col min="2" max="25" width="9.140625" style="25" hidden="1" customWidth="1" outlineLevel="1"/>
    <col min="26" max="26" width="9.140625" style="25" collapsed="1"/>
    <col min="27" max="28" width="9.140625" style="25" hidden="1" customWidth="1" outlineLevel="1"/>
    <col min="29" max="29" width="9.140625" style="25" collapsed="1"/>
    <col min="30" max="31" width="9.140625" style="25" hidden="1" customWidth="1" outlineLevel="1"/>
    <col min="32" max="32" width="9.140625" style="25" collapsed="1"/>
    <col min="33" max="34" width="9.140625" style="25" hidden="1" customWidth="1" outlineLevel="1"/>
    <col min="35" max="35" width="9.140625" style="25" collapsed="1"/>
    <col min="36" max="37" width="9.140625" style="25" hidden="1" customWidth="1" outlineLevel="1"/>
    <col min="38" max="38" width="9.140625" style="25" collapsed="1"/>
    <col min="39" max="40" width="9.140625" style="25" hidden="1" customWidth="1" outlineLevel="1"/>
    <col min="41" max="41" width="9.140625" style="25" collapsed="1"/>
    <col min="42" max="43" width="9.140625" style="25" hidden="1" customWidth="1" outlineLevel="1"/>
    <col min="44" max="44" width="9.140625" style="25" collapsed="1"/>
    <col min="45" max="46" width="9.140625" style="25" hidden="1" customWidth="1" outlineLevel="1"/>
    <col min="47" max="47" width="9.140625" style="25" collapsed="1"/>
    <col min="48" max="49" width="9.140625" style="25" hidden="1" customWidth="1" outlineLevel="1"/>
    <col min="50" max="50" width="9.140625" style="25" collapsed="1"/>
    <col min="51" max="52" width="9.140625" style="25" hidden="1" customWidth="1" outlineLevel="1"/>
    <col min="53" max="53" width="9.140625" style="25" collapsed="1"/>
    <col min="54" max="55" width="9.140625" style="25" hidden="1" customWidth="1" outlineLevel="1"/>
    <col min="56" max="56" width="9.140625" style="25" collapsed="1"/>
    <col min="57" max="58" width="9.140625" style="25" hidden="1" customWidth="1" outlineLevel="1"/>
    <col min="59" max="59" width="9.140625" style="25" collapsed="1"/>
    <col min="60" max="61" width="9.140625" style="25" hidden="1" customWidth="1" outlineLevel="1"/>
    <col min="62" max="62" width="9.140625" style="25" collapsed="1"/>
    <col min="63" max="64" width="9.140625" style="25" hidden="1" customWidth="1" outlineLevel="1"/>
    <col min="65" max="65" width="9.140625" style="25" collapsed="1"/>
    <col min="66" max="67" width="9.140625" style="25"/>
    <col min="68" max="68" width="84.140625" hidden="1" customWidth="1" outlineLevel="1"/>
    <col min="69" max="69" width="12.7109375" hidden="1" customWidth="1" outlineLevel="1"/>
    <col min="70" max="73" width="9.140625" hidden="1" customWidth="1" outlineLevel="1"/>
    <col min="74" max="74" width="9.140625" style="25" collapsed="1"/>
    <col min="75" max="16384" width="9.140625" style="25"/>
  </cols>
  <sheetData>
    <row r="1" spans="1:74">
      <c r="A1" s="305" t="s">
        <v>1</v>
      </c>
      <c r="B1" s="306">
        <v>2000</v>
      </c>
      <c r="C1" s="306">
        <f>B1+1</f>
        <v>2001</v>
      </c>
      <c r="D1" s="306">
        <f t="shared" ref="D1:J1" si="0">C1+1</f>
        <v>2002</v>
      </c>
      <c r="E1" s="306">
        <f t="shared" si="0"/>
        <v>2003</v>
      </c>
      <c r="F1" s="306">
        <f t="shared" si="0"/>
        <v>2004</v>
      </c>
      <c r="G1" s="306">
        <f t="shared" si="0"/>
        <v>2005</v>
      </c>
      <c r="H1" s="306">
        <f t="shared" si="0"/>
        <v>2006</v>
      </c>
      <c r="I1" s="306">
        <f t="shared" si="0"/>
        <v>2007</v>
      </c>
      <c r="J1" s="306">
        <f t="shared" si="0"/>
        <v>2008</v>
      </c>
      <c r="K1" s="306">
        <v>2009</v>
      </c>
      <c r="L1" s="306">
        <f>K1+1</f>
        <v>2010</v>
      </c>
      <c r="M1" s="306">
        <f>L1+1</f>
        <v>2011</v>
      </c>
      <c r="N1" s="306">
        <f>M1+1</f>
        <v>2012</v>
      </c>
      <c r="O1" s="306">
        <f>N1+1</f>
        <v>2013</v>
      </c>
      <c r="P1" s="306">
        <v>2014</v>
      </c>
      <c r="Q1" s="306">
        <f>P1+1</f>
        <v>2015</v>
      </c>
      <c r="R1" s="313" t="s">
        <v>616</v>
      </c>
      <c r="S1" s="314" t="s">
        <v>617</v>
      </c>
      <c r="T1" s="548">
        <f t="shared" ref="T1" si="1">Q1+1</f>
        <v>2016</v>
      </c>
      <c r="U1" s="313" t="s">
        <v>618</v>
      </c>
      <c r="V1" s="314" t="s">
        <v>683</v>
      </c>
      <c r="W1" s="548">
        <f>T1+1</f>
        <v>2017</v>
      </c>
      <c r="X1" s="313" t="s">
        <v>618</v>
      </c>
      <c r="Y1" s="314" t="s">
        <v>683</v>
      </c>
      <c r="Z1" s="548">
        <f>T1+1</f>
        <v>2017</v>
      </c>
      <c r="AA1" s="313" t="s">
        <v>697</v>
      </c>
      <c r="AB1" s="314" t="s">
        <v>755</v>
      </c>
      <c r="AC1" s="548">
        <f>W1+1</f>
        <v>2018</v>
      </c>
      <c r="AD1" s="313" t="s">
        <v>757</v>
      </c>
      <c r="AE1" s="314" t="s">
        <v>793</v>
      </c>
      <c r="AF1" s="548">
        <f>AC1+1</f>
        <v>2019</v>
      </c>
      <c r="AG1" s="313" t="s">
        <v>794</v>
      </c>
      <c r="AH1" s="314" t="s">
        <v>798</v>
      </c>
      <c r="AI1" s="548">
        <f>AF1+1</f>
        <v>2020</v>
      </c>
      <c r="AJ1" s="313" t="s">
        <v>801</v>
      </c>
      <c r="AK1" s="314" t="s">
        <v>802</v>
      </c>
      <c r="AL1" s="548">
        <f>AI1+1</f>
        <v>2021</v>
      </c>
      <c r="AM1" s="313" t="s">
        <v>822</v>
      </c>
      <c r="AN1" s="314" t="s">
        <v>823</v>
      </c>
      <c r="AO1" s="548">
        <f>AL1+1</f>
        <v>2022</v>
      </c>
      <c r="AP1" s="313" t="s">
        <v>929</v>
      </c>
      <c r="AQ1" s="314" t="s">
        <v>930</v>
      </c>
      <c r="AR1" s="548">
        <f>AO1+1</f>
        <v>2023</v>
      </c>
      <c r="AS1" s="313" t="s">
        <v>989</v>
      </c>
      <c r="AT1" s="314" t="s">
        <v>990</v>
      </c>
      <c r="AU1" s="548">
        <f>AR1+1</f>
        <v>2024</v>
      </c>
      <c r="AV1" s="313" t="s">
        <v>1035</v>
      </c>
      <c r="AW1" s="314" t="s">
        <v>1036</v>
      </c>
      <c r="AX1" s="548">
        <f>AU1+1</f>
        <v>2025</v>
      </c>
      <c r="AY1" s="313" t="s">
        <v>1044</v>
      </c>
      <c r="AZ1" s="538" t="s">
        <v>844</v>
      </c>
      <c r="BA1" s="572">
        <f>AX1+1</f>
        <v>2026</v>
      </c>
      <c r="BB1" s="537" t="s">
        <v>845</v>
      </c>
      <c r="BC1" s="538" t="s">
        <v>846</v>
      </c>
      <c r="BD1" s="572">
        <f>BA1+1</f>
        <v>2027</v>
      </c>
      <c r="BE1" s="537" t="s">
        <v>847</v>
      </c>
      <c r="BF1" s="538" t="s">
        <v>848</v>
      </c>
      <c r="BG1" s="572">
        <f>BD1+1</f>
        <v>2028</v>
      </c>
      <c r="BH1" s="537" t="s">
        <v>849</v>
      </c>
      <c r="BI1" s="538" t="s">
        <v>850</v>
      </c>
      <c r="BJ1" s="572">
        <f>BG1+1</f>
        <v>2029</v>
      </c>
      <c r="BK1" s="537" t="s">
        <v>851</v>
      </c>
      <c r="BL1" s="538" t="s">
        <v>852</v>
      </c>
      <c r="BM1" s="572">
        <f>BJ1+1</f>
        <v>2030</v>
      </c>
    </row>
    <row r="2" spans="1:74">
      <c r="A2" s="305" t="s">
        <v>0</v>
      </c>
      <c r="B2" s="308" t="s">
        <v>223</v>
      </c>
      <c r="C2" s="308" t="s">
        <v>223</v>
      </c>
      <c r="D2" s="308" t="s">
        <v>223</v>
      </c>
      <c r="E2" s="308" t="s">
        <v>223</v>
      </c>
      <c r="F2" s="308" t="s">
        <v>571</v>
      </c>
      <c r="G2" s="308" t="s">
        <v>571</v>
      </c>
      <c r="H2" s="308" t="s">
        <v>571</v>
      </c>
      <c r="I2" s="308" t="s">
        <v>571</v>
      </c>
      <c r="J2" s="308" t="s">
        <v>571</v>
      </c>
      <c r="K2" s="308" t="s">
        <v>571</v>
      </c>
      <c r="L2" s="308" t="s">
        <v>571</v>
      </c>
      <c r="M2" s="308" t="s">
        <v>571</v>
      </c>
      <c r="N2" s="308" t="s">
        <v>571</v>
      </c>
      <c r="O2" s="308" t="s">
        <v>571</v>
      </c>
      <c r="P2" s="308" t="s">
        <v>571</v>
      </c>
      <c r="Q2" s="308" t="s">
        <v>571</v>
      </c>
      <c r="R2" s="308" t="s">
        <v>571</v>
      </c>
      <c r="S2" s="562" t="s">
        <v>571</v>
      </c>
      <c r="T2" s="568" t="s">
        <v>571</v>
      </c>
      <c r="U2" s="308" t="s">
        <v>571</v>
      </c>
      <c r="V2" s="562" t="s">
        <v>571</v>
      </c>
      <c r="W2" s="568" t="s">
        <v>571</v>
      </c>
      <c r="X2" s="309" t="s">
        <v>625</v>
      </c>
      <c r="Y2" s="315" t="s">
        <v>625</v>
      </c>
      <c r="Z2" s="549" t="s">
        <v>625</v>
      </c>
      <c r="AA2" s="309" t="s">
        <v>625</v>
      </c>
      <c r="AB2" s="315" t="s">
        <v>625</v>
      </c>
      <c r="AC2" s="549" t="s">
        <v>625</v>
      </c>
      <c r="AD2" s="309" t="s">
        <v>625</v>
      </c>
      <c r="AE2" s="315" t="s">
        <v>625</v>
      </c>
      <c r="AF2" s="549" t="s">
        <v>625</v>
      </c>
      <c r="AG2" s="309" t="s">
        <v>625</v>
      </c>
      <c r="AH2" s="315" t="s">
        <v>625</v>
      </c>
      <c r="AI2" s="549" t="s">
        <v>625</v>
      </c>
      <c r="AJ2" s="309" t="s">
        <v>625</v>
      </c>
      <c r="AK2" s="315" t="s">
        <v>625</v>
      </c>
      <c r="AL2" s="549" t="s">
        <v>625</v>
      </c>
      <c r="AM2" s="309" t="s">
        <v>625</v>
      </c>
      <c r="AN2" s="315" t="s">
        <v>625</v>
      </c>
      <c r="AO2" s="549" t="s">
        <v>625</v>
      </c>
      <c r="AP2" s="309" t="s">
        <v>625</v>
      </c>
      <c r="AQ2" s="315" t="s">
        <v>625</v>
      </c>
      <c r="AR2" s="549" t="s">
        <v>625</v>
      </c>
      <c r="AS2" s="309" t="s">
        <v>625</v>
      </c>
      <c r="AT2" s="315" t="s">
        <v>625</v>
      </c>
      <c r="AU2" s="549" t="s">
        <v>625</v>
      </c>
      <c r="AV2" s="309" t="s">
        <v>625</v>
      </c>
      <c r="AW2" s="315" t="s">
        <v>625</v>
      </c>
      <c r="AX2" s="549" t="s">
        <v>625</v>
      </c>
      <c r="AY2" s="309" t="s">
        <v>625</v>
      </c>
      <c r="AZ2" s="212" t="s">
        <v>625</v>
      </c>
      <c r="BA2" s="573" t="s">
        <v>625</v>
      </c>
      <c r="BB2" s="195" t="s">
        <v>625</v>
      </c>
      <c r="BC2" s="212" t="s">
        <v>625</v>
      </c>
      <c r="BD2" s="573" t="s">
        <v>625</v>
      </c>
      <c r="BE2" s="195" t="s">
        <v>625</v>
      </c>
      <c r="BF2" s="212" t="s">
        <v>625</v>
      </c>
      <c r="BG2" s="573" t="s">
        <v>625</v>
      </c>
      <c r="BH2" s="195" t="s">
        <v>625</v>
      </c>
      <c r="BI2" s="212" t="s">
        <v>625</v>
      </c>
      <c r="BJ2" s="573" t="s">
        <v>625</v>
      </c>
      <c r="BK2" s="195" t="s">
        <v>625</v>
      </c>
      <c r="BL2" s="212" t="s">
        <v>625</v>
      </c>
      <c r="BM2" s="573" t="s">
        <v>625</v>
      </c>
    </row>
    <row r="3" spans="1:74">
      <c r="A3" s="310" t="str">
        <f>BS!A3</f>
        <v>Balance Sheet Check</v>
      </c>
      <c r="B3" s="312">
        <f>BS!B3</f>
        <v>0</v>
      </c>
      <c r="C3" s="312">
        <f>BS!C3</f>
        <v>0</v>
      </c>
      <c r="D3" s="312">
        <f>BS!D3</f>
        <v>0</v>
      </c>
      <c r="E3" s="312">
        <f>BS!E3</f>
        <v>0</v>
      </c>
      <c r="F3" s="312">
        <f>BS!F3</f>
        <v>0</v>
      </c>
      <c r="G3" s="312">
        <f>BS!G3</f>
        <v>0</v>
      </c>
      <c r="H3" s="312">
        <f>BS!H3</f>
        <v>0</v>
      </c>
      <c r="I3" s="312">
        <f>BS!I3</f>
        <v>0</v>
      </c>
      <c r="J3" s="312">
        <f>BS!J3</f>
        <v>0</v>
      </c>
      <c r="K3" s="312">
        <f>BS!K3</f>
        <v>0</v>
      </c>
      <c r="L3" s="312">
        <f>BS!L3</f>
        <v>0</v>
      </c>
      <c r="M3" s="312">
        <f>BS!M3</f>
        <v>0</v>
      </c>
      <c r="N3" s="312">
        <f>BS!N3</f>
        <v>0</v>
      </c>
      <c r="O3" s="312">
        <f>BS!O3</f>
        <v>0</v>
      </c>
      <c r="P3" s="312">
        <f>BS!P3</f>
        <v>0</v>
      </c>
      <c r="Q3" s="312">
        <f>BS!Q3</f>
        <v>0</v>
      </c>
      <c r="R3" s="526">
        <f>BS!R3</f>
        <v>0</v>
      </c>
      <c r="S3" s="628">
        <f>BS!S3</f>
        <v>0</v>
      </c>
      <c r="T3" s="651">
        <f>BS!T3</f>
        <v>0</v>
      </c>
      <c r="U3" s="526">
        <f>BS!U3</f>
        <v>0</v>
      </c>
      <c r="V3" s="628">
        <f>BS!V3</f>
        <v>0</v>
      </c>
      <c r="W3" s="651">
        <f>BS!W3</f>
        <v>0</v>
      </c>
      <c r="X3" s="526"/>
      <c r="Y3" s="628"/>
      <c r="Z3" s="651">
        <f>BS!W3</f>
        <v>0</v>
      </c>
      <c r="AA3" s="526">
        <f>BS!X3</f>
        <v>0</v>
      </c>
      <c r="AB3" s="628">
        <f>BS!Y3</f>
        <v>0</v>
      </c>
      <c r="AC3" s="651">
        <f>BS!AC3</f>
        <v>0</v>
      </c>
      <c r="AD3" s="526">
        <f>BS!AD3</f>
        <v>0</v>
      </c>
      <c r="AE3" s="628">
        <f>BS!AE3</f>
        <v>0</v>
      </c>
      <c r="AF3" s="651">
        <f>BS!AF3</f>
        <v>0</v>
      </c>
      <c r="AG3" s="526">
        <f>BS!AG3</f>
        <v>0</v>
      </c>
      <c r="AH3" s="628">
        <f>BS!AH3</f>
        <v>0</v>
      </c>
      <c r="AI3" s="651">
        <f>BS!AI3</f>
        <v>0</v>
      </c>
      <c r="AJ3" s="526">
        <f>BS!AJ3</f>
        <v>0</v>
      </c>
      <c r="AK3" s="628">
        <f>BS!AK3</f>
        <v>0</v>
      </c>
      <c r="AL3" s="651">
        <f>BS!AL3</f>
        <v>0</v>
      </c>
      <c r="AM3" s="526">
        <f>BS!AM3</f>
        <v>0</v>
      </c>
      <c r="AN3" s="628">
        <f>BS!AN3</f>
        <v>0</v>
      </c>
      <c r="AO3" s="651">
        <f>BS!AO3</f>
        <v>0</v>
      </c>
      <c r="AP3" s="526">
        <f>BS!AP3</f>
        <v>0</v>
      </c>
      <c r="AQ3" s="628">
        <f>BS!AQ3</f>
        <v>0</v>
      </c>
      <c r="AR3" s="651">
        <f>BS!AR3</f>
        <v>0</v>
      </c>
      <c r="AS3" s="526">
        <f>BS!AS3</f>
        <v>0</v>
      </c>
      <c r="AT3" s="628">
        <f>BS!AT3</f>
        <v>0</v>
      </c>
      <c r="AU3" s="651">
        <f>BS!AU3</f>
        <v>0</v>
      </c>
      <c r="AV3" s="526">
        <f>BS!AV3</f>
        <v>0</v>
      </c>
      <c r="AW3" s="628">
        <f>BS!AW3</f>
        <v>0</v>
      </c>
      <c r="AX3" s="651">
        <f>BS!AX3</f>
        <v>0</v>
      </c>
      <c r="AY3" s="526">
        <f>BS!AY3</f>
        <v>0</v>
      </c>
      <c r="AZ3" s="588">
        <f>BS!AZ3</f>
        <v>0</v>
      </c>
      <c r="BA3" s="604">
        <f>BS!BA3</f>
        <v>0</v>
      </c>
      <c r="BB3" s="528">
        <f>BS!BB3</f>
        <v>0</v>
      </c>
      <c r="BC3" s="588">
        <f>BS!BC3</f>
        <v>0</v>
      </c>
      <c r="BD3" s="604">
        <f>BS!BD3</f>
        <v>0</v>
      </c>
      <c r="BE3" s="528">
        <f>BS!BE3</f>
        <v>0</v>
      </c>
      <c r="BF3" s="588">
        <f>BS!BF3</f>
        <v>0</v>
      </c>
      <c r="BG3" s="604">
        <f>BS!BG3</f>
        <v>0</v>
      </c>
      <c r="BH3" s="528">
        <f>BS!BH3</f>
        <v>0</v>
      </c>
      <c r="BI3" s="588">
        <f>BS!BI3</f>
        <v>0</v>
      </c>
      <c r="BJ3" s="604">
        <f>BS!BJ3</f>
        <v>0</v>
      </c>
      <c r="BK3" s="528">
        <f>BS!BK3</f>
        <v>0</v>
      </c>
      <c r="BL3" s="588">
        <f>BS!BL3</f>
        <v>0</v>
      </c>
      <c r="BM3" s="604">
        <f>BS!BM3</f>
        <v>0</v>
      </c>
      <c r="BV3" s="31" t="s">
        <v>904</v>
      </c>
    </row>
    <row r="4" spans="1:74">
      <c r="S4" s="595"/>
      <c r="T4" s="619"/>
      <c r="V4" s="595"/>
      <c r="W4" s="619"/>
      <c r="Y4" s="595"/>
      <c r="Z4" s="619"/>
      <c r="AB4" s="595"/>
      <c r="AC4" s="619"/>
      <c r="AE4" s="595"/>
      <c r="AF4" s="619"/>
      <c r="AH4" s="595"/>
      <c r="AI4" s="619"/>
      <c r="AK4" s="595"/>
      <c r="AL4" s="619"/>
      <c r="AN4" s="595"/>
      <c r="AO4" s="619"/>
      <c r="AQ4" s="539"/>
      <c r="AR4" s="550"/>
      <c r="AS4"/>
      <c r="AT4" s="539"/>
      <c r="AU4" s="550"/>
      <c r="AV4"/>
      <c r="AW4" s="539"/>
      <c r="AX4" s="550"/>
      <c r="AY4"/>
      <c r="AZ4" s="539"/>
      <c r="BA4" s="550"/>
      <c r="BB4"/>
      <c r="BC4" s="539"/>
      <c r="BD4" s="550"/>
      <c r="BE4"/>
      <c r="BF4" s="539"/>
      <c r="BG4" s="550"/>
      <c r="BH4"/>
      <c r="BI4" s="539"/>
      <c r="BJ4" s="550"/>
      <c r="BK4"/>
      <c r="BL4" s="539"/>
      <c r="BM4" s="550"/>
    </row>
    <row r="5" spans="1:74">
      <c r="A5" s="31" t="s">
        <v>38</v>
      </c>
      <c r="B5" s="51">
        <f>Divisional!B23</f>
        <v>5864</v>
      </c>
      <c r="C5" s="51">
        <f>Divisional!C23</f>
        <v>6328</v>
      </c>
      <c r="D5" s="51">
        <f>Divisional!D23</f>
        <v>5788</v>
      </c>
      <c r="E5" s="51">
        <f>Divisional!E23</f>
        <v>5645</v>
      </c>
      <c r="F5" s="51">
        <f>Divisional!F23</f>
        <v>5947</v>
      </c>
      <c r="G5" s="51">
        <f>Divisional!G23</f>
        <v>6458</v>
      </c>
      <c r="H5" s="51">
        <f>Divisional!H23</f>
        <v>7353</v>
      </c>
      <c r="I5" s="51">
        <f>Divisional!I23</f>
        <v>7817</v>
      </c>
      <c r="J5" s="51">
        <f>Divisional!J23</f>
        <v>9147</v>
      </c>
      <c r="K5" s="51">
        <f>Divisional!K23</f>
        <v>10108</v>
      </c>
      <c r="L5" s="51">
        <f>Divisional!L23</f>
        <v>10866</v>
      </c>
      <c r="M5" s="51">
        <f>Divisional!M23</f>
        <v>11277</v>
      </c>
      <c r="N5" s="51">
        <f>Divisional!N23</f>
        <v>12209</v>
      </c>
      <c r="O5" s="51">
        <f>Divisional!O23</f>
        <v>15505</v>
      </c>
      <c r="P5" s="51">
        <f>Divisional!P23</f>
        <v>13864</v>
      </c>
      <c r="Q5" s="51">
        <f>Divisional!Q23</f>
        <v>13354</v>
      </c>
      <c r="R5" s="51">
        <f>Divisional!R23</f>
        <v>6143</v>
      </c>
      <c r="S5" s="629">
        <f>Divisional!S23</f>
        <v>7640</v>
      </c>
      <c r="T5" s="652">
        <f>Divisional!T23</f>
        <v>13783</v>
      </c>
      <c r="U5" s="51">
        <f>Divisional!U23</f>
        <v>6865</v>
      </c>
      <c r="V5" s="629">
        <f>Divisional!V23</f>
        <v>8225</v>
      </c>
      <c r="W5" s="652">
        <f>Divisional!W23</f>
        <v>15090</v>
      </c>
      <c r="X5" s="51">
        <f>Divisional!X23</f>
        <v>6041</v>
      </c>
      <c r="Y5" s="629">
        <f>Divisional!Y23</f>
        <v>7630</v>
      </c>
      <c r="Z5" s="652">
        <f>Divisional!Z23</f>
        <v>13671</v>
      </c>
      <c r="AA5" s="51">
        <f>Divisional!AA23</f>
        <v>7040</v>
      </c>
      <c r="AB5" s="629">
        <f>Divisional!AB23</f>
        <v>8027</v>
      </c>
      <c r="AC5" s="652">
        <f>Divisional!AC23</f>
        <v>15067</v>
      </c>
      <c r="AD5" s="51">
        <f>Divisional!AD23</f>
        <v>7353</v>
      </c>
      <c r="AE5" s="629">
        <f>Divisional!AE23</f>
        <v>8097</v>
      </c>
      <c r="AF5" s="652">
        <f>Divisional!AF23</f>
        <v>15450</v>
      </c>
      <c r="AG5" s="51">
        <f>Divisional!AG23</f>
        <v>5561</v>
      </c>
      <c r="AH5" s="629">
        <f>Divisional!AH23</f>
        <v>5869</v>
      </c>
      <c r="AI5" s="652">
        <f>Divisional!AI23</f>
        <v>11430</v>
      </c>
      <c r="AJ5" s="51">
        <f>Divisional!AJ23</f>
        <v>5227</v>
      </c>
      <c r="AK5" s="629">
        <f>Divisional!AK23</f>
        <v>5720</v>
      </c>
      <c r="AL5" s="652">
        <f>Divisional!AL23</f>
        <v>10947</v>
      </c>
      <c r="AM5" s="51">
        <f>Divisional!AM23</f>
        <v>5308</v>
      </c>
      <c r="AN5" s="629">
        <f>Divisional!AN23</f>
        <v>7383</v>
      </c>
      <c r="AO5" s="652">
        <f>Divisional!AO23</f>
        <v>12691</v>
      </c>
      <c r="AP5" s="51">
        <f>Divisional!AP23</f>
        <v>6950</v>
      </c>
      <c r="AQ5" s="629">
        <f>Divisional!AQ23</f>
        <v>8459</v>
      </c>
      <c r="AR5" s="652">
        <f>Divisional!AR23</f>
        <v>15409</v>
      </c>
      <c r="AS5" s="51">
        <f>Divisional!AS23</f>
        <v>8182</v>
      </c>
      <c r="AT5" s="629">
        <f>Divisional!AT23</f>
        <v>9666</v>
      </c>
      <c r="AU5" s="652">
        <f>Divisional!AU23</f>
        <v>17848</v>
      </c>
      <c r="AV5" s="51">
        <f>Divisional!AV23</f>
        <v>9057</v>
      </c>
      <c r="AW5" s="541">
        <f>Divisional!AW23</f>
        <v>11002</v>
      </c>
      <c r="AX5" s="652">
        <f>Divisional!AX23</f>
        <v>20059</v>
      </c>
      <c r="AY5" s="51">
        <f>Divisional!AY23</f>
        <v>11279</v>
      </c>
      <c r="AZ5" s="237">
        <f>Divisional!AZ23</f>
        <v>12334.997421791399</v>
      </c>
      <c r="BA5" s="576">
        <f>Divisional!BA23</f>
        <v>23613.997421791399</v>
      </c>
      <c r="BB5" s="48">
        <f>Divisional!BB23</f>
        <v>12914.199231416873</v>
      </c>
      <c r="BC5" s="237">
        <f>Divisional!BC23</f>
        <v>13763.730006610756</v>
      </c>
      <c r="BD5" s="576">
        <f>Divisional!BD23</f>
        <v>26677.929238027627</v>
      </c>
      <c r="BE5" s="48">
        <f>Divisional!BE23</f>
        <v>14160.950842036937</v>
      </c>
      <c r="BF5" s="237">
        <f>Divisional!BF23</f>
        <v>15375.343105863434</v>
      </c>
      <c r="BG5" s="576">
        <f>Divisional!BG23</f>
        <v>29536.293947900369</v>
      </c>
      <c r="BH5" s="48">
        <f>Divisional!BH23</f>
        <v>15870.082486126383</v>
      </c>
      <c r="BI5" s="237">
        <f>Divisional!BI23</f>
        <v>17226.512100516175</v>
      </c>
      <c r="BJ5" s="576">
        <f>Divisional!BJ23</f>
        <v>33096.594586642554</v>
      </c>
      <c r="BK5" s="48">
        <f>Divisional!BK23</f>
        <v>17792.180974861374</v>
      </c>
      <c r="BL5" s="237">
        <f>Divisional!BL23</f>
        <v>19277.306261152517</v>
      </c>
      <c r="BM5" s="576">
        <f>Divisional!BM23</f>
        <v>37069.487236013891</v>
      </c>
    </row>
    <row r="6" spans="1:74">
      <c r="A6" s="25" t="s">
        <v>22</v>
      </c>
      <c r="B6" s="40">
        <f>B7-B5</f>
        <v>0</v>
      </c>
      <c r="C6" s="40">
        <f t="shared" ref="C6:I6" si="2">C7-C5</f>
        <v>0</v>
      </c>
      <c r="D6" s="40">
        <f t="shared" si="2"/>
        <v>0</v>
      </c>
      <c r="E6" s="40">
        <f t="shared" si="2"/>
        <v>0</v>
      </c>
      <c r="F6" s="40">
        <f t="shared" si="2"/>
        <v>0</v>
      </c>
      <c r="G6" s="40">
        <f t="shared" si="2"/>
        <v>145</v>
      </c>
      <c r="H6" s="40">
        <f t="shared" si="2"/>
        <v>-197</v>
      </c>
      <c r="I6" s="40">
        <f t="shared" si="2"/>
        <v>-382</v>
      </c>
      <c r="J6" s="40">
        <f t="shared" ref="J6:BM6" si="3">J82</f>
        <v>-65</v>
      </c>
      <c r="K6" s="40">
        <f t="shared" si="3"/>
        <v>306</v>
      </c>
      <c r="L6" s="40">
        <f t="shared" si="3"/>
        <v>219</v>
      </c>
      <c r="M6" s="40">
        <f t="shared" si="3"/>
        <v>-153</v>
      </c>
      <c r="N6" s="40">
        <f t="shared" si="3"/>
        <v>-48</v>
      </c>
      <c r="O6" s="40">
        <f t="shared" si="3"/>
        <v>-863</v>
      </c>
      <c r="P6" s="40">
        <f t="shared" si="3"/>
        <v>-128</v>
      </c>
      <c r="Q6" s="40">
        <f t="shared" si="3"/>
        <v>371</v>
      </c>
      <c r="R6" s="40">
        <f t="shared" si="3"/>
        <v>319</v>
      </c>
      <c r="S6" s="630">
        <f t="shared" si="3"/>
        <v>853</v>
      </c>
      <c r="T6" s="653">
        <f>T82</f>
        <v>1172</v>
      </c>
      <c r="U6" s="40">
        <f t="shared" ref="U6:V6" si="4">U82</f>
        <v>701</v>
      </c>
      <c r="V6" s="630">
        <f t="shared" si="4"/>
        <v>516</v>
      </c>
      <c r="W6" s="653">
        <f>W82</f>
        <v>1217</v>
      </c>
      <c r="X6" s="40">
        <f t="shared" ref="X6:Y6" si="5">X82</f>
        <v>615</v>
      </c>
      <c r="Y6" s="630">
        <f t="shared" si="5"/>
        <v>461</v>
      </c>
      <c r="Z6" s="653">
        <f>Z82</f>
        <v>1076</v>
      </c>
      <c r="AA6" s="40">
        <f t="shared" ref="AA6:AB6" si="6">AA82</f>
        <v>447</v>
      </c>
      <c r="AB6" s="630">
        <f t="shared" si="6"/>
        <v>215</v>
      </c>
      <c r="AC6" s="653">
        <f>AC82</f>
        <v>662</v>
      </c>
      <c r="AD6" s="40">
        <f t="shared" ref="AD6:AE6" si="7">AD82</f>
        <v>530</v>
      </c>
      <c r="AE6" s="630">
        <f t="shared" si="7"/>
        <v>607</v>
      </c>
      <c r="AF6" s="653">
        <f t="shared" si="3"/>
        <v>1137</v>
      </c>
      <c r="AG6" s="40">
        <f t="shared" ref="AG6:AH6" si="8">AG82</f>
        <v>112</v>
      </c>
      <c r="AH6" s="630">
        <f t="shared" si="8"/>
        <v>-51</v>
      </c>
      <c r="AI6" s="653">
        <f t="shared" si="3"/>
        <v>61</v>
      </c>
      <c r="AJ6" s="40">
        <f t="shared" si="3"/>
        <v>-68</v>
      </c>
      <c r="AK6" s="630">
        <f t="shared" si="3"/>
        <v>339</v>
      </c>
      <c r="AL6" s="653">
        <f>AL82</f>
        <v>271</v>
      </c>
      <c r="AM6" s="40">
        <f t="shared" ref="AM6:AN6" si="9">AM82</f>
        <v>292</v>
      </c>
      <c r="AN6" s="630">
        <f t="shared" si="9"/>
        <v>537</v>
      </c>
      <c r="AO6" s="653">
        <f t="shared" si="3"/>
        <v>829</v>
      </c>
      <c r="AP6" s="40">
        <f t="shared" si="3"/>
        <v>573</v>
      </c>
      <c r="AQ6" s="630">
        <f t="shared" si="3"/>
        <v>504</v>
      </c>
      <c r="AR6" s="653">
        <f t="shared" ref="AR6:AT6" si="10">AR82</f>
        <v>1077</v>
      </c>
      <c r="AS6" s="40">
        <f t="shared" si="10"/>
        <v>679</v>
      </c>
      <c r="AT6" s="630">
        <f t="shared" si="10"/>
        <v>382</v>
      </c>
      <c r="AU6" s="653">
        <f t="shared" ref="AU6:AW6" si="11">AU82</f>
        <v>1061</v>
      </c>
      <c r="AV6" s="40">
        <f t="shared" si="11"/>
        <v>433</v>
      </c>
      <c r="AW6" s="539">
        <f t="shared" si="11"/>
        <v>715</v>
      </c>
      <c r="AX6" s="653">
        <f t="shared" si="3"/>
        <v>1148</v>
      </c>
      <c r="AY6" s="40">
        <f t="shared" si="3"/>
        <v>169</v>
      </c>
      <c r="AZ6" s="236">
        <f t="shared" si="3"/>
        <v>0</v>
      </c>
      <c r="BA6" s="605">
        <f>BA82</f>
        <v>169</v>
      </c>
      <c r="BB6" s="56">
        <f t="shared" si="3"/>
        <v>0</v>
      </c>
      <c r="BC6" s="236">
        <f t="shared" si="3"/>
        <v>0</v>
      </c>
      <c r="BD6" s="605">
        <f t="shared" si="3"/>
        <v>0</v>
      </c>
      <c r="BE6" s="56">
        <f t="shared" si="3"/>
        <v>0</v>
      </c>
      <c r="BF6" s="236">
        <f t="shared" si="3"/>
        <v>0</v>
      </c>
      <c r="BG6" s="605">
        <f t="shared" si="3"/>
        <v>0</v>
      </c>
      <c r="BH6" s="56">
        <f t="shared" si="3"/>
        <v>0</v>
      </c>
      <c r="BI6" s="236">
        <f t="shared" si="3"/>
        <v>0</v>
      </c>
      <c r="BJ6" s="605">
        <f t="shared" si="3"/>
        <v>0</v>
      </c>
      <c r="BK6" s="56">
        <f t="shared" si="3"/>
        <v>0</v>
      </c>
      <c r="BL6" s="236">
        <f t="shared" si="3"/>
        <v>0</v>
      </c>
      <c r="BM6" s="605">
        <f t="shared" si="3"/>
        <v>0</v>
      </c>
    </row>
    <row r="7" spans="1:74">
      <c r="A7" s="31" t="s">
        <v>37</v>
      </c>
      <c r="B7" s="51">
        <v>5864</v>
      </c>
      <c r="C7" s="51">
        <v>6328</v>
      </c>
      <c r="D7" s="51">
        <v>5788</v>
      </c>
      <c r="E7" s="51">
        <v>5645</v>
      </c>
      <c r="F7" s="51">
        <v>5947</v>
      </c>
      <c r="G7" s="51">
        <v>6603</v>
      </c>
      <c r="H7" s="51">
        <v>7156</v>
      </c>
      <c r="I7" s="51">
        <v>7435</v>
      </c>
      <c r="J7" s="51">
        <f t="shared" ref="J7:S7" si="12">J5+J6</f>
        <v>9082</v>
      </c>
      <c r="K7" s="51">
        <f t="shared" si="12"/>
        <v>10414</v>
      </c>
      <c r="L7" s="51">
        <f t="shared" si="12"/>
        <v>11085</v>
      </c>
      <c r="M7" s="51">
        <f t="shared" si="12"/>
        <v>11124</v>
      </c>
      <c r="N7" s="51">
        <f t="shared" si="12"/>
        <v>12161</v>
      </c>
      <c r="O7" s="51">
        <f t="shared" si="12"/>
        <v>14642</v>
      </c>
      <c r="P7" s="51">
        <f t="shared" si="12"/>
        <v>13736</v>
      </c>
      <c r="Q7" s="51">
        <f t="shared" si="12"/>
        <v>13725</v>
      </c>
      <c r="R7" s="51">
        <f t="shared" si="12"/>
        <v>6462</v>
      </c>
      <c r="S7" s="629">
        <f t="shared" si="12"/>
        <v>8493</v>
      </c>
      <c r="T7" s="652">
        <f>T5+T6</f>
        <v>14955</v>
      </c>
      <c r="U7" s="51">
        <f t="shared" ref="U7:V7" si="13">U5+U6</f>
        <v>7566</v>
      </c>
      <c r="V7" s="629">
        <f t="shared" si="13"/>
        <v>8741</v>
      </c>
      <c r="W7" s="652">
        <f t="shared" ref="W7:BM7" si="14">W5+W6</f>
        <v>16307</v>
      </c>
      <c r="X7" s="51">
        <f t="shared" si="14"/>
        <v>6656</v>
      </c>
      <c r="Y7" s="629">
        <f t="shared" si="14"/>
        <v>8091</v>
      </c>
      <c r="Z7" s="652">
        <f>Z5+Z6</f>
        <v>14747</v>
      </c>
      <c r="AA7" s="51">
        <f t="shared" ref="AA7:AB7" si="15">AA5+AA6</f>
        <v>7487</v>
      </c>
      <c r="AB7" s="629">
        <f t="shared" si="15"/>
        <v>8242</v>
      </c>
      <c r="AC7" s="652">
        <f>AC5+AC6</f>
        <v>15729</v>
      </c>
      <c r="AD7" s="51">
        <f t="shared" ref="AD7:AE7" si="16">AD5+AD6</f>
        <v>7883</v>
      </c>
      <c r="AE7" s="629">
        <f t="shared" si="16"/>
        <v>8704</v>
      </c>
      <c r="AF7" s="652">
        <f>AF5+AF6</f>
        <v>16587</v>
      </c>
      <c r="AG7" s="51">
        <f t="shared" ref="AG7:AH7" si="17">AG5+AG6</f>
        <v>5673</v>
      </c>
      <c r="AH7" s="629">
        <f t="shared" si="17"/>
        <v>5818</v>
      </c>
      <c r="AI7" s="652">
        <f>AI5+AI6</f>
        <v>11491</v>
      </c>
      <c r="AJ7" s="51">
        <f t="shared" ref="AJ7:AK7" si="18">AJ5+AJ6</f>
        <v>5159</v>
      </c>
      <c r="AK7" s="629">
        <f t="shared" si="18"/>
        <v>6059</v>
      </c>
      <c r="AL7" s="652">
        <f>AL5+AL6</f>
        <v>11218</v>
      </c>
      <c r="AM7" s="51">
        <f t="shared" ref="AM7:AN7" si="19">AM5+AM6</f>
        <v>5600</v>
      </c>
      <c r="AN7" s="629">
        <f t="shared" si="19"/>
        <v>7920</v>
      </c>
      <c r="AO7" s="652">
        <f t="shared" si="14"/>
        <v>13520</v>
      </c>
      <c r="AP7" s="51">
        <f t="shared" si="14"/>
        <v>7523</v>
      </c>
      <c r="AQ7" s="629">
        <f t="shared" si="14"/>
        <v>8963</v>
      </c>
      <c r="AR7" s="652">
        <f t="shared" ref="AR7:AT7" si="20">AR5+AR6</f>
        <v>16486</v>
      </c>
      <c r="AS7" s="51">
        <f t="shared" si="20"/>
        <v>8861</v>
      </c>
      <c r="AT7" s="629">
        <f t="shared" si="20"/>
        <v>10048</v>
      </c>
      <c r="AU7" s="652">
        <f t="shared" ref="AU7:AW7" si="21">AU5+AU6</f>
        <v>18909</v>
      </c>
      <c r="AV7" s="51">
        <f t="shared" si="21"/>
        <v>9490</v>
      </c>
      <c r="AW7" s="541">
        <f t="shared" si="21"/>
        <v>11717</v>
      </c>
      <c r="AX7" s="652">
        <f t="shared" si="14"/>
        <v>21207</v>
      </c>
      <c r="AY7" s="51">
        <f t="shared" si="14"/>
        <v>11448</v>
      </c>
      <c r="AZ7" s="237">
        <f t="shared" si="14"/>
        <v>12334.997421791399</v>
      </c>
      <c r="BA7" s="576">
        <f t="shared" si="14"/>
        <v>23782.997421791399</v>
      </c>
      <c r="BB7" s="48">
        <f t="shared" si="14"/>
        <v>12914.199231416873</v>
      </c>
      <c r="BC7" s="237">
        <f t="shared" si="14"/>
        <v>13763.730006610756</v>
      </c>
      <c r="BD7" s="576">
        <f t="shared" si="14"/>
        <v>26677.929238027627</v>
      </c>
      <c r="BE7" s="48">
        <f t="shared" si="14"/>
        <v>14160.950842036937</v>
      </c>
      <c r="BF7" s="237">
        <f t="shared" si="14"/>
        <v>15375.343105863434</v>
      </c>
      <c r="BG7" s="576">
        <f t="shared" si="14"/>
        <v>29536.293947900369</v>
      </c>
      <c r="BH7" s="48">
        <f t="shared" si="14"/>
        <v>15870.082486126383</v>
      </c>
      <c r="BI7" s="237">
        <f t="shared" si="14"/>
        <v>17226.512100516175</v>
      </c>
      <c r="BJ7" s="576">
        <f t="shared" si="14"/>
        <v>33096.594586642554</v>
      </c>
      <c r="BK7" s="48">
        <f t="shared" si="14"/>
        <v>17792.180974861374</v>
      </c>
      <c r="BL7" s="237">
        <f t="shared" si="14"/>
        <v>19277.306261152517</v>
      </c>
      <c r="BM7" s="576">
        <f t="shared" si="14"/>
        <v>37069.487236013891</v>
      </c>
    </row>
    <row r="8" spans="1:74">
      <c r="A8" s="25" t="s">
        <v>624</v>
      </c>
      <c r="B8" s="40"/>
      <c r="C8" s="40"/>
      <c r="D8" s="40"/>
      <c r="E8" s="40"/>
      <c r="F8" s="40"/>
      <c r="G8" s="40"/>
      <c r="H8" s="40"/>
      <c r="I8" s="40"/>
      <c r="J8" s="40"/>
      <c r="K8" s="40"/>
      <c r="L8" s="40"/>
      <c r="M8" s="40"/>
      <c r="N8" s="40"/>
      <c r="O8" s="40"/>
      <c r="P8" s="40">
        <f t="shared" ref="P8:BM8" si="22">+P9-P5</f>
        <v>-10341</v>
      </c>
      <c r="Q8" s="40">
        <f t="shared" si="22"/>
        <v>-10172</v>
      </c>
      <c r="R8" s="40">
        <f t="shared" si="22"/>
        <v>-5110</v>
      </c>
      <c r="S8" s="630">
        <f t="shared" si="22"/>
        <v>-5850</v>
      </c>
      <c r="T8" s="653">
        <f t="shared" si="22"/>
        <v>-10960</v>
      </c>
      <c r="U8" s="40">
        <f t="shared" ref="U8:V8" si="23">+U9-U5</f>
        <v>-5613</v>
      </c>
      <c r="V8" s="630">
        <f t="shared" si="23"/>
        <v>-6504</v>
      </c>
      <c r="W8" s="653">
        <f t="shared" si="22"/>
        <v>-12117</v>
      </c>
      <c r="X8" s="40">
        <f t="shared" si="22"/>
        <v>-5209</v>
      </c>
      <c r="Y8" s="630">
        <f t="shared" si="22"/>
        <v>-6216</v>
      </c>
      <c r="Z8" s="653">
        <f t="shared" si="22"/>
        <v>-11425</v>
      </c>
      <c r="AA8" s="40">
        <f t="shared" ref="AA8:AB8" si="24">+AA9-AA5</f>
        <v>-6034</v>
      </c>
      <c r="AB8" s="630">
        <f t="shared" si="24"/>
        <v>-6583</v>
      </c>
      <c r="AC8" s="653">
        <f t="shared" si="22"/>
        <v>-12617</v>
      </c>
      <c r="AD8" s="40">
        <f t="shared" si="22"/>
        <v>-6323</v>
      </c>
      <c r="AE8" s="630">
        <f t="shared" si="22"/>
        <v>-6740</v>
      </c>
      <c r="AF8" s="653">
        <f>+AF9-AF5</f>
        <v>-13063</v>
      </c>
      <c r="AG8" s="40">
        <f t="shared" ref="AG8:AH8" si="25">+AG9-AG5</f>
        <v>-6526</v>
      </c>
      <c r="AH8" s="630">
        <f t="shared" si="25"/>
        <v>-5517</v>
      </c>
      <c r="AI8" s="653">
        <f>+AI9-AI5</f>
        <v>-12043</v>
      </c>
      <c r="AJ8" s="40">
        <f t="shared" ref="AJ8:AK8" si="26">+AJ9-AJ5</f>
        <v>-4178</v>
      </c>
      <c r="AK8" s="630">
        <f t="shared" si="26"/>
        <v>-4773</v>
      </c>
      <c r="AL8" s="653">
        <f>+AL9-AL5</f>
        <v>-8951</v>
      </c>
      <c r="AM8" s="40">
        <f t="shared" ref="AM8:AN8" si="27">+AM9-AM5</f>
        <v>-4327</v>
      </c>
      <c r="AN8" s="630">
        <f t="shared" si="27"/>
        <v>-5887</v>
      </c>
      <c r="AO8" s="653">
        <f t="shared" si="22"/>
        <v>-10214</v>
      </c>
      <c r="AP8" s="40">
        <f t="shared" ref="AP8:AR8" si="28">+AP9-AP5</f>
        <v>-5435</v>
      </c>
      <c r="AQ8" s="630">
        <f t="shared" si="28"/>
        <v>-6743</v>
      </c>
      <c r="AR8" s="653">
        <f t="shared" si="28"/>
        <v>-12178</v>
      </c>
      <c r="AS8" s="40">
        <f t="shared" ref="AS8:AU8" si="29">+AS9-AS5</f>
        <v>-6205</v>
      </c>
      <c r="AT8" s="630">
        <f t="shared" si="29"/>
        <v>-7551</v>
      </c>
      <c r="AU8" s="653">
        <f t="shared" si="29"/>
        <v>-13756</v>
      </c>
      <c r="AV8" s="40">
        <f t="shared" ref="AV8:AW8" si="30">+AV9-AV5</f>
        <v>-6485</v>
      </c>
      <c r="AW8" s="539">
        <f t="shared" si="30"/>
        <v>-8448</v>
      </c>
      <c r="AX8" s="653">
        <f t="shared" si="22"/>
        <v>-14933</v>
      </c>
      <c r="AY8" s="40">
        <f t="shared" si="22"/>
        <v>-7882</v>
      </c>
      <c r="AZ8" s="236">
        <f t="shared" si="22"/>
        <v>-9020.0434971695286</v>
      </c>
      <c r="BA8" s="605">
        <f t="shared" si="22"/>
        <v>-16902.043497169529</v>
      </c>
      <c r="BB8" s="56">
        <f t="shared" si="22"/>
        <v>-9245.2975449478399</v>
      </c>
      <c r="BC8" s="236">
        <f t="shared" si="22"/>
        <v>-9866.888758981313</v>
      </c>
      <c r="BD8" s="605">
        <f t="shared" si="22"/>
        <v>-19112.186303929149</v>
      </c>
      <c r="BE8" s="56">
        <f t="shared" si="22"/>
        <v>-9979.6904598686851</v>
      </c>
      <c r="BF8" s="236">
        <f t="shared" si="22"/>
        <v>-10846.93988835022</v>
      </c>
      <c r="BG8" s="605">
        <f t="shared" si="22"/>
        <v>-20826.630348218903</v>
      </c>
      <c r="BH8" s="56">
        <f t="shared" si="22"/>
        <v>-11044.41853758541</v>
      </c>
      <c r="BI8" s="236">
        <f t="shared" si="22"/>
        <v>-11987.787108655348</v>
      </c>
      <c r="BJ8" s="605">
        <f t="shared" si="22"/>
        <v>-23032.205646240756</v>
      </c>
      <c r="BK8" s="56">
        <f t="shared" si="22"/>
        <v>-12237.822988389615</v>
      </c>
      <c r="BL8" s="236">
        <f t="shared" si="22"/>
        <v>-13242.624692908257</v>
      </c>
      <c r="BM8" s="605">
        <f t="shared" si="22"/>
        <v>-25480.447681297872</v>
      </c>
    </row>
    <row r="9" spans="1:74">
      <c r="A9" s="31" t="s">
        <v>623</v>
      </c>
      <c r="B9" s="51"/>
      <c r="C9" s="51"/>
      <c r="D9" s="51"/>
      <c r="E9" s="51"/>
      <c r="F9" s="51"/>
      <c r="G9" s="51"/>
      <c r="H9" s="51"/>
      <c r="I9" s="51"/>
      <c r="J9" s="51"/>
      <c r="K9" s="51"/>
      <c r="L9" s="51"/>
      <c r="M9" s="51"/>
      <c r="N9" s="51"/>
      <c r="O9" s="51"/>
      <c r="P9" s="51">
        <f>+Divisional!P48</f>
        <v>3523</v>
      </c>
      <c r="Q9" s="51">
        <f>+Divisional!Q48</f>
        <v>3182</v>
      </c>
      <c r="R9" s="51">
        <f>+Divisional!R48</f>
        <v>1033</v>
      </c>
      <c r="S9" s="629">
        <f>+Divisional!S48</f>
        <v>1790</v>
      </c>
      <c r="T9" s="652">
        <f>+Divisional!T48</f>
        <v>2823</v>
      </c>
      <c r="U9" s="51">
        <f>+Divisional!U48</f>
        <v>1252</v>
      </c>
      <c r="V9" s="629">
        <f>+Divisional!V48</f>
        <v>1721</v>
      </c>
      <c r="W9" s="652">
        <f>+Divisional!W48</f>
        <v>2973</v>
      </c>
      <c r="X9" s="51">
        <f>+Divisional!X48</f>
        <v>832</v>
      </c>
      <c r="Y9" s="629">
        <f>+Divisional!Y48</f>
        <v>1414</v>
      </c>
      <c r="Z9" s="652">
        <f>+Divisional!Z48</f>
        <v>2246</v>
      </c>
      <c r="AA9" s="51">
        <f>+Divisional!AA48</f>
        <v>1006</v>
      </c>
      <c r="AB9" s="629">
        <f>+Divisional!AB48</f>
        <v>1444</v>
      </c>
      <c r="AC9" s="652">
        <f>+Divisional!AC48</f>
        <v>2450</v>
      </c>
      <c r="AD9" s="51">
        <f>+Divisional!AD48</f>
        <v>1030</v>
      </c>
      <c r="AE9" s="629">
        <f>+Divisional!AE48</f>
        <v>1357</v>
      </c>
      <c r="AF9" s="652">
        <f>+Divisional!AF48</f>
        <v>2387</v>
      </c>
      <c r="AG9" s="51">
        <f>+Divisional!AG48</f>
        <v>-965</v>
      </c>
      <c r="AH9" s="629">
        <f>+Divisional!AH48</f>
        <v>352</v>
      </c>
      <c r="AI9" s="652">
        <f>+Divisional!AI48</f>
        <v>-613</v>
      </c>
      <c r="AJ9" s="51">
        <f>+Divisional!AJ48</f>
        <v>1049</v>
      </c>
      <c r="AK9" s="629">
        <f>+Divisional!AK48</f>
        <v>947</v>
      </c>
      <c r="AL9" s="652">
        <f>+Divisional!AL48</f>
        <v>1996</v>
      </c>
      <c r="AM9" s="51">
        <f>+Divisional!AM48</f>
        <v>981</v>
      </c>
      <c r="AN9" s="629">
        <f>+Divisional!AN48</f>
        <v>1496</v>
      </c>
      <c r="AO9" s="652">
        <f>+Divisional!AO48</f>
        <v>2477</v>
      </c>
      <c r="AP9" s="51">
        <f>+Divisional!AP48</f>
        <v>1515</v>
      </c>
      <c r="AQ9" s="629">
        <f>+Divisional!AQ48</f>
        <v>1716</v>
      </c>
      <c r="AR9" s="652">
        <f>+Divisional!AR48</f>
        <v>3231</v>
      </c>
      <c r="AS9" s="51">
        <f>+Divisional!AS48</f>
        <v>1977</v>
      </c>
      <c r="AT9" s="629">
        <f>+Divisional!AT48</f>
        <v>2115</v>
      </c>
      <c r="AU9" s="652">
        <f>+Divisional!AU48</f>
        <v>4092</v>
      </c>
      <c r="AV9" s="51">
        <f>+Divisional!AV48</f>
        <v>2572</v>
      </c>
      <c r="AW9" s="541">
        <f>+Divisional!AW48</f>
        <v>2554</v>
      </c>
      <c r="AX9" s="652">
        <f>+Divisional!AX48</f>
        <v>5126</v>
      </c>
      <c r="AY9" s="51">
        <f>+Divisional!AY48</f>
        <v>3397</v>
      </c>
      <c r="AZ9" s="237">
        <f>+Divisional!AZ48</f>
        <v>3314.9539246218692</v>
      </c>
      <c r="BA9" s="576">
        <f>+Divisional!BA48</f>
        <v>6711.9539246218683</v>
      </c>
      <c r="BB9" s="48">
        <f>+Divisional!BB48</f>
        <v>3668.9016864690338</v>
      </c>
      <c r="BC9" s="237">
        <f>+Divisional!BC48</f>
        <v>3896.8412476294443</v>
      </c>
      <c r="BD9" s="576">
        <f>+Divisional!BD48</f>
        <v>7565.7429340984763</v>
      </c>
      <c r="BE9" s="48">
        <f>+Divisional!BE48</f>
        <v>4181.2603821682505</v>
      </c>
      <c r="BF9" s="237">
        <f>+Divisional!BF48</f>
        <v>4528.4032175132143</v>
      </c>
      <c r="BG9" s="576">
        <f>+Divisional!BG48</f>
        <v>8709.6635996814657</v>
      </c>
      <c r="BH9" s="48">
        <f>+Divisional!BH48</f>
        <v>4825.6639485409714</v>
      </c>
      <c r="BI9" s="237">
        <f>+Divisional!BI48</f>
        <v>5238.7249918608268</v>
      </c>
      <c r="BJ9" s="576">
        <f>+Divisional!BJ48</f>
        <v>10064.388940401797</v>
      </c>
      <c r="BK9" s="48">
        <f>+Divisional!BK48</f>
        <v>5554.3579864717594</v>
      </c>
      <c r="BL9" s="237">
        <f>+Divisional!BL48</f>
        <v>6034.6815682442593</v>
      </c>
      <c r="BM9" s="576">
        <f>+Divisional!BM48</f>
        <v>11589.039554716019</v>
      </c>
    </row>
    <row r="10" spans="1:74">
      <c r="A10" s="145" t="s">
        <v>44</v>
      </c>
      <c r="B10" s="296"/>
      <c r="C10" s="296"/>
      <c r="D10" s="296"/>
      <c r="E10" s="296"/>
      <c r="F10" s="296"/>
      <c r="G10" s="296"/>
      <c r="H10" s="296"/>
      <c r="I10" s="296"/>
      <c r="J10" s="296"/>
      <c r="K10" s="296"/>
      <c r="L10" s="296"/>
      <c r="M10" s="296"/>
      <c r="N10" s="296"/>
      <c r="O10" s="296"/>
      <c r="P10" s="296">
        <f t="shared" ref="P10:BM10" si="31">+P9/P5</f>
        <v>0.2541113675706867</v>
      </c>
      <c r="Q10" s="296">
        <f t="shared" si="31"/>
        <v>0.23828066496929759</v>
      </c>
      <c r="R10" s="988">
        <f t="shared" si="31"/>
        <v>0.1681588800260459</v>
      </c>
      <c r="S10" s="631">
        <f t="shared" si="31"/>
        <v>0.2342931937172775</v>
      </c>
      <c r="T10" s="654">
        <f t="shared" si="31"/>
        <v>0.2048175288398752</v>
      </c>
      <c r="U10" s="988">
        <f t="shared" ref="U10:V10" si="32">+U9/U5</f>
        <v>0.18237436270939547</v>
      </c>
      <c r="V10" s="631">
        <f t="shared" si="32"/>
        <v>0.20924012158054711</v>
      </c>
      <c r="W10" s="654">
        <f t="shared" si="31"/>
        <v>0.19701789264413519</v>
      </c>
      <c r="X10" s="988">
        <f t="shared" si="31"/>
        <v>0.13772554212878663</v>
      </c>
      <c r="Y10" s="631">
        <f t="shared" si="31"/>
        <v>0.1853211009174312</v>
      </c>
      <c r="Z10" s="654">
        <f t="shared" si="31"/>
        <v>0.16428937166264354</v>
      </c>
      <c r="AA10" s="988">
        <f t="shared" ref="AA10:AB10" si="33">+AA9/AA5</f>
        <v>0.14289772727272726</v>
      </c>
      <c r="AB10" s="631">
        <f t="shared" si="33"/>
        <v>0.17989286159212659</v>
      </c>
      <c r="AC10" s="654">
        <f t="shared" si="31"/>
        <v>0.16260702196854052</v>
      </c>
      <c r="AD10" s="988">
        <f t="shared" si="31"/>
        <v>0.14007887936896504</v>
      </c>
      <c r="AE10" s="631">
        <f t="shared" si="31"/>
        <v>0.16759293565518094</v>
      </c>
      <c r="AF10" s="654">
        <f t="shared" si="31"/>
        <v>0.15449838187702267</v>
      </c>
      <c r="AG10" s="988">
        <f t="shared" ref="AG10:AH10" si="34">+AG9/AG5</f>
        <v>-0.173529940658155</v>
      </c>
      <c r="AH10" s="631">
        <f t="shared" si="34"/>
        <v>5.9976145851081956E-2</v>
      </c>
      <c r="AI10" s="654">
        <f t="shared" si="31"/>
        <v>-5.3630796150481191E-2</v>
      </c>
      <c r="AJ10" s="988">
        <f t="shared" si="31"/>
        <v>0.20068873158599579</v>
      </c>
      <c r="AK10" s="631">
        <f t="shared" si="31"/>
        <v>0.16555944055944055</v>
      </c>
      <c r="AL10" s="654">
        <f t="shared" si="31"/>
        <v>0.18233305928564902</v>
      </c>
      <c r="AM10" s="988">
        <f t="shared" ref="AM10:AN10" si="35">+AM9/AM5</f>
        <v>0.1848153730218538</v>
      </c>
      <c r="AN10" s="631">
        <f t="shared" si="35"/>
        <v>0.20262765813355005</v>
      </c>
      <c r="AO10" s="654">
        <f t="shared" si="31"/>
        <v>0.19517768497360335</v>
      </c>
      <c r="AP10" s="988">
        <f t="shared" si="31"/>
        <v>0.21798561151079138</v>
      </c>
      <c r="AQ10" s="631">
        <f t="shared" si="31"/>
        <v>0.20286085825747724</v>
      </c>
      <c r="AR10" s="654">
        <f t="shared" ref="AR10:AT10" si="36">+AR9/AR5</f>
        <v>0.20968265299500291</v>
      </c>
      <c r="AS10" s="988">
        <f t="shared" si="36"/>
        <v>0.24162796382302615</v>
      </c>
      <c r="AT10" s="631">
        <f t="shared" si="36"/>
        <v>0.21880819366852886</v>
      </c>
      <c r="AU10" s="654">
        <f t="shared" ref="AU10:AW10" si="37">+AU9/AU5</f>
        <v>0.2292693859255939</v>
      </c>
      <c r="AV10" s="988">
        <f t="shared" si="37"/>
        <v>0.283979242574804</v>
      </c>
      <c r="AW10" s="1101">
        <f t="shared" si="37"/>
        <v>0.23213961097982186</v>
      </c>
      <c r="AX10" s="654">
        <f t="shared" si="31"/>
        <v>0.25554613889027367</v>
      </c>
      <c r="AY10" s="988">
        <f t="shared" si="31"/>
        <v>0.30117918255164466</v>
      </c>
      <c r="AZ10" s="248">
        <f t="shared" ref="AZ10" si="38">+AZ9/AZ5</f>
        <v>0.26874378739354793</v>
      </c>
      <c r="BA10" s="606">
        <f>+BA9/BA5</f>
        <v>0.28423624364538819</v>
      </c>
      <c r="BB10" s="246">
        <f t="shared" ref="BB10:BC10" si="39">+BB9/BB5</f>
        <v>0.28409827204334548</v>
      </c>
      <c r="BC10" s="248">
        <f t="shared" si="39"/>
        <v>0.28312392394778024</v>
      </c>
      <c r="BD10" s="606">
        <f t="shared" si="31"/>
        <v>0.28359558444716199</v>
      </c>
      <c r="BE10" s="246">
        <f t="shared" si="31"/>
        <v>0.29526692302017837</v>
      </c>
      <c r="BF10" s="248">
        <f t="shared" ref="BF10" si="40">+BF9/BF5</f>
        <v>0.2945237180291797</v>
      </c>
      <c r="BG10" s="606">
        <f t="shared" si="31"/>
        <v>0.29488004199323742</v>
      </c>
      <c r="BH10" s="246">
        <f t="shared" si="31"/>
        <v>0.30407302247858914</v>
      </c>
      <c r="BI10" s="248">
        <f t="shared" ref="BI10" si="41">+BI9/BI5</f>
        <v>0.30410828154260278</v>
      </c>
      <c r="BJ10" s="606">
        <f t="shared" si="31"/>
        <v>0.3040913745386869</v>
      </c>
      <c r="BK10" s="246">
        <f t="shared" si="31"/>
        <v>0.31217971502872688</v>
      </c>
      <c r="BL10" s="248">
        <f t="shared" ref="BL10" si="42">+BL9/BL5</f>
        <v>0.31304589378264452</v>
      </c>
      <c r="BM10" s="606">
        <f t="shared" si="31"/>
        <v>0.31263015538712363</v>
      </c>
    </row>
    <row r="11" spans="1:74" ht="11.4">
      <c r="A11" s="25" t="s">
        <v>622</v>
      </c>
      <c r="B11" s="40">
        <v>-5005</v>
      </c>
      <c r="C11" s="40">
        <v>-5406</v>
      </c>
      <c r="D11" s="40">
        <v>-4915</v>
      </c>
      <c r="E11" s="40">
        <v>-4714</v>
      </c>
      <c r="F11" s="40">
        <v>-4744</v>
      </c>
      <c r="G11" s="40">
        <v>-4924</v>
      </c>
      <c r="H11" s="40">
        <v>-5566</v>
      </c>
      <c r="I11" s="40">
        <v>-6003</v>
      </c>
      <c r="J11" s="40">
        <v>-7278</v>
      </c>
      <c r="K11" s="40">
        <v>-8303</v>
      </c>
      <c r="L11" s="40">
        <v>-8885</v>
      </c>
      <c r="M11" s="40">
        <v>-8676</v>
      </c>
      <c r="N11" s="40">
        <v>-9432</v>
      </c>
      <c r="O11" s="40">
        <v>-11482</v>
      </c>
      <c r="P11" s="40">
        <v>-10533</v>
      </c>
      <c r="Q11" s="40">
        <v>-10448</v>
      </c>
      <c r="R11" s="40">
        <v>-5269</v>
      </c>
      <c r="S11" s="630">
        <f>T11-R11</f>
        <v>-6638</v>
      </c>
      <c r="T11" s="653">
        <v>-11907</v>
      </c>
      <c r="U11" s="40">
        <v>-6158</v>
      </c>
      <c r="V11" s="630">
        <f>W11-U11</f>
        <v>-6976</v>
      </c>
      <c r="W11" s="653">
        <v>-13134</v>
      </c>
      <c r="X11" s="40">
        <v>-5801</v>
      </c>
      <c r="Y11" s="630">
        <f>Z11-X11</f>
        <v>-6524</v>
      </c>
      <c r="Z11" s="653">
        <v>-12325</v>
      </c>
      <c r="AA11" s="40">
        <v>-7231</v>
      </c>
      <c r="AB11" s="630">
        <f>AC11-AA11</f>
        <v>-7300</v>
      </c>
      <c r="AC11" s="653">
        <v>-14531</v>
      </c>
      <c r="AD11" s="40">
        <v>-6882</v>
      </c>
      <c r="AE11" s="630">
        <f>AF11-AD11</f>
        <v>-8763</v>
      </c>
      <c r="AF11" s="653">
        <v>-15645</v>
      </c>
      <c r="AG11" s="40">
        <v>-6263</v>
      </c>
      <c r="AH11" s="630">
        <f>AI11-AG11</f>
        <v>-5415</v>
      </c>
      <c r="AI11" s="653">
        <v>-11678</v>
      </c>
      <c r="AJ11" s="40">
        <v>-4345</v>
      </c>
      <c r="AK11" s="630">
        <f>AL11-AJ11</f>
        <v>-4737</v>
      </c>
      <c r="AL11" s="653">
        <v>-9082</v>
      </c>
      <c r="AM11" s="40">
        <v>-4538</v>
      </c>
      <c r="AN11" s="630">
        <f>AO11-AM11</f>
        <v>-6225</v>
      </c>
      <c r="AO11" s="653">
        <v>-10763</v>
      </c>
      <c r="AP11" s="40">
        <v>-5866</v>
      </c>
      <c r="AQ11" s="630">
        <f>AR11-AP11</f>
        <v>-7000</v>
      </c>
      <c r="AR11" s="653">
        <v>-12866</v>
      </c>
      <c r="AS11" s="40">
        <v>-6753</v>
      </c>
      <c r="AT11" s="630">
        <f>AU11-AS11</f>
        <v>-7935</v>
      </c>
      <c r="AU11" s="653">
        <v>-14688</v>
      </c>
      <c r="AV11" s="40">
        <v>-6563</v>
      </c>
      <c r="AW11" s="539">
        <f>AX11-AV11</f>
        <v>-8469</v>
      </c>
      <c r="AX11" s="653">
        <v>-15032</v>
      </c>
      <c r="AY11" s="40">
        <v>-8021</v>
      </c>
      <c r="AZ11" s="236">
        <f>AZ12-AZ7</f>
        <v>-9030.8791299901422</v>
      </c>
      <c r="BA11" s="605">
        <f t="shared" ref="BA11:BM11" si="43">BA12-BA7</f>
        <v>-17197.879129990142</v>
      </c>
      <c r="BB11" s="56">
        <f>BB12-BB7</f>
        <v>-9255.598516466991</v>
      </c>
      <c r="BC11" s="236">
        <f>BC12-BC7</f>
        <v>-9877.8673561250271</v>
      </c>
      <c r="BD11" s="605">
        <f t="shared" si="43"/>
        <v>-19133.465872592016</v>
      </c>
      <c r="BE11" s="56">
        <f>BE12-BE7</f>
        <v>-9990.985898996887</v>
      </c>
      <c r="BF11" s="236">
        <f>BF12-BF7</f>
        <v>-10859.203983753472</v>
      </c>
      <c r="BG11" s="605">
        <f t="shared" si="43"/>
        <v>-20850.189882750354</v>
      </c>
      <c r="BH11" s="56">
        <f>BH12-BH7</f>
        <v>-11057.077260342179</v>
      </c>
      <c r="BI11" s="236">
        <f>BI12-BI7</f>
        <v>-12001.527783345424</v>
      </c>
      <c r="BJ11" s="605">
        <f t="shared" si="43"/>
        <v>-23058.605043687603</v>
      </c>
      <c r="BK11" s="56">
        <f>BK12-BK7</f>
        <v>-12252.014867127229</v>
      </c>
      <c r="BL11" s="236">
        <f>BL12-BL7</f>
        <v>-13258.001177288257</v>
      </c>
      <c r="BM11" s="605">
        <f t="shared" si="43"/>
        <v>-25510.016044415486</v>
      </c>
      <c r="BN11" s="104"/>
    </row>
    <row r="12" spans="1:74">
      <c r="A12" s="31" t="s">
        <v>39</v>
      </c>
      <c r="B12" s="51">
        <f t="shared" ref="B12:V12" si="44">B7+B11</f>
        <v>859</v>
      </c>
      <c r="C12" s="51">
        <f t="shared" si="44"/>
        <v>922</v>
      </c>
      <c r="D12" s="51">
        <f t="shared" si="44"/>
        <v>873</v>
      </c>
      <c r="E12" s="51">
        <f t="shared" si="44"/>
        <v>931</v>
      </c>
      <c r="F12" s="51">
        <f t="shared" si="44"/>
        <v>1203</v>
      </c>
      <c r="G12" s="51">
        <f t="shared" si="44"/>
        <v>1679</v>
      </c>
      <c r="H12" s="51">
        <f t="shared" si="44"/>
        <v>1590</v>
      </c>
      <c r="I12" s="51">
        <f t="shared" si="44"/>
        <v>1432</v>
      </c>
      <c r="J12" s="51">
        <f t="shared" si="44"/>
        <v>1804</v>
      </c>
      <c r="K12" s="51">
        <f t="shared" si="44"/>
        <v>2111</v>
      </c>
      <c r="L12" s="51">
        <f t="shared" si="44"/>
        <v>2200</v>
      </c>
      <c r="M12" s="51">
        <f t="shared" si="44"/>
        <v>2448</v>
      </c>
      <c r="N12" s="51">
        <f t="shared" si="44"/>
        <v>2729</v>
      </c>
      <c r="O12" s="51">
        <f t="shared" si="44"/>
        <v>3160</v>
      </c>
      <c r="P12" s="51">
        <f t="shared" si="44"/>
        <v>3203</v>
      </c>
      <c r="Q12" s="51">
        <f t="shared" si="44"/>
        <v>3277</v>
      </c>
      <c r="R12" s="51">
        <f t="shared" ref="R12:S12" si="45">R7+R11</f>
        <v>1193</v>
      </c>
      <c r="S12" s="629">
        <f t="shared" si="45"/>
        <v>1855</v>
      </c>
      <c r="T12" s="652">
        <f t="shared" si="44"/>
        <v>3048</v>
      </c>
      <c r="U12" s="51">
        <f t="shared" si="44"/>
        <v>1408</v>
      </c>
      <c r="V12" s="629">
        <f t="shared" si="44"/>
        <v>1765</v>
      </c>
      <c r="W12" s="652">
        <f t="shared" ref="W12:AQ12" si="46">W7+W11</f>
        <v>3173</v>
      </c>
      <c r="X12" s="51">
        <f t="shared" si="46"/>
        <v>855</v>
      </c>
      <c r="Y12" s="629">
        <f t="shared" si="46"/>
        <v>1567</v>
      </c>
      <c r="Z12" s="652">
        <f t="shared" si="46"/>
        <v>2422</v>
      </c>
      <c r="AA12" s="51">
        <f t="shared" ref="AA12:AB12" si="47">AA7+AA11</f>
        <v>256</v>
      </c>
      <c r="AB12" s="629">
        <f t="shared" si="47"/>
        <v>942</v>
      </c>
      <c r="AC12" s="652">
        <f t="shared" si="46"/>
        <v>1198</v>
      </c>
      <c r="AD12" s="51">
        <f t="shared" si="46"/>
        <v>1001</v>
      </c>
      <c r="AE12" s="629">
        <f t="shared" si="46"/>
        <v>-59</v>
      </c>
      <c r="AF12" s="652">
        <f t="shared" si="46"/>
        <v>942</v>
      </c>
      <c r="AG12" s="51">
        <f t="shared" ref="AG12:AH12" si="48">AG7+AG11</f>
        <v>-590</v>
      </c>
      <c r="AH12" s="629">
        <f t="shared" si="48"/>
        <v>403</v>
      </c>
      <c r="AI12" s="652">
        <f t="shared" si="46"/>
        <v>-187</v>
      </c>
      <c r="AJ12" s="51">
        <f t="shared" si="46"/>
        <v>814</v>
      </c>
      <c r="AK12" s="629">
        <f t="shared" si="46"/>
        <v>1322</v>
      </c>
      <c r="AL12" s="652">
        <f t="shared" si="46"/>
        <v>2136</v>
      </c>
      <c r="AM12" s="51">
        <f t="shared" ref="AM12:AN12" si="49">AM7+AM11</f>
        <v>1062</v>
      </c>
      <c r="AN12" s="629">
        <f t="shared" si="49"/>
        <v>1695</v>
      </c>
      <c r="AO12" s="652">
        <f t="shared" si="46"/>
        <v>2757</v>
      </c>
      <c r="AP12" s="51">
        <f t="shared" si="46"/>
        <v>1657</v>
      </c>
      <c r="AQ12" s="629">
        <f t="shared" si="46"/>
        <v>1963</v>
      </c>
      <c r="AR12" s="652">
        <f t="shared" ref="AR12:AT12" si="50">AR7+AR11</f>
        <v>3620</v>
      </c>
      <c r="AS12" s="51">
        <f t="shared" si="50"/>
        <v>2108</v>
      </c>
      <c r="AT12" s="629">
        <f t="shared" si="50"/>
        <v>2113</v>
      </c>
      <c r="AU12" s="652">
        <f t="shared" ref="AU12:AW12" si="51">AU7+AU11</f>
        <v>4221</v>
      </c>
      <c r="AV12" s="51">
        <f t="shared" si="51"/>
        <v>2927</v>
      </c>
      <c r="AW12" s="541">
        <f t="shared" si="51"/>
        <v>3248</v>
      </c>
      <c r="AX12" s="652">
        <f t="shared" ref="AX12:BM12" si="52">+AX9+AX24</f>
        <v>6941</v>
      </c>
      <c r="AY12" s="51">
        <f t="shared" ref="AY12" si="53">AY7+AY11</f>
        <v>3427</v>
      </c>
      <c r="AZ12" s="237">
        <f t="shared" si="52"/>
        <v>3304.1182918012569</v>
      </c>
      <c r="BA12" s="576">
        <f t="shared" si="52"/>
        <v>6585.1182918012564</v>
      </c>
      <c r="BB12" s="48">
        <f t="shared" si="52"/>
        <v>3658.6007149498819</v>
      </c>
      <c r="BC12" s="237">
        <f t="shared" si="52"/>
        <v>3885.8626504857298</v>
      </c>
      <c r="BD12" s="576">
        <f t="shared" si="52"/>
        <v>7544.4633654356094</v>
      </c>
      <c r="BE12" s="48">
        <f t="shared" si="52"/>
        <v>4169.9649430400495</v>
      </c>
      <c r="BF12" s="237">
        <f t="shared" si="52"/>
        <v>4516.139122109963</v>
      </c>
      <c r="BG12" s="576">
        <f t="shared" si="52"/>
        <v>8686.1040651500134</v>
      </c>
      <c r="BH12" s="48">
        <f t="shared" si="52"/>
        <v>4813.0052257842026</v>
      </c>
      <c r="BI12" s="237">
        <f t="shared" si="52"/>
        <v>5224.9843171707498</v>
      </c>
      <c r="BJ12" s="576">
        <f t="shared" si="52"/>
        <v>10037.989542954951</v>
      </c>
      <c r="BK12" s="48">
        <f t="shared" si="52"/>
        <v>5540.166107734146</v>
      </c>
      <c r="BL12" s="237">
        <f t="shared" si="52"/>
        <v>6019.3050838642584</v>
      </c>
      <c r="BM12" s="576">
        <f t="shared" si="52"/>
        <v>11559.471191598404</v>
      </c>
    </row>
    <row r="13" spans="1:74">
      <c r="A13" s="145" t="s">
        <v>44</v>
      </c>
      <c r="B13" s="296">
        <f t="shared" ref="B13:S13" si="54">B12/B7</f>
        <v>0.14648703956343792</v>
      </c>
      <c r="C13" s="296">
        <f t="shared" si="54"/>
        <v>0.1457016434892541</v>
      </c>
      <c r="D13" s="296">
        <f t="shared" si="54"/>
        <v>0.15082930200414651</v>
      </c>
      <c r="E13" s="296">
        <f t="shared" si="54"/>
        <v>0.16492471213463242</v>
      </c>
      <c r="F13" s="296">
        <f t="shared" si="54"/>
        <v>0.20228686732806456</v>
      </c>
      <c r="G13" s="296">
        <f t="shared" si="54"/>
        <v>0.25427835832197487</v>
      </c>
      <c r="H13" s="296">
        <f t="shared" si="54"/>
        <v>0.22219116825041924</v>
      </c>
      <c r="I13" s="296">
        <f t="shared" si="54"/>
        <v>0.19260255548083388</v>
      </c>
      <c r="J13" s="296">
        <f t="shared" si="54"/>
        <v>0.19863466196872936</v>
      </c>
      <c r="K13" s="296">
        <f t="shared" si="54"/>
        <v>0.20270789322066449</v>
      </c>
      <c r="L13" s="296">
        <f t="shared" si="54"/>
        <v>0.19846639603067209</v>
      </c>
      <c r="M13" s="296">
        <f t="shared" si="54"/>
        <v>0.22006472491909385</v>
      </c>
      <c r="N13" s="296">
        <f t="shared" si="54"/>
        <v>0.22440588767371103</v>
      </c>
      <c r="O13" s="296">
        <f t="shared" si="54"/>
        <v>0.21581751126895232</v>
      </c>
      <c r="P13" s="296">
        <f t="shared" si="54"/>
        <v>0.23318287711124053</v>
      </c>
      <c r="Q13" s="296">
        <f t="shared" si="54"/>
        <v>0.23876138433515481</v>
      </c>
      <c r="R13" s="988">
        <f t="shared" si="54"/>
        <v>0.18461776539770969</v>
      </c>
      <c r="S13" s="631">
        <f t="shared" si="54"/>
        <v>0.21841516543035441</v>
      </c>
      <c r="T13" s="654">
        <f>T12/T7</f>
        <v>0.20381143430290874</v>
      </c>
      <c r="U13" s="988">
        <f t="shared" ref="U13:V13" si="55">U12/U7</f>
        <v>0.18609569125033043</v>
      </c>
      <c r="V13" s="631">
        <f t="shared" si="55"/>
        <v>0.20192197689051597</v>
      </c>
      <c r="W13" s="654">
        <f>W12/W7</f>
        <v>0.19457901514686946</v>
      </c>
      <c r="X13" s="988">
        <f t="shared" ref="X13:Y13" si="56">X12/X7</f>
        <v>0.12845552884615385</v>
      </c>
      <c r="Y13" s="631">
        <f t="shared" si="56"/>
        <v>0.19367198121369422</v>
      </c>
      <c r="Z13" s="654">
        <f>Z12/Z7</f>
        <v>0.16423679392418797</v>
      </c>
      <c r="AA13" s="988">
        <f t="shared" ref="AA13:AB13" si="57">AA12/AA7</f>
        <v>3.4192600507546411E-2</v>
      </c>
      <c r="AB13" s="631">
        <f t="shared" si="57"/>
        <v>0.11429264741567581</v>
      </c>
      <c r="AC13" s="654">
        <f>AC12/AC7</f>
        <v>7.6165045457435313E-2</v>
      </c>
      <c r="AD13" s="988">
        <f t="shared" ref="AD13:AE13" si="58">AD12/AD7</f>
        <v>0.1269821134086008</v>
      </c>
      <c r="AE13" s="631">
        <f t="shared" si="58"/>
        <v>-6.7784926470588237E-3</v>
      </c>
      <c r="AF13" s="654">
        <f>AF12/AF7</f>
        <v>5.6791463194067644E-2</v>
      </c>
      <c r="AG13" s="988">
        <f t="shared" ref="AG13:AH13" si="59">AG12/AG7</f>
        <v>-0.10400141018861273</v>
      </c>
      <c r="AH13" s="631">
        <f t="shared" si="59"/>
        <v>6.9267789618425571E-2</v>
      </c>
      <c r="AI13" s="654">
        <f t="shared" ref="AI13:BM13" si="60">AI12/AI7</f>
        <v>-1.6273605430336784E-2</v>
      </c>
      <c r="AJ13" s="988">
        <f t="shared" si="60"/>
        <v>0.15778251599147122</v>
      </c>
      <c r="AK13" s="631">
        <f t="shared" si="60"/>
        <v>0.21818781977223964</v>
      </c>
      <c r="AL13" s="654">
        <f>AL12/AL7</f>
        <v>0.19040827241932609</v>
      </c>
      <c r="AM13" s="988">
        <f t="shared" ref="AM13:AN13" si="61">AM12/AM7</f>
        <v>0.18964285714285714</v>
      </c>
      <c r="AN13" s="631">
        <f t="shared" si="61"/>
        <v>0.21401515151515152</v>
      </c>
      <c r="AO13" s="654">
        <f t="shared" si="60"/>
        <v>0.20392011834319526</v>
      </c>
      <c r="AP13" s="988">
        <f t="shared" si="60"/>
        <v>0.22025787584740131</v>
      </c>
      <c r="AQ13" s="631">
        <f t="shared" si="60"/>
        <v>0.21901149168805087</v>
      </c>
      <c r="AR13" s="654">
        <f t="shared" ref="AR13:AT13" si="62">AR12/AR7</f>
        <v>0.2195802499090137</v>
      </c>
      <c r="AS13" s="988">
        <f t="shared" si="62"/>
        <v>0.23789639995485837</v>
      </c>
      <c r="AT13" s="631">
        <f t="shared" si="62"/>
        <v>0.2102906050955414</v>
      </c>
      <c r="AU13" s="654">
        <f t="shared" ref="AU13:AW13" si="63">AU12/AU7</f>
        <v>0.22322703474535935</v>
      </c>
      <c r="AV13" s="988">
        <f t="shared" si="63"/>
        <v>0.30842992623814541</v>
      </c>
      <c r="AW13" s="1101">
        <f t="shared" si="63"/>
        <v>0.27720406247332935</v>
      </c>
      <c r="AX13" s="654">
        <f t="shared" si="60"/>
        <v>0.32729759041825812</v>
      </c>
      <c r="AY13" s="988">
        <f t="shared" si="60"/>
        <v>0.29935359888190077</v>
      </c>
      <c r="AZ13" s="248">
        <f t="shared" si="60"/>
        <v>0.2678653410955803</v>
      </c>
      <c r="BA13" s="606">
        <f t="shared" si="60"/>
        <v>0.27688344639719714</v>
      </c>
      <c r="BB13" s="246">
        <f t="shared" si="60"/>
        <v>0.28330062510182297</v>
      </c>
      <c r="BC13" s="248">
        <f t="shared" si="60"/>
        <v>0.28232627700625773</v>
      </c>
      <c r="BD13" s="606">
        <f t="shared" si="60"/>
        <v>0.28279793750563947</v>
      </c>
      <c r="BE13" s="246">
        <f t="shared" si="60"/>
        <v>0.29446927607865592</v>
      </c>
      <c r="BF13" s="248">
        <f t="shared" si="60"/>
        <v>0.29372607108765719</v>
      </c>
      <c r="BG13" s="606">
        <f t="shared" si="60"/>
        <v>0.29408239505171496</v>
      </c>
      <c r="BH13" s="246">
        <f t="shared" si="60"/>
        <v>0.30327537553706663</v>
      </c>
      <c r="BI13" s="248">
        <f t="shared" si="60"/>
        <v>0.30331063460108032</v>
      </c>
      <c r="BJ13" s="606">
        <f t="shared" si="60"/>
        <v>0.30329372759716433</v>
      </c>
      <c r="BK13" s="246">
        <f t="shared" si="60"/>
        <v>0.31138206808720431</v>
      </c>
      <c r="BL13" s="248">
        <f t="shared" si="60"/>
        <v>0.31224824684112207</v>
      </c>
      <c r="BM13" s="606">
        <f t="shared" si="60"/>
        <v>0.31183250844560112</v>
      </c>
    </row>
    <row r="14" spans="1:74">
      <c r="A14" s="25" t="s">
        <v>3</v>
      </c>
      <c r="B14" s="40">
        <v>341</v>
      </c>
      <c r="C14" s="40">
        <v>239</v>
      </c>
      <c r="D14" s="40">
        <v>158</v>
      </c>
      <c r="E14" s="40">
        <v>153</v>
      </c>
      <c r="F14" s="40">
        <v>73</v>
      </c>
      <c r="G14" s="40">
        <v>60</v>
      </c>
      <c r="H14" s="40">
        <v>57</v>
      </c>
      <c r="I14" s="40">
        <v>50</v>
      </c>
      <c r="J14" s="40">
        <v>79</v>
      </c>
      <c r="K14" s="40">
        <v>89</v>
      </c>
      <c r="L14" s="40">
        <v>95</v>
      </c>
      <c r="M14" s="40">
        <v>69</v>
      </c>
      <c r="N14" s="40">
        <v>0</v>
      </c>
      <c r="O14" s="40">
        <v>65</v>
      </c>
      <c r="P14" s="40">
        <v>10</v>
      </c>
      <c r="Q14" s="40">
        <v>10</v>
      </c>
      <c r="R14" s="40">
        <v>2</v>
      </c>
      <c r="S14" s="630">
        <f>T14-R14</f>
        <v>3</v>
      </c>
      <c r="T14" s="653">
        <v>5</v>
      </c>
      <c r="U14" s="40">
        <v>4</v>
      </c>
      <c r="V14" s="630">
        <f>W14-U14</f>
        <v>-4</v>
      </c>
      <c r="W14" s="653">
        <v>0</v>
      </c>
      <c r="X14" s="40">
        <v>0</v>
      </c>
      <c r="Y14" s="630">
        <f>Z14-X14</f>
        <v>0</v>
      </c>
      <c r="Z14" s="653">
        <v>0</v>
      </c>
      <c r="AA14" s="40">
        <v>0</v>
      </c>
      <c r="AB14" s="630">
        <f>AC14-AA14</f>
        <v>0</v>
      </c>
      <c r="AC14" s="653">
        <v>0</v>
      </c>
      <c r="AD14" s="40">
        <v>0</v>
      </c>
      <c r="AE14" s="630">
        <f>AF14-AD14</f>
        <v>0</v>
      </c>
      <c r="AF14" s="653">
        <v>0</v>
      </c>
      <c r="AG14" s="40">
        <v>0</v>
      </c>
      <c r="AH14" s="630">
        <f>AI14-AG14</f>
        <v>0</v>
      </c>
      <c r="AI14" s="653">
        <v>0</v>
      </c>
      <c r="AJ14" s="40">
        <v>0</v>
      </c>
      <c r="AK14" s="630">
        <f>AL14-AJ14</f>
        <v>0</v>
      </c>
      <c r="AL14" s="653">
        <v>0</v>
      </c>
      <c r="AM14" s="40">
        <v>0</v>
      </c>
      <c r="AN14" s="630">
        <f>AO14-AM14</f>
        <v>0</v>
      </c>
      <c r="AO14" s="653">
        <v>0</v>
      </c>
      <c r="AP14" s="40">
        <v>0</v>
      </c>
      <c r="AQ14" s="630">
        <f>AR14-AP14</f>
        <v>0</v>
      </c>
      <c r="AR14" s="653">
        <v>0</v>
      </c>
      <c r="AS14" s="40">
        <v>0</v>
      </c>
      <c r="AT14" s="630">
        <f>AU14-AS14</f>
        <v>0</v>
      </c>
      <c r="AU14" s="653">
        <v>0</v>
      </c>
      <c r="AV14" s="40">
        <v>0</v>
      </c>
      <c r="AW14" s="539">
        <f>AX14-AV14</f>
        <v>0</v>
      </c>
      <c r="AX14" s="653">
        <v>0</v>
      </c>
      <c r="AY14" s="40">
        <v>0</v>
      </c>
      <c r="AZ14" s="236">
        <f>BA14-AY14</f>
        <v>0</v>
      </c>
      <c r="BA14" s="580">
        <v>0</v>
      </c>
      <c r="BB14" s="56">
        <f>BD14/2</f>
        <v>0</v>
      </c>
      <c r="BC14" s="236">
        <f>BD14-BB14</f>
        <v>0</v>
      </c>
      <c r="BD14" s="580">
        <v>0</v>
      </c>
      <c r="BE14" s="56">
        <f>BG14/2</f>
        <v>0</v>
      </c>
      <c r="BF14" s="236">
        <f>BG14-BE14</f>
        <v>0</v>
      </c>
      <c r="BG14" s="580">
        <v>0</v>
      </c>
      <c r="BH14" s="56">
        <f>BJ14/2</f>
        <v>0</v>
      </c>
      <c r="BI14" s="236">
        <f>BJ14-BH14</f>
        <v>0</v>
      </c>
      <c r="BJ14" s="580">
        <v>0</v>
      </c>
      <c r="BK14" s="56">
        <f>BM14/2</f>
        <v>0</v>
      </c>
      <c r="BL14" s="236">
        <f>BM14-BK14</f>
        <v>0</v>
      </c>
      <c r="BM14" s="580">
        <v>0</v>
      </c>
    </row>
    <row r="15" spans="1:74">
      <c r="A15" s="25" t="s">
        <v>6</v>
      </c>
      <c r="B15" s="40">
        <f>-268-271</f>
        <v>-539</v>
      </c>
      <c r="C15" s="40">
        <f>-288-281</f>
        <v>-569</v>
      </c>
      <c r="D15" s="40">
        <f>-287-279</f>
        <v>-566</v>
      </c>
      <c r="E15" s="40">
        <f>-292-288</f>
        <v>-580</v>
      </c>
      <c r="F15" s="40">
        <v>-599</v>
      </c>
      <c r="G15" s="40">
        <v>-624</v>
      </c>
      <c r="H15" s="40">
        <v>-632</v>
      </c>
      <c r="I15" s="40">
        <v>-653</v>
      </c>
      <c r="J15" s="40">
        <v>-699</v>
      </c>
      <c r="K15" s="40">
        <v>-740</v>
      </c>
      <c r="L15" s="40">
        <v>-836</v>
      </c>
      <c r="M15" s="40">
        <v>-984</v>
      </c>
      <c r="N15" s="40">
        <v>-993</v>
      </c>
      <c r="O15" s="40">
        <v>-1237</v>
      </c>
      <c r="P15" s="40">
        <v>-1124</v>
      </c>
      <c r="Q15" s="40">
        <v>-1070</v>
      </c>
      <c r="R15" s="40">
        <v>-605</v>
      </c>
      <c r="S15" s="630">
        <f>T15-R15</f>
        <v>-1603</v>
      </c>
      <c r="T15" s="653">
        <v>-2208</v>
      </c>
      <c r="U15" s="40">
        <v>-556</v>
      </c>
      <c r="V15" s="630">
        <f>W15-U15</f>
        <v>-666</v>
      </c>
      <c r="W15" s="653">
        <v>-1222</v>
      </c>
      <c r="X15" s="40">
        <v>-552</v>
      </c>
      <c r="Y15" s="630">
        <f>Z15-X15</f>
        <v>-670</v>
      </c>
      <c r="Z15" s="653">
        <v>-1222</v>
      </c>
      <c r="AA15" s="40">
        <v>-723</v>
      </c>
      <c r="AB15" s="630">
        <f>AC15-AA15</f>
        <v>-872</v>
      </c>
      <c r="AC15" s="653">
        <v>-1595</v>
      </c>
      <c r="AD15" s="40">
        <v>-614</v>
      </c>
      <c r="AE15" s="630">
        <f>AF15-AD15</f>
        <v>-514</v>
      </c>
      <c r="AF15" s="653">
        <v>-1128</v>
      </c>
      <c r="AG15" s="40">
        <v>-421</v>
      </c>
      <c r="AH15" s="630">
        <f>AI15-AG15</f>
        <v>-350</v>
      </c>
      <c r="AI15" s="653">
        <v>-771</v>
      </c>
      <c r="AJ15" s="40">
        <v>-424</v>
      </c>
      <c r="AK15" s="630">
        <f>AL15-AJ15</f>
        <v>-466</v>
      </c>
      <c r="AL15" s="653">
        <v>-890</v>
      </c>
      <c r="AM15" s="40">
        <v>-514</v>
      </c>
      <c r="AN15" s="630">
        <f>AO15-AM15</f>
        <v>-563</v>
      </c>
      <c r="AO15" s="653">
        <v>-1077</v>
      </c>
      <c r="AP15" s="40">
        <v>-560</v>
      </c>
      <c r="AQ15" s="630">
        <f>AR15-AP15</f>
        <v>-550</v>
      </c>
      <c r="AR15" s="653">
        <v>-1110</v>
      </c>
      <c r="AS15" s="40">
        <v>-641</v>
      </c>
      <c r="AT15" s="630">
        <f>AU15-AS15</f>
        <v>-643</v>
      </c>
      <c r="AU15" s="653">
        <v>-1284</v>
      </c>
      <c r="AV15" s="40">
        <v>-631</v>
      </c>
      <c r="AW15" s="539">
        <f>AX15-AV15</f>
        <v>-637</v>
      </c>
      <c r="AX15" s="653">
        <v>-1268</v>
      </c>
      <c r="AY15" s="40">
        <v>-797</v>
      </c>
      <c r="AZ15" s="236">
        <f>BA15-AY15</f>
        <v>-554.83852147578637</v>
      </c>
      <c r="BA15" s="605">
        <f t="shared" ref="BA15:BM15" si="64">BA23-BA22-BA21-BA20-BA19-BA17-BA14-BA12</f>
        <v>-1351.8385214757864</v>
      </c>
      <c r="BB15" s="56">
        <f>BB23-BB22-BB21-BB20-BB19-BB17-BB14-BB12</f>
        <v>-681.60652604258576</v>
      </c>
      <c r="BC15" s="236">
        <f>BD15-BB15</f>
        <v>-761.5112765314334</v>
      </c>
      <c r="BD15" s="605">
        <f t="shared" si="64"/>
        <v>-1443.1178025740192</v>
      </c>
      <c r="BE15" s="56">
        <f>BE23-BE22-BE21-BE20-BE19-BE17-BE14-BE12</f>
        <v>-771.42361906119595</v>
      </c>
      <c r="BF15" s="236">
        <f>BG15-BE15</f>
        <v>-870.50028973048711</v>
      </c>
      <c r="BG15" s="605">
        <f t="shared" si="64"/>
        <v>-1641.9239087916831</v>
      </c>
      <c r="BH15" s="56">
        <f>BH23-BH22-BH21-BH20-BH19-BH17-BH14-BH12</f>
        <v>-846.07743108222121</v>
      </c>
      <c r="BI15" s="236">
        <f>BJ15-BH15</f>
        <v>-959.28005303380314</v>
      </c>
      <c r="BJ15" s="605">
        <f t="shared" si="64"/>
        <v>-1805.3574841160244</v>
      </c>
      <c r="BK15" s="56">
        <f>BK23-BK22-BK21-BK20-BK19-BK17-BK14-BK12</f>
        <v>-933.19524369884948</v>
      </c>
      <c r="BL15" s="236">
        <f>BM15-BK15</f>
        <v>-1062.4564446124305</v>
      </c>
      <c r="BM15" s="605">
        <f t="shared" si="64"/>
        <v>-1995.6516883112799</v>
      </c>
    </row>
    <row r="16" spans="1:74">
      <c r="A16" s="146" t="s">
        <v>45</v>
      </c>
      <c r="B16" s="296">
        <f t="shared" ref="B16:R16" si="65">-B15/B$7</f>
        <v>9.1916780354706684E-2</v>
      </c>
      <c r="C16" s="296">
        <f t="shared" si="65"/>
        <v>8.9917825537294563E-2</v>
      </c>
      <c r="D16" s="296">
        <f t="shared" si="65"/>
        <v>9.7788527988942636E-2</v>
      </c>
      <c r="E16" s="296">
        <f t="shared" si="65"/>
        <v>0.10274579273693533</v>
      </c>
      <c r="F16" s="296">
        <f t="shared" si="65"/>
        <v>0.100723053640491</v>
      </c>
      <c r="G16" s="296">
        <f t="shared" si="65"/>
        <v>9.4502498864152656E-2</v>
      </c>
      <c r="H16" s="296">
        <f t="shared" si="65"/>
        <v>8.8317495807713808E-2</v>
      </c>
      <c r="I16" s="296">
        <f t="shared" si="65"/>
        <v>8.7827841291190312E-2</v>
      </c>
      <c r="J16" s="296">
        <f t="shared" si="65"/>
        <v>7.6965426117595243E-2</v>
      </c>
      <c r="K16" s="296">
        <f t="shared" si="65"/>
        <v>7.10581908968696E-2</v>
      </c>
      <c r="L16" s="296">
        <f t="shared" si="65"/>
        <v>7.5417230491655385E-2</v>
      </c>
      <c r="M16" s="296">
        <f t="shared" si="65"/>
        <v>8.8457389428263214E-2</v>
      </c>
      <c r="N16" s="296">
        <f t="shared" si="65"/>
        <v>8.1654469204835128E-2</v>
      </c>
      <c r="O16" s="296">
        <f t="shared" si="65"/>
        <v>8.4482994126485453E-2</v>
      </c>
      <c r="P16" s="296">
        <f t="shared" si="65"/>
        <v>8.1828771112405357E-2</v>
      </c>
      <c r="Q16" s="296">
        <f t="shared" si="65"/>
        <v>7.7959927140255014E-2</v>
      </c>
      <c r="R16" s="988">
        <f t="shared" si="65"/>
        <v>9.362426493345713E-2</v>
      </c>
      <c r="S16" s="631">
        <f>-S15/S$7</f>
        <v>0.18874367125868363</v>
      </c>
      <c r="T16" s="654">
        <f>-T15/T$7</f>
        <v>0.14764292878635907</v>
      </c>
      <c r="U16" s="988">
        <f t="shared" ref="U16" si="66">-U15/U$7</f>
        <v>7.3486650806238438E-2</v>
      </c>
      <c r="V16" s="631">
        <f>-V15/V$7</f>
        <v>7.6192655302596959E-2</v>
      </c>
      <c r="W16" s="654">
        <f>-W15/W$7</f>
        <v>7.4937143557981228E-2</v>
      </c>
      <c r="X16" s="988">
        <f t="shared" ref="X16" si="67">-X15/X$7</f>
        <v>8.2932692307692304E-2</v>
      </c>
      <c r="Y16" s="631">
        <f>-Y15/Y$7</f>
        <v>8.2808058336423185E-2</v>
      </c>
      <c r="Z16" s="654">
        <f>-Z15/Z$7</f>
        <v>8.2864311385366513E-2</v>
      </c>
      <c r="AA16" s="988">
        <f t="shared" ref="AA16" si="68">-AA15/AA$7</f>
        <v>9.6567383464672099E-2</v>
      </c>
      <c r="AB16" s="631">
        <f>-AB15/AB$7</f>
        <v>0.10579956321281242</v>
      </c>
      <c r="AC16" s="654">
        <f t="shared" ref="AC16:BM16" si="69">-AC15/AC$7</f>
        <v>0.10140504800050862</v>
      </c>
      <c r="AD16" s="988">
        <f t="shared" si="69"/>
        <v>7.7889128504376501E-2</v>
      </c>
      <c r="AE16" s="631">
        <f>-AE15/AE$7</f>
        <v>5.905330882352941E-2</v>
      </c>
      <c r="AF16" s="654">
        <f t="shared" si="69"/>
        <v>6.8005064206909022E-2</v>
      </c>
      <c r="AG16" s="988">
        <f t="shared" ref="AG16" si="70">-AG15/AG$7</f>
        <v>7.4211175744755858E-2</v>
      </c>
      <c r="AH16" s="631">
        <f>-AH15/AH$7</f>
        <v>6.0158129941560674E-2</v>
      </c>
      <c r="AI16" s="654">
        <f t="shared" si="69"/>
        <v>6.7095988164650594E-2</v>
      </c>
      <c r="AJ16" s="988">
        <f t="shared" si="69"/>
        <v>8.2186470246171733E-2</v>
      </c>
      <c r="AK16" s="631">
        <f>-AK15/AK$7</f>
        <v>7.6910381251031529E-2</v>
      </c>
      <c r="AL16" s="654">
        <f t="shared" si="69"/>
        <v>7.9336780174719207E-2</v>
      </c>
      <c r="AM16" s="988">
        <f t="shared" ref="AM16" si="71">-AM15/AM$7</f>
        <v>9.178571428571429E-2</v>
      </c>
      <c r="AN16" s="631">
        <f>-AN15/AN$7</f>
        <v>7.1085858585858586E-2</v>
      </c>
      <c r="AO16" s="654">
        <f t="shared" si="69"/>
        <v>7.9659763313609466E-2</v>
      </c>
      <c r="AP16" s="988">
        <f t="shared" si="69"/>
        <v>7.4438388940582217E-2</v>
      </c>
      <c r="AQ16" s="631">
        <f>-AQ15/AQ$7</f>
        <v>6.1363382795938858E-2</v>
      </c>
      <c r="AR16" s="654">
        <f t="shared" ref="AR16:AS16" si="72">-AR15/AR$7</f>
        <v>6.7329855635084312E-2</v>
      </c>
      <c r="AS16" s="988">
        <f t="shared" si="72"/>
        <v>7.2339465071662334E-2</v>
      </c>
      <c r="AT16" s="631">
        <f>-AT15/AT$7</f>
        <v>6.3992834394904455E-2</v>
      </c>
      <c r="AU16" s="654">
        <f t="shared" ref="AU16:AV16" si="73">-AU15/AU$7</f>
        <v>6.7904172616214495E-2</v>
      </c>
      <c r="AV16" s="988">
        <f t="shared" si="73"/>
        <v>6.6491043203371972E-2</v>
      </c>
      <c r="AW16" s="1101">
        <f>-AW15/AW$7</f>
        <v>5.4365451907484853E-2</v>
      </c>
      <c r="AX16" s="654">
        <f t="shared" si="69"/>
        <v>5.9791578252463812E-2</v>
      </c>
      <c r="AY16" s="988">
        <f t="shared" si="69"/>
        <v>6.961914744933613E-2</v>
      </c>
      <c r="AZ16" s="248">
        <f>-AZ15/AZ$7</f>
        <v>4.4980838058027557E-2</v>
      </c>
      <c r="BA16" s="606">
        <f t="shared" si="69"/>
        <v>5.6840544423435516E-2</v>
      </c>
      <c r="BB16" s="246">
        <f>-BB15/BB$7</f>
        <v>5.277961984545005E-2</v>
      </c>
      <c r="BC16" s="248">
        <f>-BC15/BC$7</f>
        <v>5.532739135144888E-2</v>
      </c>
      <c r="BD16" s="606">
        <f t="shared" si="69"/>
        <v>5.4094071158902017E-2</v>
      </c>
      <c r="BE16" s="246">
        <f>-BE15/BE$7</f>
        <v>5.4475411126434857E-2</v>
      </c>
      <c r="BF16" s="248">
        <f>-BF15/BF$7</f>
        <v>5.6616641575856552E-2</v>
      </c>
      <c r="BG16" s="606">
        <f t="shared" si="69"/>
        <v>5.559004496934869E-2</v>
      </c>
      <c r="BH16" s="246">
        <f>-BH15/BH$7</f>
        <v>5.3312730530661177E-2</v>
      </c>
      <c r="BI16" s="248">
        <f>-BI15/BI$7</f>
        <v>5.568626123712294E-2</v>
      </c>
      <c r="BJ16" s="606">
        <f t="shared" si="69"/>
        <v>5.4548134231448941E-2</v>
      </c>
      <c r="BK16" s="246">
        <f>-BK15/BK$7</f>
        <v>5.2449738737334328E-2</v>
      </c>
      <c r="BL16" s="248">
        <f>-BL15/BL$7</f>
        <v>5.5114362464297448E-2</v>
      </c>
      <c r="BM16" s="606">
        <f t="shared" si="69"/>
        <v>5.383542738547667E-2</v>
      </c>
    </row>
    <row r="17" spans="1:66">
      <c r="A17" s="25" t="s">
        <v>4</v>
      </c>
      <c r="B17" s="40">
        <v>-371</v>
      </c>
      <c r="C17" s="40">
        <v>-358</v>
      </c>
      <c r="D17" s="40">
        <v>-297</v>
      </c>
      <c r="E17" s="40">
        <v>-281</v>
      </c>
      <c r="F17" s="40">
        <v>-288</v>
      </c>
      <c r="G17" s="40">
        <v>-282</v>
      </c>
      <c r="H17" s="40">
        <v>-370</v>
      </c>
      <c r="I17" s="40">
        <v>-381</v>
      </c>
      <c r="J17" s="40">
        <v>-403</v>
      </c>
      <c r="K17" s="40">
        <v>-379</v>
      </c>
      <c r="L17" s="40">
        <v>-422</v>
      </c>
      <c r="M17" s="40">
        <v>-463</v>
      </c>
      <c r="N17" s="40">
        <v>-531</v>
      </c>
      <c r="O17" s="40">
        <v>-658</v>
      </c>
      <c r="P17" s="40">
        <v>-793</v>
      </c>
      <c r="Q17" s="40">
        <v>-818</v>
      </c>
      <c r="R17" s="40">
        <v>-404</v>
      </c>
      <c r="S17" s="630">
        <f>T17-R17</f>
        <v>-514</v>
      </c>
      <c r="T17" s="653">
        <v>-918</v>
      </c>
      <c r="U17" s="40">
        <v>-436</v>
      </c>
      <c r="V17" s="630">
        <f>W17-U17</f>
        <v>-359</v>
      </c>
      <c r="W17" s="653">
        <v>-795</v>
      </c>
      <c r="X17" s="40">
        <v>-457</v>
      </c>
      <c r="Y17" s="630">
        <f>Z17-X17</f>
        <v>-386</v>
      </c>
      <c r="Z17" s="653">
        <v>-843</v>
      </c>
      <c r="AA17" s="40">
        <v>-360</v>
      </c>
      <c r="AB17" s="630">
        <f>AC17-AA17</f>
        <v>-408</v>
      </c>
      <c r="AC17" s="653">
        <v>-768</v>
      </c>
      <c r="AD17" s="40">
        <v>-349</v>
      </c>
      <c r="AE17" s="630">
        <f>AF17-AD17</f>
        <v>-421</v>
      </c>
      <c r="AF17" s="653">
        <v>-770</v>
      </c>
      <c r="AG17" s="40">
        <v>-678</v>
      </c>
      <c r="AH17" s="630">
        <f t="shared" ref="AH17" si="74">AH138</f>
        <v>-526</v>
      </c>
      <c r="AI17" s="653">
        <v>-1204</v>
      </c>
      <c r="AJ17" s="40">
        <v>-390</v>
      </c>
      <c r="AK17" s="630">
        <f t="shared" ref="AK17" si="75">AK138</f>
        <v>-388</v>
      </c>
      <c r="AL17" s="653">
        <v>-778</v>
      </c>
      <c r="AM17" s="40">
        <v>-373</v>
      </c>
      <c r="AN17" s="630">
        <f t="shared" ref="AN17" si="76">AN138</f>
        <v>-518</v>
      </c>
      <c r="AO17" s="653">
        <v>-891</v>
      </c>
      <c r="AP17" s="40">
        <v>-389</v>
      </c>
      <c r="AQ17" s="630">
        <f>AR17-AP17</f>
        <v>-350</v>
      </c>
      <c r="AR17" s="653">
        <v>-739</v>
      </c>
      <c r="AS17" s="40">
        <v>101</v>
      </c>
      <c r="AT17" s="630">
        <f>AU17-AS17</f>
        <v>-304</v>
      </c>
      <c r="AU17" s="653">
        <v>-203</v>
      </c>
      <c r="AV17" s="40">
        <v>-246</v>
      </c>
      <c r="AW17" s="539">
        <f>AX17-AV17</f>
        <v>-249</v>
      </c>
      <c r="AX17" s="653">
        <v>-495</v>
      </c>
      <c r="AY17" s="40">
        <v>-228</v>
      </c>
      <c r="AZ17" s="236">
        <f>AZ138</f>
        <v>-256.61561873079364</v>
      </c>
      <c r="BA17" s="605">
        <f t="shared" ref="BA17:BM17" si="77">BA138</f>
        <v>-484.61561873079364</v>
      </c>
      <c r="BB17" s="56">
        <f>BB138</f>
        <v>-263.12827353610629</v>
      </c>
      <c r="BC17" s="236">
        <f>BC138</f>
        <v>-284.36654291595329</v>
      </c>
      <c r="BD17" s="605">
        <f t="shared" si="77"/>
        <v>-547.49481645205958</v>
      </c>
      <c r="BE17" s="56">
        <f>BE138</f>
        <v>-287.89773982428079</v>
      </c>
      <c r="BF17" s="236">
        <f>BF138</f>
        <v>-318.25754641994325</v>
      </c>
      <c r="BG17" s="605">
        <f t="shared" si="77"/>
        <v>-606.15528624422404</v>
      </c>
      <c r="BH17" s="56">
        <f>BH138</f>
        <v>-322.65520860097479</v>
      </c>
      <c r="BI17" s="236">
        <f>BI138</f>
        <v>-356.56594896071942</v>
      </c>
      <c r="BJ17" s="605">
        <f t="shared" si="77"/>
        <v>-679.22115756169421</v>
      </c>
      <c r="BK17" s="56">
        <f>BK138</f>
        <v>-361.8131350371749</v>
      </c>
      <c r="BL17" s="236">
        <f>BL138</f>
        <v>-398.94126719445342</v>
      </c>
      <c r="BM17" s="605">
        <f t="shared" si="77"/>
        <v>-760.75440223162832</v>
      </c>
    </row>
    <row r="18" spans="1:66">
      <c r="A18" s="146" t="s">
        <v>45</v>
      </c>
      <c r="B18" s="296">
        <f t="shared" ref="B18:S18" si="78">-B17/B$7</f>
        <v>6.326739427012279E-2</v>
      </c>
      <c r="C18" s="296">
        <f t="shared" si="78"/>
        <v>5.6573957016434889E-2</v>
      </c>
      <c r="D18" s="296">
        <f t="shared" si="78"/>
        <v>5.1313061506565311E-2</v>
      </c>
      <c r="E18" s="296">
        <f t="shared" si="78"/>
        <v>4.9778565101860052E-2</v>
      </c>
      <c r="F18" s="296">
        <f t="shared" si="78"/>
        <v>4.842777871195561E-2</v>
      </c>
      <c r="G18" s="296">
        <f t="shared" si="78"/>
        <v>4.2707860063607453E-2</v>
      </c>
      <c r="H18" s="296">
        <f t="shared" si="78"/>
        <v>5.1704863051984351E-2</v>
      </c>
      <c r="I18" s="296">
        <f t="shared" si="78"/>
        <v>5.1244115669132478E-2</v>
      </c>
      <c r="J18" s="296">
        <f t="shared" si="78"/>
        <v>4.4373486016295968E-2</v>
      </c>
      <c r="K18" s="296">
        <f t="shared" si="78"/>
        <v>3.6393316689072405E-2</v>
      </c>
      <c r="L18" s="296">
        <f t="shared" si="78"/>
        <v>3.8069463238610733E-2</v>
      </c>
      <c r="M18" s="296">
        <f t="shared" si="78"/>
        <v>4.1621718806184822E-2</v>
      </c>
      <c r="N18" s="296">
        <f t="shared" si="78"/>
        <v>4.3664172354247181E-2</v>
      </c>
      <c r="O18" s="296">
        <f t="shared" si="78"/>
        <v>4.4939215954104633E-2</v>
      </c>
      <c r="P18" s="296">
        <f t="shared" si="78"/>
        <v>5.7731508444962144E-2</v>
      </c>
      <c r="Q18" s="296">
        <f t="shared" si="78"/>
        <v>5.9599271402550093E-2</v>
      </c>
      <c r="R18" s="988">
        <f t="shared" si="78"/>
        <v>6.2519343856391213E-2</v>
      </c>
      <c r="S18" s="631">
        <f t="shared" si="78"/>
        <v>6.0520428588249145E-2</v>
      </c>
      <c r="T18" s="654">
        <f>-T17/T$7</f>
        <v>6.1384152457372117E-2</v>
      </c>
      <c r="U18" s="988">
        <f t="shared" ref="U18:V18" si="79">-U17/U$7</f>
        <v>5.7626222574676186E-2</v>
      </c>
      <c r="V18" s="631">
        <f t="shared" si="79"/>
        <v>4.1070815696144604E-2</v>
      </c>
      <c r="W18" s="654">
        <f>-W17/W$7</f>
        <v>4.8752069663334764E-2</v>
      </c>
      <c r="X18" s="988">
        <f t="shared" ref="X18:Y18" si="80">-X17/X$7</f>
        <v>6.8659855769230768E-2</v>
      </c>
      <c r="Y18" s="631">
        <f t="shared" si="80"/>
        <v>4.7707329131133361E-2</v>
      </c>
      <c r="Z18" s="654">
        <f>-Z17/Z$7</f>
        <v>5.7164168983522071E-2</v>
      </c>
      <c r="AA18" s="988">
        <f t="shared" ref="AA18:AB18" si="81">-AA17/AA$7</f>
        <v>4.8083344463737146E-2</v>
      </c>
      <c r="AB18" s="631">
        <f t="shared" si="81"/>
        <v>4.9502547925260862E-2</v>
      </c>
      <c r="AC18" s="654">
        <f>-AC17/AC$7</f>
        <v>4.8827007438489417E-2</v>
      </c>
      <c r="AD18" s="988">
        <f t="shared" ref="AD18:AE18" si="82">-AD17/AD$7</f>
        <v>4.4272485094507166E-2</v>
      </c>
      <c r="AE18" s="631">
        <f t="shared" si="82"/>
        <v>4.836856617647059E-2</v>
      </c>
      <c r="AF18" s="654">
        <f t="shared" ref="AF18:BM18" si="83">-AF17/AF$7</f>
        <v>4.6421896666063785E-2</v>
      </c>
      <c r="AG18" s="988">
        <f t="shared" ref="AG18:AH18" si="84">-AG17/AG$7</f>
        <v>0.11951348492860921</v>
      </c>
      <c r="AH18" s="631">
        <f t="shared" si="84"/>
        <v>9.0409075283602619E-2</v>
      </c>
      <c r="AI18" s="654">
        <f t="shared" si="83"/>
        <v>0.10477765207553738</v>
      </c>
      <c r="AJ18" s="988">
        <f t="shared" si="83"/>
        <v>7.5596045745299476E-2</v>
      </c>
      <c r="AK18" s="631">
        <f t="shared" si="83"/>
        <v>6.4036969796996204E-2</v>
      </c>
      <c r="AL18" s="654">
        <f t="shared" si="83"/>
        <v>6.9352825815653413E-2</v>
      </c>
      <c r="AM18" s="988">
        <f t="shared" ref="AM18:AN18" si="85">-AM17/AM$7</f>
        <v>6.6607142857142851E-2</v>
      </c>
      <c r="AN18" s="631">
        <f t="shared" si="85"/>
        <v>6.5404040404040409E-2</v>
      </c>
      <c r="AO18" s="654">
        <f t="shared" si="83"/>
        <v>6.5902366863905326E-2</v>
      </c>
      <c r="AP18" s="988">
        <f t="shared" si="83"/>
        <v>5.170809517479729E-2</v>
      </c>
      <c r="AQ18" s="631">
        <f t="shared" si="83"/>
        <v>3.9049425415597458E-2</v>
      </c>
      <c r="AR18" s="654">
        <f t="shared" ref="AR18:AT18" si="86">-AR17/AR$7</f>
        <v>4.4825912895790368E-2</v>
      </c>
      <c r="AS18" s="988">
        <f t="shared" si="86"/>
        <v>-1.1398262047173006E-2</v>
      </c>
      <c r="AT18" s="631">
        <f t="shared" si="86"/>
        <v>3.0254777070063694E-2</v>
      </c>
      <c r="AU18" s="654">
        <f t="shared" ref="AU18:AW18" si="87">-AU17/AU$7</f>
        <v>1.0735628536675658E-2</v>
      </c>
      <c r="AV18" s="988">
        <f t="shared" si="87"/>
        <v>2.5922023182297155E-2</v>
      </c>
      <c r="AW18" s="1101">
        <f t="shared" si="87"/>
        <v>2.1251173508577279E-2</v>
      </c>
      <c r="AX18" s="654">
        <f t="shared" si="83"/>
        <v>2.3341349554392418E-2</v>
      </c>
      <c r="AY18" s="988">
        <f t="shared" si="83"/>
        <v>1.9916142557651992E-2</v>
      </c>
      <c r="AZ18" s="248">
        <f t="shared" si="83"/>
        <v>2.0803864804823415E-2</v>
      </c>
      <c r="BA18" s="606">
        <f t="shared" si="83"/>
        <v>2.0376557678417773E-2</v>
      </c>
      <c r="BB18" s="246">
        <f t="shared" si="83"/>
        <v>2.0375113378767143E-2</v>
      </c>
      <c r="BC18" s="248">
        <f t="shared" si="83"/>
        <v>2.0660572590378574E-2</v>
      </c>
      <c r="BD18" s="606">
        <f t="shared" si="83"/>
        <v>2.0522388059701496E-2</v>
      </c>
      <c r="BE18" s="246">
        <f t="shared" si="83"/>
        <v>2.0330396103745606E-2</v>
      </c>
      <c r="BF18" s="248">
        <f t="shared" si="83"/>
        <v>2.0699215895778923E-2</v>
      </c>
      <c r="BG18" s="606">
        <f t="shared" si="83"/>
        <v>2.0522388059701493E-2</v>
      </c>
      <c r="BH18" s="246">
        <f t="shared" si="83"/>
        <v>2.0331035385798391E-2</v>
      </c>
      <c r="BI18" s="248">
        <f t="shared" si="83"/>
        <v>2.0698673467975871E-2</v>
      </c>
      <c r="BJ18" s="606">
        <f t="shared" si="83"/>
        <v>2.0522388059701493E-2</v>
      </c>
      <c r="BK18" s="246">
        <f t="shared" si="83"/>
        <v>2.0335513422912108E-2</v>
      </c>
      <c r="BL18" s="248">
        <f t="shared" si="83"/>
        <v>2.0694865858846518E-2</v>
      </c>
      <c r="BM18" s="606">
        <f t="shared" si="83"/>
        <v>2.0522388059701493E-2</v>
      </c>
    </row>
    <row r="19" spans="1:66">
      <c r="A19" s="25" t="s">
        <v>5</v>
      </c>
      <c r="B19" s="40">
        <v>76</v>
      </c>
      <c r="C19" s="40">
        <v>82</v>
      </c>
      <c r="D19" s="40">
        <v>66</v>
      </c>
      <c r="E19" s="40">
        <v>52</v>
      </c>
      <c r="F19" s="40">
        <v>19</v>
      </c>
      <c r="G19" s="40">
        <v>46</v>
      </c>
      <c r="H19" s="40">
        <v>47</v>
      </c>
      <c r="I19" s="40">
        <v>66</v>
      </c>
      <c r="J19" s="40">
        <v>74</v>
      </c>
      <c r="K19" s="40">
        <v>93</v>
      </c>
      <c r="L19" s="40">
        <v>93</v>
      </c>
      <c r="M19" s="40">
        <v>116</v>
      </c>
      <c r="N19" s="40">
        <v>173</v>
      </c>
      <c r="O19" s="40">
        <v>149</v>
      </c>
      <c r="P19" s="40">
        <v>94</v>
      </c>
      <c r="Q19" s="40">
        <v>100</v>
      </c>
      <c r="R19" s="40">
        <v>51</v>
      </c>
      <c r="S19" s="630">
        <f>T19-R19</f>
        <v>66</v>
      </c>
      <c r="T19" s="653">
        <v>117</v>
      </c>
      <c r="U19" s="40">
        <v>51</v>
      </c>
      <c r="V19" s="630">
        <f>W19-U19</f>
        <v>80</v>
      </c>
      <c r="W19" s="653">
        <v>131</v>
      </c>
      <c r="X19" s="40">
        <v>51</v>
      </c>
      <c r="Y19" s="630">
        <f>Z19-X19</f>
        <v>-42</v>
      </c>
      <c r="Z19" s="653">
        <v>9</v>
      </c>
      <c r="AA19" s="40">
        <v>52</v>
      </c>
      <c r="AB19" s="630">
        <f>AC19-AA19</f>
        <v>-48</v>
      </c>
      <c r="AC19" s="653">
        <v>4</v>
      </c>
      <c r="AD19" s="40">
        <v>45</v>
      </c>
      <c r="AE19" s="630">
        <f>AF19-AD19</f>
        <v>59</v>
      </c>
      <c r="AF19" s="653">
        <v>104</v>
      </c>
      <c r="AG19" s="40">
        <v>72</v>
      </c>
      <c r="AH19" s="630">
        <f>AI19-AG19</f>
        <v>118</v>
      </c>
      <c r="AI19" s="653">
        <v>190</v>
      </c>
      <c r="AJ19" s="40">
        <v>38</v>
      </c>
      <c r="AK19" s="630">
        <f>AL19-AJ19</f>
        <v>7</v>
      </c>
      <c r="AL19" s="653">
        <v>45</v>
      </c>
      <c r="AM19" s="40">
        <v>48</v>
      </c>
      <c r="AN19" s="630">
        <f>AO19-AM19</f>
        <v>0</v>
      </c>
      <c r="AO19" s="653">
        <v>48</v>
      </c>
      <c r="AP19" s="40">
        <v>89</v>
      </c>
      <c r="AQ19" s="630">
        <f>AR19-AP19</f>
        <v>84</v>
      </c>
      <c r="AR19" s="653">
        <v>173</v>
      </c>
      <c r="AS19" s="40">
        <v>78</v>
      </c>
      <c r="AT19" s="630">
        <f>AU19-AS19</f>
        <v>94</v>
      </c>
      <c r="AU19" s="653">
        <v>172</v>
      </c>
      <c r="AV19" s="40">
        <v>24</v>
      </c>
      <c r="AW19" s="539">
        <f>AX19-AV19</f>
        <v>32</v>
      </c>
      <c r="AX19" s="653">
        <v>56</v>
      </c>
      <c r="AY19" s="40">
        <v>16</v>
      </c>
      <c r="AZ19" s="236">
        <f>BA19-AY19</f>
        <v>42.800000000000004</v>
      </c>
      <c r="BA19" s="605">
        <f>AX19*1.05</f>
        <v>58.800000000000004</v>
      </c>
      <c r="BB19" s="56">
        <f>BD19/2</f>
        <v>30.870000000000005</v>
      </c>
      <c r="BC19" s="236">
        <f>BD19-BB19</f>
        <v>30.870000000000005</v>
      </c>
      <c r="BD19" s="605">
        <f>BA19*1.05</f>
        <v>61.740000000000009</v>
      </c>
      <c r="BE19" s="56">
        <f>BG19/2</f>
        <v>32.413500000000006</v>
      </c>
      <c r="BF19" s="236">
        <f>BG19-BE19</f>
        <v>32.413500000000006</v>
      </c>
      <c r="BG19" s="605">
        <f>BD19*1.05</f>
        <v>64.827000000000012</v>
      </c>
      <c r="BH19" s="56">
        <f>BJ19/2</f>
        <v>34.034175000000005</v>
      </c>
      <c r="BI19" s="236">
        <f>BJ19-BH19</f>
        <v>34.034175000000005</v>
      </c>
      <c r="BJ19" s="605">
        <f>BG19*1.05</f>
        <v>68.068350000000009</v>
      </c>
      <c r="BK19" s="56">
        <f>BM19/2</f>
        <v>35.735883750000006</v>
      </c>
      <c r="BL19" s="236">
        <f>BM19-BK19</f>
        <v>35.735883750000006</v>
      </c>
      <c r="BM19" s="605">
        <f t="shared" ref="BM19" si="88">BJ19*1.05</f>
        <v>71.471767500000013</v>
      </c>
      <c r="BN19"/>
    </row>
    <row r="20" spans="1:66">
      <c r="A20" s="25" t="s">
        <v>54</v>
      </c>
      <c r="B20" s="40">
        <v>0</v>
      </c>
      <c r="C20" s="40">
        <v>0</v>
      </c>
      <c r="D20" s="40">
        <v>0</v>
      </c>
      <c r="E20" s="40">
        <v>0</v>
      </c>
      <c r="F20" s="40">
        <v>0</v>
      </c>
      <c r="G20" s="40">
        <v>0</v>
      </c>
      <c r="H20" s="40">
        <v>0</v>
      </c>
      <c r="I20" s="40">
        <v>0</v>
      </c>
      <c r="J20" s="40">
        <v>0</v>
      </c>
      <c r="K20" s="40">
        <v>0</v>
      </c>
      <c r="L20" s="40">
        <v>0</v>
      </c>
      <c r="M20" s="40">
        <v>0</v>
      </c>
      <c r="N20" s="40">
        <v>0</v>
      </c>
      <c r="O20" s="40">
        <v>119</v>
      </c>
      <c r="P20" s="40">
        <v>2</v>
      </c>
      <c r="Q20" s="40">
        <v>0</v>
      </c>
      <c r="R20" s="40">
        <v>0</v>
      </c>
      <c r="S20" s="630">
        <f>T20-R20</f>
        <v>0</v>
      </c>
      <c r="T20" s="653">
        <v>0</v>
      </c>
      <c r="U20" s="40">
        <v>0</v>
      </c>
      <c r="V20" s="630">
        <f>W20-U20</f>
        <v>798</v>
      </c>
      <c r="W20" s="653">
        <v>798</v>
      </c>
      <c r="X20" s="40">
        <v>0</v>
      </c>
      <c r="Y20" s="630">
        <f>Z20-X20</f>
        <v>785</v>
      </c>
      <c r="Z20" s="653">
        <v>785</v>
      </c>
      <c r="AA20" s="40">
        <v>0</v>
      </c>
      <c r="AB20" s="630">
        <f>AC20-AA20</f>
        <v>0</v>
      </c>
      <c r="AC20" s="653">
        <v>0</v>
      </c>
      <c r="AD20" s="40">
        <v>0</v>
      </c>
      <c r="AE20" s="630">
        <f>AF20-AD20</f>
        <v>0</v>
      </c>
      <c r="AF20" s="653">
        <v>0</v>
      </c>
      <c r="AG20" s="40">
        <v>0</v>
      </c>
      <c r="AH20" s="630">
        <f>AI20-AG20</f>
        <v>0</v>
      </c>
      <c r="AI20" s="653">
        <f t="shared" ref="AI20:AI22" si="89">AF20</f>
        <v>0</v>
      </c>
      <c r="AJ20" s="40">
        <v>0</v>
      </c>
      <c r="AK20" s="630">
        <f>AL20-AJ20</f>
        <v>0</v>
      </c>
      <c r="AL20" s="653">
        <f>AI20</f>
        <v>0</v>
      </c>
      <c r="AM20" s="40">
        <v>0</v>
      </c>
      <c r="AN20" s="630">
        <f>AO20-AM20</f>
        <v>0</v>
      </c>
      <c r="AO20" s="653">
        <f>AL20</f>
        <v>0</v>
      </c>
      <c r="AP20" s="40">
        <v>0</v>
      </c>
      <c r="AQ20" s="630">
        <f>AR20-AP20</f>
        <v>0</v>
      </c>
      <c r="AR20" s="653">
        <v>0</v>
      </c>
      <c r="AS20" s="40">
        <v>0</v>
      </c>
      <c r="AT20" s="630">
        <f>AU20-AS20</f>
        <v>0</v>
      </c>
      <c r="AU20" s="653">
        <v>0</v>
      </c>
      <c r="AV20" s="40">
        <v>0</v>
      </c>
      <c r="AW20" s="539">
        <f>AX20-AV20</f>
        <v>0</v>
      </c>
      <c r="AX20" s="653">
        <f>AU20</f>
        <v>0</v>
      </c>
      <c r="AY20" s="40">
        <v>0</v>
      </c>
      <c r="AZ20" s="236">
        <f>BA20-AY20</f>
        <v>0</v>
      </c>
      <c r="BA20" s="580">
        <v>0</v>
      </c>
      <c r="BB20" s="56">
        <f>BD20/2</f>
        <v>0</v>
      </c>
      <c r="BC20" s="236">
        <f>BD20-BB20</f>
        <v>0</v>
      </c>
      <c r="BD20" s="605">
        <f>BA20</f>
        <v>0</v>
      </c>
      <c r="BE20" s="56">
        <f>BG20/2</f>
        <v>0</v>
      </c>
      <c r="BF20" s="236">
        <f>BG20-BE20</f>
        <v>0</v>
      </c>
      <c r="BG20" s="605">
        <f>BD20</f>
        <v>0</v>
      </c>
      <c r="BH20" s="56">
        <f>BJ20/2</f>
        <v>0</v>
      </c>
      <c r="BI20" s="236">
        <f>BJ20-BH20</f>
        <v>0</v>
      </c>
      <c r="BJ20" s="605">
        <f>BG20</f>
        <v>0</v>
      </c>
      <c r="BK20" s="56">
        <f>BM20/2</f>
        <v>0</v>
      </c>
      <c r="BL20" s="236">
        <f>BM20-BK20</f>
        <v>0</v>
      </c>
      <c r="BM20" s="605">
        <f>BJ20</f>
        <v>0</v>
      </c>
    </row>
    <row r="21" spans="1:66">
      <c r="A21" s="25" t="s">
        <v>55</v>
      </c>
      <c r="B21" s="40">
        <v>-78</v>
      </c>
      <c r="C21" s="40">
        <v>-11</v>
      </c>
      <c r="D21" s="40">
        <v>-22</v>
      </c>
      <c r="E21" s="40">
        <v>6</v>
      </c>
      <c r="F21" s="40">
        <v>9</v>
      </c>
      <c r="G21" s="40">
        <v>-2</v>
      </c>
      <c r="H21" s="40">
        <v>1</v>
      </c>
      <c r="I21" s="40">
        <v>-2</v>
      </c>
      <c r="J21" s="40">
        <v>7</v>
      </c>
      <c r="K21" s="40">
        <v>-2</v>
      </c>
      <c r="L21" s="40">
        <v>4</v>
      </c>
      <c r="M21" s="40">
        <v>3</v>
      </c>
      <c r="N21" s="40">
        <v>699</v>
      </c>
      <c r="O21" s="40">
        <v>216</v>
      </c>
      <c r="P21" s="40">
        <v>6</v>
      </c>
      <c r="Q21" s="40">
        <v>2</v>
      </c>
      <c r="R21" s="40">
        <v>-1</v>
      </c>
      <c r="S21" s="630">
        <f>T21-R21</f>
        <v>-2</v>
      </c>
      <c r="T21" s="653">
        <v>-3</v>
      </c>
      <c r="U21" s="40">
        <v>0</v>
      </c>
      <c r="V21" s="630">
        <f>W21-U21</f>
        <v>0</v>
      </c>
      <c r="W21" s="653">
        <v>0</v>
      </c>
      <c r="X21" s="40">
        <v>0</v>
      </c>
      <c r="Y21" s="630">
        <f>Z21-X21</f>
        <v>0</v>
      </c>
      <c r="Z21" s="653">
        <v>0</v>
      </c>
      <c r="AA21" s="40">
        <v>358</v>
      </c>
      <c r="AB21" s="630">
        <f>AC21-AA21</f>
        <v>0</v>
      </c>
      <c r="AC21" s="653">
        <v>358</v>
      </c>
      <c r="AD21" s="40">
        <v>118</v>
      </c>
      <c r="AE21" s="630">
        <f>AF21-AD21</f>
        <v>21</v>
      </c>
      <c r="AF21" s="653">
        <v>139</v>
      </c>
      <c r="AG21" s="40">
        <v>2</v>
      </c>
      <c r="AH21" s="630">
        <f>AI21-AG21</f>
        <v>-16</v>
      </c>
      <c r="AI21" s="653">
        <v>-14</v>
      </c>
      <c r="AJ21" s="40">
        <v>-7</v>
      </c>
      <c r="AK21" s="630">
        <f>AL21-AJ21</f>
        <v>63</v>
      </c>
      <c r="AL21" s="653">
        <v>56</v>
      </c>
      <c r="AM21" s="40">
        <v>77</v>
      </c>
      <c r="AN21" s="630">
        <f>AO21-AM21</f>
        <v>4</v>
      </c>
      <c r="AO21" s="653">
        <v>81</v>
      </c>
      <c r="AP21" s="40">
        <v>1</v>
      </c>
      <c r="AQ21" s="630">
        <f>AR21-AP21</f>
        <v>0</v>
      </c>
      <c r="AR21" s="653">
        <v>1</v>
      </c>
      <c r="AS21" s="40">
        <v>0</v>
      </c>
      <c r="AT21" s="630">
        <f>AU21-AS21</f>
        <v>16</v>
      </c>
      <c r="AU21" s="653">
        <v>16</v>
      </c>
      <c r="AV21" s="40">
        <v>679</v>
      </c>
      <c r="AW21" s="539">
        <f>AX21-AV21</f>
        <v>130</v>
      </c>
      <c r="AX21" s="653">
        <v>809</v>
      </c>
      <c r="AY21" s="40">
        <v>0</v>
      </c>
      <c r="AZ21" s="236">
        <f>BA21-AY21</f>
        <v>0</v>
      </c>
      <c r="BA21" s="580">
        <v>0</v>
      </c>
      <c r="BB21" s="56">
        <f>BD21/2</f>
        <v>0</v>
      </c>
      <c r="BC21" s="236">
        <f>BD21-BB21</f>
        <v>0</v>
      </c>
      <c r="BD21" s="580">
        <v>0</v>
      </c>
      <c r="BE21" s="56">
        <f>BG21/2</f>
        <v>0</v>
      </c>
      <c r="BF21" s="236">
        <f>BG21-BE21</f>
        <v>0</v>
      </c>
      <c r="BG21" s="580">
        <v>0</v>
      </c>
      <c r="BH21" s="56">
        <f>BJ21/2</f>
        <v>0</v>
      </c>
      <c r="BI21" s="236">
        <f>BJ21-BH21</f>
        <v>0</v>
      </c>
      <c r="BJ21" s="580">
        <v>0</v>
      </c>
      <c r="BK21" s="56">
        <f>BM21/2</f>
        <v>0</v>
      </c>
      <c r="BL21" s="236">
        <f>BM21-BK21</f>
        <v>0</v>
      </c>
      <c r="BM21" s="580">
        <v>0</v>
      </c>
    </row>
    <row r="22" spans="1:66">
      <c r="A22" s="25" t="s">
        <v>224</v>
      </c>
      <c r="B22" s="40">
        <v>1</v>
      </c>
      <c r="C22" s="40">
        <v>6</v>
      </c>
      <c r="D22" s="40">
        <v>0</v>
      </c>
      <c r="E22" s="40">
        <v>-11</v>
      </c>
      <c r="F22" s="40">
        <v>0</v>
      </c>
      <c r="G22" s="40">
        <v>0</v>
      </c>
      <c r="H22" s="40">
        <v>0</v>
      </c>
      <c r="I22" s="40">
        <v>0</v>
      </c>
      <c r="J22" s="40">
        <v>0</v>
      </c>
      <c r="K22" s="40">
        <v>0</v>
      </c>
      <c r="L22" s="40">
        <v>0</v>
      </c>
      <c r="M22" s="40">
        <v>0</v>
      </c>
      <c r="N22" s="40">
        <v>0</v>
      </c>
      <c r="O22" s="40">
        <v>0</v>
      </c>
      <c r="P22" s="40">
        <v>0</v>
      </c>
      <c r="Q22" s="40">
        <v>0</v>
      </c>
      <c r="R22" s="40">
        <v>0</v>
      </c>
      <c r="S22" s="630">
        <f>T22-R22</f>
        <v>0</v>
      </c>
      <c r="T22" s="653">
        <v>0</v>
      </c>
      <c r="U22" s="40">
        <v>0</v>
      </c>
      <c r="V22" s="630">
        <f>W22-U22</f>
        <v>0</v>
      </c>
      <c r="W22" s="653">
        <v>0</v>
      </c>
      <c r="X22" s="40">
        <v>0</v>
      </c>
      <c r="Y22" s="630">
        <f>Z22-X22</f>
        <v>0</v>
      </c>
      <c r="Z22" s="653">
        <v>0</v>
      </c>
      <c r="AA22" s="40">
        <v>0</v>
      </c>
      <c r="AB22" s="630">
        <f>AC22-AA22</f>
        <v>0</v>
      </c>
      <c r="AC22" s="653">
        <v>0</v>
      </c>
      <c r="AD22" s="40">
        <v>0</v>
      </c>
      <c r="AE22" s="630">
        <f>AF22-AD22</f>
        <v>0</v>
      </c>
      <c r="AF22" s="653">
        <v>0</v>
      </c>
      <c r="AG22" s="40">
        <v>0</v>
      </c>
      <c r="AH22" s="630">
        <f>AI22-AG22</f>
        <v>0</v>
      </c>
      <c r="AI22" s="653">
        <f t="shared" si="89"/>
        <v>0</v>
      </c>
      <c r="AJ22" s="40">
        <v>0</v>
      </c>
      <c r="AK22" s="630">
        <f>AL22-AJ22</f>
        <v>0</v>
      </c>
      <c r="AL22" s="653">
        <f>AI22</f>
        <v>0</v>
      </c>
      <c r="AM22" s="40">
        <v>0</v>
      </c>
      <c r="AN22" s="630">
        <f>AO22-AM22</f>
        <v>0</v>
      </c>
      <c r="AO22" s="653">
        <f>AL22</f>
        <v>0</v>
      </c>
      <c r="AP22" s="40">
        <v>0</v>
      </c>
      <c r="AQ22" s="630">
        <f>AR22-AP22</f>
        <v>0</v>
      </c>
      <c r="AR22" s="653">
        <v>0</v>
      </c>
      <c r="AS22" s="40">
        <v>0</v>
      </c>
      <c r="AT22" s="630">
        <f>AU22-AS22</f>
        <v>0</v>
      </c>
      <c r="AU22" s="653">
        <v>0</v>
      </c>
      <c r="AV22" s="40">
        <v>0</v>
      </c>
      <c r="AW22" s="539">
        <f>AX22-AV22</f>
        <v>0</v>
      </c>
      <c r="AX22" s="653">
        <f>AU22</f>
        <v>0</v>
      </c>
      <c r="AY22" s="40">
        <v>0</v>
      </c>
      <c r="AZ22" s="236">
        <f>BA22-AY22</f>
        <v>0</v>
      </c>
      <c r="BA22" s="580">
        <v>0</v>
      </c>
      <c r="BB22" s="56">
        <f>BD22/2</f>
        <v>0</v>
      </c>
      <c r="BC22" s="236">
        <f>BD22-BB22</f>
        <v>0</v>
      </c>
      <c r="BD22" s="605">
        <f>BA22</f>
        <v>0</v>
      </c>
      <c r="BE22" s="56">
        <f>BG22/2</f>
        <v>0</v>
      </c>
      <c r="BF22" s="236">
        <f>BG22-BE22</f>
        <v>0</v>
      </c>
      <c r="BG22" s="605">
        <f>BD22</f>
        <v>0</v>
      </c>
      <c r="BH22" s="56">
        <f>BJ22/2</f>
        <v>0</v>
      </c>
      <c r="BI22" s="236">
        <f>BJ22-BH22</f>
        <v>0</v>
      </c>
      <c r="BJ22" s="605">
        <f>BG22</f>
        <v>0</v>
      </c>
      <c r="BK22" s="56">
        <f>BM22/2</f>
        <v>0</v>
      </c>
      <c r="BL22" s="236">
        <f>BM22-BK22</f>
        <v>0</v>
      </c>
      <c r="BM22" s="605">
        <f>BJ22</f>
        <v>0</v>
      </c>
    </row>
    <row r="23" spans="1:66">
      <c r="A23" s="31" t="s">
        <v>137</v>
      </c>
      <c r="B23" s="51">
        <f>B12+B14+B15+B17+B19+B20+B21+B22</f>
        <v>289</v>
      </c>
      <c r="C23" s="51">
        <f>C12+C14+C15+C17+C19+C20+C21+C22</f>
        <v>311</v>
      </c>
      <c r="D23" s="51">
        <f>D12+D14+D15+D17+D19+D20+D21+D22</f>
        <v>212</v>
      </c>
      <c r="E23" s="51">
        <f>E12+E14+E15+E17+E19+E20+E21+E22</f>
        <v>270</v>
      </c>
      <c r="F23" s="51">
        <f t="shared" ref="F23:Y23" si="90">F12+F14+F15+F17+F19+F20+F21+F22</f>
        <v>417</v>
      </c>
      <c r="G23" s="51">
        <f t="shared" si="90"/>
        <v>877</v>
      </c>
      <c r="H23" s="51">
        <f t="shared" si="90"/>
        <v>693</v>
      </c>
      <c r="I23" s="51">
        <f t="shared" si="90"/>
        <v>512</v>
      </c>
      <c r="J23" s="51">
        <f t="shared" si="90"/>
        <v>862</v>
      </c>
      <c r="K23" s="51">
        <f t="shared" si="90"/>
        <v>1172</v>
      </c>
      <c r="L23" s="51">
        <f t="shared" si="90"/>
        <v>1134</v>
      </c>
      <c r="M23" s="51">
        <f t="shared" si="90"/>
        <v>1189</v>
      </c>
      <c r="N23" s="51">
        <f t="shared" si="90"/>
        <v>2077</v>
      </c>
      <c r="O23" s="51">
        <f t="shared" si="90"/>
        <v>1814</v>
      </c>
      <c r="P23" s="51">
        <f t="shared" si="90"/>
        <v>1398</v>
      </c>
      <c r="Q23" s="51">
        <f t="shared" si="90"/>
        <v>1501</v>
      </c>
      <c r="R23" s="51">
        <f t="shared" si="90"/>
        <v>236</v>
      </c>
      <c r="S23" s="629">
        <f t="shared" si="90"/>
        <v>-195</v>
      </c>
      <c r="T23" s="652">
        <f t="shared" si="90"/>
        <v>41</v>
      </c>
      <c r="U23" s="51">
        <f t="shared" ref="U23:V23" si="91">U12+U14+U15+U17+U19+U20+U21+U22</f>
        <v>471</v>
      </c>
      <c r="V23" s="629">
        <f t="shared" si="91"/>
        <v>1614</v>
      </c>
      <c r="W23" s="652">
        <f t="shared" si="90"/>
        <v>2085</v>
      </c>
      <c r="X23" s="51">
        <f t="shared" si="90"/>
        <v>-103</v>
      </c>
      <c r="Y23" s="629">
        <f t="shared" si="90"/>
        <v>1254</v>
      </c>
      <c r="Z23" s="652">
        <f t="shared" ref="Z23:AO23" si="92">Z12+Z14+Z15+Z17+Z19+Z20+Z21+Z22</f>
        <v>1151</v>
      </c>
      <c r="AA23" s="51">
        <f t="shared" si="92"/>
        <v>-417</v>
      </c>
      <c r="AB23" s="629">
        <f t="shared" si="92"/>
        <v>-386</v>
      </c>
      <c r="AC23" s="652">
        <f t="shared" si="92"/>
        <v>-803</v>
      </c>
      <c r="AD23" s="51">
        <f t="shared" ref="AD23:AE23" si="93">AD12+AD14+AD15+AD17+AD19+AD20+AD21+AD22</f>
        <v>201</v>
      </c>
      <c r="AE23" s="629">
        <f t="shared" si="93"/>
        <v>-914</v>
      </c>
      <c r="AF23" s="652">
        <f t="shared" si="92"/>
        <v>-713</v>
      </c>
      <c r="AG23" s="51">
        <f t="shared" si="92"/>
        <v>-1615</v>
      </c>
      <c r="AH23" s="629">
        <f t="shared" si="92"/>
        <v>-371</v>
      </c>
      <c r="AI23" s="652">
        <f t="shared" si="92"/>
        <v>-1986</v>
      </c>
      <c r="AJ23" s="51">
        <f t="shared" ref="AJ23:AK23" si="94">AJ12+AJ14+AJ15+AJ17+AJ19+AJ20+AJ21+AJ22</f>
        <v>31</v>
      </c>
      <c r="AK23" s="629">
        <f t="shared" si="94"/>
        <v>538</v>
      </c>
      <c r="AL23" s="652">
        <f t="shared" si="92"/>
        <v>569</v>
      </c>
      <c r="AM23" s="51">
        <f t="shared" si="92"/>
        <v>300</v>
      </c>
      <c r="AN23" s="629">
        <f t="shared" si="92"/>
        <v>618</v>
      </c>
      <c r="AO23" s="652">
        <f t="shared" si="92"/>
        <v>918</v>
      </c>
      <c r="AP23" s="51">
        <f t="shared" ref="AP23:AR23" si="95">AP12+AP14+AP15+AP17+AP19+AP20+AP21+AP22</f>
        <v>798</v>
      </c>
      <c r="AQ23" s="629">
        <f t="shared" si="95"/>
        <v>1147</v>
      </c>
      <c r="AR23" s="652">
        <f t="shared" si="95"/>
        <v>1945</v>
      </c>
      <c r="AS23" s="51">
        <f t="shared" ref="AS23:AU23" si="96">AS12+AS14+AS15+AS17+AS19+AS20+AS21+AS22</f>
        <v>1646</v>
      </c>
      <c r="AT23" s="629">
        <f t="shared" si="96"/>
        <v>1276</v>
      </c>
      <c r="AU23" s="652">
        <f t="shared" si="96"/>
        <v>2922</v>
      </c>
      <c r="AV23" s="51">
        <f t="shared" ref="AV23:AW23" si="97">AV12+AV14+AV15+AV17+AV19+AV20+AV21+AV22</f>
        <v>2753</v>
      </c>
      <c r="AW23" s="541">
        <f t="shared" si="97"/>
        <v>2524</v>
      </c>
      <c r="AX23" s="652">
        <f t="shared" ref="AX23:BM23" si="98">AX25+AX24</f>
        <v>5277</v>
      </c>
      <c r="AY23" s="51">
        <f t="shared" ref="AY23" si="99">AY12+AY14+AY15+AY17+AY19+AY20+AY21+AY22</f>
        <v>2418</v>
      </c>
      <c r="AZ23" s="237">
        <f t="shared" ref="AZ23" si="100">AZ12+AZ14+AZ15+AZ17+AZ19+AZ20+AZ21+AZ22</f>
        <v>2535.4641515946769</v>
      </c>
      <c r="BA23" s="576">
        <f t="shared" si="98"/>
        <v>4807.4641515946769</v>
      </c>
      <c r="BB23" s="48">
        <f t="shared" si="98"/>
        <v>2744.7359153711895</v>
      </c>
      <c r="BC23" s="237">
        <f t="shared" ref="BC23" si="101">BC12+BC14+BC15+BC17+BC19+BC20+BC21+BC22</f>
        <v>2870.854831038343</v>
      </c>
      <c r="BD23" s="576">
        <f t="shared" si="98"/>
        <v>5615.5907464095308</v>
      </c>
      <c r="BE23" s="48">
        <f t="shared" si="98"/>
        <v>3143.0570841545727</v>
      </c>
      <c r="BF23" s="237">
        <f t="shared" ref="BF23" si="102">BF12+BF14+BF15+BF17+BF19+BF20+BF21+BF22</f>
        <v>3359.7947859595329</v>
      </c>
      <c r="BG23" s="576">
        <f t="shared" si="98"/>
        <v>6502.8518701141065</v>
      </c>
      <c r="BH23" s="48">
        <f t="shared" si="98"/>
        <v>3678.3067611010065</v>
      </c>
      <c r="BI23" s="237">
        <f t="shared" ref="BI23" si="103">BI12+BI14+BI15+BI17+BI19+BI20+BI21+BI22</f>
        <v>3943.1724901762263</v>
      </c>
      <c r="BJ23" s="576">
        <f t="shared" si="98"/>
        <v>7621.479251277231</v>
      </c>
      <c r="BK23" s="48">
        <f t="shared" si="98"/>
        <v>4280.8936127481211</v>
      </c>
      <c r="BL23" s="237">
        <f t="shared" ref="BL23" si="104">BL12+BL14+BL15+BL17+BL19+BL20+BL21+BL22</f>
        <v>4593.6432558073739</v>
      </c>
      <c r="BM23" s="576">
        <f t="shared" si="98"/>
        <v>8874.5368685554949</v>
      </c>
    </row>
    <row r="24" spans="1:66">
      <c r="A24" s="25" t="s">
        <v>249</v>
      </c>
      <c r="B24" s="40">
        <f t="shared" ref="B24:BM24" si="105">B100</f>
        <v>-270</v>
      </c>
      <c r="C24" s="40">
        <f t="shared" si="105"/>
        <v>-283</v>
      </c>
      <c r="D24" s="40">
        <f t="shared" si="105"/>
        <v>-150</v>
      </c>
      <c r="E24" s="40">
        <f t="shared" si="105"/>
        <v>-105</v>
      </c>
      <c r="F24" s="40">
        <f t="shared" si="105"/>
        <v>0</v>
      </c>
      <c r="G24" s="40">
        <f t="shared" si="105"/>
        <v>198</v>
      </c>
      <c r="H24" s="40">
        <f t="shared" si="105"/>
        <v>-55</v>
      </c>
      <c r="I24" s="40">
        <f t="shared" si="105"/>
        <v>-320</v>
      </c>
      <c r="J24" s="40">
        <f t="shared" si="105"/>
        <v>-57</v>
      </c>
      <c r="K24" s="40">
        <f t="shared" si="105"/>
        <v>189</v>
      </c>
      <c r="L24" s="40">
        <f t="shared" si="105"/>
        <v>124</v>
      </c>
      <c r="M24" s="40">
        <f t="shared" si="105"/>
        <v>-17</v>
      </c>
      <c r="N24" s="40">
        <f t="shared" si="105"/>
        <v>582</v>
      </c>
      <c r="O24" s="40">
        <f t="shared" si="105"/>
        <v>-17</v>
      </c>
      <c r="P24" s="40">
        <f t="shared" si="105"/>
        <v>-283</v>
      </c>
      <c r="Q24" s="40">
        <f t="shared" si="105"/>
        <v>9</v>
      </c>
      <c r="R24" s="40">
        <f t="shared" si="105"/>
        <v>78</v>
      </c>
      <c r="S24" s="630">
        <f t="shared" si="105"/>
        <v>-952</v>
      </c>
      <c r="T24" s="653">
        <f t="shared" si="105"/>
        <v>-874</v>
      </c>
      <c r="U24" s="40">
        <f t="shared" ref="U24:V24" si="106">U100</f>
        <v>126</v>
      </c>
      <c r="V24" s="630">
        <f t="shared" si="106"/>
        <v>784</v>
      </c>
      <c r="W24" s="653">
        <f t="shared" si="105"/>
        <v>910</v>
      </c>
      <c r="X24" s="40">
        <f t="shared" si="105"/>
        <v>-19</v>
      </c>
      <c r="Y24" s="630">
        <f t="shared" si="105"/>
        <v>864</v>
      </c>
      <c r="Z24" s="653">
        <f t="shared" si="105"/>
        <v>845</v>
      </c>
      <c r="AA24" s="40">
        <f t="shared" ref="AA24:AB24" si="107">AA100</f>
        <v>-558</v>
      </c>
      <c r="AB24" s="630">
        <f t="shared" si="107"/>
        <v>-861</v>
      </c>
      <c r="AC24" s="653">
        <f t="shared" si="105"/>
        <v>-1419</v>
      </c>
      <c r="AD24" s="40">
        <f t="shared" si="105"/>
        <v>-2</v>
      </c>
      <c r="AE24" s="630">
        <f t="shared" si="105"/>
        <v>-1664</v>
      </c>
      <c r="AF24" s="653">
        <f>AF100</f>
        <v>-1521</v>
      </c>
      <c r="AG24" s="40">
        <f t="shared" ref="AG24:AH24" si="108">AG100</f>
        <v>-100</v>
      </c>
      <c r="AH24" s="630">
        <f t="shared" si="108"/>
        <v>-873</v>
      </c>
      <c r="AI24" s="653">
        <f>AI100</f>
        <v>22</v>
      </c>
      <c r="AJ24" s="40">
        <f t="shared" ref="AJ24:AK24" si="109">AJ100</f>
        <v>-269</v>
      </c>
      <c r="AK24" s="630">
        <f t="shared" si="109"/>
        <v>424</v>
      </c>
      <c r="AL24" s="653">
        <f t="shared" si="105"/>
        <v>155</v>
      </c>
      <c r="AM24" s="40">
        <f t="shared" si="105"/>
        <v>175</v>
      </c>
      <c r="AN24" s="630">
        <f t="shared" si="105"/>
        <v>91</v>
      </c>
      <c r="AO24" s="653">
        <f t="shared" si="105"/>
        <v>266</v>
      </c>
      <c r="AP24" s="40">
        <f t="shared" ref="AP24:AR24" si="110">AP100</f>
        <v>125</v>
      </c>
      <c r="AQ24" s="630">
        <f t="shared" si="110"/>
        <v>230</v>
      </c>
      <c r="AR24" s="653">
        <f t="shared" si="110"/>
        <v>355</v>
      </c>
      <c r="AS24" s="40">
        <f t="shared" ref="AS24:AU24" si="111">AS100</f>
        <v>497</v>
      </c>
      <c r="AT24" s="630">
        <f t="shared" si="111"/>
        <v>-39</v>
      </c>
      <c r="AU24" s="653">
        <f t="shared" si="111"/>
        <v>458</v>
      </c>
      <c r="AV24" s="40">
        <f t="shared" ref="AV24:AW24" si="112">AV100</f>
        <v>1020</v>
      </c>
      <c r="AW24" s="539">
        <f t="shared" si="112"/>
        <v>795</v>
      </c>
      <c r="AX24" s="653">
        <f t="shared" si="105"/>
        <v>1815</v>
      </c>
      <c r="AY24" s="40">
        <f t="shared" si="105"/>
        <v>-116</v>
      </c>
      <c r="AZ24" s="236">
        <f t="shared" si="105"/>
        <v>-10.835632820612311</v>
      </c>
      <c r="BA24" s="605">
        <f t="shared" si="105"/>
        <v>-126.83563282061232</v>
      </c>
      <c r="BB24" s="56">
        <f t="shared" si="105"/>
        <v>-10.300971519152</v>
      </c>
      <c r="BC24" s="236">
        <f t="shared" si="105"/>
        <v>-10.978597143714644</v>
      </c>
      <c r="BD24" s="605">
        <f t="shared" si="105"/>
        <v>-21.279568662866645</v>
      </c>
      <c r="BE24" s="56">
        <f t="shared" si="105"/>
        <v>-11.295439128201355</v>
      </c>
      <c r="BF24" s="236">
        <f t="shared" si="105"/>
        <v>-12.264095403251154</v>
      </c>
      <c r="BG24" s="605">
        <f t="shared" si="105"/>
        <v>-23.55953453145251</v>
      </c>
      <c r="BH24" s="56">
        <f t="shared" si="105"/>
        <v>-12.658722756768638</v>
      </c>
      <c r="BI24" s="236">
        <f t="shared" si="105"/>
        <v>-13.740674690077208</v>
      </c>
      <c r="BJ24" s="605">
        <f t="shared" si="105"/>
        <v>-26.399397446845846</v>
      </c>
      <c r="BK24" s="56">
        <f t="shared" si="105"/>
        <v>-14.191878737613139</v>
      </c>
      <c r="BL24" s="236">
        <f t="shared" si="105"/>
        <v>-15.376484380001008</v>
      </c>
      <c r="BM24" s="605">
        <f t="shared" si="105"/>
        <v>-29.568363117614147</v>
      </c>
    </row>
    <row r="25" spans="1:66" ht="10.8" thickBot="1">
      <c r="A25" s="37" t="s">
        <v>826</v>
      </c>
      <c r="B25" s="84">
        <f t="shared" ref="B25:Q25" si="113">B23-B24</f>
        <v>559</v>
      </c>
      <c r="C25" s="84">
        <f t="shared" si="113"/>
        <v>594</v>
      </c>
      <c r="D25" s="84">
        <f t="shared" si="113"/>
        <v>362</v>
      </c>
      <c r="E25" s="84">
        <f t="shared" si="113"/>
        <v>375</v>
      </c>
      <c r="F25" s="84">
        <f t="shared" si="113"/>
        <v>417</v>
      </c>
      <c r="G25" s="84">
        <f t="shared" si="113"/>
        <v>679</v>
      </c>
      <c r="H25" s="84">
        <f t="shared" si="113"/>
        <v>748</v>
      </c>
      <c r="I25" s="84">
        <f t="shared" si="113"/>
        <v>832</v>
      </c>
      <c r="J25" s="84">
        <f t="shared" si="113"/>
        <v>919</v>
      </c>
      <c r="K25" s="84">
        <f t="shared" si="113"/>
        <v>983</v>
      </c>
      <c r="L25" s="84">
        <f t="shared" si="113"/>
        <v>1010</v>
      </c>
      <c r="M25" s="84">
        <f t="shared" si="113"/>
        <v>1206</v>
      </c>
      <c r="N25" s="84">
        <f t="shared" si="113"/>
        <v>1495</v>
      </c>
      <c r="O25" s="84">
        <f t="shared" si="113"/>
        <v>1831</v>
      </c>
      <c r="P25" s="84">
        <f t="shared" si="113"/>
        <v>1681</v>
      </c>
      <c r="Q25" s="84">
        <f t="shared" si="113"/>
        <v>1492</v>
      </c>
      <c r="R25" s="84">
        <f>Divisional!R70</f>
        <v>158</v>
      </c>
      <c r="S25" s="632">
        <f>Divisional!S70</f>
        <v>757</v>
      </c>
      <c r="T25" s="655">
        <f t="shared" ref="T25:AL25" si="114">T23-T24</f>
        <v>915</v>
      </c>
      <c r="U25" s="84">
        <f>Divisional!U70</f>
        <v>345</v>
      </c>
      <c r="V25" s="632">
        <f>Divisional!V70</f>
        <v>830</v>
      </c>
      <c r="W25" s="655">
        <f t="shared" si="114"/>
        <v>1175</v>
      </c>
      <c r="X25" s="84">
        <f>Divisional!X70</f>
        <v>-84</v>
      </c>
      <c r="Y25" s="632">
        <f>Divisional!Y70</f>
        <v>390</v>
      </c>
      <c r="Z25" s="655">
        <f t="shared" si="114"/>
        <v>306</v>
      </c>
      <c r="AA25" s="84">
        <f>Divisional!AA70</f>
        <v>141</v>
      </c>
      <c r="AB25" s="632">
        <f>Divisional!AB70</f>
        <v>475</v>
      </c>
      <c r="AC25" s="655">
        <f t="shared" si="114"/>
        <v>616</v>
      </c>
      <c r="AD25" s="84">
        <f>Divisional!AD70</f>
        <v>203</v>
      </c>
      <c r="AE25" s="632">
        <f>Divisional!AE70</f>
        <v>605</v>
      </c>
      <c r="AF25" s="655">
        <f t="shared" si="114"/>
        <v>808</v>
      </c>
      <c r="AG25" s="84">
        <f>Divisional!AG70</f>
        <v>-1630</v>
      </c>
      <c r="AH25" s="632">
        <f>Divisional!AH70</f>
        <v>-378</v>
      </c>
      <c r="AI25" s="655">
        <f t="shared" si="114"/>
        <v>-2008</v>
      </c>
      <c r="AJ25" s="84">
        <f>Divisional!AJ70</f>
        <v>307</v>
      </c>
      <c r="AK25" s="632">
        <f>Divisional!AK70</f>
        <v>107</v>
      </c>
      <c r="AL25" s="655">
        <f t="shared" si="114"/>
        <v>414</v>
      </c>
      <c r="AM25" s="84">
        <f>Divisional!AM70</f>
        <v>125</v>
      </c>
      <c r="AN25" s="632">
        <f>Divisional!AN70</f>
        <v>527</v>
      </c>
      <c r="AO25" s="655">
        <f>Divisional!AO70</f>
        <v>652</v>
      </c>
      <c r="AP25" s="84">
        <f>Divisional!AP70</f>
        <v>673</v>
      </c>
      <c r="AQ25" s="632">
        <f>Divisional!AQ70</f>
        <v>917</v>
      </c>
      <c r="AR25" s="655">
        <f>Divisional!AR70</f>
        <v>1590</v>
      </c>
      <c r="AS25" s="84">
        <f>Divisional!AS70</f>
        <v>1149</v>
      </c>
      <c r="AT25" s="632">
        <f>Divisional!AT70</f>
        <v>1315</v>
      </c>
      <c r="AU25" s="655">
        <f>Divisional!AU70</f>
        <v>2464</v>
      </c>
      <c r="AV25" s="84">
        <f>Divisional!AV70</f>
        <v>1733</v>
      </c>
      <c r="AW25" s="718">
        <f>Divisional!AW70</f>
        <v>1729</v>
      </c>
      <c r="AX25" s="655">
        <f>Divisional!AX70</f>
        <v>3462</v>
      </c>
      <c r="AY25" s="84">
        <f>Divisional!AY70</f>
        <v>2534</v>
      </c>
      <c r="AZ25" s="244">
        <f>Divisional!AZ70</f>
        <v>2400.2997844152897</v>
      </c>
      <c r="BA25" s="581">
        <f>Divisional!BA70</f>
        <v>4934.2997844152887</v>
      </c>
      <c r="BB25" s="181">
        <f>Divisional!BB70</f>
        <v>2755.0368868903415</v>
      </c>
      <c r="BC25" s="244">
        <f>Divisional!BC70</f>
        <v>2881.8334281820567</v>
      </c>
      <c r="BD25" s="581">
        <f>Divisional!BD70</f>
        <v>5636.8703150723977</v>
      </c>
      <c r="BE25" s="181">
        <f>Divisional!BE70</f>
        <v>3154.3525232827742</v>
      </c>
      <c r="BF25" s="244">
        <f>Divisional!BF70</f>
        <v>3372.0588813627842</v>
      </c>
      <c r="BG25" s="581">
        <f>Divisional!BG70</f>
        <v>6526.4114046455588</v>
      </c>
      <c r="BH25" s="181">
        <f>Divisional!BH70</f>
        <v>3690.9654838577753</v>
      </c>
      <c r="BI25" s="244">
        <f>Divisional!BI70</f>
        <v>3956.9131648663019</v>
      </c>
      <c r="BJ25" s="581">
        <f>Divisional!BJ70</f>
        <v>7647.8786487240768</v>
      </c>
      <c r="BK25" s="181">
        <f>Divisional!BK70</f>
        <v>4295.0854914857346</v>
      </c>
      <c r="BL25" s="244">
        <f>Divisional!BL70</f>
        <v>4609.0197401873738</v>
      </c>
      <c r="BM25" s="581">
        <f>Divisional!BM70</f>
        <v>8904.1052316731093</v>
      </c>
      <c r="BN25" s="32"/>
    </row>
    <row r="26" spans="1:66" ht="11.4">
      <c r="A26" s="147" t="s">
        <v>17</v>
      </c>
      <c r="B26" s="297">
        <f>B25/B5</f>
        <v>9.5327421555252381E-2</v>
      </c>
      <c r="C26" s="297">
        <f>C25/C5</f>
        <v>9.3868520859671303E-2</v>
      </c>
      <c r="D26" s="297">
        <f>D25/D5</f>
        <v>6.2543192812715961E-2</v>
      </c>
      <c r="E26" s="297">
        <f>E25/E5</f>
        <v>6.6430469441984052E-2</v>
      </c>
      <c r="F26" s="297">
        <f t="shared" ref="F26:BM26" si="115">F25/F5</f>
        <v>7.011938792668572E-2</v>
      </c>
      <c r="G26" s="297">
        <f t="shared" si="115"/>
        <v>0.10514091049860638</v>
      </c>
      <c r="H26" s="297">
        <f t="shared" si="115"/>
        <v>0.10172718618251055</v>
      </c>
      <c r="I26" s="297">
        <f t="shared" si="115"/>
        <v>0.10643469361647691</v>
      </c>
      <c r="J26" s="297">
        <f t="shared" si="115"/>
        <v>0.10047009948617033</v>
      </c>
      <c r="K26" s="297">
        <f t="shared" si="115"/>
        <v>9.7249703205381871E-2</v>
      </c>
      <c r="L26" s="297">
        <f t="shared" si="115"/>
        <v>9.2950487759985281E-2</v>
      </c>
      <c r="M26" s="297">
        <f t="shared" si="115"/>
        <v>0.10694333599361533</v>
      </c>
      <c r="N26" s="297">
        <f t="shared" si="115"/>
        <v>0.12245065115898109</v>
      </c>
      <c r="O26" s="297">
        <f t="shared" si="115"/>
        <v>0.1180909384069655</v>
      </c>
      <c r="P26" s="297">
        <f t="shared" si="115"/>
        <v>0.12124927870744374</v>
      </c>
      <c r="Q26" s="297">
        <f t="shared" si="115"/>
        <v>0.11172682342369328</v>
      </c>
      <c r="R26" s="297">
        <f t="shared" si="115"/>
        <v>2.5720332085300342E-2</v>
      </c>
      <c r="S26" s="633">
        <f t="shared" si="115"/>
        <v>9.9083769633507859E-2</v>
      </c>
      <c r="T26" s="656">
        <f t="shared" si="115"/>
        <v>6.6386127838641812E-2</v>
      </c>
      <c r="U26" s="297">
        <f t="shared" ref="U26:V26" si="116">U25/U5</f>
        <v>5.0254916241806266E-2</v>
      </c>
      <c r="V26" s="633">
        <f t="shared" si="116"/>
        <v>0.10091185410334347</v>
      </c>
      <c r="W26" s="656">
        <f t="shared" si="115"/>
        <v>7.7866136514247841E-2</v>
      </c>
      <c r="X26" s="297">
        <f t="shared" si="115"/>
        <v>-1.3904982618771726E-2</v>
      </c>
      <c r="Y26" s="633">
        <f t="shared" si="115"/>
        <v>5.1114023591087812E-2</v>
      </c>
      <c r="Z26" s="656">
        <f>Z25/Z5</f>
        <v>2.2383146807109941E-2</v>
      </c>
      <c r="AA26" s="297">
        <f t="shared" ref="AA26:AB26" si="117">AA25/AA5</f>
        <v>2.002840909090909E-2</v>
      </c>
      <c r="AB26" s="633">
        <f t="shared" si="117"/>
        <v>5.917528341846269E-2</v>
      </c>
      <c r="AC26" s="656">
        <f>AC25/AC5</f>
        <v>4.0884051237804475E-2</v>
      </c>
      <c r="AD26" s="297">
        <f t="shared" ref="AD26:AE26" si="118">AD25/AD5</f>
        <v>2.7607779137766898E-2</v>
      </c>
      <c r="AE26" s="633">
        <f t="shared" si="118"/>
        <v>7.4719031740150668E-2</v>
      </c>
      <c r="AF26" s="656">
        <f t="shared" si="115"/>
        <v>5.2297734627831716E-2</v>
      </c>
      <c r="AG26" s="297">
        <f t="shared" ref="AG26:AH26" si="119">AG25/AG5</f>
        <v>-0.2931127495054846</v>
      </c>
      <c r="AH26" s="633">
        <f t="shared" si="119"/>
        <v>-6.4406202078718694E-2</v>
      </c>
      <c r="AI26" s="656">
        <f t="shared" si="115"/>
        <v>-0.17567804024496939</v>
      </c>
      <c r="AJ26" s="297">
        <f t="shared" si="115"/>
        <v>5.8733499139085515E-2</v>
      </c>
      <c r="AK26" s="633">
        <f t="shared" si="115"/>
        <v>1.8706293706293706E-2</v>
      </c>
      <c r="AL26" s="656">
        <f>AL25/AL5</f>
        <v>3.7818580432995338E-2</v>
      </c>
      <c r="AM26" s="297">
        <f t="shared" ref="AM26:AN26" si="120">AM25/AM5</f>
        <v>2.3549359457422758E-2</v>
      </c>
      <c r="AN26" s="633">
        <f t="shared" si="120"/>
        <v>7.138019775159149E-2</v>
      </c>
      <c r="AO26" s="656">
        <f t="shared" si="115"/>
        <v>5.1374990150500358E-2</v>
      </c>
      <c r="AP26" s="297">
        <f t="shared" ref="AP26:AR26" si="121">AP25/AP5</f>
        <v>9.6834532374100724E-2</v>
      </c>
      <c r="AQ26" s="633">
        <f t="shared" si="121"/>
        <v>0.10840524884738149</v>
      </c>
      <c r="AR26" s="656">
        <f t="shared" si="121"/>
        <v>0.10318644947757803</v>
      </c>
      <c r="AS26" s="297">
        <f t="shared" ref="AS26:AU26" si="122">AS25/AS5</f>
        <v>0.14043021266194083</v>
      </c>
      <c r="AT26" s="633">
        <f t="shared" si="122"/>
        <v>0.13604386509414443</v>
      </c>
      <c r="AU26" s="656">
        <f t="shared" si="122"/>
        <v>0.13805468399820708</v>
      </c>
      <c r="AV26" s="297">
        <f t="shared" ref="AV26:AW26" si="123">AV25/AV5</f>
        <v>0.19134371204593131</v>
      </c>
      <c r="AW26" s="1102">
        <f t="shared" si="123"/>
        <v>0.15715324486457008</v>
      </c>
      <c r="AX26" s="656">
        <f t="shared" ref="AX26:AY26" si="124">AX25/AX5</f>
        <v>0.1725908569719328</v>
      </c>
      <c r="AY26" s="297">
        <f t="shared" si="124"/>
        <v>0.22466530720808583</v>
      </c>
      <c r="AZ26" s="589">
        <f t="shared" ref="AZ26" si="125">AZ25/AZ5</f>
        <v>0.19459264581400265</v>
      </c>
      <c r="BA26" s="607">
        <f t="shared" si="115"/>
        <v>0.20895656488307368</v>
      </c>
      <c r="BB26" s="326">
        <f t="shared" si="115"/>
        <v>0.21333393093301956</v>
      </c>
      <c r="BC26" s="589">
        <f t="shared" ref="BC26" si="126">BC25/BC5</f>
        <v>0.20937881132497546</v>
      </c>
      <c r="BD26" s="607">
        <f t="shared" si="115"/>
        <v>0.21129339780380746</v>
      </c>
      <c r="BE26" s="326">
        <f t="shared" si="115"/>
        <v>0.22275005107136198</v>
      </c>
      <c r="BF26" s="589">
        <f t="shared" ref="BF26" si="127">BF25/BF5</f>
        <v>0.21931600863442449</v>
      </c>
      <c r="BG26" s="607">
        <f t="shared" si="115"/>
        <v>0.22096243408728328</v>
      </c>
      <c r="BH26" s="326">
        <f t="shared" si="115"/>
        <v>0.23257380590708432</v>
      </c>
      <c r="BI26" s="589">
        <f t="shared" ref="BI26" si="128">BI25/BI5</f>
        <v>0.22969903261773678</v>
      </c>
      <c r="BJ26" s="607">
        <f t="shared" si="115"/>
        <v>0.2310775094610695</v>
      </c>
      <c r="BK26" s="326">
        <f t="shared" si="115"/>
        <v>0.24140297907009117</v>
      </c>
      <c r="BL26" s="589">
        <f t="shared" ref="BL26" si="129">BL25/BL5</f>
        <v>0.23909044540499083</v>
      </c>
      <c r="BM26" s="607">
        <f t="shared" si="115"/>
        <v>0.24020038839443558</v>
      </c>
      <c r="BN26" s="38" t="s">
        <v>397</v>
      </c>
    </row>
    <row r="27" spans="1:66">
      <c r="A27" s="25" t="s">
        <v>18</v>
      </c>
      <c r="B27" s="40">
        <v>27</v>
      </c>
      <c r="C27" s="40">
        <v>24</v>
      </c>
      <c r="D27" s="40">
        <v>22</v>
      </c>
      <c r="E27" s="40">
        <v>26</v>
      </c>
      <c r="F27" s="40">
        <v>372</v>
      </c>
      <c r="G27" s="40">
        <v>472</v>
      </c>
      <c r="H27" s="40">
        <v>1196</v>
      </c>
      <c r="I27" s="40">
        <v>762</v>
      </c>
      <c r="J27" s="40">
        <v>432</v>
      </c>
      <c r="K27" s="40">
        <v>2276</v>
      </c>
      <c r="L27" s="40">
        <v>453</v>
      </c>
      <c r="M27" s="40">
        <v>456</v>
      </c>
      <c r="N27" s="40">
        <v>797</v>
      </c>
      <c r="O27" s="40">
        <v>327</v>
      </c>
      <c r="P27" s="40">
        <v>121</v>
      </c>
      <c r="Q27" s="40">
        <v>115</v>
      </c>
      <c r="R27" s="40">
        <v>36</v>
      </c>
      <c r="S27" s="630">
        <f>T27-R27</f>
        <v>60</v>
      </c>
      <c r="T27" s="653">
        <v>96</v>
      </c>
      <c r="U27" s="40">
        <v>1570</v>
      </c>
      <c r="V27" s="630">
        <f>W27-U27</f>
        <v>1403</v>
      </c>
      <c r="W27" s="653">
        <v>2973</v>
      </c>
      <c r="X27" s="40">
        <v>1648</v>
      </c>
      <c r="Y27" s="630">
        <f>Z27-X27</f>
        <v>1263</v>
      </c>
      <c r="Z27" s="653">
        <v>2911</v>
      </c>
      <c r="AA27" s="40">
        <v>106</v>
      </c>
      <c r="AB27" s="630">
        <f>AC27-AA27</f>
        <v>165</v>
      </c>
      <c r="AC27" s="653">
        <v>271</v>
      </c>
      <c r="AD27" s="40">
        <v>73</v>
      </c>
      <c r="AE27" s="630">
        <f>AF27-AD27</f>
        <v>179</v>
      </c>
      <c r="AF27" s="653">
        <v>252</v>
      </c>
      <c r="AG27" s="40">
        <v>23</v>
      </c>
      <c r="AH27" s="630">
        <f>AI27-AG27</f>
        <v>38</v>
      </c>
      <c r="AI27" s="653">
        <v>61</v>
      </c>
      <c r="AJ27" s="40">
        <v>280</v>
      </c>
      <c r="AK27" s="630">
        <f>AL27-AJ27</f>
        <v>-51</v>
      </c>
      <c r="AL27" s="653">
        <v>229</v>
      </c>
      <c r="AM27" s="40">
        <v>215</v>
      </c>
      <c r="AN27" s="630">
        <f>AO27-AM27</f>
        <v>140</v>
      </c>
      <c r="AO27" s="653">
        <v>355</v>
      </c>
      <c r="AP27" s="40">
        <v>934</v>
      </c>
      <c r="AQ27" s="630">
        <f>AR27-AP27</f>
        <v>229</v>
      </c>
      <c r="AR27" s="653">
        <v>1163</v>
      </c>
      <c r="AS27" s="40">
        <v>306</v>
      </c>
      <c r="AT27" s="630">
        <f>AU27-AS27</f>
        <v>230</v>
      </c>
      <c r="AU27" s="653">
        <v>536</v>
      </c>
      <c r="AV27" s="40">
        <v>2342</v>
      </c>
      <c r="AW27" s="539">
        <f>AX27-AV27</f>
        <v>-205</v>
      </c>
      <c r="AX27" s="653">
        <v>2137</v>
      </c>
      <c r="AY27" s="40">
        <v>197</v>
      </c>
      <c r="AZ27" s="236">
        <f>BS!AZ187</f>
        <v>147.20000000000005</v>
      </c>
      <c r="BA27" s="605">
        <f>BS!BA187</f>
        <v>344.20000000000005</v>
      </c>
      <c r="BB27" s="56">
        <f>BS!BB187</f>
        <v>185.55047454234028</v>
      </c>
      <c r="BC27" s="236">
        <f>BS!BC187</f>
        <v>185.55047454234028</v>
      </c>
      <c r="BD27" s="605">
        <f>BS!BD187</f>
        <v>371.10094908468056</v>
      </c>
      <c r="BE27" s="56">
        <f>BS!BE187</f>
        <v>207.75783466540895</v>
      </c>
      <c r="BF27" s="236">
        <f>BS!BF187</f>
        <v>207.75783466540895</v>
      </c>
      <c r="BG27" s="605">
        <f>BS!BG187</f>
        <v>415.5156693308179</v>
      </c>
      <c r="BH27" s="56">
        <f>BS!BH187</f>
        <v>253.40688837383956</v>
      </c>
      <c r="BI27" s="236">
        <f>BS!BI187</f>
        <v>253.40688837383956</v>
      </c>
      <c r="BJ27" s="605">
        <f>BS!BJ187</f>
        <v>506.81377674767913</v>
      </c>
      <c r="BK27" s="56">
        <f>BS!BK187</f>
        <v>380.55856024334878</v>
      </c>
      <c r="BL27" s="236">
        <f>BS!BL187</f>
        <v>380.55856024334878</v>
      </c>
      <c r="BM27" s="605">
        <f>BS!BM187</f>
        <v>761.11712048669756</v>
      </c>
    </row>
    <row r="28" spans="1:66">
      <c r="A28" s="25" t="s">
        <v>19</v>
      </c>
      <c r="B28" s="40">
        <v>-112</v>
      </c>
      <c r="C28" s="40">
        <v>-101</v>
      </c>
      <c r="D28" s="40">
        <v>-94</v>
      </c>
      <c r="E28" s="40">
        <v>-92</v>
      </c>
      <c r="F28" s="40">
        <v>-425</v>
      </c>
      <c r="G28" s="40">
        <v>-872</v>
      </c>
      <c r="H28" s="40">
        <v>-498</v>
      </c>
      <c r="I28" s="40">
        <v>-496</v>
      </c>
      <c r="J28" s="40">
        <v>-3186</v>
      </c>
      <c r="K28" s="40">
        <v>-491</v>
      </c>
      <c r="L28" s="40">
        <v>-885</v>
      </c>
      <c r="M28" s="40">
        <v>-540</v>
      </c>
      <c r="N28" s="40">
        <v>-108</v>
      </c>
      <c r="O28" s="40">
        <v>-441</v>
      </c>
      <c r="P28" s="40">
        <v>-1452</v>
      </c>
      <c r="Q28" s="40">
        <v>-1456</v>
      </c>
      <c r="R28" s="40">
        <v>-2422</v>
      </c>
      <c r="S28" s="630">
        <f>T28-R28</f>
        <v>-2351</v>
      </c>
      <c r="T28" s="653">
        <v>-4773</v>
      </c>
      <c r="U28" s="40">
        <v>-100</v>
      </c>
      <c r="V28" s="630">
        <f>W28-U28</f>
        <v>-61</v>
      </c>
      <c r="W28" s="653">
        <v>-161</v>
      </c>
      <c r="X28" s="40">
        <v>-101</v>
      </c>
      <c r="Y28" s="630">
        <f>Z28-X28</f>
        <v>-63</v>
      </c>
      <c r="Z28" s="653">
        <v>-164</v>
      </c>
      <c r="AA28" s="40">
        <v>-951</v>
      </c>
      <c r="AB28" s="630">
        <f>AC28-AA28</f>
        <v>-1464</v>
      </c>
      <c r="AC28" s="653">
        <v>-2415</v>
      </c>
      <c r="AD28" s="40">
        <v>-1065</v>
      </c>
      <c r="AE28" s="630">
        <f>AF28-AD28</f>
        <v>635</v>
      </c>
      <c r="AF28" s="653">
        <v>-430</v>
      </c>
      <c r="AG28" s="40">
        <v>-3621</v>
      </c>
      <c r="AH28" s="630">
        <f>AI28-AG28</f>
        <v>2747</v>
      </c>
      <c r="AI28" s="653">
        <v>-874</v>
      </c>
      <c r="AJ28" s="40">
        <v>-197</v>
      </c>
      <c r="AK28" s="630">
        <f>AL28-AJ28</f>
        <v>-895</v>
      </c>
      <c r="AL28" s="653">
        <v>-1092</v>
      </c>
      <c r="AM28" s="40">
        <v>-2269</v>
      </c>
      <c r="AN28" s="630">
        <f>AO28-AM28</f>
        <v>-506</v>
      </c>
      <c r="AO28" s="653">
        <v>-2775</v>
      </c>
      <c r="AP28" s="40">
        <v>-313</v>
      </c>
      <c r="AQ28" s="630">
        <f>AR28-AP28</f>
        <v>-368</v>
      </c>
      <c r="AR28" s="653">
        <v>-681</v>
      </c>
      <c r="AS28" s="40">
        <v>-536</v>
      </c>
      <c r="AT28" s="630">
        <f>AU28-AS28</f>
        <v>-688</v>
      </c>
      <c r="AU28" s="653">
        <v>-1224</v>
      </c>
      <c r="AV28" s="40">
        <v>-254</v>
      </c>
      <c r="AW28" s="539">
        <f>AX28-AV28</f>
        <v>-225</v>
      </c>
      <c r="AX28" s="653">
        <v>-479</v>
      </c>
      <c r="AY28" s="40">
        <v>-684</v>
      </c>
      <c r="AZ28" s="236">
        <f>BS!AZ203</f>
        <v>248.59249999999997</v>
      </c>
      <c r="BA28" s="605">
        <f>BS!BA203</f>
        <v>-435.40750000000003</v>
      </c>
      <c r="BB28" s="56">
        <f>BS!BB203</f>
        <v>-214.5675</v>
      </c>
      <c r="BC28" s="236">
        <f>BS!BC203</f>
        <v>-214.5675</v>
      </c>
      <c r="BD28" s="605">
        <f>BS!BD203</f>
        <v>-429.13499999999999</v>
      </c>
      <c r="BE28" s="56">
        <f>BS!BE203</f>
        <v>-214.5675</v>
      </c>
      <c r="BF28" s="236">
        <f>BS!BF203</f>
        <v>-214.5675</v>
      </c>
      <c r="BG28" s="605">
        <f>BS!BG203</f>
        <v>-429.13499999999999</v>
      </c>
      <c r="BH28" s="56">
        <f>BS!BH203</f>
        <v>-214.5675</v>
      </c>
      <c r="BI28" s="236">
        <f>BS!BI203</f>
        <v>-214.5675</v>
      </c>
      <c r="BJ28" s="605">
        <f>BS!BJ203</f>
        <v>-429.13499999999999</v>
      </c>
      <c r="BK28" s="56">
        <f>BS!BK203</f>
        <v>-214.5675</v>
      </c>
      <c r="BL28" s="236">
        <f>BS!BL203</f>
        <v>-214.5675</v>
      </c>
      <c r="BM28" s="605">
        <f>BS!BM203</f>
        <v>-429.13499999999999</v>
      </c>
    </row>
    <row r="29" spans="1:66">
      <c r="A29" s="25" t="s">
        <v>226</v>
      </c>
      <c r="B29" s="40">
        <v>-38</v>
      </c>
      <c r="C29" s="40">
        <v>-42</v>
      </c>
      <c r="D29" s="40">
        <v>-35</v>
      </c>
      <c r="E29" s="40">
        <v>-24</v>
      </c>
      <c r="F29" s="40">
        <v>0</v>
      </c>
      <c r="G29" s="40">
        <v>0</v>
      </c>
      <c r="H29" s="40">
        <v>0</v>
      </c>
      <c r="I29" s="40">
        <v>0</v>
      </c>
      <c r="J29" s="40">
        <v>0</v>
      </c>
      <c r="K29" s="40">
        <v>0</v>
      </c>
      <c r="L29" s="40">
        <v>0</v>
      </c>
      <c r="M29" s="40">
        <v>0</v>
      </c>
      <c r="N29" s="40">
        <v>0</v>
      </c>
      <c r="O29" s="40">
        <v>0</v>
      </c>
      <c r="P29" s="40">
        <v>0</v>
      </c>
      <c r="Q29" s="40">
        <v>0</v>
      </c>
      <c r="R29" s="40">
        <v>0</v>
      </c>
      <c r="S29" s="630">
        <f>T29-R29</f>
        <v>0</v>
      </c>
      <c r="T29" s="653">
        <v>0</v>
      </c>
      <c r="U29" s="40">
        <v>0</v>
      </c>
      <c r="V29" s="630">
        <f>W29-U29</f>
        <v>0</v>
      </c>
      <c r="W29" s="653">
        <v>0</v>
      </c>
      <c r="X29" s="40">
        <v>0</v>
      </c>
      <c r="Y29" s="630">
        <f>Z29-X29</f>
        <v>0</v>
      </c>
      <c r="Z29" s="653">
        <v>0</v>
      </c>
      <c r="AA29" s="40">
        <v>0</v>
      </c>
      <c r="AB29" s="630">
        <f>AC29-AA29</f>
        <v>0</v>
      </c>
      <c r="AC29" s="653">
        <v>0</v>
      </c>
      <c r="AD29" s="40">
        <v>0</v>
      </c>
      <c r="AE29" s="630">
        <f>AF29-AD29</f>
        <v>0</v>
      </c>
      <c r="AF29" s="653">
        <v>0</v>
      </c>
      <c r="AG29" s="40">
        <v>0</v>
      </c>
      <c r="AH29" s="630">
        <f>AI29-AG29</f>
        <v>0</v>
      </c>
      <c r="AI29" s="653">
        <v>0</v>
      </c>
      <c r="AJ29" s="40">
        <v>0</v>
      </c>
      <c r="AK29" s="630">
        <f>AL29-AJ29</f>
        <v>0</v>
      </c>
      <c r="AL29" s="653">
        <v>0</v>
      </c>
      <c r="AM29" s="40">
        <v>0</v>
      </c>
      <c r="AN29" s="630">
        <f>AO29-AM29</f>
        <v>0</v>
      </c>
      <c r="AO29" s="653">
        <v>0</v>
      </c>
      <c r="AP29" s="40">
        <v>0</v>
      </c>
      <c r="AQ29" s="630">
        <f>AR29-AP29</f>
        <v>0</v>
      </c>
      <c r="AR29" s="653">
        <v>0</v>
      </c>
      <c r="AS29" s="40">
        <v>0</v>
      </c>
      <c r="AT29" s="630">
        <f>AU29-AS29</f>
        <v>0</v>
      </c>
      <c r="AU29" s="653">
        <v>0</v>
      </c>
      <c r="AV29" s="40">
        <v>0</v>
      </c>
      <c r="AW29" s="539">
        <f>AX29-AV29</f>
        <v>0</v>
      </c>
      <c r="AX29" s="653">
        <v>0</v>
      </c>
      <c r="AY29" s="40">
        <v>0</v>
      </c>
      <c r="AZ29" s="236">
        <f>BA29-AY29</f>
        <v>0</v>
      </c>
      <c r="BA29" s="580">
        <v>0</v>
      </c>
      <c r="BB29" s="56">
        <f>BD29/2</f>
        <v>0</v>
      </c>
      <c r="BC29" s="236">
        <f>BD29-BB29</f>
        <v>0</v>
      </c>
      <c r="BD29" s="580">
        <v>0</v>
      </c>
      <c r="BE29" s="56">
        <f>BG29/2</f>
        <v>0</v>
      </c>
      <c r="BF29" s="236">
        <f>BG29-BE29</f>
        <v>0</v>
      </c>
      <c r="BG29" s="580">
        <v>0</v>
      </c>
      <c r="BH29" s="56">
        <f>BJ29/2</f>
        <v>0</v>
      </c>
      <c r="BI29" s="236">
        <f>BJ29-BH29</f>
        <v>0</v>
      </c>
      <c r="BJ29" s="580">
        <v>0</v>
      </c>
      <c r="BK29" s="56">
        <f>BM29/2</f>
        <v>0</v>
      </c>
      <c r="BL29" s="236">
        <f>BM29-BK29</f>
        <v>0</v>
      </c>
      <c r="BM29" s="580">
        <v>0</v>
      </c>
    </row>
    <row r="30" spans="1:66">
      <c r="A30" s="25" t="s">
        <v>20</v>
      </c>
      <c r="B30" s="40">
        <f>B27+B28+B29</f>
        <v>-123</v>
      </c>
      <c r="C30" s="40">
        <f>C27+C28+C29</f>
        <v>-119</v>
      </c>
      <c r="D30" s="40">
        <f>D27+D28+D29</f>
        <v>-107</v>
      </c>
      <c r="E30" s="40">
        <f>E27+E28+E29</f>
        <v>-90</v>
      </c>
      <c r="F30" s="40">
        <f t="shared" ref="F30:BM30" si="130">F27+F28</f>
        <v>-53</v>
      </c>
      <c r="G30" s="40">
        <f t="shared" si="130"/>
        <v>-400</v>
      </c>
      <c r="H30" s="40">
        <f t="shared" si="130"/>
        <v>698</v>
      </c>
      <c r="I30" s="40">
        <f t="shared" si="130"/>
        <v>266</v>
      </c>
      <c r="J30" s="40">
        <f t="shared" si="130"/>
        <v>-2754</v>
      </c>
      <c r="K30" s="40">
        <f t="shared" si="130"/>
        <v>1785</v>
      </c>
      <c r="L30" s="40">
        <f t="shared" si="130"/>
        <v>-432</v>
      </c>
      <c r="M30" s="40">
        <f t="shared" si="130"/>
        <v>-84</v>
      </c>
      <c r="N30" s="40">
        <f t="shared" si="130"/>
        <v>689</v>
      </c>
      <c r="O30" s="40">
        <f t="shared" si="130"/>
        <v>-114</v>
      </c>
      <c r="P30" s="40">
        <f t="shared" si="130"/>
        <v>-1331</v>
      </c>
      <c r="Q30" s="40">
        <f t="shared" si="130"/>
        <v>-1341</v>
      </c>
      <c r="R30" s="40">
        <f t="shared" ref="R30:S30" si="131">R27+R28</f>
        <v>-2386</v>
      </c>
      <c r="S30" s="630">
        <f t="shared" si="131"/>
        <v>-2291</v>
      </c>
      <c r="T30" s="653">
        <f t="shared" si="130"/>
        <v>-4677</v>
      </c>
      <c r="U30" s="40">
        <f t="shared" si="130"/>
        <v>1470</v>
      </c>
      <c r="V30" s="630">
        <f t="shared" si="130"/>
        <v>1342</v>
      </c>
      <c r="W30" s="653">
        <f t="shared" ref="W30:AN30" si="132">W27+W28</f>
        <v>2812</v>
      </c>
      <c r="X30" s="40">
        <f t="shared" ref="X30:Y30" si="133">X27+X28</f>
        <v>1547</v>
      </c>
      <c r="Y30" s="630">
        <f t="shared" si="133"/>
        <v>1200</v>
      </c>
      <c r="Z30" s="653">
        <f t="shared" si="132"/>
        <v>2747</v>
      </c>
      <c r="AA30" s="40">
        <f t="shared" si="132"/>
        <v>-845</v>
      </c>
      <c r="AB30" s="630">
        <f t="shared" si="132"/>
        <v>-1299</v>
      </c>
      <c r="AC30" s="653">
        <f t="shared" si="132"/>
        <v>-2144</v>
      </c>
      <c r="AD30" s="40">
        <f t="shared" ref="AD30:AE30" si="134">AD27+AD28</f>
        <v>-992</v>
      </c>
      <c r="AE30" s="630">
        <f t="shared" si="134"/>
        <v>814</v>
      </c>
      <c r="AF30" s="653">
        <f t="shared" si="132"/>
        <v>-178</v>
      </c>
      <c r="AG30" s="40">
        <f t="shared" si="132"/>
        <v>-3598</v>
      </c>
      <c r="AH30" s="630">
        <f t="shared" si="132"/>
        <v>2785</v>
      </c>
      <c r="AI30" s="653">
        <f t="shared" si="132"/>
        <v>-813</v>
      </c>
      <c r="AJ30" s="40">
        <f t="shared" ref="AJ30:AK30" si="135">AJ27+AJ28</f>
        <v>83</v>
      </c>
      <c r="AK30" s="630">
        <f t="shared" si="135"/>
        <v>-946</v>
      </c>
      <c r="AL30" s="653">
        <f t="shared" si="132"/>
        <v>-863</v>
      </c>
      <c r="AM30" s="40">
        <f t="shared" si="132"/>
        <v>-2054</v>
      </c>
      <c r="AN30" s="630">
        <f t="shared" si="132"/>
        <v>-366</v>
      </c>
      <c r="AO30" s="653">
        <f t="shared" si="130"/>
        <v>-2420</v>
      </c>
      <c r="AP30" s="40">
        <f t="shared" ref="AP30:AR30" si="136">AP27+AP28</f>
        <v>621</v>
      </c>
      <c r="AQ30" s="630">
        <f t="shared" si="136"/>
        <v>-139</v>
      </c>
      <c r="AR30" s="653">
        <f t="shared" si="136"/>
        <v>482</v>
      </c>
      <c r="AS30" s="40">
        <f t="shared" ref="AS30:AU30" si="137">AS27+AS28</f>
        <v>-230</v>
      </c>
      <c r="AT30" s="630">
        <f t="shared" si="137"/>
        <v>-458</v>
      </c>
      <c r="AU30" s="653">
        <f t="shared" si="137"/>
        <v>-688</v>
      </c>
      <c r="AV30" s="40">
        <f t="shared" ref="AV30:AW30" si="138">AV27+AV28</f>
        <v>2088</v>
      </c>
      <c r="AW30" s="539">
        <f t="shared" si="138"/>
        <v>-430</v>
      </c>
      <c r="AX30" s="653">
        <f t="shared" ref="AX30:AY30" si="139">AX27+AX28</f>
        <v>1658</v>
      </c>
      <c r="AY30" s="40">
        <f t="shared" si="139"/>
        <v>-487</v>
      </c>
      <c r="AZ30" s="236">
        <f t="shared" ref="AZ30" si="140">AZ27+AZ28</f>
        <v>395.79250000000002</v>
      </c>
      <c r="BA30" s="605">
        <f t="shared" si="130"/>
        <v>-91.207499999999982</v>
      </c>
      <c r="BB30" s="56">
        <f t="shared" si="130"/>
        <v>-29.017025457659713</v>
      </c>
      <c r="BC30" s="236">
        <f t="shared" ref="BC30" si="141">BC27+BC28</f>
        <v>-29.017025457659713</v>
      </c>
      <c r="BD30" s="605">
        <f t="shared" si="130"/>
        <v>-58.034050915319426</v>
      </c>
      <c r="BE30" s="56">
        <f t="shared" si="130"/>
        <v>-6.8096653345910454</v>
      </c>
      <c r="BF30" s="236">
        <f t="shared" ref="BF30" si="142">BF27+BF28</f>
        <v>-6.8096653345910454</v>
      </c>
      <c r="BG30" s="605">
        <f t="shared" si="130"/>
        <v>-13.619330669182091</v>
      </c>
      <c r="BH30" s="56">
        <f t="shared" si="130"/>
        <v>38.839388373839569</v>
      </c>
      <c r="BI30" s="236">
        <f t="shared" ref="BI30" si="143">BI27+BI28</f>
        <v>38.839388373839569</v>
      </c>
      <c r="BJ30" s="605">
        <f t="shared" si="130"/>
        <v>77.678776747679137</v>
      </c>
      <c r="BK30" s="56">
        <f t="shared" si="130"/>
        <v>165.99106024334878</v>
      </c>
      <c r="BL30" s="236">
        <f t="shared" ref="BL30" si="144">BL27+BL28</f>
        <v>165.99106024334878</v>
      </c>
      <c r="BM30" s="605">
        <f t="shared" si="130"/>
        <v>331.98212048669757</v>
      </c>
    </row>
    <row r="31" spans="1:66">
      <c r="A31" s="25" t="s">
        <v>31</v>
      </c>
      <c r="B31" s="40">
        <f t="shared" ref="B31:AC31" si="145">B30-B109</f>
        <v>-123</v>
      </c>
      <c r="C31" s="40">
        <f t="shared" si="145"/>
        <v>-119</v>
      </c>
      <c r="D31" s="40">
        <f t="shared" si="145"/>
        <v>-107</v>
      </c>
      <c r="E31" s="40">
        <f t="shared" si="145"/>
        <v>-90</v>
      </c>
      <c r="F31" s="40">
        <f t="shared" si="145"/>
        <v>-53</v>
      </c>
      <c r="G31" s="40">
        <f t="shared" si="145"/>
        <v>-86</v>
      </c>
      <c r="H31" s="40">
        <f t="shared" si="145"/>
        <v>-43</v>
      </c>
      <c r="I31" s="40">
        <f t="shared" si="145"/>
        <v>13</v>
      </c>
      <c r="J31" s="40">
        <f t="shared" si="145"/>
        <v>-39</v>
      </c>
      <c r="K31" s="40">
        <f t="shared" si="145"/>
        <v>-68</v>
      </c>
      <c r="L31" s="40">
        <f t="shared" si="145"/>
        <v>-55</v>
      </c>
      <c r="M31" s="40">
        <f t="shared" si="145"/>
        <v>-49</v>
      </c>
      <c r="N31" s="40">
        <f t="shared" si="145"/>
        <v>-61</v>
      </c>
      <c r="O31" s="40">
        <f t="shared" si="145"/>
        <v>-72</v>
      </c>
      <c r="P31" s="40">
        <f t="shared" si="145"/>
        <v>-61</v>
      </c>
      <c r="Q31" s="40">
        <f t="shared" si="145"/>
        <v>-60</v>
      </c>
      <c r="R31" s="40">
        <f>R30-R109</f>
        <v>-54</v>
      </c>
      <c r="S31" s="630">
        <f>T31-R31</f>
        <v>-48</v>
      </c>
      <c r="T31" s="653">
        <f t="shared" si="145"/>
        <v>-102</v>
      </c>
      <c r="U31" s="40">
        <f>U30-U109</f>
        <v>-58</v>
      </c>
      <c r="V31" s="630">
        <f>W31-U31</f>
        <v>-46</v>
      </c>
      <c r="W31" s="653">
        <f t="shared" si="145"/>
        <v>-104</v>
      </c>
      <c r="X31" s="40">
        <f>X30-X109</f>
        <v>-59</v>
      </c>
      <c r="Y31" s="630">
        <f>Z31-X31</f>
        <v>-48</v>
      </c>
      <c r="Z31" s="653">
        <f t="shared" si="145"/>
        <v>-107</v>
      </c>
      <c r="AA31" s="40">
        <f>AA30-AA109</f>
        <v>-68</v>
      </c>
      <c r="AB31" s="630">
        <f>AC31-AA31</f>
        <v>-82</v>
      </c>
      <c r="AC31" s="653">
        <f t="shared" si="145"/>
        <v>-150</v>
      </c>
      <c r="AD31" s="40">
        <f>AD30-AD109</f>
        <v>-110</v>
      </c>
      <c r="AE31" s="630">
        <f>AF31-AD31</f>
        <v>-115</v>
      </c>
      <c r="AF31" s="653">
        <f>AF30-AF109</f>
        <v>-225</v>
      </c>
      <c r="AG31" s="40">
        <f>AG30-AG109</f>
        <v>-1573</v>
      </c>
      <c r="AH31" s="630">
        <f>AI31-AG31</f>
        <v>-412</v>
      </c>
      <c r="AI31" s="653">
        <f>AI30-AI109</f>
        <v>-1985</v>
      </c>
      <c r="AJ31" s="40">
        <f>AJ30-AJ109</f>
        <v>-174</v>
      </c>
      <c r="AK31" s="630">
        <f>AL31-AJ31</f>
        <v>-204</v>
      </c>
      <c r="AL31" s="653">
        <f>AL30-AL109</f>
        <v>-378</v>
      </c>
      <c r="AM31" s="40">
        <f>AM30-AM109</f>
        <v>-236</v>
      </c>
      <c r="AN31" s="630">
        <f>AO31-AM31</f>
        <v>-210</v>
      </c>
      <c r="AO31" s="653">
        <f>AO30-AO109</f>
        <v>-446</v>
      </c>
      <c r="AP31" s="40">
        <f>AP30-AP109</f>
        <v>-149</v>
      </c>
      <c r="AQ31" s="630">
        <f>AR31-AP31</f>
        <v>-179</v>
      </c>
      <c r="AR31" s="653">
        <f>AR30-AR109</f>
        <v>-328</v>
      </c>
      <c r="AS31" s="40">
        <f>AS30-AS109</f>
        <v>-114</v>
      </c>
      <c r="AT31" s="630">
        <f>AU31-AS31</f>
        <v>-57</v>
      </c>
      <c r="AU31" s="653">
        <f>AU30-AU109</f>
        <v>-171</v>
      </c>
      <c r="AV31" s="40">
        <f>AV30-AV109</f>
        <v>-44</v>
      </c>
      <c r="AW31" s="539">
        <f>AX31-AV31</f>
        <v>-66</v>
      </c>
      <c r="AX31" s="653">
        <f>AX30-AX109</f>
        <v>-110</v>
      </c>
      <c r="AY31" s="40">
        <f>AY30-AY109</f>
        <v>-39</v>
      </c>
      <c r="AZ31" s="236">
        <f>BS!AZ211</f>
        <v>-44.207499999999982</v>
      </c>
      <c r="BA31" s="605">
        <f>BS!BA211</f>
        <v>-83.207499999999982</v>
      </c>
      <c r="BB31" s="56">
        <f>BS!BB211</f>
        <v>-25.017025457659713</v>
      </c>
      <c r="BC31" s="236">
        <f>BS!BC211</f>
        <v>-25.017025457659713</v>
      </c>
      <c r="BD31" s="605">
        <f>BS!BD211</f>
        <v>-50.034050915319426</v>
      </c>
      <c r="BE31" s="56">
        <f>BS!BE211</f>
        <v>-2.8096653345910454</v>
      </c>
      <c r="BF31" s="236">
        <f>BS!BF211</f>
        <v>-2.8096653345910454</v>
      </c>
      <c r="BG31" s="605">
        <f>BS!BG211</f>
        <v>-5.6193306691820908</v>
      </c>
      <c r="BH31" s="56">
        <f>BS!BH211</f>
        <v>42.839388373839569</v>
      </c>
      <c r="BI31" s="236">
        <f>BS!BI211</f>
        <v>42.839388373839569</v>
      </c>
      <c r="BJ31" s="605">
        <f>BS!BJ211</f>
        <v>85.678776747679137</v>
      </c>
      <c r="BK31" s="56">
        <f>BS!BK211</f>
        <v>169.99106024334878</v>
      </c>
      <c r="BL31" s="236">
        <f>BS!BL211</f>
        <v>169.99106024334878</v>
      </c>
      <c r="BM31" s="605">
        <f>BS!BM211</f>
        <v>339.98212048669757</v>
      </c>
    </row>
    <row r="32" spans="1:66">
      <c r="A32" s="31" t="s">
        <v>21</v>
      </c>
      <c r="B32" s="51">
        <f t="shared" ref="B32:BM32" si="146">B23+B30</f>
        <v>166</v>
      </c>
      <c r="C32" s="51">
        <f t="shared" si="146"/>
        <v>192</v>
      </c>
      <c r="D32" s="51">
        <f t="shared" si="146"/>
        <v>105</v>
      </c>
      <c r="E32" s="51">
        <f t="shared" si="146"/>
        <v>180</v>
      </c>
      <c r="F32" s="51">
        <f t="shared" si="146"/>
        <v>364</v>
      </c>
      <c r="G32" s="51">
        <f t="shared" si="146"/>
        <v>477</v>
      </c>
      <c r="H32" s="51">
        <f t="shared" si="146"/>
        <v>1391</v>
      </c>
      <c r="I32" s="51">
        <f t="shared" si="146"/>
        <v>778</v>
      </c>
      <c r="J32" s="51">
        <f t="shared" si="146"/>
        <v>-1892</v>
      </c>
      <c r="K32" s="51">
        <f t="shared" si="146"/>
        <v>2957</v>
      </c>
      <c r="L32" s="51">
        <f t="shared" si="146"/>
        <v>702</v>
      </c>
      <c r="M32" s="51">
        <f t="shared" si="146"/>
        <v>1105</v>
      </c>
      <c r="N32" s="51">
        <f t="shared" si="146"/>
        <v>2766</v>
      </c>
      <c r="O32" s="51">
        <f t="shared" si="146"/>
        <v>1700</v>
      </c>
      <c r="P32" s="51">
        <f t="shared" si="146"/>
        <v>67</v>
      </c>
      <c r="Q32" s="51">
        <f t="shared" si="146"/>
        <v>160</v>
      </c>
      <c r="R32" s="51">
        <f t="shared" si="146"/>
        <v>-2150</v>
      </c>
      <c r="S32" s="629">
        <f t="shared" si="146"/>
        <v>-2486</v>
      </c>
      <c r="T32" s="652">
        <f t="shared" si="146"/>
        <v>-4636</v>
      </c>
      <c r="U32" s="51">
        <f t="shared" ref="U32:V32" si="147">U23+U30</f>
        <v>1941</v>
      </c>
      <c r="V32" s="629">
        <f t="shared" si="147"/>
        <v>2956</v>
      </c>
      <c r="W32" s="652">
        <f t="shared" si="146"/>
        <v>4897</v>
      </c>
      <c r="X32" s="51">
        <f t="shared" si="146"/>
        <v>1444</v>
      </c>
      <c r="Y32" s="629">
        <f t="shared" si="146"/>
        <v>2454</v>
      </c>
      <c r="Z32" s="652">
        <f t="shared" si="146"/>
        <v>3898</v>
      </c>
      <c r="AA32" s="51">
        <f t="shared" ref="AA32:AB32" si="148">AA23+AA30</f>
        <v>-1262</v>
      </c>
      <c r="AB32" s="629">
        <f t="shared" si="148"/>
        <v>-1685</v>
      </c>
      <c r="AC32" s="652">
        <f t="shared" si="146"/>
        <v>-2947</v>
      </c>
      <c r="AD32" s="51">
        <f t="shared" si="146"/>
        <v>-791</v>
      </c>
      <c r="AE32" s="629">
        <f t="shared" si="146"/>
        <v>-100</v>
      </c>
      <c r="AF32" s="652">
        <f>AF23+AF30</f>
        <v>-891</v>
      </c>
      <c r="AG32" s="51">
        <f t="shared" ref="AG32:AH32" si="149">AG23+AG30</f>
        <v>-5213</v>
      </c>
      <c r="AH32" s="629">
        <f t="shared" si="149"/>
        <v>2414</v>
      </c>
      <c r="AI32" s="652">
        <f>AI23+AI30</f>
        <v>-2799</v>
      </c>
      <c r="AJ32" s="51">
        <f t="shared" ref="AJ32:AK32" si="150">AJ23+AJ30</f>
        <v>114</v>
      </c>
      <c r="AK32" s="629">
        <f t="shared" si="150"/>
        <v>-408</v>
      </c>
      <c r="AL32" s="652">
        <f>AL23+AL30</f>
        <v>-294</v>
      </c>
      <c r="AM32" s="51">
        <f t="shared" ref="AM32:AN32" si="151">AM23+AM30</f>
        <v>-1754</v>
      </c>
      <c r="AN32" s="629">
        <f t="shared" si="151"/>
        <v>252</v>
      </c>
      <c r="AO32" s="652">
        <f t="shared" si="146"/>
        <v>-1502</v>
      </c>
      <c r="AP32" s="51">
        <f t="shared" ref="AP32:AR32" si="152">AP23+AP30</f>
        <v>1419</v>
      </c>
      <c r="AQ32" s="629">
        <f t="shared" si="152"/>
        <v>1008</v>
      </c>
      <c r="AR32" s="652">
        <f t="shared" si="152"/>
        <v>2427</v>
      </c>
      <c r="AS32" s="51">
        <f t="shared" ref="AS32:AU32" si="153">AS23+AS30</f>
        <v>1416</v>
      </c>
      <c r="AT32" s="629">
        <f t="shared" si="153"/>
        <v>818</v>
      </c>
      <c r="AU32" s="652">
        <f t="shared" si="153"/>
        <v>2234</v>
      </c>
      <c r="AV32" s="51">
        <f t="shared" ref="AV32:AW32" si="154">AV23+AV30</f>
        <v>4841</v>
      </c>
      <c r="AW32" s="541">
        <f t="shared" si="154"/>
        <v>2094</v>
      </c>
      <c r="AX32" s="652">
        <f t="shared" si="146"/>
        <v>6935</v>
      </c>
      <c r="AY32" s="51">
        <f t="shared" si="146"/>
        <v>1931</v>
      </c>
      <c r="AZ32" s="237">
        <f t="shared" si="146"/>
        <v>2931.2566515946769</v>
      </c>
      <c r="BA32" s="576">
        <f t="shared" si="146"/>
        <v>4716.2566515946764</v>
      </c>
      <c r="BB32" s="48">
        <f t="shared" si="146"/>
        <v>2715.7188899135299</v>
      </c>
      <c r="BC32" s="237">
        <f t="shared" si="146"/>
        <v>2841.8378055806834</v>
      </c>
      <c r="BD32" s="576">
        <f t="shared" si="146"/>
        <v>5557.5566954942115</v>
      </c>
      <c r="BE32" s="48">
        <f t="shared" si="146"/>
        <v>3136.2474188199817</v>
      </c>
      <c r="BF32" s="237">
        <f t="shared" si="146"/>
        <v>3352.9851206249418</v>
      </c>
      <c r="BG32" s="576">
        <f t="shared" si="146"/>
        <v>6489.2325394449244</v>
      </c>
      <c r="BH32" s="48">
        <f t="shared" si="146"/>
        <v>3717.146149474846</v>
      </c>
      <c r="BI32" s="237">
        <f t="shared" si="146"/>
        <v>3982.0118785500658</v>
      </c>
      <c r="BJ32" s="576">
        <f t="shared" si="146"/>
        <v>7699.15802802491</v>
      </c>
      <c r="BK32" s="48">
        <f t="shared" si="146"/>
        <v>4446.8846729914694</v>
      </c>
      <c r="BL32" s="237">
        <f t="shared" si="146"/>
        <v>4759.6343160507222</v>
      </c>
      <c r="BM32" s="576">
        <f t="shared" si="146"/>
        <v>9206.5189890421934</v>
      </c>
    </row>
    <row r="33" spans="1:66" ht="10.8" thickBot="1">
      <c r="A33" s="37" t="s">
        <v>40</v>
      </c>
      <c r="B33" s="84">
        <f t="shared" ref="B33:BM33" si="155">B25+B31</f>
        <v>436</v>
      </c>
      <c r="C33" s="84">
        <f t="shared" si="155"/>
        <v>475</v>
      </c>
      <c r="D33" s="84">
        <f t="shared" si="155"/>
        <v>255</v>
      </c>
      <c r="E33" s="84">
        <f t="shared" si="155"/>
        <v>285</v>
      </c>
      <c r="F33" s="84">
        <f t="shared" si="155"/>
        <v>364</v>
      </c>
      <c r="G33" s="84">
        <f t="shared" si="155"/>
        <v>593</v>
      </c>
      <c r="H33" s="84">
        <f t="shared" si="155"/>
        <v>705</v>
      </c>
      <c r="I33" s="84">
        <f t="shared" si="155"/>
        <v>845</v>
      </c>
      <c r="J33" s="84">
        <f t="shared" si="155"/>
        <v>880</v>
      </c>
      <c r="K33" s="84">
        <f t="shared" si="155"/>
        <v>915</v>
      </c>
      <c r="L33" s="84">
        <f t="shared" si="155"/>
        <v>955</v>
      </c>
      <c r="M33" s="84">
        <f t="shared" si="155"/>
        <v>1157</v>
      </c>
      <c r="N33" s="84">
        <f t="shared" si="155"/>
        <v>1434</v>
      </c>
      <c r="O33" s="84">
        <f t="shared" si="155"/>
        <v>1759</v>
      </c>
      <c r="P33" s="84">
        <f t="shared" si="155"/>
        <v>1620</v>
      </c>
      <c r="Q33" s="84">
        <f t="shared" si="155"/>
        <v>1432</v>
      </c>
      <c r="R33" s="84">
        <f>R25+R31</f>
        <v>104</v>
      </c>
      <c r="S33" s="632">
        <f t="shared" ref="S33" si="156">S25+S31</f>
        <v>709</v>
      </c>
      <c r="T33" s="655">
        <f t="shared" si="155"/>
        <v>813</v>
      </c>
      <c r="U33" s="84">
        <f>U25+U31</f>
        <v>287</v>
      </c>
      <c r="V33" s="632">
        <f t="shared" ref="V33" si="157">V25+V31</f>
        <v>784</v>
      </c>
      <c r="W33" s="655">
        <f t="shared" si="155"/>
        <v>1071</v>
      </c>
      <c r="X33" s="84">
        <f>X25+X31</f>
        <v>-143</v>
      </c>
      <c r="Y33" s="632">
        <f t="shared" ref="Y33" si="158">Y25+Y31</f>
        <v>342</v>
      </c>
      <c r="Z33" s="655">
        <f t="shared" si="155"/>
        <v>199</v>
      </c>
      <c r="AA33" s="84">
        <f>AA25+AA31</f>
        <v>73</v>
      </c>
      <c r="AB33" s="632">
        <f t="shared" ref="AB33" si="159">AB25+AB31</f>
        <v>393</v>
      </c>
      <c r="AC33" s="655">
        <f t="shared" si="155"/>
        <v>466</v>
      </c>
      <c r="AD33" s="84">
        <f>AD25+AD31</f>
        <v>93</v>
      </c>
      <c r="AE33" s="632">
        <f t="shared" si="155"/>
        <v>490</v>
      </c>
      <c r="AF33" s="655">
        <f>AF25+AF31</f>
        <v>583</v>
      </c>
      <c r="AG33" s="84">
        <f t="shared" ref="AG33:AH33" si="160">AG25+AG31</f>
        <v>-3203</v>
      </c>
      <c r="AH33" s="632">
        <f t="shared" si="160"/>
        <v>-790</v>
      </c>
      <c r="AI33" s="655">
        <f>AI25+AI31</f>
        <v>-3993</v>
      </c>
      <c r="AJ33" s="84">
        <f t="shared" ref="AJ33:AK33" si="161">AJ25+AJ31</f>
        <v>133</v>
      </c>
      <c r="AK33" s="632">
        <f t="shared" si="161"/>
        <v>-97</v>
      </c>
      <c r="AL33" s="655">
        <f>AL25+AL31</f>
        <v>36</v>
      </c>
      <c r="AM33" s="84">
        <f t="shared" ref="AM33:AN33" si="162">AM25+AM31</f>
        <v>-111</v>
      </c>
      <c r="AN33" s="632">
        <f t="shared" si="162"/>
        <v>317</v>
      </c>
      <c r="AO33" s="655">
        <f t="shared" si="155"/>
        <v>206</v>
      </c>
      <c r="AP33" s="84">
        <f t="shared" ref="AP33:AR33" si="163">AP25+AP31</f>
        <v>524</v>
      </c>
      <c r="AQ33" s="632">
        <f t="shared" si="163"/>
        <v>738</v>
      </c>
      <c r="AR33" s="655">
        <f t="shared" si="163"/>
        <v>1262</v>
      </c>
      <c r="AS33" s="84">
        <f t="shared" ref="AS33:AU33" si="164">AS25+AS31</f>
        <v>1035</v>
      </c>
      <c r="AT33" s="632">
        <f t="shared" si="164"/>
        <v>1258</v>
      </c>
      <c r="AU33" s="655">
        <f t="shared" si="164"/>
        <v>2293</v>
      </c>
      <c r="AV33" s="84">
        <f t="shared" ref="AV33:AW33" si="165">AV25+AV31</f>
        <v>1689</v>
      </c>
      <c r="AW33" s="718">
        <f t="shared" si="165"/>
        <v>1663</v>
      </c>
      <c r="AX33" s="655">
        <f t="shared" si="155"/>
        <v>3352</v>
      </c>
      <c r="AY33" s="84">
        <f t="shared" si="155"/>
        <v>2495</v>
      </c>
      <c r="AZ33" s="244">
        <f t="shared" si="155"/>
        <v>2356.0922844152897</v>
      </c>
      <c r="BA33" s="581">
        <f t="shared" si="155"/>
        <v>4851.0922844152883</v>
      </c>
      <c r="BB33" s="181">
        <f t="shared" si="155"/>
        <v>2730.0198614326819</v>
      </c>
      <c r="BC33" s="244">
        <f t="shared" si="155"/>
        <v>2856.816402724397</v>
      </c>
      <c r="BD33" s="581">
        <f t="shared" si="155"/>
        <v>5586.8362641570784</v>
      </c>
      <c r="BE33" s="181">
        <f t="shared" si="155"/>
        <v>3151.5428579481832</v>
      </c>
      <c r="BF33" s="244">
        <f t="shared" si="155"/>
        <v>3369.2492160281931</v>
      </c>
      <c r="BG33" s="581">
        <f t="shared" si="155"/>
        <v>6520.7920739763767</v>
      </c>
      <c r="BH33" s="181">
        <f t="shared" si="155"/>
        <v>3733.8048722316148</v>
      </c>
      <c r="BI33" s="244">
        <f t="shared" si="155"/>
        <v>3999.7525532401414</v>
      </c>
      <c r="BJ33" s="581">
        <f t="shared" si="155"/>
        <v>7733.5574254717558</v>
      </c>
      <c r="BK33" s="181">
        <f t="shared" si="155"/>
        <v>4465.0765517290838</v>
      </c>
      <c r="BL33" s="244">
        <f t="shared" si="155"/>
        <v>4779.0108004307222</v>
      </c>
      <c r="BM33" s="581">
        <f t="shared" si="155"/>
        <v>9244.0873521598078</v>
      </c>
    </row>
    <row r="34" spans="1:66">
      <c r="A34" s="25" t="s">
        <v>41</v>
      </c>
      <c r="B34" s="40">
        <v>-87</v>
      </c>
      <c r="C34" s="40">
        <v>-86</v>
      </c>
      <c r="D34" s="40">
        <v>-52</v>
      </c>
      <c r="E34" s="40">
        <v>-64</v>
      </c>
      <c r="F34" s="40">
        <v>-100</v>
      </c>
      <c r="G34" s="40">
        <v>-130</v>
      </c>
      <c r="H34" s="40">
        <v>-397</v>
      </c>
      <c r="I34" s="40">
        <v>-133</v>
      </c>
      <c r="J34" s="40">
        <v>547</v>
      </c>
      <c r="K34" s="40">
        <v>-740</v>
      </c>
      <c r="L34" s="40">
        <v>-159</v>
      </c>
      <c r="M34" s="40">
        <v>-257</v>
      </c>
      <c r="N34" s="40">
        <v>-431</v>
      </c>
      <c r="O34" s="40">
        <v>-377</v>
      </c>
      <c r="P34" s="40">
        <v>-151</v>
      </c>
      <c r="Q34" s="40">
        <v>-76</v>
      </c>
      <c r="R34" s="40">
        <v>378</v>
      </c>
      <c r="S34" s="630">
        <f t="shared" ref="S34" si="166">S35+S36</f>
        <v>226</v>
      </c>
      <c r="T34" s="653">
        <v>604</v>
      </c>
      <c r="U34" s="40">
        <v>-360</v>
      </c>
      <c r="V34" s="630">
        <f t="shared" ref="V34" si="167">V35+V36</f>
        <v>-329</v>
      </c>
      <c r="W34" s="653">
        <v>-689</v>
      </c>
      <c r="X34" s="40">
        <v>-272</v>
      </c>
      <c r="Y34" s="630">
        <f t="shared" ref="Y34" si="168">Y35+Y36</f>
        <v>-243</v>
      </c>
      <c r="Z34" s="653">
        <v>-515</v>
      </c>
      <c r="AA34" s="40">
        <v>302</v>
      </c>
      <c r="AB34" s="630">
        <f t="shared" ref="AB34" si="169">AB35+AB36</f>
        <v>252</v>
      </c>
      <c r="AC34" s="653">
        <v>554</v>
      </c>
      <c r="AD34" s="40">
        <v>-116</v>
      </c>
      <c r="AE34" s="630">
        <f t="shared" ref="AE34" si="170">AE35+AE36</f>
        <v>-304</v>
      </c>
      <c r="AF34" s="653">
        <v>-420</v>
      </c>
      <c r="AG34" s="40">
        <v>-48</v>
      </c>
      <c r="AH34" s="630">
        <f t="shared" ref="AH34" si="171">AH35+AH36</f>
        <v>-254</v>
      </c>
      <c r="AI34" s="653">
        <v>-302</v>
      </c>
      <c r="AJ34" s="40">
        <v>280</v>
      </c>
      <c r="AK34" s="630">
        <f t="shared" ref="AK34" si="172">AK35+AK36</f>
        <v>138</v>
      </c>
      <c r="AL34" s="653">
        <v>418</v>
      </c>
      <c r="AM34" s="40">
        <v>143</v>
      </c>
      <c r="AN34" s="630">
        <f t="shared" ref="AN34" si="173">AN35+AN36</f>
        <v>164.99999999999997</v>
      </c>
      <c r="AO34" s="653">
        <v>308</v>
      </c>
      <c r="AP34" s="40">
        <v>-196</v>
      </c>
      <c r="AQ34" s="630">
        <f t="shared" ref="AQ34" si="174">AQ35+AQ36</f>
        <v>173</v>
      </c>
      <c r="AR34" s="653">
        <v>-23</v>
      </c>
      <c r="AS34" s="40">
        <v>-280</v>
      </c>
      <c r="AT34" s="630">
        <f t="shared" ref="AT34" si="175">AT35+AT36</f>
        <v>530</v>
      </c>
      <c r="AU34" s="653">
        <v>250</v>
      </c>
      <c r="AV34" s="40">
        <v>-433</v>
      </c>
      <c r="AW34" s="539">
        <f t="shared" ref="AW34" si="176">AW35+AW36</f>
        <v>-666</v>
      </c>
      <c r="AX34" s="653">
        <v>-1099</v>
      </c>
      <c r="AY34" s="40">
        <v>-316</v>
      </c>
      <c r="AZ34" s="236">
        <f>AZ35+AZ36</f>
        <v>-751.064162898669</v>
      </c>
      <c r="BA34" s="605">
        <f t="shared" ref="BA34:BM34" si="177">BA35+BA36</f>
        <v>-1067.0641628986691</v>
      </c>
      <c r="BB34" s="56">
        <f>BB35+BB36</f>
        <v>-678.92972247838247</v>
      </c>
      <c r="BC34" s="236">
        <f>BC35+BC36</f>
        <v>-710.4594513951705</v>
      </c>
      <c r="BD34" s="605">
        <f t="shared" si="177"/>
        <v>-1389.3891738735529</v>
      </c>
      <c r="BE34" s="56">
        <f>BE35+BE36</f>
        <v>-784.06185470499543</v>
      </c>
      <c r="BF34" s="236">
        <f>BF35+BF36</f>
        <v>-838.24628015623557</v>
      </c>
      <c r="BG34" s="605">
        <f t="shared" si="177"/>
        <v>-1622.3081348612311</v>
      </c>
      <c r="BH34" s="56">
        <f>BH35+BH36</f>
        <v>-929.28653736871149</v>
      </c>
      <c r="BI34" s="236">
        <f>BI35+BI36</f>
        <v>-995.50296963751589</v>
      </c>
      <c r="BJ34" s="605">
        <f t="shared" si="177"/>
        <v>-1924.7895070062275</v>
      </c>
      <c r="BK34" s="56">
        <f>BK35+BK36</f>
        <v>-1111.7211682478676</v>
      </c>
      <c r="BL34" s="236">
        <f>BL35+BL36</f>
        <v>-1189.9085790126808</v>
      </c>
      <c r="BM34" s="605">
        <f t="shared" si="177"/>
        <v>-2301.6297472605484</v>
      </c>
    </row>
    <row r="35" spans="1:66">
      <c r="A35" s="120" t="s">
        <v>42</v>
      </c>
      <c r="B35" s="40">
        <v>-134</v>
      </c>
      <c r="C35" s="40">
        <v>-154</v>
      </c>
      <c r="D35" s="40">
        <v>-76</v>
      </c>
      <c r="E35" s="40">
        <v>-84</v>
      </c>
      <c r="F35" s="40">
        <v>-100</v>
      </c>
      <c r="G35" s="40">
        <v>-170</v>
      </c>
      <c r="H35" s="40">
        <v>-190</v>
      </c>
      <c r="I35" s="40">
        <v>-193</v>
      </c>
      <c r="J35" s="40">
        <v>-217</v>
      </c>
      <c r="K35" s="40">
        <v>-187</v>
      </c>
      <c r="L35" s="40">
        <v>-236</v>
      </c>
      <c r="M35" s="40">
        <v>-261</v>
      </c>
      <c r="N35" s="40">
        <v>-317</v>
      </c>
      <c r="O35" s="40">
        <v>-434</v>
      </c>
      <c r="P35" s="40">
        <v>-388</v>
      </c>
      <c r="Q35" s="40">
        <v>-351</v>
      </c>
      <c r="R35" s="40">
        <v>-27</v>
      </c>
      <c r="S35" s="630">
        <f>T35-R35</f>
        <v>-234</v>
      </c>
      <c r="T35" s="653">
        <v>-261</v>
      </c>
      <c r="U35" s="206">
        <v>-81</v>
      </c>
      <c r="V35" s="630">
        <f>W35-U35</f>
        <v>-247</v>
      </c>
      <c r="W35" s="653">
        <v>-328</v>
      </c>
      <c r="X35" s="40">
        <v>-5</v>
      </c>
      <c r="Y35" s="630">
        <f>Z35-X35</f>
        <v>-150</v>
      </c>
      <c r="Z35" s="653">
        <v>-155</v>
      </c>
      <c r="AA35" s="40">
        <v>-25</v>
      </c>
      <c r="AB35" s="630">
        <f>AC35-AA35</f>
        <v>-136</v>
      </c>
      <c r="AC35" s="653">
        <v>-161</v>
      </c>
      <c r="AD35" s="40">
        <v>-121</v>
      </c>
      <c r="AE35" s="630">
        <f>AF35-AD35</f>
        <v>-156</v>
      </c>
      <c r="AF35" s="653">
        <v>-277</v>
      </c>
      <c r="AG35" s="40">
        <v>-90</v>
      </c>
      <c r="AH35" s="630">
        <f>AI35-AG35</f>
        <v>44</v>
      </c>
      <c r="AI35" s="653">
        <v>-46</v>
      </c>
      <c r="AJ35" s="40">
        <v>-29</v>
      </c>
      <c r="AK35" s="630">
        <f>AL35-AJ35</f>
        <v>3</v>
      </c>
      <c r="AL35" s="653">
        <v>-26</v>
      </c>
      <c r="AM35" s="40">
        <v>-77</v>
      </c>
      <c r="AN35" s="630">
        <f>AO35-AM35</f>
        <v>28.999999999999972</v>
      </c>
      <c r="AO35" s="653">
        <v>-48.000000000000028</v>
      </c>
      <c r="AP35" s="40">
        <v>-120</v>
      </c>
      <c r="AQ35" s="630">
        <f>AR35-AP35</f>
        <v>0</v>
      </c>
      <c r="AR35" s="653">
        <v>-120</v>
      </c>
      <c r="AS35" s="40">
        <v>-298</v>
      </c>
      <c r="AT35" s="630">
        <f>AU35-AS35</f>
        <v>-330</v>
      </c>
      <c r="AU35" s="653">
        <f>-282-346</f>
        <v>-628</v>
      </c>
      <c r="AV35" s="40">
        <f>-93-277</f>
        <v>-370</v>
      </c>
      <c r="AW35" s="539">
        <f>AX35-AV35</f>
        <v>-500</v>
      </c>
      <c r="AX35" s="653">
        <f>-593-277</f>
        <v>-870</v>
      </c>
      <c r="AY35" s="40">
        <f>-461-181</f>
        <v>-642</v>
      </c>
      <c r="AZ35" s="236">
        <f>BA35-AY35</f>
        <v>-570.77307110382208</v>
      </c>
      <c r="BA35" s="605">
        <f t="shared" ref="BA35:BM35" si="178">-BA33*BA37</f>
        <v>-1212.7730711038221</v>
      </c>
      <c r="BB35" s="56">
        <f>-BB33*BB37</f>
        <v>-682.50496535817047</v>
      </c>
      <c r="BC35" s="236">
        <f>BD35-BB35</f>
        <v>-714.20410068109913</v>
      </c>
      <c r="BD35" s="605">
        <f t="shared" si="178"/>
        <v>-1396.7090660392696</v>
      </c>
      <c r="BE35" s="56">
        <f>-BE33*BE37</f>
        <v>-787.88571448704579</v>
      </c>
      <c r="BF35" s="236">
        <f>BG35-BE35</f>
        <v>-842.3123040070484</v>
      </c>
      <c r="BG35" s="605">
        <f t="shared" si="178"/>
        <v>-1630.1980184940942</v>
      </c>
      <c r="BH35" s="56">
        <f>-BH33*BH37</f>
        <v>-933.4512180579037</v>
      </c>
      <c r="BI35" s="236">
        <f>BJ35-BH35</f>
        <v>-999.93813831003524</v>
      </c>
      <c r="BJ35" s="605">
        <f t="shared" si="178"/>
        <v>-1933.3893563679389</v>
      </c>
      <c r="BK35" s="56">
        <f>-BK33*BK37</f>
        <v>-1116.269137932271</v>
      </c>
      <c r="BL35" s="236">
        <f>BM35-BK35</f>
        <v>-1194.752700107681</v>
      </c>
      <c r="BM35" s="605">
        <f t="shared" si="178"/>
        <v>-2311.0218380399519</v>
      </c>
    </row>
    <row r="36" spans="1:66">
      <c r="A36" s="120" t="s">
        <v>46</v>
      </c>
      <c r="B36" s="40">
        <f t="shared" ref="B36:U36" si="179">B34-B35</f>
        <v>47</v>
      </c>
      <c r="C36" s="40">
        <f t="shared" si="179"/>
        <v>68</v>
      </c>
      <c r="D36" s="40">
        <f t="shared" si="179"/>
        <v>24</v>
      </c>
      <c r="E36" s="40">
        <f t="shared" si="179"/>
        <v>20</v>
      </c>
      <c r="F36" s="40">
        <f t="shared" si="179"/>
        <v>0</v>
      </c>
      <c r="G36" s="40">
        <f t="shared" si="179"/>
        <v>40</v>
      </c>
      <c r="H36" s="40">
        <f t="shared" si="179"/>
        <v>-207</v>
      </c>
      <c r="I36" s="40">
        <f t="shared" si="179"/>
        <v>60</v>
      </c>
      <c r="J36" s="40">
        <f t="shared" si="179"/>
        <v>764</v>
      </c>
      <c r="K36" s="40">
        <f t="shared" si="179"/>
        <v>-553</v>
      </c>
      <c r="L36" s="40">
        <f t="shared" si="179"/>
        <v>77</v>
      </c>
      <c r="M36" s="40">
        <f t="shared" si="179"/>
        <v>4</v>
      </c>
      <c r="N36" s="40">
        <f t="shared" si="179"/>
        <v>-114</v>
      </c>
      <c r="O36" s="40">
        <f t="shared" si="179"/>
        <v>57</v>
      </c>
      <c r="P36" s="40">
        <f t="shared" si="179"/>
        <v>237</v>
      </c>
      <c r="Q36" s="40">
        <f t="shared" si="179"/>
        <v>275</v>
      </c>
      <c r="R36" s="40">
        <f t="shared" ref="R36" si="180">R34-R35</f>
        <v>405</v>
      </c>
      <c r="S36" s="630">
        <f>T36-R36</f>
        <v>460</v>
      </c>
      <c r="T36" s="653">
        <f t="shared" si="179"/>
        <v>865</v>
      </c>
      <c r="U36" s="40">
        <f t="shared" si="179"/>
        <v>-279</v>
      </c>
      <c r="V36" s="630">
        <f>W36-U36</f>
        <v>-82</v>
      </c>
      <c r="W36" s="653">
        <f t="shared" ref="W36:AO36" si="181">W34-W35</f>
        <v>-361</v>
      </c>
      <c r="X36" s="40">
        <f t="shared" ref="X36" si="182">X34-X35</f>
        <v>-267</v>
      </c>
      <c r="Y36" s="630">
        <f>Z36-X36</f>
        <v>-93</v>
      </c>
      <c r="Z36" s="653">
        <f t="shared" si="181"/>
        <v>-360</v>
      </c>
      <c r="AA36" s="40">
        <f t="shared" si="181"/>
        <v>327</v>
      </c>
      <c r="AB36" s="630">
        <f>AC36-AA36</f>
        <v>388</v>
      </c>
      <c r="AC36" s="653">
        <f t="shared" si="181"/>
        <v>715</v>
      </c>
      <c r="AD36" s="40">
        <f t="shared" ref="AD36" si="183">AD34-AD35</f>
        <v>5</v>
      </c>
      <c r="AE36" s="630">
        <f>AF36-AD36</f>
        <v>-148</v>
      </c>
      <c r="AF36" s="653">
        <f t="shared" si="181"/>
        <v>-143</v>
      </c>
      <c r="AG36" s="40">
        <f t="shared" si="181"/>
        <v>42</v>
      </c>
      <c r="AH36" s="630">
        <f>AI36-AG36</f>
        <v>-298</v>
      </c>
      <c r="AI36" s="653">
        <f t="shared" si="181"/>
        <v>-256</v>
      </c>
      <c r="AJ36" s="40">
        <f t="shared" ref="AJ36" si="184">AJ34-AJ35</f>
        <v>309</v>
      </c>
      <c r="AK36" s="630">
        <f>AL36-AJ36</f>
        <v>135</v>
      </c>
      <c r="AL36" s="653">
        <f t="shared" si="181"/>
        <v>444</v>
      </c>
      <c r="AM36" s="40">
        <f t="shared" si="181"/>
        <v>220</v>
      </c>
      <c r="AN36" s="630">
        <f>AO36-AM36</f>
        <v>136</v>
      </c>
      <c r="AO36" s="653">
        <f t="shared" si="181"/>
        <v>356</v>
      </c>
      <c r="AP36" s="40">
        <f t="shared" ref="AP36" si="185">AP34-AP35</f>
        <v>-76</v>
      </c>
      <c r="AQ36" s="630">
        <f>AR36-AP36</f>
        <v>173</v>
      </c>
      <c r="AR36" s="653">
        <f t="shared" ref="AR36:AS36" si="186">AR34-AR35</f>
        <v>97</v>
      </c>
      <c r="AS36" s="40">
        <f t="shared" si="186"/>
        <v>18</v>
      </c>
      <c r="AT36" s="630">
        <f>AU36-AS36</f>
        <v>860</v>
      </c>
      <c r="AU36" s="653">
        <f t="shared" ref="AU36:AV36" si="187">AU34-AU35</f>
        <v>878</v>
      </c>
      <c r="AV36" s="40">
        <f t="shared" si="187"/>
        <v>-63</v>
      </c>
      <c r="AW36" s="539">
        <f>AX36-AV36</f>
        <v>-166</v>
      </c>
      <c r="AX36" s="653">
        <f t="shared" ref="AX36:AY36" si="188">AX34-AX35</f>
        <v>-229</v>
      </c>
      <c r="AY36" s="40">
        <f t="shared" si="188"/>
        <v>326</v>
      </c>
      <c r="AZ36" s="236">
        <f>BA36-AY36</f>
        <v>-180.29109179484692</v>
      </c>
      <c r="BA36" s="605">
        <f t="shared" ref="BA36:BM36" si="189">-(BA100+BA109)*BA158</f>
        <v>145.70890820515308</v>
      </c>
      <c r="BB36" s="56">
        <f>-(BB100+BB109)*BB158</f>
        <v>3.575242879788</v>
      </c>
      <c r="BC36" s="236">
        <f>BD36-BB36</f>
        <v>3.7446492859286611</v>
      </c>
      <c r="BD36" s="605">
        <f t="shared" si="189"/>
        <v>7.3198921657166611</v>
      </c>
      <c r="BE36" s="56">
        <f>-(BE100+BE109)*BE158</f>
        <v>3.8238597820503388</v>
      </c>
      <c r="BF36" s="236">
        <f>BG36-BE36</f>
        <v>4.0660238508127886</v>
      </c>
      <c r="BG36" s="605">
        <f t="shared" si="189"/>
        <v>7.8898836328631274</v>
      </c>
      <c r="BH36" s="56">
        <f>-(BH100+BH109)*BH158</f>
        <v>4.1646806891921599</v>
      </c>
      <c r="BI36" s="236">
        <f>BJ36-BH36</f>
        <v>4.4351686725193016</v>
      </c>
      <c r="BJ36" s="605">
        <f t="shared" si="189"/>
        <v>8.5998493617114615</v>
      </c>
      <c r="BK36" s="56">
        <f>-(BK100+BK109)*BK158</f>
        <v>4.5479696844032844</v>
      </c>
      <c r="BL36" s="236">
        <f>BM36-BK36</f>
        <v>4.8441210950002525</v>
      </c>
      <c r="BM36" s="605">
        <f t="shared" si="189"/>
        <v>9.3920907794035369</v>
      </c>
    </row>
    <row r="37" spans="1:66">
      <c r="A37" s="61" t="s">
        <v>43</v>
      </c>
      <c r="B37" s="296">
        <f t="shared" ref="B37:V37" si="190">-B35/B33</f>
        <v>0.30733944954128439</v>
      </c>
      <c r="C37" s="296">
        <f t="shared" si="190"/>
        <v>0.32421052631578945</v>
      </c>
      <c r="D37" s="296">
        <f t="shared" si="190"/>
        <v>0.29803921568627451</v>
      </c>
      <c r="E37" s="296">
        <f t="shared" si="190"/>
        <v>0.29473684210526313</v>
      </c>
      <c r="F37" s="296">
        <f t="shared" si="190"/>
        <v>0.27472527472527475</v>
      </c>
      <c r="G37" s="296">
        <f t="shared" si="190"/>
        <v>0.28667790893760542</v>
      </c>
      <c r="H37" s="296">
        <f t="shared" si="190"/>
        <v>0.26950354609929078</v>
      </c>
      <c r="I37" s="296">
        <f t="shared" si="190"/>
        <v>0.22840236686390533</v>
      </c>
      <c r="J37" s="296">
        <f t="shared" si="190"/>
        <v>0.24659090909090908</v>
      </c>
      <c r="K37" s="296">
        <f t="shared" si="190"/>
        <v>0.20437158469945355</v>
      </c>
      <c r="L37" s="296">
        <f t="shared" si="190"/>
        <v>0.24712041884816754</v>
      </c>
      <c r="M37" s="296">
        <f t="shared" si="190"/>
        <v>0.22558340535868626</v>
      </c>
      <c r="N37" s="296">
        <f t="shared" si="190"/>
        <v>0.2210599721059972</v>
      </c>
      <c r="O37" s="296">
        <f t="shared" si="190"/>
        <v>0.24673109721432632</v>
      </c>
      <c r="P37" s="296">
        <f t="shared" si="190"/>
        <v>0.23950617283950618</v>
      </c>
      <c r="Q37" s="296">
        <f t="shared" si="190"/>
        <v>0.24511173184357543</v>
      </c>
      <c r="R37" s="988">
        <f t="shared" ref="R37:S37" si="191">-R35/R33</f>
        <v>0.25961538461538464</v>
      </c>
      <c r="S37" s="631">
        <f t="shared" si="191"/>
        <v>0.33004231311706628</v>
      </c>
      <c r="T37" s="654">
        <f t="shared" si="190"/>
        <v>0.3210332103321033</v>
      </c>
      <c r="U37" s="988">
        <f t="shared" si="190"/>
        <v>0.28222996515679444</v>
      </c>
      <c r="V37" s="631">
        <f t="shared" si="190"/>
        <v>0.31505102040816324</v>
      </c>
      <c r="W37" s="654">
        <f t="shared" ref="W37:AO37" si="192">-W35/W33</f>
        <v>0.3062558356676004</v>
      </c>
      <c r="X37" s="988">
        <f t="shared" ref="X37:Y37" si="193">-X35/X33</f>
        <v>-3.4965034965034968E-2</v>
      </c>
      <c r="Y37" s="631">
        <f t="shared" si="193"/>
        <v>0.43859649122807015</v>
      </c>
      <c r="Z37" s="654">
        <f t="shared" si="192"/>
        <v>0.77889447236180909</v>
      </c>
      <c r="AA37" s="988">
        <f t="shared" si="192"/>
        <v>0.34246575342465752</v>
      </c>
      <c r="AB37" s="631">
        <f t="shared" si="192"/>
        <v>0.34605597964376589</v>
      </c>
      <c r="AC37" s="654">
        <f t="shared" si="192"/>
        <v>0.34549356223175964</v>
      </c>
      <c r="AD37" s="988">
        <f t="shared" ref="AD37:AE37" si="194">-AD35/AD33</f>
        <v>1.3010752688172043</v>
      </c>
      <c r="AE37" s="631">
        <f t="shared" si="194"/>
        <v>0.3183673469387755</v>
      </c>
      <c r="AF37" s="654">
        <f t="shared" si="192"/>
        <v>0.47512864493996571</v>
      </c>
      <c r="AG37" s="988">
        <f t="shared" si="192"/>
        <v>-2.80986575085857E-2</v>
      </c>
      <c r="AH37" s="631">
        <f t="shared" si="192"/>
        <v>5.5696202531645568E-2</v>
      </c>
      <c r="AI37" s="654">
        <f t="shared" si="192"/>
        <v>-1.1520160280490859E-2</v>
      </c>
      <c r="AJ37" s="988">
        <f t="shared" ref="AJ37:AK37" si="195">-AJ35/AJ33</f>
        <v>0.21804511278195488</v>
      </c>
      <c r="AK37" s="631">
        <f t="shared" si="195"/>
        <v>3.0927835051546393E-2</v>
      </c>
      <c r="AL37" s="654">
        <f t="shared" si="192"/>
        <v>0.72222222222222221</v>
      </c>
      <c r="AM37" s="988">
        <f t="shared" si="192"/>
        <v>-0.69369369369369371</v>
      </c>
      <c r="AN37" s="631">
        <f t="shared" si="192"/>
        <v>-9.148264984227121E-2</v>
      </c>
      <c r="AO37" s="654">
        <f t="shared" si="192"/>
        <v>0.23300970873786422</v>
      </c>
      <c r="AP37" s="988">
        <f t="shared" ref="AP37:AR37" si="196">-AP35/AP33</f>
        <v>0.22900763358778625</v>
      </c>
      <c r="AQ37" s="631">
        <f t="shared" si="196"/>
        <v>0</v>
      </c>
      <c r="AR37" s="654">
        <f t="shared" si="196"/>
        <v>9.5087163232963554E-2</v>
      </c>
      <c r="AS37" s="988">
        <f t="shared" ref="AS37:AU37" si="197">-AS35/AS33</f>
        <v>0.28792270531400965</v>
      </c>
      <c r="AT37" s="631">
        <f t="shared" si="197"/>
        <v>0.26232114467408585</v>
      </c>
      <c r="AU37" s="654">
        <f t="shared" si="197"/>
        <v>0.27387701700828609</v>
      </c>
      <c r="AV37" s="988">
        <f t="shared" ref="AV37:AW37" si="198">-AV35/AV33</f>
        <v>0.21906453522794553</v>
      </c>
      <c r="AW37" s="1101">
        <f t="shared" si="198"/>
        <v>0.30066145520144316</v>
      </c>
      <c r="AX37" s="654">
        <f t="shared" ref="AX37:AY37" si="199">-AX35/AX33</f>
        <v>0.25954653937947492</v>
      </c>
      <c r="AY37" s="988">
        <f t="shared" si="199"/>
        <v>0.25731462925851706</v>
      </c>
      <c r="AZ37" s="248">
        <f t="shared" ref="AZ37" si="200">-AZ35/AZ33</f>
        <v>0.24225412343959632</v>
      </c>
      <c r="BA37" s="608">
        <v>0.25</v>
      </c>
      <c r="BB37" s="246">
        <f>BD37</f>
        <v>0.25</v>
      </c>
      <c r="BC37" s="248">
        <f t="shared" ref="BC37" si="201">-BC35/BC33</f>
        <v>0.24999999999999997</v>
      </c>
      <c r="BD37" s="606">
        <f>BA37</f>
        <v>0.25</v>
      </c>
      <c r="BE37" s="246">
        <f>BG37</f>
        <v>0.25</v>
      </c>
      <c r="BF37" s="248">
        <f t="shared" ref="BF37" si="202">-BF35/BF33</f>
        <v>0.25000000000000006</v>
      </c>
      <c r="BG37" s="606">
        <f>BD37</f>
        <v>0.25</v>
      </c>
      <c r="BH37" s="246">
        <f>BJ37</f>
        <v>0.25</v>
      </c>
      <c r="BI37" s="248">
        <f t="shared" ref="BI37" si="203">-BI35/BI33</f>
        <v>0.24999999999999997</v>
      </c>
      <c r="BJ37" s="606">
        <f>BG37</f>
        <v>0.25</v>
      </c>
      <c r="BK37" s="246">
        <f>BM37</f>
        <v>0.25</v>
      </c>
      <c r="BL37" s="248">
        <f t="shared" ref="BL37" si="204">-BL35/BL33</f>
        <v>0.25000000000000011</v>
      </c>
      <c r="BM37" s="606">
        <f t="shared" ref="BM37" si="205">BJ37</f>
        <v>0.25</v>
      </c>
      <c r="BN37"/>
    </row>
    <row r="38" spans="1:66">
      <c r="A38" s="31" t="s">
        <v>47</v>
      </c>
      <c r="B38" s="51">
        <f t="shared" ref="B38:BM38" si="206">B32+B34</f>
        <v>79</v>
      </c>
      <c r="C38" s="51">
        <f t="shared" si="206"/>
        <v>106</v>
      </c>
      <c r="D38" s="51">
        <f t="shared" si="206"/>
        <v>53</v>
      </c>
      <c r="E38" s="51">
        <f t="shared" si="206"/>
        <v>116</v>
      </c>
      <c r="F38" s="51">
        <f t="shared" si="206"/>
        <v>264</v>
      </c>
      <c r="G38" s="51">
        <f t="shared" si="206"/>
        <v>347</v>
      </c>
      <c r="H38" s="51">
        <f t="shared" si="206"/>
        <v>994</v>
      </c>
      <c r="I38" s="51">
        <f t="shared" si="206"/>
        <v>645</v>
      </c>
      <c r="J38" s="51">
        <f t="shared" si="206"/>
        <v>-1345</v>
      </c>
      <c r="K38" s="51">
        <f t="shared" si="206"/>
        <v>2217</v>
      </c>
      <c r="L38" s="51">
        <f t="shared" si="206"/>
        <v>543</v>
      </c>
      <c r="M38" s="51">
        <f t="shared" si="206"/>
        <v>848</v>
      </c>
      <c r="N38" s="51">
        <f t="shared" si="206"/>
        <v>2335</v>
      </c>
      <c r="O38" s="51">
        <f t="shared" si="206"/>
        <v>1323</v>
      </c>
      <c r="P38" s="51">
        <f t="shared" si="206"/>
        <v>-84</v>
      </c>
      <c r="Q38" s="51">
        <f t="shared" si="206"/>
        <v>84</v>
      </c>
      <c r="R38" s="51">
        <f t="shared" si="206"/>
        <v>-1772</v>
      </c>
      <c r="S38" s="629">
        <f t="shared" si="206"/>
        <v>-2260</v>
      </c>
      <c r="T38" s="652">
        <f t="shared" si="206"/>
        <v>-4032</v>
      </c>
      <c r="U38" s="51">
        <f t="shared" ref="U38:V38" si="207">U32+U34</f>
        <v>1581</v>
      </c>
      <c r="V38" s="629">
        <f t="shared" si="207"/>
        <v>2627</v>
      </c>
      <c r="W38" s="652">
        <f t="shared" si="206"/>
        <v>4208</v>
      </c>
      <c r="X38" s="51">
        <f t="shared" si="206"/>
        <v>1172</v>
      </c>
      <c r="Y38" s="629">
        <f t="shared" si="206"/>
        <v>2211</v>
      </c>
      <c r="Z38" s="652">
        <f>Z32+Z34</f>
        <v>3383</v>
      </c>
      <c r="AA38" s="51">
        <f t="shared" ref="AA38:AB38" si="208">AA32+AA34</f>
        <v>-960</v>
      </c>
      <c r="AB38" s="629">
        <f t="shared" si="208"/>
        <v>-1433</v>
      </c>
      <c r="AC38" s="652">
        <f>AC32+AC34</f>
        <v>-2393</v>
      </c>
      <c r="AD38" s="51">
        <f t="shared" ref="AD38:AE38" si="209">AD32+AD34</f>
        <v>-907</v>
      </c>
      <c r="AE38" s="629">
        <f t="shared" si="209"/>
        <v>-404</v>
      </c>
      <c r="AF38" s="652">
        <f t="shared" si="206"/>
        <v>-1311</v>
      </c>
      <c r="AG38" s="51">
        <f t="shared" ref="AG38:AH38" si="210">AG32+AG34</f>
        <v>-5261</v>
      </c>
      <c r="AH38" s="629">
        <f t="shared" si="210"/>
        <v>2160</v>
      </c>
      <c r="AI38" s="652">
        <f t="shared" si="206"/>
        <v>-3101</v>
      </c>
      <c r="AJ38" s="51">
        <f t="shared" si="206"/>
        <v>394</v>
      </c>
      <c r="AK38" s="629">
        <f t="shared" si="206"/>
        <v>-270</v>
      </c>
      <c r="AL38" s="652">
        <f>AL32+AL34</f>
        <v>124</v>
      </c>
      <c r="AM38" s="51">
        <f t="shared" ref="AM38:AN38" si="211">AM32+AM34</f>
        <v>-1611</v>
      </c>
      <c r="AN38" s="629">
        <f t="shared" si="211"/>
        <v>417</v>
      </c>
      <c r="AO38" s="652">
        <f t="shared" si="206"/>
        <v>-1194</v>
      </c>
      <c r="AP38" s="51">
        <f t="shared" ref="AP38:AR38" si="212">AP32+AP34</f>
        <v>1223</v>
      </c>
      <c r="AQ38" s="629">
        <f t="shared" si="212"/>
        <v>1181</v>
      </c>
      <c r="AR38" s="652">
        <f t="shared" si="212"/>
        <v>2404</v>
      </c>
      <c r="AS38" s="51">
        <f t="shared" ref="AS38:AU38" si="213">AS32+AS34</f>
        <v>1136</v>
      </c>
      <c r="AT38" s="629">
        <f t="shared" si="213"/>
        <v>1348</v>
      </c>
      <c r="AU38" s="652">
        <f t="shared" si="213"/>
        <v>2484</v>
      </c>
      <c r="AV38" s="51">
        <f t="shared" ref="AV38:AW38" si="214">AV32+AV34</f>
        <v>4408</v>
      </c>
      <c r="AW38" s="541">
        <f t="shared" si="214"/>
        <v>1428</v>
      </c>
      <c r="AX38" s="652">
        <f t="shared" ref="AX38:AY38" si="215">AX32+AX34</f>
        <v>5836</v>
      </c>
      <c r="AY38" s="51">
        <f t="shared" si="215"/>
        <v>1615</v>
      </c>
      <c r="AZ38" s="237">
        <f t="shared" ref="AZ38" si="216">AZ32+AZ34</f>
        <v>2180.1924886960078</v>
      </c>
      <c r="BA38" s="576">
        <f t="shared" si="206"/>
        <v>3649.1924886960073</v>
      </c>
      <c r="BB38" s="48">
        <f t="shared" si="206"/>
        <v>2036.7891674351474</v>
      </c>
      <c r="BC38" s="237">
        <f t="shared" ref="BC38" si="217">BC32+BC34</f>
        <v>2131.3783541855128</v>
      </c>
      <c r="BD38" s="576">
        <f t="shared" si="206"/>
        <v>4168.1675216206586</v>
      </c>
      <c r="BE38" s="48">
        <f t="shared" si="206"/>
        <v>2352.1855641149864</v>
      </c>
      <c r="BF38" s="237">
        <f t="shared" ref="BF38" si="218">BF32+BF34</f>
        <v>2514.7388404687063</v>
      </c>
      <c r="BG38" s="576">
        <f t="shared" si="206"/>
        <v>4866.9244045836931</v>
      </c>
      <c r="BH38" s="48">
        <f t="shared" si="206"/>
        <v>2787.8596121061346</v>
      </c>
      <c r="BI38" s="237">
        <f t="shared" ref="BI38" si="219">BI32+BI34</f>
        <v>2986.5089089125499</v>
      </c>
      <c r="BJ38" s="576">
        <f t="shared" si="206"/>
        <v>5774.3685210186823</v>
      </c>
      <c r="BK38" s="48">
        <f t="shared" si="206"/>
        <v>3335.1635047436021</v>
      </c>
      <c r="BL38" s="237">
        <f t="shared" ref="BL38" si="220">BL32+BL34</f>
        <v>3569.7257370380412</v>
      </c>
      <c r="BM38" s="576">
        <f t="shared" si="206"/>
        <v>6904.8892417816451</v>
      </c>
    </row>
    <row r="39" spans="1:66">
      <c r="A39" s="25" t="s">
        <v>48</v>
      </c>
      <c r="B39" s="40">
        <v>0</v>
      </c>
      <c r="C39" s="40">
        <v>0</v>
      </c>
      <c r="D39" s="40">
        <v>0</v>
      </c>
      <c r="E39" s="40">
        <v>0</v>
      </c>
      <c r="F39" s="40">
        <v>0</v>
      </c>
      <c r="G39" s="40">
        <v>0</v>
      </c>
      <c r="H39" s="40">
        <v>0</v>
      </c>
      <c r="I39" s="40">
        <v>0</v>
      </c>
      <c r="J39" s="40">
        <v>0</v>
      </c>
      <c r="K39" s="40">
        <v>0</v>
      </c>
      <c r="L39" s="40">
        <v>0</v>
      </c>
      <c r="M39" s="40">
        <v>0</v>
      </c>
      <c r="N39" s="40">
        <v>0</v>
      </c>
      <c r="O39" s="40">
        <v>56</v>
      </c>
      <c r="P39" s="40">
        <v>142</v>
      </c>
      <c r="Q39" s="40">
        <v>0</v>
      </c>
      <c r="R39" s="40">
        <v>0</v>
      </c>
      <c r="S39" s="630">
        <f>T39-R39</f>
        <v>0</v>
      </c>
      <c r="T39" s="653">
        <v>0</v>
      </c>
      <c r="U39" s="40">
        <v>0</v>
      </c>
      <c r="V39" s="630">
        <f>W39-U39</f>
        <v>0</v>
      </c>
      <c r="W39" s="653">
        <v>0</v>
      </c>
      <c r="X39" s="40">
        <v>0</v>
      </c>
      <c r="Y39" s="630">
        <f>Z39-X39</f>
        <v>0</v>
      </c>
      <c r="Z39" s="653">
        <v>0</v>
      </c>
      <c r="AA39" s="40">
        <v>0</v>
      </c>
      <c r="AB39" s="630">
        <f>AC39-AA39</f>
        <v>0</v>
      </c>
      <c r="AC39" s="653">
        <f>Z39</f>
        <v>0</v>
      </c>
      <c r="AD39" s="40">
        <v>0</v>
      </c>
      <c r="AE39" s="630">
        <f>AF39-AD39</f>
        <v>0</v>
      </c>
      <c r="AF39" s="653">
        <f t="shared" ref="AF39" si="221">AC39</f>
        <v>0</v>
      </c>
      <c r="AG39" s="40">
        <v>-117</v>
      </c>
      <c r="AH39" s="630">
        <f>AI39-AG39</f>
        <v>49</v>
      </c>
      <c r="AI39" s="653">
        <v>-68</v>
      </c>
      <c r="AJ39" s="40">
        <v>-1</v>
      </c>
      <c r="AK39" s="630">
        <f>AL39-AJ39</f>
        <v>-2</v>
      </c>
      <c r="AL39" s="653">
        <v>-3</v>
      </c>
      <c r="AM39" s="40">
        <f>60-4</f>
        <v>56</v>
      </c>
      <c r="AN39" s="630">
        <f>AO39-AM39</f>
        <v>-136</v>
      </c>
      <c r="AO39" s="653">
        <v>-80</v>
      </c>
      <c r="AP39" s="40">
        <v>0</v>
      </c>
      <c r="AQ39" s="630">
        <f>AR39-AP39</f>
        <v>0</v>
      </c>
      <c r="AR39" s="653">
        <v>0</v>
      </c>
      <c r="AS39" s="40">
        <v>0</v>
      </c>
      <c r="AT39" s="630">
        <f>AU39-AS39</f>
        <v>0</v>
      </c>
      <c r="AU39" s="653">
        <v>0</v>
      </c>
      <c r="AV39" s="40">
        <v>0</v>
      </c>
      <c r="AW39" s="539">
        <f>AX39-AV39</f>
        <v>0</v>
      </c>
      <c r="AX39" s="653">
        <v>0</v>
      </c>
      <c r="AY39" s="40">
        <v>0</v>
      </c>
      <c r="AZ39" s="236">
        <f>BA39-AY39</f>
        <v>0</v>
      </c>
      <c r="BA39" s="605">
        <f>AX39</f>
        <v>0</v>
      </c>
      <c r="BB39" s="56">
        <f>BD39/2</f>
        <v>0</v>
      </c>
      <c r="BC39" s="236">
        <f>BD39-BB39</f>
        <v>0</v>
      </c>
      <c r="BD39" s="605">
        <f>BA39</f>
        <v>0</v>
      </c>
      <c r="BE39" s="56">
        <f>BG39/2</f>
        <v>0</v>
      </c>
      <c r="BF39" s="236">
        <f>BG39-BE39</f>
        <v>0</v>
      </c>
      <c r="BG39" s="605">
        <f>BD39</f>
        <v>0</v>
      </c>
      <c r="BH39" s="56">
        <f>BJ39/2</f>
        <v>0</v>
      </c>
      <c r="BI39" s="236">
        <f>BJ39-BH39</f>
        <v>0</v>
      </c>
      <c r="BJ39" s="605">
        <f>BG39</f>
        <v>0</v>
      </c>
      <c r="BK39" s="56">
        <f>BM39/2</f>
        <v>0</v>
      </c>
      <c r="BL39" s="236">
        <f>BM39-BK39</f>
        <v>0</v>
      </c>
      <c r="BM39" s="605">
        <f>BJ39</f>
        <v>0</v>
      </c>
    </row>
    <row r="40" spans="1:66">
      <c r="A40" s="25" t="s">
        <v>59</v>
      </c>
      <c r="B40" s="40">
        <v>0</v>
      </c>
      <c r="C40" s="40">
        <v>0</v>
      </c>
      <c r="D40" s="40">
        <v>0</v>
      </c>
      <c r="E40" s="40">
        <v>0</v>
      </c>
      <c r="F40" s="40">
        <v>-1</v>
      </c>
      <c r="G40" s="40">
        <v>3</v>
      </c>
      <c r="H40" s="40">
        <v>4</v>
      </c>
      <c r="I40" s="40">
        <v>6</v>
      </c>
      <c r="J40" s="40">
        <v>5</v>
      </c>
      <c r="K40" s="40">
        <v>4</v>
      </c>
      <c r="L40" s="40">
        <v>-4</v>
      </c>
      <c r="M40" s="40">
        <v>2</v>
      </c>
      <c r="N40" s="40">
        <v>-14</v>
      </c>
      <c r="O40" s="40">
        <v>-12</v>
      </c>
      <c r="P40" s="40">
        <v>11</v>
      </c>
      <c r="Q40" s="40">
        <v>-1</v>
      </c>
      <c r="R40" s="40">
        <v>0</v>
      </c>
      <c r="S40" s="630">
        <f>T40-R40</f>
        <v>0</v>
      </c>
      <c r="T40" s="653">
        <v>0</v>
      </c>
      <c r="U40" s="40">
        <v>0</v>
      </c>
      <c r="V40" s="630">
        <f>W40-U40</f>
        <v>-1</v>
      </c>
      <c r="W40" s="653">
        <v>-1</v>
      </c>
      <c r="X40" s="40">
        <v>0</v>
      </c>
      <c r="Y40" s="630">
        <f>Z40-X40</f>
        <v>-1</v>
      </c>
      <c r="Z40" s="653">
        <v>-1</v>
      </c>
      <c r="AA40" s="40">
        <v>-2</v>
      </c>
      <c r="AB40" s="630">
        <f>AC40-AA40</f>
        <v>-6</v>
      </c>
      <c r="AC40" s="653">
        <v>-8</v>
      </c>
      <c r="AD40" s="40">
        <v>-2</v>
      </c>
      <c r="AE40" s="630">
        <f>AF40-AD40</f>
        <v>-2</v>
      </c>
      <c r="AF40" s="653">
        <v>-4</v>
      </c>
      <c r="AG40" s="40">
        <v>-2</v>
      </c>
      <c r="AH40" s="630">
        <f>AI40-AG40</f>
        <v>1</v>
      </c>
      <c r="AI40" s="653">
        <v>-1</v>
      </c>
      <c r="AJ40" s="40">
        <v>0</v>
      </c>
      <c r="AK40" s="630">
        <f>AL40-AJ40</f>
        <v>-1</v>
      </c>
      <c r="AL40" s="653">
        <v>-1</v>
      </c>
      <c r="AM40" s="40">
        <v>1</v>
      </c>
      <c r="AN40" s="630">
        <f>AO40-AM40</f>
        <v>4</v>
      </c>
      <c r="AO40" s="653">
        <v>5</v>
      </c>
      <c r="AP40" s="40">
        <v>6</v>
      </c>
      <c r="AQ40" s="630">
        <f>AR40-AP40</f>
        <v>2</v>
      </c>
      <c r="AR40" s="653">
        <v>8</v>
      </c>
      <c r="AS40" s="40">
        <v>13</v>
      </c>
      <c r="AT40" s="630">
        <f>AU40-AS40</f>
        <v>24</v>
      </c>
      <c r="AU40" s="653">
        <v>37</v>
      </c>
      <c r="AV40" s="40">
        <v>8</v>
      </c>
      <c r="AW40" s="539">
        <f>AX40-AV40</f>
        <v>-3</v>
      </c>
      <c r="AX40" s="653">
        <v>5</v>
      </c>
      <c r="AY40" s="40">
        <v>-2</v>
      </c>
      <c r="AZ40" s="236">
        <f>BA40-AY40</f>
        <v>0</v>
      </c>
      <c r="BA40" s="580">
        <v>-2</v>
      </c>
      <c r="BB40" s="56">
        <f>BD40/2</f>
        <v>0</v>
      </c>
      <c r="BC40" s="236">
        <f>BD40-BB40</f>
        <v>0</v>
      </c>
      <c r="BD40" s="580">
        <v>0</v>
      </c>
      <c r="BE40" s="56">
        <f>BG40/2</f>
        <v>0</v>
      </c>
      <c r="BF40" s="236">
        <f>BG40-BE40</f>
        <v>0</v>
      </c>
      <c r="BG40" s="605">
        <f>BD40</f>
        <v>0</v>
      </c>
      <c r="BH40" s="56">
        <f>BJ40/2</f>
        <v>0</v>
      </c>
      <c r="BI40" s="236">
        <f>BJ40-BH40</f>
        <v>0</v>
      </c>
      <c r="BJ40" s="605">
        <f>BG40</f>
        <v>0</v>
      </c>
      <c r="BK40" s="56">
        <f>BM40/2</f>
        <v>0</v>
      </c>
      <c r="BL40" s="236">
        <f>BM40-BK40</f>
        <v>0</v>
      </c>
      <c r="BM40" s="605">
        <f>BJ40</f>
        <v>0</v>
      </c>
    </row>
    <row r="41" spans="1:66">
      <c r="A41" s="25" t="s">
        <v>60</v>
      </c>
      <c r="B41" s="40">
        <v>0</v>
      </c>
      <c r="C41" s="40">
        <v>0</v>
      </c>
      <c r="D41" s="40">
        <v>0</v>
      </c>
      <c r="E41" s="40">
        <v>0</v>
      </c>
      <c r="F41" s="40">
        <v>-1</v>
      </c>
      <c r="G41" s="40">
        <v>3</v>
      </c>
      <c r="H41" s="40">
        <v>4</v>
      </c>
      <c r="I41" s="40">
        <v>6</v>
      </c>
      <c r="J41" s="40">
        <v>5</v>
      </c>
      <c r="K41" s="40">
        <v>4</v>
      </c>
      <c r="L41" s="40">
        <v>-4</v>
      </c>
      <c r="M41" s="40">
        <v>2</v>
      </c>
      <c r="N41" s="40">
        <v>-14</v>
      </c>
      <c r="O41" s="40">
        <v>-101</v>
      </c>
      <c r="P41" s="40">
        <v>-6</v>
      </c>
      <c r="Q41" s="40">
        <v>-1</v>
      </c>
      <c r="R41" s="40">
        <v>0</v>
      </c>
      <c r="S41" s="630">
        <f>T41-R41</f>
        <v>0</v>
      </c>
      <c r="T41" s="653">
        <v>0</v>
      </c>
      <c r="U41" s="40">
        <v>0</v>
      </c>
      <c r="V41" s="630">
        <f>W41-U41</f>
        <v>-1</v>
      </c>
      <c r="W41" s="653">
        <v>-1</v>
      </c>
      <c r="X41" s="40">
        <v>0</v>
      </c>
      <c r="Y41" s="630">
        <f>Z41-X41</f>
        <v>-1</v>
      </c>
      <c r="Z41" s="653">
        <v>-1</v>
      </c>
      <c r="AA41" s="40">
        <v>-2</v>
      </c>
      <c r="AB41" s="630">
        <f>AC41-AA41</f>
        <v>-6</v>
      </c>
      <c r="AC41" s="653">
        <v>-8</v>
      </c>
      <c r="AD41" s="40">
        <v>-2</v>
      </c>
      <c r="AE41" s="630">
        <f>AF41-AD41</f>
        <v>-2</v>
      </c>
      <c r="AF41" s="653">
        <v>-4</v>
      </c>
      <c r="AG41" s="40">
        <v>0</v>
      </c>
      <c r="AH41" s="630">
        <f>AI41-AG41</f>
        <v>0</v>
      </c>
      <c r="AI41" s="653">
        <v>0</v>
      </c>
      <c r="AJ41" s="40">
        <v>0</v>
      </c>
      <c r="AK41" s="630">
        <f>AL41-AJ41</f>
        <v>-1</v>
      </c>
      <c r="AL41" s="653">
        <v>-1</v>
      </c>
      <c r="AM41" s="40">
        <v>1</v>
      </c>
      <c r="AN41" s="630">
        <f>AO41-AM41</f>
        <v>-6</v>
      </c>
      <c r="AO41" s="653">
        <v>-5</v>
      </c>
      <c r="AP41" s="40">
        <v>6</v>
      </c>
      <c r="AQ41" s="630">
        <f>AR41-AP41</f>
        <v>2</v>
      </c>
      <c r="AR41" s="653">
        <v>8</v>
      </c>
      <c r="AS41" s="40">
        <v>13</v>
      </c>
      <c r="AT41" s="630">
        <f>AU41-AS41</f>
        <v>24</v>
      </c>
      <c r="AU41" s="653">
        <v>37</v>
      </c>
      <c r="AV41" s="40">
        <v>8</v>
      </c>
      <c r="AW41" s="539">
        <f>AX41-AV41</f>
        <v>-3</v>
      </c>
      <c r="AX41" s="653">
        <v>5</v>
      </c>
      <c r="AY41" s="40">
        <f>AY40</f>
        <v>-2</v>
      </c>
      <c r="AZ41" s="236">
        <f>BA41-AY41</f>
        <v>0</v>
      </c>
      <c r="BA41" s="580">
        <v>-2</v>
      </c>
      <c r="BB41" s="56">
        <f>BD41/2</f>
        <v>0</v>
      </c>
      <c r="BC41" s="236">
        <f>BD41-BB41</f>
        <v>0</v>
      </c>
      <c r="BD41" s="580">
        <v>0</v>
      </c>
      <c r="BE41" s="56">
        <f>BG41/2</f>
        <v>0</v>
      </c>
      <c r="BF41" s="236">
        <f>BG41-BE41</f>
        <v>0</v>
      </c>
      <c r="BG41" s="605">
        <f>BD41</f>
        <v>0</v>
      </c>
      <c r="BH41" s="56">
        <f>BJ41/2</f>
        <v>0</v>
      </c>
      <c r="BI41" s="236">
        <f>BJ41-BH41</f>
        <v>0</v>
      </c>
      <c r="BJ41" s="605">
        <f>BG41</f>
        <v>0</v>
      </c>
      <c r="BK41" s="56">
        <f>BM41/2</f>
        <v>0</v>
      </c>
      <c r="BL41" s="236">
        <f>BM41-BK41</f>
        <v>0</v>
      </c>
      <c r="BM41" s="605">
        <f>BJ41</f>
        <v>0</v>
      </c>
    </row>
    <row r="42" spans="1:66">
      <c r="A42" s="31" t="s">
        <v>212</v>
      </c>
      <c r="B42" s="51">
        <f t="shared" ref="B42:BM42" si="222">B38+B39+B40</f>
        <v>79</v>
      </c>
      <c r="C42" s="51">
        <f t="shared" si="222"/>
        <v>106</v>
      </c>
      <c r="D42" s="51">
        <f t="shared" si="222"/>
        <v>53</v>
      </c>
      <c r="E42" s="51">
        <f t="shared" si="222"/>
        <v>116</v>
      </c>
      <c r="F42" s="51">
        <f t="shared" si="222"/>
        <v>263</v>
      </c>
      <c r="G42" s="51">
        <f t="shared" si="222"/>
        <v>350</v>
      </c>
      <c r="H42" s="51">
        <f t="shared" si="222"/>
        <v>998</v>
      </c>
      <c r="I42" s="51">
        <f t="shared" si="222"/>
        <v>651</v>
      </c>
      <c r="J42" s="51">
        <f t="shared" si="222"/>
        <v>-1340</v>
      </c>
      <c r="K42" s="51">
        <f t="shared" si="222"/>
        <v>2221</v>
      </c>
      <c r="L42" s="51">
        <f t="shared" si="222"/>
        <v>539</v>
      </c>
      <c r="M42" s="51">
        <f t="shared" si="222"/>
        <v>850</v>
      </c>
      <c r="N42" s="51">
        <f t="shared" si="222"/>
        <v>2321</v>
      </c>
      <c r="O42" s="51">
        <f t="shared" si="222"/>
        <v>1367</v>
      </c>
      <c r="P42" s="51">
        <f t="shared" si="222"/>
        <v>69</v>
      </c>
      <c r="Q42" s="51">
        <f t="shared" si="222"/>
        <v>83</v>
      </c>
      <c r="R42" s="51">
        <f t="shared" si="222"/>
        <v>-1772</v>
      </c>
      <c r="S42" s="629">
        <f t="shared" si="222"/>
        <v>-2260</v>
      </c>
      <c r="T42" s="652">
        <f t="shared" si="222"/>
        <v>-4032</v>
      </c>
      <c r="U42" s="51">
        <f t="shared" ref="U42:V42" si="223">U38+U39+U40</f>
        <v>1581</v>
      </c>
      <c r="V42" s="629">
        <f t="shared" si="223"/>
        <v>2626</v>
      </c>
      <c r="W42" s="652">
        <f t="shared" si="222"/>
        <v>4207</v>
      </c>
      <c r="X42" s="51">
        <f t="shared" si="222"/>
        <v>1172</v>
      </c>
      <c r="Y42" s="629">
        <f t="shared" si="222"/>
        <v>2210</v>
      </c>
      <c r="Z42" s="652">
        <f>Z38+Z39+Z40</f>
        <v>3382</v>
      </c>
      <c r="AA42" s="51">
        <f t="shared" ref="AA42:AB42" si="224">AA38+AA39+AA40</f>
        <v>-962</v>
      </c>
      <c r="AB42" s="629">
        <f t="shared" si="224"/>
        <v>-1439</v>
      </c>
      <c r="AC42" s="652">
        <f>AC38+AC39+AC40</f>
        <v>-2401</v>
      </c>
      <c r="AD42" s="51">
        <f t="shared" ref="AD42:AE42" si="225">AD38+AD39+AD40</f>
        <v>-909</v>
      </c>
      <c r="AE42" s="629">
        <f t="shared" si="225"/>
        <v>-406</v>
      </c>
      <c r="AF42" s="652">
        <f t="shared" si="222"/>
        <v>-1315</v>
      </c>
      <c r="AG42" s="51">
        <f t="shared" si="222"/>
        <v>-5380</v>
      </c>
      <c r="AH42" s="629">
        <f t="shared" si="222"/>
        <v>2210</v>
      </c>
      <c r="AI42" s="652">
        <f>AI38+AI39+AI40</f>
        <v>-3170</v>
      </c>
      <c r="AJ42" s="51">
        <f t="shared" ref="AJ42:AK42" si="226">AJ38+AJ39+AJ40</f>
        <v>393</v>
      </c>
      <c r="AK42" s="629">
        <f t="shared" si="226"/>
        <v>-273</v>
      </c>
      <c r="AL42" s="652">
        <f>AL38+AL39+AL40</f>
        <v>120</v>
      </c>
      <c r="AM42" s="51">
        <f t="shared" ref="AM42:AN42" si="227">AM38+AM39+AM40</f>
        <v>-1554</v>
      </c>
      <c r="AN42" s="629">
        <f t="shared" si="227"/>
        <v>285</v>
      </c>
      <c r="AO42" s="652">
        <f t="shared" si="222"/>
        <v>-1269</v>
      </c>
      <c r="AP42" s="51">
        <f t="shared" ref="AP42:AR42" si="228">AP38+AP39+AP40</f>
        <v>1229</v>
      </c>
      <c r="AQ42" s="629">
        <f t="shared" si="228"/>
        <v>1183</v>
      </c>
      <c r="AR42" s="652">
        <f t="shared" si="228"/>
        <v>2412</v>
      </c>
      <c r="AS42" s="51">
        <f t="shared" ref="AS42:AU42" si="229">AS38+AS39+AS40</f>
        <v>1149</v>
      </c>
      <c r="AT42" s="629">
        <f t="shared" si="229"/>
        <v>1372</v>
      </c>
      <c r="AU42" s="652">
        <f t="shared" si="229"/>
        <v>2521</v>
      </c>
      <c r="AV42" s="51">
        <f t="shared" ref="AV42:AW42" si="230">AV38+AV39+AV40</f>
        <v>4416</v>
      </c>
      <c r="AW42" s="541">
        <f t="shared" si="230"/>
        <v>1425</v>
      </c>
      <c r="AX42" s="652">
        <f t="shared" si="222"/>
        <v>5841</v>
      </c>
      <c r="AY42" s="51">
        <f t="shared" si="222"/>
        <v>1613</v>
      </c>
      <c r="AZ42" s="237">
        <f t="shared" si="222"/>
        <v>2180.1924886960078</v>
      </c>
      <c r="BA42" s="576">
        <f t="shared" si="222"/>
        <v>3647.1924886960073</v>
      </c>
      <c r="BB42" s="48">
        <f t="shared" si="222"/>
        <v>2036.7891674351474</v>
      </c>
      <c r="BC42" s="237">
        <f t="shared" si="222"/>
        <v>2131.3783541855128</v>
      </c>
      <c r="BD42" s="576">
        <f t="shared" si="222"/>
        <v>4168.1675216206586</v>
      </c>
      <c r="BE42" s="48">
        <f t="shared" si="222"/>
        <v>2352.1855641149864</v>
      </c>
      <c r="BF42" s="237">
        <f t="shared" si="222"/>
        <v>2514.7388404687063</v>
      </c>
      <c r="BG42" s="576">
        <f t="shared" si="222"/>
        <v>4866.9244045836931</v>
      </c>
      <c r="BH42" s="48">
        <f t="shared" si="222"/>
        <v>2787.8596121061346</v>
      </c>
      <c r="BI42" s="237">
        <f t="shared" si="222"/>
        <v>2986.5089089125499</v>
      </c>
      <c r="BJ42" s="576">
        <f t="shared" si="222"/>
        <v>5774.3685210186823</v>
      </c>
      <c r="BK42" s="48">
        <f t="shared" si="222"/>
        <v>3335.1635047436021</v>
      </c>
      <c r="BL42" s="237">
        <f t="shared" si="222"/>
        <v>3569.7257370380412</v>
      </c>
      <c r="BM42" s="576">
        <f t="shared" si="222"/>
        <v>6904.8892417816451</v>
      </c>
    </row>
    <row r="43" spans="1:66" ht="10.8" thickBot="1">
      <c r="A43" s="37" t="s">
        <v>49</v>
      </c>
      <c r="B43" s="84">
        <f t="shared" ref="B43:BM43" si="231">B33+B35+B41</f>
        <v>302</v>
      </c>
      <c r="C43" s="84">
        <f t="shared" si="231"/>
        <v>321</v>
      </c>
      <c r="D43" s="84">
        <f t="shared" si="231"/>
        <v>179</v>
      </c>
      <c r="E43" s="84">
        <f t="shared" si="231"/>
        <v>201</v>
      </c>
      <c r="F43" s="84">
        <f t="shared" si="231"/>
        <v>263</v>
      </c>
      <c r="G43" s="84">
        <f t="shared" si="231"/>
        <v>426</v>
      </c>
      <c r="H43" s="84">
        <f t="shared" si="231"/>
        <v>519</v>
      </c>
      <c r="I43" s="84">
        <f t="shared" si="231"/>
        <v>658</v>
      </c>
      <c r="J43" s="84">
        <f t="shared" si="231"/>
        <v>668</v>
      </c>
      <c r="K43" s="84">
        <f t="shared" si="231"/>
        <v>732</v>
      </c>
      <c r="L43" s="84">
        <f t="shared" si="231"/>
        <v>715</v>
      </c>
      <c r="M43" s="84">
        <f t="shared" si="231"/>
        <v>898</v>
      </c>
      <c r="N43" s="84">
        <f t="shared" si="231"/>
        <v>1103</v>
      </c>
      <c r="O43" s="84">
        <f t="shared" si="231"/>
        <v>1224</v>
      </c>
      <c r="P43" s="84">
        <f t="shared" si="231"/>
        <v>1226</v>
      </c>
      <c r="Q43" s="84">
        <f t="shared" si="231"/>
        <v>1080</v>
      </c>
      <c r="R43" s="84">
        <f>R33+R35+R41</f>
        <v>77</v>
      </c>
      <c r="S43" s="632">
        <f t="shared" ref="S43" si="232">S33+S35+S41</f>
        <v>475</v>
      </c>
      <c r="T43" s="655">
        <f t="shared" si="231"/>
        <v>552</v>
      </c>
      <c r="U43" s="84">
        <f>U33+U35+U41</f>
        <v>206</v>
      </c>
      <c r="V43" s="632">
        <f t="shared" ref="V43" si="233">V33+V35+V41</f>
        <v>536</v>
      </c>
      <c r="W43" s="655">
        <f>W33+W35+W41</f>
        <v>742</v>
      </c>
      <c r="X43" s="84">
        <f>X33+X35+X41</f>
        <v>-148</v>
      </c>
      <c r="Y43" s="632">
        <f t="shared" ref="Y43" si="234">Y33+Y35+Y41</f>
        <v>191</v>
      </c>
      <c r="Z43" s="655">
        <f>Z33+Z35+Z41</f>
        <v>43</v>
      </c>
      <c r="AA43" s="84">
        <f>AA33+AA35+AA41</f>
        <v>46</v>
      </c>
      <c r="AB43" s="632">
        <f t="shared" ref="AB43" si="235">AB33+AB35+AB41</f>
        <v>251</v>
      </c>
      <c r="AC43" s="655">
        <f>AC33+AC35+AC41</f>
        <v>297</v>
      </c>
      <c r="AD43" s="84">
        <f>AD33+AD35+AD41</f>
        <v>-30</v>
      </c>
      <c r="AE43" s="632">
        <f t="shared" ref="AE43" si="236">AE33+AE35+AE41</f>
        <v>332</v>
      </c>
      <c r="AF43" s="655">
        <f>AF33+AF35+AF41</f>
        <v>302</v>
      </c>
      <c r="AG43" s="84">
        <f>AG33+AG35+AG41</f>
        <v>-3293</v>
      </c>
      <c r="AH43" s="632">
        <f t="shared" ref="AH43" si="237">AH33+AH35+AH41</f>
        <v>-746</v>
      </c>
      <c r="AI43" s="655">
        <f t="shared" si="231"/>
        <v>-4039</v>
      </c>
      <c r="AJ43" s="84">
        <f>AJ33+AJ35+AJ41</f>
        <v>104</v>
      </c>
      <c r="AK43" s="632">
        <f t="shared" ref="AK43" si="238">AK33+AK35+AK41</f>
        <v>-95</v>
      </c>
      <c r="AL43" s="655">
        <f>AL33+AL35+AL41</f>
        <v>9</v>
      </c>
      <c r="AM43" s="84">
        <f>AM33+AM35+AM41</f>
        <v>-187</v>
      </c>
      <c r="AN43" s="632">
        <f t="shared" ref="AN43" si="239">AN33+AN35+AN41</f>
        <v>340</v>
      </c>
      <c r="AO43" s="655">
        <f t="shared" si="231"/>
        <v>152.99999999999997</v>
      </c>
      <c r="AP43" s="84">
        <f t="shared" ref="AP43:AR43" si="240">AP33+AP35+AP41</f>
        <v>410</v>
      </c>
      <c r="AQ43" s="632">
        <f t="shared" si="240"/>
        <v>740</v>
      </c>
      <c r="AR43" s="655">
        <f t="shared" si="240"/>
        <v>1150</v>
      </c>
      <c r="AS43" s="84">
        <f t="shared" ref="AS43:AT43" si="241">AS33+AS35+AS41</f>
        <v>750</v>
      </c>
      <c r="AT43" s="632">
        <f t="shared" si="241"/>
        <v>952</v>
      </c>
      <c r="AU43" s="655">
        <f>AU33+AU35+AU41</f>
        <v>1702</v>
      </c>
      <c r="AV43" s="84">
        <f t="shared" ref="AV43:AW43" si="242">AV33+AV35+AV41</f>
        <v>1327</v>
      </c>
      <c r="AW43" s="718">
        <f t="shared" si="242"/>
        <v>1160</v>
      </c>
      <c r="AX43" s="655">
        <f>AX33+AX35+AX41</f>
        <v>2487</v>
      </c>
      <c r="AY43" s="84">
        <f t="shared" ref="AY43" si="243">AY33+AY35+AY41</f>
        <v>1851</v>
      </c>
      <c r="AZ43" s="244">
        <f t="shared" si="231"/>
        <v>1785.3192133114676</v>
      </c>
      <c r="BA43" s="581">
        <f t="shared" si="231"/>
        <v>3636.3192133114662</v>
      </c>
      <c r="BB43" s="181">
        <f t="shared" si="231"/>
        <v>2047.5148960745114</v>
      </c>
      <c r="BC43" s="244">
        <f t="shared" si="231"/>
        <v>2142.6123020432979</v>
      </c>
      <c r="BD43" s="581">
        <f t="shared" si="231"/>
        <v>4190.1271981178088</v>
      </c>
      <c r="BE43" s="181">
        <f t="shared" si="231"/>
        <v>2363.6571434611374</v>
      </c>
      <c r="BF43" s="244">
        <f t="shared" si="231"/>
        <v>2526.936912021145</v>
      </c>
      <c r="BG43" s="581">
        <f t="shared" si="231"/>
        <v>4890.5940554822828</v>
      </c>
      <c r="BH43" s="181">
        <f t="shared" si="231"/>
        <v>2800.3536541737112</v>
      </c>
      <c r="BI43" s="244">
        <f t="shared" si="231"/>
        <v>2999.8144149301061</v>
      </c>
      <c r="BJ43" s="581">
        <f t="shared" si="231"/>
        <v>5800.1680691038164</v>
      </c>
      <c r="BK43" s="181">
        <f t="shared" si="231"/>
        <v>3348.8074137968129</v>
      </c>
      <c r="BL43" s="244">
        <f t="shared" si="231"/>
        <v>3584.2581003230412</v>
      </c>
      <c r="BM43" s="581">
        <f t="shared" si="231"/>
        <v>6933.0655141198558</v>
      </c>
    </row>
    <row r="44" spans="1:66">
      <c r="A44" s="31" t="s">
        <v>50</v>
      </c>
      <c r="B44" s="86">
        <f t="shared" ref="B44:BM44" si="244">B42/B60*100</f>
        <v>5.0706033376123232</v>
      </c>
      <c r="C44" s="86">
        <f t="shared" si="244"/>
        <v>6.6708621774701076</v>
      </c>
      <c r="D44" s="86">
        <f t="shared" si="244"/>
        <v>3.2878411910669971</v>
      </c>
      <c r="E44" s="86">
        <f t="shared" si="244"/>
        <v>7.043108682452945</v>
      </c>
      <c r="F44" s="86">
        <f t="shared" si="244"/>
        <v>15.562130177514794</v>
      </c>
      <c r="G44" s="86">
        <f t="shared" si="244"/>
        <v>20.114942528735632</v>
      </c>
      <c r="H44" s="86">
        <f t="shared" si="244"/>
        <v>57.323377369327979</v>
      </c>
      <c r="I44" s="86">
        <f t="shared" si="244"/>
        <v>36.166666666666671</v>
      </c>
      <c r="J44" s="86">
        <f t="shared" si="244"/>
        <v>-73.626373626373635</v>
      </c>
      <c r="K44" s="86">
        <f t="shared" si="244"/>
        <v>120.37940379403793</v>
      </c>
      <c r="L44" s="86">
        <f t="shared" si="244"/>
        <v>29.198266522210186</v>
      </c>
      <c r="M44" s="86">
        <f t="shared" si="244"/>
        <v>45.945945945945951</v>
      </c>
      <c r="N44" s="86">
        <f t="shared" si="244"/>
        <v>125.39168017287952</v>
      </c>
      <c r="O44" s="86">
        <f t="shared" si="244"/>
        <v>73.258306538049297</v>
      </c>
      <c r="P44" s="86">
        <f t="shared" si="244"/>
        <v>3.6819637139807897</v>
      </c>
      <c r="Q44" s="86">
        <f t="shared" si="244"/>
        <v>4.5133224578575311</v>
      </c>
      <c r="R44" s="86">
        <f t="shared" ref="R44:S44" si="245">R42/R60*100</f>
        <v>-96.724890829694317</v>
      </c>
      <c r="S44" s="634">
        <f t="shared" si="245"/>
        <v>-123.36244541484716</v>
      </c>
      <c r="T44" s="657">
        <f t="shared" si="244"/>
        <v>-220.08733624454146</v>
      </c>
      <c r="U44" s="86">
        <f t="shared" si="244"/>
        <v>86.205016357688109</v>
      </c>
      <c r="V44" s="634">
        <f t="shared" si="244"/>
        <v>143.18429661941113</v>
      </c>
      <c r="W44" s="657">
        <f>W42/W60*100</f>
        <v>229.38931297709922</v>
      </c>
      <c r="X44" s="86">
        <f t="shared" ref="X44:Y44" si="246">X42/X60*100</f>
        <v>63.904034896401306</v>
      </c>
      <c r="Y44" s="634">
        <f t="shared" si="246"/>
        <v>120.50163576881134</v>
      </c>
      <c r="Z44" s="657">
        <f>Z42/Z60*100</f>
        <v>184.40567066521265</v>
      </c>
      <c r="AA44" s="86">
        <f t="shared" ref="AA44:AB44" si="247">AA42/AA60*100</f>
        <v>-52.028123309897246</v>
      </c>
      <c r="AB44" s="634">
        <f t="shared" si="247"/>
        <v>-76.99304440877475</v>
      </c>
      <c r="AC44" s="657">
        <f>AC42/AC60*100</f>
        <v>-129.15545992469069</v>
      </c>
      <c r="AD44" s="86">
        <f t="shared" ref="AD44:AE44" si="248">AD42/AD60*100</f>
        <v>-48.019017432646592</v>
      </c>
      <c r="AE44" s="634">
        <f t="shared" si="248"/>
        <v>-21.201044386422975</v>
      </c>
      <c r="AF44" s="657">
        <f t="shared" si="244"/>
        <v>-69.065126050420162</v>
      </c>
      <c r="AG44" s="86">
        <f t="shared" ref="AG44:AH44" si="249">AG42/AG60*100</f>
        <v>-96.122922994461319</v>
      </c>
      <c r="AH44" s="634">
        <f t="shared" si="249"/>
        <v>34.65579426062412</v>
      </c>
      <c r="AI44" s="657">
        <f t="shared" si="244"/>
        <v>-52.948054117254053</v>
      </c>
      <c r="AJ44" s="86">
        <f t="shared" si="244"/>
        <v>4.7173208498379546</v>
      </c>
      <c r="AK44" s="634">
        <f t="shared" si="244"/>
        <v>-3.2761310452418098</v>
      </c>
      <c r="AL44" s="657">
        <f>AL42/AL60*100</f>
        <v>1.4402304368698993</v>
      </c>
      <c r="AM44" s="86">
        <f t="shared" ref="AM44:AN44" si="250">AM42/AM60*100</f>
        <v>-18.621929298981428</v>
      </c>
      <c r="AN44" s="634">
        <f t="shared" si="250"/>
        <v>3.4119478031844848</v>
      </c>
      <c r="AO44" s="657">
        <f t="shared" si="244"/>
        <v>-15.199425080848005</v>
      </c>
      <c r="AP44" s="86">
        <f t="shared" ref="AP44:AR44" si="251">AP42/AP60*100</f>
        <v>14.702715635841606</v>
      </c>
      <c r="AQ44" s="634">
        <f t="shared" si="251"/>
        <v>14.145641516202319</v>
      </c>
      <c r="AR44" s="657">
        <f t="shared" si="251"/>
        <v>28.848223896663079</v>
      </c>
      <c r="AS44" s="86">
        <f t="shared" ref="AS44:AU44" si="252">AS42/AS60*100</f>
        <v>13.711217183770882</v>
      </c>
      <c r="AT44" s="634">
        <f t="shared" si="252"/>
        <v>16.341114816579324</v>
      </c>
      <c r="AU44" s="657">
        <f t="shared" si="252"/>
        <v>30.054840247973296</v>
      </c>
      <c r="AV44" s="86">
        <f t="shared" ref="AV44:AW44" si="253">AV42/AV60*100</f>
        <v>52.384341637010678</v>
      </c>
      <c r="AW44" s="1103">
        <f t="shared" si="253"/>
        <v>16.964285714285715</v>
      </c>
      <c r="AX44" s="657">
        <f t="shared" si="244"/>
        <v>69.411764705882348</v>
      </c>
      <c r="AY44" s="86">
        <f t="shared" si="244"/>
        <v>19.317365269461078</v>
      </c>
      <c r="AZ44" s="253">
        <f t="shared" si="244"/>
        <v>26.784823087545114</v>
      </c>
      <c r="BA44" s="770">
        <f t="shared" si="244"/>
        <v>44.605864332696008</v>
      </c>
      <c r="BB44" s="966">
        <f t="shared" si="244"/>
        <v>25.299351326423654</v>
      </c>
      <c r="BC44" s="253">
        <f t="shared" si="244"/>
        <v>26.770968638659674</v>
      </c>
      <c r="BD44" s="770">
        <f t="shared" si="244"/>
        <v>52.062119440573049</v>
      </c>
      <c r="BE44" s="966">
        <f t="shared" si="244"/>
        <v>29.879263803648108</v>
      </c>
      <c r="BF44" s="253">
        <f t="shared" si="244"/>
        <v>32.310358493987273</v>
      </c>
      <c r="BG44" s="770">
        <f t="shared" si="244"/>
        <v>62.17576627818395</v>
      </c>
      <c r="BH44" s="966">
        <f t="shared" si="244"/>
        <v>36.026029382478789</v>
      </c>
      <c r="BI44" s="253">
        <f t="shared" si="244"/>
        <v>38.593068760100159</v>
      </c>
      <c r="BJ44" s="770">
        <f t="shared" si="244"/>
        <v>74.61909814257892</v>
      </c>
      <c r="BK44" s="966">
        <f t="shared" si="244"/>
        <v>43.098546962518178</v>
      </c>
      <c r="BL44" s="253">
        <f t="shared" si="244"/>
        <v>46.129670135279142</v>
      </c>
      <c r="BM44" s="770">
        <f t="shared" si="244"/>
        <v>89.228217097797341</v>
      </c>
    </row>
    <row r="45" spans="1:66">
      <c r="A45" s="25" t="s">
        <v>51</v>
      </c>
      <c r="B45" s="86">
        <f t="shared" ref="B45:BM45" si="254">B42/B62*100</f>
        <v>5.0446998722860794</v>
      </c>
      <c r="C45" s="86">
        <f t="shared" si="254"/>
        <v>6.5594059405940595</v>
      </c>
      <c r="D45" s="86">
        <f t="shared" si="254"/>
        <v>3.2635467980295569</v>
      </c>
      <c r="E45" s="86">
        <f t="shared" si="254"/>
        <v>6.9419509275882714</v>
      </c>
      <c r="F45" s="86">
        <f t="shared" si="254"/>
        <v>15.054378935317688</v>
      </c>
      <c r="G45" s="86">
        <f t="shared" si="254"/>
        <v>19.305019305019304</v>
      </c>
      <c r="H45" s="86">
        <f t="shared" si="254"/>
        <v>55.138121546961329</v>
      </c>
      <c r="I45" s="86">
        <f t="shared" si="254"/>
        <v>35.418933623503804</v>
      </c>
      <c r="J45" s="86">
        <f t="shared" si="254"/>
        <v>-73.626373626373635</v>
      </c>
      <c r="K45" s="86">
        <f t="shared" si="254"/>
        <v>119.08847184986595</v>
      </c>
      <c r="L45" s="86">
        <f t="shared" si="254"/>
        <v>28.823529411764703</v>
      </c>
      <c r="M45" s="86">
        <f t="shared" si="254"/>
        <v>45.333333333333329</v>
      </c>
      <c r="N45" s="86">
        <f t="shared" si="254"/>
        <v>123.72068230277185</v>
      </c>
      <c r="O45" s="86">
        <f t="shared" si="254"/>
        <v>72.443031266560681</v>
      </c>
      <c r="P45" s="86">
        <f t="shared" si="254"/>
        <v>3.646934460887949</v>
      </c>
      <c r="Q45" s="86">
        <f t="shared" si="254"/>
        <v>4.4840626688276606</v>
      </c>
      <c r="R45" s="86">
        <f t="shared" ref="R45:S45" si="255">R42/R62*100</f>
        <v>-96.252036936447581</v>
      </c>
      <c r="S45" s="634">
        <f t="shared" si="255"/>
        <v>-123.36244541484716</v>
      </c>
      <c r="T45" s="657">
        <f t="shared" si="254"/>
        <v>-220.08733624454146</v>
      </c>
      <c r="U45" s="86">
        <f t="shared" si="254"/>
        <v>86.06423516603158</v>
      </c>
      <c r="V45" s="634">
        <f t="shared" si="254"/>
        <v>142.71739130434781</v>
      </c>
      <c r="W45" s="657">
        <f>W42/W62*100</f>
        <v>228.64130434782609</v>
      </c>
      <c r="X45" s="86">
        <f t="shared" ref="X45:Y45" si="256">X42/X62*100</f>
        <v>63.799673380511699</v>
      </c>
      <c r="Y45" s="634">
        <f t="shared" si="256"/>
        <v>120.10869565217391</v>
      </c>
      <c r="Z45" s="657">
        <f>Z42/Z62*100</f>
        <v>183.80434782608697</v>
      </c>
      <c r="AA45" s="86">
        <f t="shared" ref="AA45:AB45" si="257">AA42/AA62*100</f>
        <v>-52.028123309897246</v>
      </c>
      <c r="AB45" s="634">
        <f t="shared" si="257"/>
        <v>-76.99304440877475</v>
      </c>
      <c r="AC45" s="657">
        <f>AC42/AC62*100</f>
        <v>-129.15545992469069</v>
      </c>
      <c r="AD45" s="86">
        <f t="shared" ref="AD45:AE45" si="258">AD42/AD62*100</f>
        <v>-48.019017432646592</v>
      </c>
      <c r="AE45" s="634">
        <f t="shared" si="258"/>
        <v>-21.201044386422975</v>
      </c>
      <c r="AF45" s="657">
        <f t="shared" si="254"/>
        <v>-69.065126050420162</v>
      </c>
      <c r="AG45" s="86">
        <f t="shared" ref="AG45:AH45" si="259">AG42/AG62*100</f>
        <v>-96.122922994461319</v>
      </c>
      <c r="AH45" s="634">
        <f t="shared" si="259"/>
        <v>34.65579426062412</v>
      </c>
      <c r="AI45" s="657">
        <f t="shared" si="254"/>
        <v>-52.948054117254053</v>
      </c>
      <c r="AJ45" s="86">
        <f t="shared" si="254"/>
        <v>4.7071505569529286</v>
      </c>
      <c r="AK45" s="634">
        <f t="shared" si="254"/>
        <v>-3.2682868430504013</v>
      </c>
      <c r="AL45" s="657">
        <f>AL42/AL62*100</f>
        <v>1.4367816091954022</v>
      </c>
      <c r="AM45" s="86">
        <f t="shared" ref="AM45:AN45" si="260">AM42/AM62*100</f>
        <v>-18.621929298981428</v>
      </c>
      <c r="AN45" s="634">
        <f t="shared" si="260"/>
        <v>3.4119478031844848</v>
      </c>
      <c r="AO45" s="657">
        <f t="shared" si="254"/>
        <v>-15.199425080848005</v>
      </c>
      <c r="AP45" s="86">
        <f t="shared" ref="AP45:AR45" si="261">AP42/AP62*100</f>
        <v>14.671123313835501</v>
      </c>
      <c r="AQ45" s="634">
        <f t="shared" si="261"/>
        <v>14.028222459385747</v>
      </c>
      <c r="AR45" s="657">
        <f t="shared" si="261"/>
        <v>28.697204045211183</v>
      </c>
      <c r="AS45" s="86">
        <f t="shared" ref="AS45:AU45" si="262">AS42/AS62*100</f>
        <v>13.626660341555977</v>
      </c>
      <c r="AT45" s="634">
        <f t="shared" si="262"/>
        <v>16.244376035993369</v>
      </c>
      <c r="AU45" s="657">
        <f t="shared" si="262"/>
        <v>29.87320772603389</v>
      </c>
      <c r="AV45" s="86">
        <f t="shared" ref="AV45:AW45" si="263">AV42/AV62*100</f>
        <v>52.149267831837506</v>
      </c>
      <c r="AW45" s="1103">
        <f t="shared" si="263"/>
        <v>16.907925961082107</v>
      </c>
      <c r="AX45" s="657">
        <f t="shared" si="254"/>
        <v>69.140625</v>
      </c>
      <c r="AY45" s="86">
        <f t="shared" si="254"/>
        <v>19.275812619502869</v>
      </c>
      <c r="AZ45" s="253">
        <f t="shared" si="254"/>
        <v>26.719171244550356</v>
      </c>
      <c r="BA45" s="770">
        <f t="shared" si="254"/>
        <v>44.49702290614055</v>
      </c>
      <c r="BB45" s="966">
        <f t="shared" si="254"/>
        <v>25.23665744791257</v>
      </c>
      <c r="BC45" s="253">
        <f t="shared" si="254"/>
        <v>26.703886329968118</v>
      </c>
      <c r="BD45" s="770">
        <f t="shared" si="254"/>
        <v>51.932388081307913</v>
      </c>
      <c r="BE45" s="966">
        <f t="shared" si="254"/>
        <v>29.803546306189364</v>
      </c>
      <c r="BF45" s="253">
        <f t="shared" si="254"/>
        <v>32.227544049412728</v>
      </c>
      <c r="BG45" s="770">
        <f t="shared" si="254"/>
        <v>62.017309994466615</v>
      </c>
      <c r="BH45" s="966">
        <f t="shared" si="254"/>
        <v>35.933160352414298</v>
      </c>
      <c r="BI45" s="253">
        <f t="shared" si="254"/>
        <v>38.493582335301255</v>
      </c>
      <c r="BJ45" s="770">
        <f t="shared" si="254"/>
        <v>74.426742687715517</v>
      </c>
      <c r="BK45" s="966">
        <f t="shared" si="254"/>
        <v>42.98744617449892</v>
      </c>
      <c r="BL45" s="253">
        <f t="shared" si="254"/>
        <v>46.010755622742202</v>
      </c>
      <c r="BM45" s="770">
        <f t="shared" si="254"/>
        <v>88.998201797241151</v>
      </c>
    </row>
    <row r="46" spans="1:66" ht="10.8" thickBot="1">
      <c r="A46" s="37" t="s">
        <v>52</v>
      </c>
      <c r="B46" s="85">
        <f t="shared" ref="B46:BM46" si="264">B43/B60*100</f>
        <v>19.383825417201543</v>
      </c>
      <c r="C46" s="85">
        <f t="shared" si="264"/>
        <v>20.201384518565135</v>
      </c>
      <c r="D46" s="85">
        <f t="shared" si="264"/>
        <v>11.104218362282877</v>
      </c>
      <c r="E46" s="85">
        <f t="shared" si="264"/>
        <v>12.2040072859745</v>
      </c>
      <c r="F46" s="85">
        <f t="shared" si="264"/>
        <v>15.562130177514794</v>
      </c>
      <c r="G46" s="85">
        <f t="shared" si="264"/>
        <v>24.482758620689655</v>
      </c>
      <c r="H46" s="85">
        <f t="shared" si="264"/>
        <v>29.810453762205629</v>
      </c>
      <c r="I46" s="85">
        <f t="shared" si="264"/>
        <v>36.555555555555557</v>
      </c>
      <c r="J46" s="85">
        <f t="shared" si="264"/>
        <v>36.703296703296701</v>
      </c>
      <c r="K46" s="85">
        <f t="shared" si="264"/>
        <v>39.674796747967477</v>
      </c>
      <c r="L46" s="85">
        <f t="shared" si="264"/>
        <v>38.732394366197184</v>
      </c>
      <c r="M46" s="85">
        <f t="shared" si="264"/>
        <v>48.54054054054054</v>
      </c>
      <c r="N46" s="85">
        <f t="shared" si="264"/>
        <v>59.589411129119398</v>
      </c>
      <c r="O46" s="85">
        <f t="shared" si="264"/>
        <v>65.59485530546624</v>
      </c>
      <c r="P46" s="85">
        <f t="shared" si="264"/>
        <v>65.421558164354323</v>
      </c>
      <c r="Q46" s="85">
        <f t="shared" si="264"/>
        <v>58.727569331158236</v>
      </c>
      <c r="R46" s="85">
        <f t="shared" ref="R46:S46" si="265">R43/R60*100</f>
        <v>4.2030567685589517</v>
      </c>
      <c r="S46" s="635">
        <f t="shared" si="265"/>
        <v>25.927947598253276</v>
      </c>
      <c r="T46" s="658">
        <f t="shared" si="264"/>
        <v>30.131004366812224</v>
      </c>
      <c r="U46" s="85">
        <f t="shared" si="264"/>
        <v>11.232279171210468</v>
      </c>
      <c r="V46" s="635">
        <f t="shared" si="264"/>
        <v>29.225736095965104</v>
      </c>
      <c r="W46" s="658">
        <f>W43/W60*100</f>
        <v>40.458015267175576</v>
      </c>
      <c r="X46" s="85">
        <f t="shared" ref="X46:Y46" si="266">X43/X60*100</f>
        <v>-8.069792802617231</v>
      </c>
      <c r="Y46" s="635">
        <f t="shared" si="266"/>
        <v>10.414394765539804</v>
      </c>
      <c r="Z46" s="658">
        <f>Z43/Z60*100</f>
        <v>2.3446019629225736</v>
      </c>
      <c r="AA46" s="85">
        <f t="shared" ref="AA46:AB46" si="267">AA43/AA60*100</f>
        <v>2.4878312601406165</v>
      </c>
      <c r="AB46" s="635">
        <f t="shared" si="267"/>
        <v>13.429641519529159</v>
      </c>
      <c r="AC46" s="658">
        <f>AC43/AC60*100</f>
        <v>15.976331360946746</v>
      </c>
      <c r="AD46" s="85">
        <f t="shared" ref="AD46:AE46" si="268">AD43/AD60*100</f>
        <v>-1.5847860538827259</v>
      </c>
      <c r="AE46" s="635">
        <f t="shared" si="268"/>
        <v>17.336814621409921</v>
      </c>
      <c r="AF46" s="658">
        <f t="shared" si="264"/>
        <v>15.861344537815125</v>
      </c>
      <c r="AG46" s="85">
        <f t="shared" ref="AG46:AH46" si="269">AG43/AG60*100</f>
        <v>-58.835090226907269</v>
      </c>
      <c r="AH46" s="635">
        <f t="shared" si="269"/>
        <v>-11.698290732319272</v>
      </c>
      <c r="AI46" s="658">
        <f t="shared" si="264"/>
        <v>-67.462836144980784</v>
      </c>
      <c r="AJ46" s="85">
        <f t="shared" si="264"/>
        <v>1.2483495378706038</v>
      </c>
      <c r="AK46" s="635">
        <f t="shared" si="264"/>
        <v>-1.140045601824073</v>
      </c>
      <c r="AL46" s="658">
        <f>AL43/AL60*100</f>
        <v>0.10801728276524243</v>
      </c>
      <c r="AM46" s="85">
        <f t="shared" ref="AM46:AN46" si="270">AM43/AM60*100</f>
        <v>-2.2408627920910726</v>
      </c>
      <c r="AN46" s="635">
        <f t="shared" si="270"/>
        <v>4.0703938704657006</v>
      </c>
      <c r="AO46" s="658">
        <f t="shared" si="264"/>
        <v>1.8325547969816742</v>
      </c>
      <c r="AP46" s="85">
        <f t="shared" ref="AP46:AR46" si="271">AP43/AP60*100</f>
        <v>4.9048929297762891</v>
      </c>
      <c r="AQ46" s="635">
        <f t="shared" si="271"/>
        <v>8.848499342341265</v>
      </c>
      <c r="AR46" s="658">
        <f t="shared" si="271"/>
        <v>13.754335605788782</v>
      </c>
      <c r="AS46" s="85">
        <f t="shared" ref="AS46:AU46" si="272">AS43/AS60*100</f>
        <v>8.949880668257757</v>
      </c>
      <c r="AT46" s="635">
        <f t="shared" si="272"/>
        <v>11.338732729871367</v>
      </c>
      <c r="AU46" s="658">
        <f t="shared" si="272"/>
        <v>20.290891750119219</v>
      </c>
      <c r="AV46" s="85">
        <f t="shared" ref="AV46:AW46" si="273">AV43/AV60*100</f>
        <v>15.741399762752076</v>
      </c>
      <c r="AW46" s="1104">
        <f t="shared" si="273"/>
        <v>13.80952380952381</v>
      </c>
      <c r="AX46" s="658">
        <f t="shared" si="264"/>
        <v>29.554367201426025</v>
      </c>
      <c r="AY46" s="85">
        <f t="shared" si="264"/>
        <v>22.167664670658681</v>
      </c>
      <c r="AZ46" s="756">
        <f t="shared" si="264"/>
        <v>21.93359509826773</v>
      </c>
      <c r="BA46" s="769">
        <f t="shared" si="264"/>
        <v>44.472882087268019</v>
      </c>
      <c r="BB46" s="348">
        <f t="shared" si="264"/>
        <v>25.432577671799823</v>
      </c>
      <c r="BC46" s="756">
        <f t="shared" si="264"/>
        <v>26.912071538198145</v>
      </c>
      <c r="BD46" s="769">
        <f t="shared" si="264"/>
        <v>52.336404793726622</v>
      </c>
      <c r="BE46" s="348">
        <f t="shared" si="264"/>
        <v>30.024984596580996</v>
      </c>
      <c r="BF46" s="756">
        <f t="shared" si="264"/>
        <v>32.46708413819816</v>
      </c>
      <c r="BG46" s="769">
        <f t="shared" si="264"/>
        <v>62.478149993199303</v>
      </c>
      <c r="BH46" s="348">
        <f t="shared" si="264"/>
        <v>36.187483253641403</v>
      </c>
      <c r="BI46" s="756">
        <f t="shared" si="264"/>
        <v>38.765008748991889</v>
      </c>
      <c r="BJ46" s="769">
        <f t="shared" si="264"/>
        <v>74.952492002633278</v>
      </c>
      <c r="BK46" s="348">
        <f t="shared" si="264"/>
        <v>43.274859954143857</v>
      </c>
      <c r="BL46" s="756">
        <f t="shared" si="264"/>
        <v>46.317464149163051</v>
      </c>
      <c r="BM46" s="769">
        <f t="shared" si="264"/>
        <v>89.592324103306936</v>
      </c>
    </row>
    <row r="47" spans="1:66">
      <c r="A47" s="25" t="s">
        <v>53</v>
      </c>
      <c r="B47" s="86">
        <f t="shared" ref="B47:S47" si="274">B43/B62*100</f>
        <v>19.284802043422733</v>
      </c>
      <c r="C47" s="86">
        <f t="shared" si="274"/>
        <v>19.863861386138616</v>
      </c>
      <c r="D47" s="86">
        <f t="shared" si="274"/>
        <v>11.02216748768473</v>
      </c>
      <c r="E47" s="86">
        <f t="shared" si="274"/>
        <v>12.028725314183124</v>
      </c>
      <c r="F47" s="86">
        <f t="shared" si="274"/>
        <v>15.054378935317688</v>
      </c>
      <c r="G47" s="86">
        <f t="shared" si="274"/>
        <v>23.496966354109212</v>
      </c>
      <c r="H47" s="86">
        <f t="shared" si="274"/>
        <v>28.674033149171269</v>
      </c>
      <c r="I47" s="86">
        <f t="shared" si="274"/>
        <v>35.799782372143632</v>
      </c>
      <c r="J47" s="86">
        <f t="shared" si="274"/>
        <v>36.703296703296701</v>
      </c>
      <c r="K47" s="86">
        <f t="shared" si="274"/>
        <v>39.249329758713138</v>
      </c>
      <c r="L47" s="86">
        <f t="shared" si="274"/>
        <v>38.235294117647058</v>
      </c>
      <c r="M47" s="86">
        <f t="shared" si="274"/>
        <v>47.893333333333331</v>
      </c>
      <c r="N47" s="86">
        <f t="shared" si="274"/>
        <v>58.795309168443502</v>
      </c>
      <c r="O47" s="86">
        <f t="shared" si="274"/>
        <v>64.86486486486487</v>
      </c>
      <c r="P47" s="86">
        <f t="shared" si="274"/>
        <v>64.79915433403805</v>
      </c>
      <c r="Q47" s="86">
        <f t="shared" si="274"/>
        <v>58.346839546191241</v>
      </c>
      <c r="R47" s="86">
        <f t="shared" si="274"/>
        <v>4.1825095057034218</v>
      </c>
      <c r="S47" s="634">
        <f t="shared" si="274"/>
        <v>25.927947598253276</v>
      </c>
      <c r="T47" s="657">
        <v>30.08</v>
      </c>
      <c r="U47" s="86">
        <f t="shared" ref="U47:V47" si="275">U43/U62*100</f>
        <v>11.213935764833968</v>
      </c>
      <c r="V47" s="634">
        <f t="shared" si="275"/>
        <v>29.130434782608695</v>
      </c>
      <c r="W47" s="657">
        <f t="shared" ref="W47:BM47" si="276">W43/W62*100</f>
        <v>40.326086956521742</v>
      </c>
      <c r="X47" s="86">
        <f t="shared" si="276"/>
        <v>-8.0566140446379961</v>
      </c>
      <c r="Y47" s="634">
        <f t="shared" si="276"/>
        <v>10.380434782608695</v>
      </c>
      <c r="Z47" s="657">
        <f>Z43/Z62*100</f>
        <v>2.3369565217391304</v>
      </c>
      <c r="AA47" s="86">
        <f t="shared" ref="AA47:AB47" si="277">AA43/AA62*100</f>
        <v>2.4878312601406165</v>
      </c>
      <c r="AB47" s="634">
        <f t="shared" si="277"/>
        <v>13.429641519529159</v>
      </c>
      <c r="AC47" s="657">
        <f>AC43/AC62*100</f>
        <v>15.976331360946746</v>
      </c>
      <c r="AD47" s="86">
        <f t="shared" ref="AD47:AE47" si="278">AD43/AD62*100</f>
        <v>-1.5847860538827259</v>
      </c>
      <c r="AE47" s="634">
        <f t="shared" si="278"/>
        <v>17.336814621409921</v>
      </c>
      <c r="AF47" s="657">
        <f>AF43/AF62*100</f>
        <v>15.861344537815125</v>
      </c>
      <c r="AG47" s="86">
        <f t="shared" ref="AG47:AH47" si="279">AG43/AG62*100</f>
        <v>-58.835090226907269</v>
      </c>
      <c r="AH47" s="634">
        <f t="shared" si="279"/>
        <v>-11.698290732319272</v>
      </c>
      <c r="AI47" s="657">
        <f t="shared" si="276"/>
        <v>-67.462836144980784</v>
      </c>
      <c r="AJ47" s="86">
        <f t="shared" si="276"/>
        <v>1.24565816265421</v>
      </c>
      <c r="AK47" s="634">
        <f t="shared" si="276"/>
        <v>-1.1373159343948283</v>
      </c>
      <c r="AL47" s="657">
        <f>AL43/AL62*100</f>
        <v>0.10775862068965517</v>
      </c>
      <c r="AM47" s="86">
        <f t="shared" ref="AM47:AN47" si="280">AM43/AM62*100</f>
        <v>-2.2408627920910726</v>
      </c>
      <c r="AN47" s="634">
        <f t="shared" si="280"/>
        <v>4.0703938704657006</v>
      </c>
      <c r="AO47" s="657">
        <f t="shared" si="276"/>
        <v>1.8325547969816742</v>
      </c>
      <c r="AP47" s="86">
        <f t="shared" ref="AP47:AR47" si="281">AP43/AP62*100</f>
        <v>4.8943535872030566</v>
      </c>
      <c r="AQ47" s="634">
        <f t="shared" si="281"/>
        <v>8.7750503972489025</v>
      </c>
      <c r="AR47" s="657">
        <f t="shared" si="281"/>
        <v>13.682331945270674</v>
      </c>
      <c r="AS47" s="86">
        <f t="shared" ref="AS47:AU47" si="282">AS43/AS62*100</f>
        <v>8.8946869070208727</v>
      </c>
      <c r="AT47" s="634">
        <f t="shared" si="282"/>
        <v>11.271607861709686</v>
      </c>
      <c r="AU47" s="657">
        <f t="shared" si="282"/>
        <v>20.168266382272783</v>
      </c>
      <c r="AV47" s="86">
        <f t="shared" ref="AV47:AW47" si="283">AV43/AV62*100</f>
        <v>15.670760510155882</v>
      </c>
      <c r="AW47" s="1103">
        <f t="shared" si="283"/>
        <v>13.763644992880874</v>
      </c>
      <c r="AX47" s="657">
        <f t="shared" si="276"/>
        <v>29.438920454545453</v>
      </c>
      <c r="AY47" s="86">
        <f t="shared" si="276"/>
        <v>22.11998087954111</v>
      </c>
      <c r="AZ47" s="253">
        <f t="shared" si="276"/>
        <v>21.879834021071307</v>
      </c>
      <c r="BA47" s="770">
        <f t="shared" si="276"/>
        <v>44.36436514668577</v>
      </c>
      <c r="BB47" s="966">
        <f t="shared" si="276"/>
        <v>25.369553647420425</v>
      </c>
      <c r="BC47" s="253">
        <f t="shared" si="276"/>
        <v>26.844635655887643</v>
      </c>
      <c r="BD47" s="770">
        <f t="shared" si="276"/>
        <v>52.205989954571052</v>
      </c>
      <c r="BE47" s="966">
        <f t="shared" si="276"/>
        <v>29.948897825841588</v>
      </c>
      <c r="BF47" s="253">
        <f t="shared" si="276"/>
        <v>32.3838679912662</v>
      </c>
      <c r="BG47" s="770">
        <f t="shared" si="276"/>
        <v>62.318923078051014</v>
      </c>
      <c r="BH47" s="966">
        <f t="shared" si="276"/>
        <v>36.09419802271681</v>
      </c>
      <c r="BI47" s="253">
        <f t="shared" si="276"/>
        <v>38.665079091889247</v>
      </c>
      <c r="BJ47" s="770">
        <f t="shared" si="276"/>
        <v>74.75927711460605</v>
      </c>
      <c r="BK47" s="966">
        <f t="shared" si="276"/>
        <v>43.163304660957067</v>
      </c>
      <c r="BL47" s="253">
        <f t="shared" si="276"/>
        <v>46.198065535318811</v>
      </c>
      <c r="BM47" s="770">
        <f t="shared" si="276"/>
        <v>89.3613701962759</v>
      </c>
    </row>
    <row r="48" spans="1:66">
      <c r="B48" s="40"/>
      <c r="C48" s="40"/>
      <c r="D48" s="40"/>
      <c r="E48" s="40"/>
      <c r="F48" s="40"/>
      <c r="G48" s="40"/>
      <c r="H48" s="40"/>
      <c r="I48" s="40"/>
      <c r="J48" s="40"/>
      <c r="K48" s="40"/>
      <c r="L48" s="40"/>
      <c r="M48" s="40"/>
      <c r="N48" s="40"/>
      <c r="O48" s="40"/>
      <c r="P48" s="40"/>
      <c r="Q48" s="40"/>
      <c r="R48" s="40"/>
      <c r="S48" s="630"/>
      <c r="T48" s="653"/>
      <c r="U48" s="40"/>
      <c r="V48" s="630"/>
      <c r="W48" s="653"/>
      <c r="X48" s="40"/>
      <c r="Y48" s="630"/>
      <c r="Z48" s="653"/>
      <c r="AA48" s="40"/>
      <c r="AB48" s="630"/>
      <c r="AC48" s="653"/>
      <c r="AD48" s="40"/>
      <c r="AE48" s="630"/>
      <c r="AF48" s="653"/>
      <c r="AG48" s="40"/>
      <c r="AH48" s="630"/>
      <c r="AI48" s="653"/>
      <c r="AJ48" s="40"/>
      <c r="AK48" s="630"/>
      <c r="AL48" s="653"/>
      <c r="AM48" s="40"/>
      <c r="AN48" s="630"/>
      <c r="AO48" s="653"/>
      <c r="AP48" s="40"/>
      <c r="AQ48" s="590"/>
      <c r="AR48" s="609"/>
      <c r="AS48" s="176"/>
      <c r="AT48" s="590"/>
      <c r="AU48" s="609"/>
      <c r="AV48" s="176"/>
      <c r="AW48" s="590"/>
      <c r="AX48" s="609"/>
      <c r="AY48" s="176"/>
      <c r="AZ48" s="590"/>
      <c r="BA48" s="609"/>
      <c r="BB48" s="176"/>
      <c r="BC48" s="590"/>
      <c r="BD48" s="609"/>
      <c r="BE48" s="176"/>
      <c r="BF48" s="590"/>
      <c r="BG48" s="609"/>
      <c r="BH48" s="176"/>
      <c r="BI48" s="590"/>
      <c r="BJ48" s="609"/>
      <c r="BK48" s="176"/>
      <c r="BL48" s="590"/>
      <c r="BM48" s="609"/>
    </row>
    <row r="49" spans="1:73">
      <c r="A49" s="25" t="s">
        <v>62</v>
      </c>
      <c r="B49" s="81">
        <v>8</v>
      </c>
      <c r="C49" s="81">
        <v>8.18</v>
      </c>
      <c r="D49" s="81">
        <v>8.18</v>
      </c>
      <c r="E49" s="81">
        <v>8.18</v>
      </c>
      <c r="F49" s="81">
        <v>8.18</v>
      </c>
      <c r="G49" s="81">
        <v>8.7200000000000006</v>
      </c>
      <c r="H49" s="81">
        <v>9.59</v>
      </c>
      <c r="I49" s="81">
        <v>13</v>
      </c>
      <c r="J49" s="81">
        <v>14.3</v>
      </c>
      <c r="K49" s="81">
        <v>15</v>
      </c>
      <c r="L49" s="81">
        <v>16</v>
      </c>
      <c r="M49" s="81">
        <v>17.5</v>
      </c>
      <c r="N49" s="81">
        <v>19.5</v>
      </c>
      <c r="O49" s="81">
        <v>22</v>
      </c>
      <c r="P49" s="81">
        <v>23.1</v>
      </c>
      <c r="Q49" s="81">
        <v>16.37</v>
      </c>
      <c r="R49" s="81">
        <v>4.5999999999999996</v>
      </c>
      <c r="S49" s="639">
        <f>T49-R49</f>
        <v>7.1</v>
      </c>
      <c r="T49" s="659">
        <v>11.7</v>
      </c>
      <c r="U49" s="81">
        <v>4.5999999999999996</v>
      </c>
      <c r="V49" s="639">
        <f>W49-U49</f>
        <v>7.1</v>
      </c>
      <c r="W49" s="659">
        <v>11.7</v>
      </c>
      <c r="X49" s="81">
        <v>4.5999999999999996</v>
      </c>
      <c r="Y49" s="639">
        <f>Z49-X49</f>
        <v>7.1</v>
      </c>
      <c r="Z49" s="659">
        <v>11.7</v>
      </c>
      <c r="AA49" s="81">
        <v>4.5999999999999996</v>
      </c>
      <c r="AB49" s="639">
        <f>AC49-AA49</f>
        <v>7.1</v>
      </c>
      <c r="AC49" s="659">
        <v>11.7</v>
      </c>
      <c r="AD49" s="81">
        <v>4.5999999999999996</v>
      </c>
      <c r="AE49" s="639">
        <f>AF49-AD49</f>
        <v>0</v>
      </c>
      <c r="AF49" s="659">
        <v>4.5999999999999996</v>
      </c>
      <c r="AG49" s="81">
        <v>0</v>
      </c>
      <c r="AH49" s="639">
        <f>AI49-AG49</f>
        <v>0</v>
      </c>
      <c r="AI49" s="659">
        <v>0</v>
      </c>
      <c r="AJ49" s="81">
        <v>0</v>
      </c>
      <c r="AK49" s="639">
        <f>AL49-AJ49</f>
        <v>0</v>
      </c>
      <c r="AL49" s="659">
        <v>0</v>
      </c>
      <c r="AM49" s="81">
        <v>0</v>
      </c>
      <c r="AN49" s="639">
        <f>AO49-AM49</f>
        <v>0</v>
      </c>
      <c r="AO49" s="659">
        <v>0</v>
      </c>
      <c r="AP49" s="81">
        <v>0</v>
      </c>
      <c r="AQ49" s="639">
        <f>AR49-AP49</f>
        <v>0</v>
      </c>
      <c r="AR49" s="659">
        <v>0</v>
      </c>
      <c r="AS49" s="81">
        <f t="shared" ref="AS49" si="284">AS46*AS50</f>
        <v>0</v>
      </c>
      <c r="AT49" s="639">
        <f>AU49-AS49</f>
        <v>6</v>
      </c>
      <c r="AU49" s="659">
        <v>6</v>
      </c>
      <c r="AV49" s="81">
        <v>4.5</v>
      </c>
      <c r="AW49" s="1105">
        <f>AX49-AV49</f>
        <v>4.75</v>
      </c>
      <c r="AX49" s="659">
        <v>9.25</v>
      </c>
      <c r="AY49" s="81">
        <v>6</v>
      </c>
      <c r="AZ49" s="994">
        <f>BA49-AY49</f>
        <v>9.5655087305438062</v>
      </c>
      <c r="BA49" s="611">
        <f t="shared" ref="BA49:BM49" si="285">BA46*BA50</f>
        <v>15.565508730543806</v>
      </c>
      <c r="BB49" s="173">
        <f t="shared" ref="BB49" si="286">BB46*BB50</f>
        <v>8.9014021851299372</v>
      </c>
      <c r="BC49" s="994">
        <f>BD49-BB49</f>
        <v>9.4163394926743802</v>
      </c>
      <c r="BD49" s="611">
        <f t="shared" si="285"/>
        <v>18.317741677804317</v>
      </c>
      <c r="BE49" s="173">
        <f t="shared" ref="BE49" si="287">BE46*BE50</f>
        <v>10.508744608803347</v>
      </c>
      <c r="BF49" s="994">
        <f>BG49-BE49</f>
        <v>11.358607888816408</v>
      </c>
      <c r="BG49" s="611">
        <f t="shared" si="285"/>
        <v>21.867352497619756</v>
      </c>
      <c r="BH49" s="173">
        <f t="shared" ref="BH49" si="288">BH46*BH50</f>
        <v>12.66561913877449</v>
      </c>
      <c r="BI49" s="994">
        <f>BJ49-BH49</f>
        <v>13.567753062147156</v>
      </c>
      <c r="BJ49" s="611">
        <f t="shared" si="285"/>
        <v>26.233372200921647</v>
      </c>
      <c r="BK49" s="173">
        <f t="shared" ref="BK49" si="289">BK46*BK50</f>
        <v>15.146200983950349</v>
      </c>
      <c r="BL49" s="994">
        <f>BM49-BK49</f>
        <v>16.211112452207075</v>
      </c>
      <c r="BM49" s="611">
        <f t="shared" si="285"/>
        <v>31.357313436157426</v>
      </c>
      <c r="BN49"/>
    </row>
    <row r="50" spans="1:73" s="33" customFormat="1">
      <c r="A50" s="33" t="s">
        <v>330</v>
      </c>
      <c r="B50" s="103">
        <f>B49/B46</f>
        <v>0.41271523178807945</v>
      </c>
      <c r="C50" s="103">
        <f>C49/C46</f>
        <v>0.40492274143302182</v>
      </c>
      <c r="D50" s="103">
        <f>D49/D46</f>
        <v>0.73665698324022355</v>
      </c>
      <c r="E50" s="103">
        <f>E49/E46</f>
        <v>0.6702716417910447</v>
      </c>
      <c r="F50" s="103">
        <f>F49/F46</f>
        <v>0.52563498098859307</v>
      </c>
      <c r="G50" s="103">
        <f t="shared" ref="G50:AQ50" si="290">G49/G46</f>
        <v>0.35616901408450707</v>
      </c>
      <c r="H50" s="103">
        <f t="shared" si="290"/>
        <v>0.32169922928709055</v>
      </c>
      <c r="I50" s="103">
        <f t="shared" si="290"/>
        <v>0.35562310030395133</v>
      </c>
      <c r="J50" s="103">
        <f t="shared" si="290"/>
        <v>0.38961077844311381</v>
      </c>
      <c r="K50" s="103">
        <f t="shared" si="290"/>
        <v>0.3780737704918033</v>
      </c>
      <c r="L50" s="103">
        <f t="shared" si="290"/>
        <v>0.41309090909090906</v>
      </c>
      <c r="M50" s="103">
        <f t="shared" si="290"/>
        <v>0.36052338530066813</v>
      </c>
      <c r="N50" s="103">
        <f t="shared" si="290"/>
        <v>0.32723934723481413</v>
      </c>
      <c r="O50" s="103">
        <f t="shared" si="290"/>
        <v>0.33539215686274509</v>
      </c>
      <c r="P50" s="103">
        <f t="shared" si="290"/>
        <v>0.353094616639478</v>
      </c>
      <c r="Q50" s="103">
        <f t="shared" si="290"/>
        <v>0.27874472222222224</v>
      </c>
      <c r="R50" s="103">
        <f t="shared" si="290"/>
        <v>1.0944415584415583</v>
      </c>
      <c r="S50" s="637">
        <f t="shared" si="290"/>
        <v>0.2738357894736842</v>
      </c>
      <c r="T50" s="660">
        <f t="shared" si="290"/>
        <v>0.38830434782608697</v>
      </c>
      <c r="U50" s="103">
        <f t="shared" ref="U50:V50" si="291">U49/U46</f>
        <v>0.40953398058252427</v>
      </c>
      <c r="V50" s="637">
        <f t="shared" si="291"/>
        <v>0.24293656716417908</v>
      </c>
      <c r="W50" s="660">
        <f t="shared" si="290"/>
        <v>0.28918867924528296</v>
      </c>
      <c r="X50" s="103">
        <f t="shared" si="290"/>
        <v>-0.5700270270270269</v>
      </c>
      <c r="Y50" s="637">
        <f t="shared" si="290"/>
        <v>0.68174869109947644</v>
      </c>
      <c r="Z50" s="660">
        <f t="shared" si="290"/>
        <v>4.9901860465116279</v>
      </c>
      <c r="AA50" s="103">
        <f t="shared" ref="AA50:AB50" si="292">AA49/AA46</f>
        <v>1.849</v>
      </c>
      <c r="AB50" s="637">
        <f t="shared" si="292"/>
        <v>0.5286812749003984</v>
      </c>
      <c r="AC50" s="660">
        <f t="shared" si="290"/>
        <v>0.73233333333333328</v>
      </c>
      <c r="AD50" s="103">
        <f t="shared" si="290"/>
        <v>-2.9025999999999996</v>
      </c>
      <c r="AE50" s="637">
        <f t="shared" si="290"/>
        <v>0</v>
      </c>
      <c r="AF50" s="660">
        <f t="shared" si="290"/>
        <v>0.2900132450331126</v>
      </c>
      <c r="AG50" s="103">
        <f t="shared" ref="AG50:AH50" si="293">AG49/AG46</f>
        <v>0</v>
      </c>
      <c r="AH50" s="637">
        <f t="shared" si="293"/>
        <v>0</v>
      </c>
      <c r="AI50" s="660">
        <f t="shared" si="290"/>
        <v>0</v>
      </c>
      <c r="AJ50" s="103">
        <f t="shared" si="290"/>
        <v>0</v>
      </c>
      <c r="AK50" s="637">
        <f t="shared" si="290"/>
        <v>0</v>
      </c>
      <c r="AL50" s="660">
        <f t="shared" si="290"/>
        <v>0</v>
      </c>
      <c r="AM50" s="103">
        <f t="shared" ref="AM50:AN50" si="294">AM49/AM46</f>
        <v>0</v>
      </c>
      <c r="AN50" s="637">
        <f t="shared" si="294"/>
        <v>0</v>
      </c>
      <c r="AO50" s="660">
        <f t="shared" si="290"/>
        <v>0</v>
      </c>
      <c r="AP50" s="103">
        <f t="shared" si="290"/>
        <v>0</v>
      </c>
      <c r="AQ50" s="637">
        <f t="shared" si="290"/>
        <v>0</v>
      </c>
      <c r="AR50" s="660">
        <f t="shared" ref="AR50" si="295">AR49/AR46</f>
        <v>0</v>
      </c>
      <c r="AS50" s="103">
        <v>0</v>
      </c>
      <c r="AT50" s="637">
        <f t="shared" ref="AT50:AU50" si="296">AT49/AT46</f>
        <v>0.52915966386554625</v>
      </c>
      <c r="AU50" s="660">
        <f t="shared" si="296"/>
        <v>0.29569917743830787</v>
      </c>
      <c r="AV50" s="103">
        <f t="shared" ref="AV50:AW50" si="297">AV49/AV46</f>
        <v>0.28587038432554635</v>
      </c>
      <c r="AW50" s="866">
        <f t="shared" si="297"/>
        <v>0.3439655172413793</v>
      </c>
      <c r="AX50" s="660">
        <f t="shared" ref="AX50:AY50" si="298">AX49/AX46</f>
        <v>0.31298250904704461</v>
      </c>
      <c r="AY50" s="103">
        <f t="shared" si="298"/>
        <v>0.27066450567260941</v>
      </c>
      <c r="AZ50" s="754">
        <f t="shared" ref="AZ50" si="299">AZ49/AZ46</f>
        <v>0.43611221451330934</v>
      </c>
      <c r="BA50" s="610">
        <v>0.35</v>
      </c>
      <c r="BB50" s="324">
        <f>BD50</f>
        <v>0.35</v>
      </c>
      <c r="BC50" s="754">
        <f t="shared" ref="BC50" si="300">BC49/BC46</f>
        <v>0.34989277875949182</v>
      </c>
      <c r="BD50" s="610">
        <v>0.35</v>
      </c>
      <c r="BE50" s="324">
        <f>BG50</f>
        <v>0.35</v>
      </c>
      <c r="BF50" s="754">
        <f t="shared" ref="BF50" si="301">BF49/BF46</f>
        <v>0.34984995389385104</v>
      </c>
      <c r="BG50" s="610">
        <v>0.35</v>
      </c>
      <c r="BH50" s="324">
        <f>BJ50</f>
        <v>0.35</v>
      </c>
      <c r="BI50" s="754">
        <f t="shared" ref="BI50" si="302">BI49/BI46</f>
        <v>0.34999999999999987</v>
      </c>
      <c r="BJ50" s="610">
        <v>0.35</v>
      </c>
      <c r="BK50" s="324">
        <f>BM50</f>
        <v>0.35</v>
      </c>
      <c r="BL50" s="754">
        <f t="shared" ref="BL50" si="303">BL49/BL46</f>
        <v>0.35000000000000014</v>
      </c>
      <c r="BM50" s="610">
        <v>0.35</v>
      </c>
      <c r="BN50" s="169"/>
      <c r="BP50"/>
      <c r="BQ50"/>
      <c r="BR50"/>
      <c r="BS50"/>
      <c r="BT50"/>
      <c r="BU50"/>
    </row>
    <row r="51" spans="1:73">
      <c r="A51" s="25" t="s">
        <v>61</v>
      </c>
      <c r="B51" s="40"/>
      <c r="C51" s="50">
        <f t="shared" ref="C51:Q51" si="304">C49/B49-1</f>
        <v>2.2499999999999964E-2</v>
      </c>
      <c r="D51" s="50">
        <f t="shared" si="304"/>
        <v>0</v>
      </c>
      <c r="E51" s="50">
        <f t="shared" si="304"/>
        <v>0</v>
      </c>
      <c r="F51" s="50">
        <f t="shared" si="304"/>
        <v>0</v>
      </c>
      <c r="G51" s="50">
        <f t="shared" si="304"/>
        <v>6.6014669926650393E-2</v>
      </c>
      <c r="H51" s="50">
        <f t="shared" si="304"/>
        <v>9.9770642201834736E-2</v>
      </c>
      <c r="I51" s="50">
        <f t="shared" si="304"/>
        <v>0.35557872784150168</v>
      </c>
      <c r="J51" s="50">
        <f t="shared" si="304"/>
        <v>0.10000000000000009</v>
      </c>
      <c r="K51" s="50">
        <f t="shared" si="304"/>
        <v>4.8951048951048959E-2</v>
      </c>
      <c r="L51" s="50">
        <f t="shared" si="304"/>
        <v>6.6666666666666652E-2</v>
      </c>
      <c r="M51" s="50">
        <f t="shared" si="304"/>
        <v>9.375E-2</v>
      </c>
      <c r="N51" s="50">
        <f t="shared" si="304"/>
        <v>0.11428571428571432</v>
      </c>
      <c r="O51" s="50">
        <f t="shared" si="304"/>
        <v>0.12820512820512819</v>
      </c>
      <c r="P51" s="50">
        <f t="shared" si="304"/>
        <v>5.0000000000000044E-2</v>
      </c>
      <c r="Q51" s="50">
        <f t="shared" si="304"/>
        <v>-0.29134199134199135</v>
      </c>
      <c r="R51" s="141"/>
      <c r="S51" s="638"/>
      <c r="T51" s="671">
        <f>T49/Q49-1</f>
        <v>-0.28527794746487489</v>
      </c>
      <c r="U51" s="952">
        <f>U49/R49-1</f>
        <v>0</v>
      </c>
      <c r="V51" s="647">
        <f>V49/S49-1</f>
        <v>0</v>
      </c>
      <c r="W51" s="671">
        <f>W49/T49-1</f>
        <v>0</v>
      </c>
      <c r="X51" s="952"/>
      <c r="Y51" s="647"/>
      <c r="Z51" s="671"/>
      <c r="AA51" s="960">
        <f t="shared" ref="AA51:AB51" si="305">+AA49/U49-1</f>
        <v>0</v>
      </c>
      <c r="AB51" s="638">
        <f t="shared" si="305"/>
        <v>0</v>
      </c>
      <c r="AC51" s="661">
        <f>+AC49/W49-1</f>
        <v>0</v>
      </c>
      <c r="AD51" s="960">
        <f>+AD49/AA49-1</f>
        <v>0</v>
      </c>
      <c r="AE51" s="638">
        <f>+AE49/AB49-1</f>
        <v>-1</v>
      </c>
      <c r="AF51" s="661">
        <f>+AF49/AC49-1</f>
        <v>-0.6068376068376069</v>
      </c>
      <c r="AG51" s="960">
        <f>+AG49/AD49-1</f>
        <v>-1</v>
      </c>
      <c r="AH51" s="638" t="str">
        <f t="shared" ref="AH51:AP51" si="306">IFERROR(+AH49/AE49-1,"nm")</f>
        <v>nm</v>
      </c>
      <c r="AI51" s="661">
        <f t="shared" si="306"/>
        <v>-1</v>
      </c>
      <c r="AJ51" s="960" t="str">
        <f t="shared" si="306"/>
        <v>nm</v>
      </c>
      <c r="AK51" s="638" t="str">
        <f t="shared" si="306"/>
        <v>nm</v>
      </c>
      <c r="AL51" s="661" t="str">
        <f t="shared" si="306"/>
        <v>nm</v>
      </c>
      <c r="AM51" s="960" t="str">
        <f t="shared" si="306"/>
        <v>nm</v>
      </c>
      <c r="AN51" s="638" t="str">
        <f t="shared" si="306"/>
        <v>nm</v>
      </c>
      <c r="AO51" s="661" t="str">
        <f t="shared" si="306"/>
        <v>nm</v>
      </c>
      <c r="AP51" s="960" t="str">
        <f t="shared" si="306"/>
        <v>nm</v>
      </c>
      <c r="AQ51" s="638" t="str">
        <f t="shared" ref="AQ51" si="307">IFERROR(+AQ49/AN49-1,"nm")</f>
        <v>nm</v>
      </c>
      <c r="AR51" s="661" t="str">
        <f t="shared" ref="AR51" si="308">IFERROR(+AR49/AO49-1,"nm")</f>
        <v>nm</v>
      </c>
      <c r="AS51" s="960">
        <v>0</v>
      </c>
      <c r="AT51" s="638" t="str">
        <f>IFERROR(+AT49/AQ49-1,"nm")</f>
        <v>nm</v>
      </c>
      <c r="AU51" s="661">
        <v>0</v>
      </c>
      <c r="AV51" s="960">
        <v>0</v>
      </c>
      <c r="AW51" s="1106">
        <f>IFERROR(+AW49/AT49-1,"nm")</f>
        <v>-0.20833333333333337</v>
      </c>
      <c r="AX51" s="661">
        <f t="shared" ref="AX51:BM51" si="309">IFERROR(+AX49/AU49-1,"nm")</f>
        <v>0.54166666666666674</v>
      </c>
      <c r="AY51" s="960">
        <f>IFERROR(+AY49/AV49-1,"nm")</f>
        <v>0.33333333333333326</v>
      </c>
      <c r="AZ51" s="995">
        <f t="shared" si="309"/>
        <v>1.0137913116934327</v>
      </c>
      <c r="BA51" s="765">
        <f t="shared" si="309"/>
        <v>0.68275770059933039</v>
      </c>
      <c r="BB51" s="1071">
        <f t="shared" si="309"/>
        <v>0.48356703085498953</v>
      </c>
      <c r="BC51" s="995">
        <f t="shared" si="309"/>
        <v>-1.5594490797244398E-2</v>
      </c>
      <c r="BD51" s="765">
        <f t="shared" si="309"/>
        <v>0.17681612563422822</v>
      </c>
      <c r="BE51" s="1071">
        <f t="shared" si="309"/>
        <v>0.18057182343232681</v>
      </c>
      <c r="BF51" s="995">
        <f t="shared" si="309"/>
        <v>0.20626575726725371</v>
      </c>
      <c r="BG51" s="765">
        <f t="shared" si="309"/>
        <v>0.19377993653641901</v>
      </c>
      <c r="BH51" s="1071">
        <f t="shared" si="309"/>
        <v>0.20524568921051656</v>
      </c>
      <c r="BI51" s="995">
        <f t="shared" si="309"/>
        <v>0.19449083857414018</v>
      </c>
      <c r="BJ51" s="765">
        <f t="shared" si="309"/>
        <v>0.19965927305452857</v>
      </c>
      <c r="BK51" s="1071">
        <f t="shared" si="309"/>
        <v>0.19585160567333126</v>
      </c>
      <c r="BL51" s="995">
        <f t="shared" si="309"/>
        <v>0.19482661410124424</v>
      </c>
      <c r="BM51" s="765">
        <f t="shared" si="309"/>
        <v>0.19532148577740838</v>
      </c>
    </row>
    <row r="52" spans="1:73">
      <c r="A52" s="120" t="s">
        <v>189</v>
      </c>
      <c r="B52" s="81">
        <f t="shared" ref="B52:G52" si="310">B49-B53</f>
        <v>3</v>
      </c>
      <c r="C52" s="81">
        <f t="shared" si="310"/>
        <v>3.1799999999999997</v>
      </c>
      <c r="D52" s="81">
        <f t="shared" si="310"/>
        <v>3.1799999999999997</v>
      </c>
      <c r="E52" s="81">
        <f t="shared" si="310"/>
        <v>3.1799999999999997</v>
      </c>
      <c r="F52" s="81">
        <f t="shared" si="310"/>
        <v>3.1799999999999997</v>
      </c>
      <c r="G52" s="81">
        <f t="shared" si="310"/>
        <v>3.3400000000000007</v>
      </c>
      <c r="H52" s="81">
        <v>3.67</v>
      </c>
      <c r="I52" s="81">
        <v>4.04</v>
      </c>
      <c r="J52" s="81">
        <v>5.72</v>
      </c>
      <c r="K52" s="81">
        <v>6</v>
      </c>
      <c r="L52" s="81">
        <v>6.4</v>
      </c>
      <c r="M52" s="81">
        <v>6.9</v>
      </c>
      <c r="N52" s="81">
        <v>7.6</v>
      </c>
      <c r="O52" s="81">
        <v>8.6</v>
      </c>
      <c r="P52" s="81">
        <v>9</v>
      </c>
      <c r="Q52" s="81">
        <v>9.27</v>
      </c>
      <c r="R52" s="81">
        <v>4.5999999999999996</v>
      </c>
      <c r="S52" s="639">
        <f>T52-R52</f>
        <v>0</v>
      </c>
      <c r="T52" s="659">
        <v>4.5999999999999996</v>
      </c>
      <c r="U52" s="81">
        <v>4.5999999999999996</v>
      </c>
      <c r="V52" s="636">
        <f>W52-U52</f>
        <v>0</v>
      </c>
      <c r="W52" s="659">
        <v>4.5999999999999996</v>
      </c>
      <c r="X52" s="81">
        <v>4.5999999999999996</v>
      </c>
      <c r="Y52" s="636">
        <f>Z52-X52</f>
        <v>0</v>
      </c>
      <c r="Z52" s="659">
        <v>4.5999999999999996</v>
      </c>
      <c r="AA52" s="81">
        <v>4.5999999999999996</v>
      </c>
      <c r="AB52" s="636">
        <f>AC52-AA52</f>
        <v>0</v>
      </c>
      <c r="AC52" s="662">
        <v>4.5999999999999996</v>
      </c>
      <c r="AD52" s="81">
        <v>4.5999999999999996</v>
      </c>
      <c r="AE52" s="636">
        <f>AF52-AD52</f>
        <v>0</v>
      </c>
      <c r="AF52" s="662">
        <v>4.5999999999999996</v>
      </c>
      <c r="AG52" s="81">
        <v>0</v>
      </c>
      <c r="AH52" s="636">
        <f>AI52-AG52</f>
        <v>0</v>
      </c>
      <c r="AI52" s="662">
        <v>0</v>
      </c>
      <c r="AJ52" s="81">
        <v>0</v>
      </c>
      <c r="AK52" s="636">
        <f>AL52-AJ52</f>
        <v>0</v>
      </c>
      <c r="AL52" s="662">
        <v>0</v>
      </c>
      <c r="AM52" s="81">
        <v>0</v>
      </c>
      <c r="AN52" s="636">
        <f>AO52-AM52</f>
        <v>0</v>
      </c>
      <c r="AO52" s="662">
        <v>0</v>
      </c>
      <c r="AP52" s="81">
        <v>0</v>
      </c>
      <c r="AQ52" s="636">
        <f>AR52-AP52</f>
        <v>0</v>
      </c>
      <c r="AR52" s="662">
        <v>0</v>
      </c>
      <c r="AS52" s="81">
        <f>AP52*(1+AS51)</f>
        <v>0</v>
      </c>
      <c r="AT52" s="636">
        <f>AU52-AS52</f>
        <v>0</v>
      </c>
      <c r="AU52" s="662">
        <v>0</v>
      </c>
      <c r="AV52" s="965">
        <v>4.5</v>
      </c>
      <c r="AW52" s="1107">
        <f>AX52-AV52</f>
        <v>-4.5</v>
      </c>
      <c r="AX52" s="662">
        <v>0</v>
      </c>
      <c r="AY52" s="965">
        <v>6</v>
      </c>
      <c r="AZ52" s="759">
        <f>BA52-AY52</f>
        <v>-6</v>
      </c>
      <c r="BA52" s="611">
        <f>AX52*(1+BA51)</f>
        <v>0</v>
      </c>
      <c r="BB52" s="173">
        <f>AY52*(1+BB51)</f>
        <v>8.9014021851299372</v>
      </c>
      <c r="BC52" s="759">
        <f>BD52-BB52</f>
        <v>-8.9014021851299372</v>
      </c>
      <c r="BD52" s="611">
        <f>BA52*(1+BD51)</f>
        <v>0</v>
      </c>
      <c r="BE52" s="173">
        <f>BB52*(1+BE51)</f>
        <v>10.508744608803347</v>
      </c>
      <c r="BF52" s="759">
        <f>BG52-BE52</f>
        <v>-10.508744608803347</v>
      </c>
      <c r="BG52" s="611">
        <f>BD52*(1+BG51)</f>
        <v>0</v>
      </c>
      <c r="BH52" s="173">
        <f>BE52*(1+BH51)</f>
        <v>12.66561913877449</v>
      </c>
      <c r="BI52" s="759">
        <f>BJ52-BH52</f>
        <v>-12.66561913877449</v>
      </c>
      <c r="BJ52" s="611">
        <f>BG52*(1+BJ51)</f>
        <v>0</v>
      </c>
      <c r="BK52" s="173">
        <f>BH52*(1+BK51)</f>
        <v>15.146200983950349</v>
      </c>
      <c r="BL52" s="759">
        <f>BM52-BK52</f>
        <v>-15.146200983950349</v>
      </c>
      <c r="BM52" s="611">
        <f t="shared" ref="BM52" si="311">BJ52*(1+BM51)</f>
        <v>0</v>
      </c>
    </row>
    <row r="53" spans="1:73">
      <c r="A53" s="120" t="s">
        <v>190</v>
      </c>
      <c r="B53" s="81">
        <v>5</v>
      </c>
      <c r="C53" s="81">
        <v>5</v>
      </c>
      <c r="D53" s="81">
        <v>5</v>
      </c>
      <c r="E53" s="81">
        <v>5</v>
      </c>
      <c r="F53" s="81">
        <v>5</v>
      </c>
      <c r="G53" s="81">
        <v>5.38</v>
      </c>
      <c r="H53" s="81">
        <f t="shared" ref="H53:Y53" si="312">H49-H52</f>
        <v>5.92</v>
      </c>
      <c r="I53" s="81">
        <f t="shared" si="312"/>
        <v>8.9600000000000009</v>
      </c>
      <c r="J53" s="81">
        <f t="shared" si="312"/>
        <v>8.5800000000000018</v>
      </c>
      <c r="K53" s="81">
        <f t="shared" si="312"/>
        <v>9</v>
      </c>
      <c r="L53" s="81">
        <f t="shared" si="312"/>
        <v>9.6</v>
      </c>
      <c r="M53" s="81">
        <f t="shared" si="312"/>
        <v>10.6</v>
      </c>
      <c r="N53" s="81">
        <f t="shared" si="312"/>
        <v>11.9</v>
      </c>
      <c r="O53" s="81">
        <f t="shared" si="312"/>
        <v>13.4</v>
      </c>
      <c r="P53" s="81">
        <f t="shared" si="312"/>
        <v>14.100000000000001</v>
      </c>
      <c r="Q53" s="81">
        <f t="shared" si="312"/>
        <v>7.1000000000000014</v>
      </c>
      <c r="R53" s="81">
        <f t="shared" si="312"/>
        <v>0</v>
      </c>
      <c r="S53" s="636">
        <f t="shared" si="312"/>
        <v>7.1</v>
      </c>
      <c r="T53" s="659">
        <f t="shared" si="312"/>
        <v>7.1</v>
      </c>
      <c r="U53" s="81">
        <f t="shared" ref="U53" si="313">U49-U52</f>
        <v>0</v>
      </c>
      <c r="V53" s="636">
        <f t="shared" ref="V53" si="314">V49-V52</f>
        <v>7.1</v>
      </c>
      <c r="W53" s="659">
        <f t="shared" si="312"/>
        <v>7.1</v>
      </c>
      <c r="X53" s="81">
        <f t="shared" si="312"/>
        <v>0</v>
      </c>
      <c r="Y53" s="636">
        <f t="shared" si="312"/>
        <v>7.1</v>
      </c>
      <c r="Z53" s="659">
        <f>Z49-Z52</f>
        <v>7.1</v>
      </c>
      <c r="AA53" s="81">
        <f t="shared" ref="AA53:AB53" si="315">AA49-AA52</f>
        <v>0</v>
      </c>
      <c r="AB53" s="636">
        <f t="shared" si="315"/>
        <v>7.1</v>
      </c>
      <c r="AC53" s="662">
        <f>AC49-AC52</f>
        <v>7.1</v>
      </c>
      <c r="AD53" s="81">
        <f t="shared" ref="AD53:AE53" si="316">AD49-AD52</f>
        <v>0</v>
      </c>
      <c r="AE53" s="636">
        <f t="shared" si="316"/>
        <v>0</v>
      </c>
      <c r="AF53" s="662">
        <f t="shared" ref="AF53:BM53" si="317">AF49-AF52</f>
        <v>0</v>
      </c>
      <c r="AG53" s="81">
        <f t="shared" si="317"/>
        <v>0</v>
      </c>
      <c r="AH53" s="636">
        <f t="shared" si="317"/>
        <v>0</v>
      </c>
      <c r="AI53" s="662">
        <f t="shared" si="317"/>
        <v>0</v>
      </c>
      <c r="AJ53" s="81">
        <f t="shared" ref="AJ53:AK53" si="318">AJ49-AJ52</f>
        <v>0</v>
      </c>
      <c r="AK53" s="636">
        <f t="shared" si="318"/>
        <v>0</v>
      </c>
      <c r="AL53" s="662">
        <v>0</v>
      </c>
      <c r="AM53" s="81">
        <f t="shared" ref="AM53:AN53" si="319">AM49-AM52</f>
        <v>0</v>
      </c>
      <c r="AN53" s="636">
        <f t="shared" si="319"/>
        <v>0</v>
      </c>
      <c r="AO53" s="662">
        <v>0</v>
      </c>
      <c r="AP53" s="81">
        <f t="shared" ref="AP53:AQ53" si="320">AP49-AP52</f>
        <v>0</v>
      </c>
      <c r="AQ53" s="636">
        <f t="shared" si="320"/>
        <v>0</v>
      </c>
      <c r="AR53" s="662">
        <v>0</v>
      </c>
      <c r="AS53" s="81">
        <f t="shared" ref="AS53:AU53" si="321">AS49-AS52</f>
        <v>0</v>
      </c>
      <c r="AT53" s="636">
        <f t="shared" si="321"/>
        <v>6</v>
      </c>
      <c r="AU53" s="662">
        <f t="shared" si="321"/>
        <v>6</v>
      </c>
      <c r="AV53" s="965">
        <f t="shared" ref="AV53:AW53" si="322">AV49-AV52</f>
        <v>0</v>
      </c>
      <c r="AW53" s="1107">
        <f t="shared" si="322"/>
        <v>9.25</v>
      </c>
      <c r="AX53" s="662">
        <f t="shared" si="317"/>
        <v>9.25</v>
      </c>
      <c r="AY53" s="965">
        <f t="shared" si="317"/>
        <v>0</v>
      </c>
      <c r="AZ53" s="759">
        <f t="shared" ref="AZ53" si="323">AZ49-AZ52</f>
        <v>15.565508730543806</v>
      </c>
      <c r="BA53" s="611">
        <f t="shared" si="317"/>
        <v>15.565508730543806</v>
      </c>
      <c r="BB53" s="173">
        <f t="shared" ref="BB53:BC53" si="324">BB49-BB52</f>
        <v>0</v>
      </c>
      <c r="BC53" s="759">
        <f t="shared" si="324"/>
        <v>18.317741677804317</v>
      </c>
      <c r="BD53" s="611">
        <f t="shared" si="317"/>
        <v>18.317741677804317</v>
      </c>
      <c r="BE53" s="173">
        <f t="shared" ref="BE53:BF53" si="325">BE49-BE52</f>
        <v>0</v>
      </c>
      <c r="BF53" s="759">
        <f t="shared" si="325"/>
        <v>21.867352497619756</v>
      </c>
      <c r="BG53" s="611">
        <f t="shared" si="317"/>
        <v>21.867352497619756</v>
      </c>
      <c r="BH53" s="173">
        <f t="shared" ref="BH53:BI53" si="326">BH49-BH52</f>
        <v>0</v>
      </c>
      <c r="BI53" s="759">
        <f t="shared" si="326"/>
        <v>26.233372200921647</v>
      </c>
      <c r="BJ53" s="611">
        <f t="shared" si="317"/>
        <v>26.233372200921647</v>
      </c>
      <c r="BK53" s="173">
        <f t="shared" ref="BK53:BL53" si="327">BK49-BK52</f>
        <v>0</v>
      </c>
      <c r="BL53" s="759">
        <f t="shared" si="327"/>
        <v>31.357313436157426</v>
      </c>
      <c r="BM53" s="611">
        <f t="shared" si="317"/>
        <v>31.357313436157426</v>
      </c>
    </row>
    <row r="54" spans="1:73">
      <c r="A54" s="25" t="s">
        <v>421</v>
      </c>
      <c r="B54" s="298">
        <f>B46/B49</f>
        <v>2.4229781771501928</v>
      </c>
      <c r="C54" s="298">
        <f t="shared" ref="C54:T54" si="328">C46/C49</f>
        <v>2.4696069093600412</v>
      </c>
      <c r="D54" s="298">
        <f t="shared" si="328"/>
        <v>1.3574839073695448</v>
      </c>
      <c r="E54" s="298">
        <f t="shared" si="328"/>
        <v>1.4919324310482274</v>
      </c>
      <c r="F54" s="298">
        <f t="shared" si="328"/>
        <v>1.9024609018966741</v>
      </c>
      <c r="G54" s="298">
        <f t="shared" si="328"/>
        <v>2.80765580512496</v>
      </c>
      <c r="H54" s="298">
        <f t="shared" si="328"/>
        <v>3.1084936144114317</v>
      </c>
      <c r="I54" s="298">
        <f t="shared" si="328"/>
        <v>2.8119658119658122</v>
      </c>
      <c r="J54" s="298">
        <f t="shared" si="328"/>
        <v>2.5666641051256431</v>
      </c>
      <c r="K54" s="298">
        <f t="shared" si="328"/>
        <v>2.6449864498644984</v>
      </c>
      <c r="L54" s="298">
        <f t="shared" si="328"/>
        <v>2.420774647887324</v>
      </c>
      <c r="M54" s="298">
        <f t="shared" si="328"/>
        <v>2.7737451737451737</v>
      </c>
      <c r="N54" s="298">
        <f t="shared" si="328"/>
        <v>3.0558672373907383</v>
      </c>
      <c r="O54" s="298">
        <f t="shared" si="328"/>
        <v>2.9815843320666473</v>
      </c>
      <c r="P54" s="298">
        <f t="shared" si="328"/>
        <v>2.8321020850369836</v>
      </c>
      <c r="Q54" s="298">
        <f t="shared" si="328"/>
        <v>3.5875118711764347</v>
      </c>
      <c r="R54" s="298">
        <f>R46/R49</f>
        <v>0.91370799316498963</v>
      </c>
      <c r="S54" s="675">
        <f>S46/S49</f>
        <v>3.6518236053877855</v>
      </c>
      <c r="T54" s="677">
        <f t="shared" si="328"/>
        <v>2.5752995185309593</v>
      </c>
      <c r="U54" s="298">
        <f t="shared" ref="U54:AD54" si="329">U46/U49</f>
        <v>2.441799819828363</v>
      </c>
      <c r="V54" s="675">
        <f t="shared" si="329"/>
        <v>4.1163008585866345</v>
      </c>
      <c r="W54" s="677">
        <f t="shared" si="329"/>
        <v>3.4579500228355196</v>
      </c>
      <c r="X54" s="298">
        <f t="shared" si="329"/>
        <v>-1.754302783177659</v>
      </c>
      <c r="Y54" s="675">
        <f t="shared" si="329"/>
        <v>1.4668161641605357</v>
      </c>
      <c r="Z54" s="677">
        <f t="shared" si="329"/>
        <v>0.20039333016432254</v>
      </c>
      <c r="AA54" s="298">
        <f t="shared" si="329"/>
        <v>0.54083288263926454</v>
      </c>
      <c r="AB54" s="675">
        <f t="shared" si="329"/>
        <v>1.8914988055674873</v>
      </c>
      <c r="AC54" s="663">
        <f t="shared" si="329"/>
        <v>1.3654984069185254</v>
      </c>
      <c r="AD54" s="298">
        <f t="shared" si="329"/>
        <v>-0.34451870736580997</v>
      </c>
      <c r="AE54" s="640" t="str">
        <f>IFERROR(AE46/AE49,"nm")</f>
        <v>nm</v>
      </c>
      <c r="AF54" s="663">
        <f>AF46/AF49</f>
        <v>3.4481183777858968</v>
      </c>
      <c r="AG54" s="993" t="str">
        <f>IFERROR(AG46/AG49,"nm")</f>
        <v>nm</v>
      </c>
      <c r="AH54" s="640" t="str">
        <f>IFERROR(AH46/AH49,"nm")</f>
        <v>nm</v>
      </c>
      <c r="AI54" s="663" t="str">
        <f>IFERROR(AI46/AI49,"nm")</f>
        <v>nm</v>
      </c>
      <c r="AJ54" s="993" t="str">
        <f>IFERROR(AJ46/AJ49,"nm")</f>
        <v>nm</v>
      </c>
      <c r="AK54" s="640" t="str">
        <f>IFERROR(AK46/AK49,"nm")</f>
        <v>nm</v>
      </c>
      <c r="AL54" s="663" t="str">
        <f t="shared" ref="AL54:BM54" si="330">IFERROR(AL46/AL49,"nm")</f>
        <v>nm</v>
      </c>
      <c r="AM54" s="993" t="str">
        <f t="shared" ref="AM54:AU54" si="331">IFERROR(AM46/AM49,"nm")</f>
        <v>nm</v>
      </c>
      <c r="AN54" s="640" t="str">
        <f t="shared" si="331"/>
        <v>nm</v>
      </c>
      <c r="AO54" s="663" t="str">
        <f t="shared" si="331"/>
        <v>nm</v>
      </c>
      <c r="AP54" s="993" t="str">
        <f t="shared" si="331"/>
        <v>nm</v>
      </c>
      <c r="AQ54" s="640" t="str">
        <f t="shared" si="331"/>
        <v>nm</v>
      </c>
      <c r="AR54" s="663" t="str">
        <f t="shared" si="331"/>
        <v>nm</v>
      </c>
      <c r="AS54" s="993" t="str">
        <f t="shared" si="331"/>
        <v>nm</v>
      </c>
      <c r="AT54" s="640">
        <f t="shared" si="331"/>
        <v>1.8897887883118945</v>
      </c>
      <c r="AU54" s="1076">
        <f t="shared" si="331"/>
        <v>3.3818152916865363</v>
      </c>
      <c r="AV54" s="1082">
        <f t="shared" ref="AV54:AW54" si="332">IFERROR(AV46/AV49,"nm")</f>
        <v>3.4980888361671281</v>
      </c>
      <c r="AW54" s="1108">
        <f t="shared" si="332"/>
        <v>2.9072681704260654</v>
      </c>
      <c r="AX54" s="1076">
        <f t="shared" si="330"/>
        <v>3.1950667244784894</v>
      </c>
      <c r="AY54" s="1082">
        <f t="shared" si="330"/>
        <v>3.6946107784431135</v>
      </c>
      <c r="AZ54" s="996">
        <f>IFERROR(AZ46/AZ49,"nm")</f>
        <v>2.2929878290980126</v>
      </c>
      <c r="BA54" s="612">
        <f t="shared" si="330"/>
        <v>2.8571428571428572</v>
      </c>
      <c r="BB54" s="997">
        <f>IFERROR(BB46/BB49,"nm")</f>
        <v>2.8571428571428572</v>
      </c>
      <c r="BC54" s="996">
        <f>IFERROR(BC46/BC49,"nm")</f>
        <v>2.8580184007952241</v>
      </c>
      <c r="BD54" s="612">
        <f t="shared" si="330"/>
        <v>2.8571428571428572</v>
      </c>
      <c r="BE54" s="997">
        <f>IFERROR(BE46/BE49,"nm")</f>
        <v>2.8571428571428577</v>
      </c>
      <c r="BF54" s="996">
        <f>IFERROR(BF46/BF49,"nm")</f>
        <v>2.8583682486447115</v>
      </c>
      <c r="BG54" s="612">
        <f t="shared" si="330"/>
        <v>2.8571428571428572</v>
      </c>
      <c r="BH54" s="997">
        <f>IFERROR(BH46/BH49,"nm")</f>
        <v>2.8571428571428572</v>
      </c>
      <c r="BI54" s="996">
        <f>IFERROR(BI46/BI49,"nm")</f>
        <v>2.8571428571428581</v>
      </c>
      <c r="BJ54" s="612">
        <f t="shared" si="330"/>
        <v>2.8571428571428572</v>
      </c>
      <c r="BK54" s="997">
        <f>IFERROR(BK46/BK49,"nm")</f>
        <v>2.8571428571428572</v>
      </c>
      <c r="BL54" s="996">
        <f>IFERROR(BL46/BL49,"nm")</f>
        <v>2.8571428571428559</v>
      </c>
      <c r="BM54" s="612">
        <f t="shared" si="330"/>
        <v>2.8571428571428572</v>
      </c>
    </row>
    <row r="55" spans="1:73">
      <c r="B55" s="40"/>
      <c r="C55" s="40"/>
      <c r="D55" s="40"/>
      <c r="E55" s="40"/>
      <c r="F55" s="40"/>
      <c r="G55" s="40"/>
      <c r="H55" s="40"/>
      <c r="I55" s="40"/>
      <c r="J55" s="40"/>
      <c r="K55" s="40"/>
      <c r="L55" s="40"/>
      <c r="M55" s="40"/>
      <c r="N55" s="40"/>
      <c r="O55" s="40"/>
      <c r="P55" s="40"/>
      <c r="Q55" s="40"/>
      <c r="R55" s="40"/>
      <c r="S55" s="630"/>
      <c r="T55" s="653"/>
      <c r="U55" s="40"/>
      <c r="V55" s="630"/>
      <c r="W55" s="653"/>
      <c r="X55" s="40"/>
      <c r="Y55" s="630"/>
      <c r="Z55" s="653"/>
      <c r="AA55" s="40"/>
      <c r="AB55" s="630"/>
      <c r="AC55" s="653"/>
      <c r="AD55" s="40"/>
      <c r="AE55" s="630"/>
      <c r="AF55" s="653"/>
      <c r="AG55" s="40"/>
      <c r="AH55" s="630"/>
      <c r="AI55" s="653"/>
      <c r="AJ55" s="40"/>
      <c r="AK55" s="630"/>
      <c r="AL55" s="653"/>
      <c r="AM55" s="40"/>
      <c r="AN55" s="630"/>
      <c r="AO55" s="653"/>
      <c r="AP55" s="40"/>
      <c r="AQ55" s="630"/>
      <c r="AR55" s="653"/>
      <c r="AS55" s="40"/>
      <c r="AT55" s="630"/>
      <c r="AU55" s="556"/>
      <c r="AV55" s="10"/>
      <c r="AW55" s="595"/>
      <c r="AX55" s="556"/>
      <c r="AY55" s="10"/>
      <c r="AZ55" s="601"/>
      <c r="BA55" s="605"/>
      <c r="BB55" s="56"/>
      <c r="BC55" s="601"/>
      <c r="BD55" s="605"/>
      <c r="BE55" s="56"/>
      <c r="BF55" s="601"/>
      <c r="BG55" s="605"/>
      <c r="BH55" s="56"/>
      <c r="BI55" s="601"/>
      <c r="BJ55" s="605"/>
      <c r="BK55" s="56"/>
      <c r="BL55" s="601"/>
      <c r="BM55" s="605"/>
    </row>
    <row r="56" spans="1:73">
      <c r="A56" s="25" t="s">
        <v>431</v>
      </c>
      <c r="B56" s="40">
        <f t="shared" ref="B56:P56" si="333">B49*B68/100</f>
        <v>125.52</v>
      </c>
      <c r="C56" s="40">
        <f t="shared" si="333"/>
        <v>130.96180000000001</v>
      </c>
      <c r="D56" s="40">
        <f t="shared" si="333"/>
        <v>132.2706</v>
      </c>
      <c r="E56" s="40">
        <f t="shared" si="333"/>
        <v>136.36060000000001</v>
      </c>
      <c r="F56" s="40">
        <f t="shared" si="333"/>
        <v>139.46899999999999</v>
      </c>
      <c r="G56" s="40">
        <f t="shared" si="333"/>
        <v>153.29759999999999</v>
      </c>
      <c r="H56" s="40">
        <f t="shared" si="333"/>
        <v>170.7979</v>
      </c>
      <c r="I56" s="40">
        <f t="shared" si="333"/>
        <v>236.6</v>
      </c>
      <c r="J56" s="40">
        <f t="shared" si="333"/>
        <v>263.69200000000001</v>
      </c>
      <c r="K56" s="40">
        <f t="shared" si="333"/>
        <v>278.10000000000002</v>
      </c>
      <c r="L56" s="40">
        <f t="shared" si="333"/>
        <v>299.52</v>
      </c>
      <c r="M56" s="40">
        <f t="shared" si="333"/>
        <v>327.60000000000002</v>
      </c>
      <c r="N56" s="40">
        <f t="shared" si="333"/>
        <v>365.04</v>
      </c>
      <c r="O56" s="40">
        <f t="shared" si="333"/>
        <v>413.6</v>
      </c>
      <c r="P56" s="40">
        <f t="shared" si="333"/>
        <v>434.74200000000002</v>
      </c>
      <c r="Q56" s="40">
        <f>Q49*Q68/100</f>
        <v>300.88060000000002</v>
      </c>
      <c r="R56" s="40">
        <f>R49*R68/100</f>
        <v>84.412202572519732</v>
      </c>
      <c r="S56" s="630">
        <f>S49*S68/100</f>
        <v>130.49799999999999</v>
      </c>
      <c r="T56" s="653">
        <f>T49*T68/100</f>
        <v>215.04599999999999</v>
      </c>
      <c r="U56" s="40">
        <f t="shared" ref="U56:V56" si="334">U49*U68/100</f>
        <v>84.537152812600439</v>
      </c>
      <c r="V56" s="630">
        <f t="shared" si="334"/>
        <v>130.47288640308582</v>
      </c>
      <c r="W56" s="653">
        <f>W49*W68/100</f>
        <v>215.00461562198649</v>
      </c>
      <c r="X56" s="40">
        <f t="shared" ref="X56:BM56" si="335">X49*X60/100</f>
        <v>84.36399999999999</v>
      </c>
      <c r="Y56" s="630">
        <f t="shared" si="335"/>
        <v>130.214</v>
      </c>
      <c r="Z56" s="653">
        <f t="shared" si="335"/>
        <v>214.578</v>
      </c>
      <c r="AA56" s="40">
        <f t="shared" si="335"/>
        <v>85.054000000000002</v>
      </c>
      <c r="AB56" s="630">
        <f t="shared" si="335"/>
        <v>132.69899999999998</v>
      </c>
      <c r="AC56" s="653">
        <f t="shared" si="335"/>
        <v>217.50299999999999</v>
      </c>
      <c r="AD56" s="40">
        <f t="shared" si="335"/>
        <v>87.077999999999989</v>
      </c>
      <c r="AE56" s="630">
        <f t="shared" si="335"/>
        <v>0</v>
      </c>
      <c r="AF56" s="653">
        <f t="shared" si="335"/>
        <v>87.584000000000003</v>
      </c>
      <c r="AG56" s="40">
        <f t="shared" ref="AG56:AH56" si="336">AG49*AG60/100</f>
        <v>0</v>
      </c>
      <c r="AH56" s="630">
        <f t="shared" si="336"/>
        <v>0</v>
      </c>
      <c r="AI56" s="653">
        <f t="shared" si="335"/>
        <v>0</v>
      </c>
      <c r="AJ56" s="40">
        <f t="shared" si="335"/>
        <v>0</v>
      </c>
      <c r="AK56" s="630">
        <f t="shared" si="335"/>
        <v>0</v>
      </c>
      <c r="AL56" s="653">
        <f t="shared" si="335"/>
        <v>0</v>
      </c>
      <c r="AM56" s="40">
        <f t="shared" ref="AM56:AN56" si="337">AM49*AM60/100</f>
        <v>0</v>
      </c>
      <c r="AN56" s="630">
        <f t="shared" si="337"/>
        <v>0</v>
      </c>
      <c r="AO56" s="653">
        <f t="shared" si="335"/>
        <v>0</v>
      </c>
      <c r="AP56" s="40">
        <f t="shared" si="335"/>
        <v>0</v>
      </c>
      <c r="AQ56" s="630">
        <f t="shared" si="335"/>
        <v>0</v>
      </c>
      <c r="AR56" s="653">
        <f t="shared" ref="AR56" si="338">AR49*AR60/100</f>
        <v>0</v>
      </c>
      <c r="AS56" s="40">
        <f t="shared" ref="AS56:AT56" si="339">AS49*AS60/100</f>
        <v>0</v>
      </c>
      <c r="AT56" s="630">
        <f t="shared" si="339"/>
        <v>503.76</v>
      </c>
      <c r="AU56" s="556">
        <f t="shared" si="335"/>
        <v>503.28</v>
      </c>
      <c r="AV56" s="10">
        <f t="shared" ref="AV56:AW56" si="340">AV49*AV60/100</f>
        <v>379.35</v>
      </c>
      <c r="AW56" s="595">
        <f t="shared" si="340"/>
        <v>399</v>
      </c>
      <c r="AX56" s="556">
        <f t="shared" si="335"/>
        <v>778.38750000000005</v>
      </c>
      <c r="AY56" s="10">
        <f t="shared" si="335"/>
        <v>501</v>
      </c>
      <c r="AZ56" s="601">
        <f t="shared" ref="AZ56" si="341">AZ49*AZ60/100</f>
        <v>778.59951573042349</v>
      </c>
      <c r="BA56" s="605">
        <f t="shared" si="335"/>
        <v>1272.7117246590133</v>
      </c>
      <c r="BB56" s="56">
        <f t="shared" ref="BB56:BC56" si="342">BB49*BB60/100</f>
        <v>716.63021362607901</v>
      </c>
      <c r="BC56" s="601">
        <f t="shared" si="342"/>
        <v>749.68457216620106</v>
      </c>
      <c r="BD56" s="605">
        <f t="shared" si="335"/>
        <v>1466.5445193412329</v>
      </c>
      <c r="BE56" s="56">
        <f t="shared" ref="BE56:BF56" si="343">BE49*BE60/100</f>
        <v>827.28000021139803</v>
      </c>
      <c r="BF56" s="601">
        <f t="shared" si="343"/>
        <v>884.04876216326784</v>
      </c>
      <c r="BG56" s="605">
        <f t="shared" si="335"/>
        <v>1711.7079194187986</v>
      </c>
      <c r="BH56" s="56">
        <f t="shared" ref="BH56:BI56" si="344">BH49*BH60/100</f>
        <v>980.12377896079886</v>
      </c>
      <c r="BI56" s="601">
        <f t="shared" si="344"/>
        <v>1049.9350452255369</v>
      </c>
      <c r="BJ56" s="605">
        <f t="shared" si="335"/>
        <v>2030.0588241863356</v>
      </c>
      <c r="BK56" s="56">
        <f t="shared" ref="BK56:BL56" si="345">BK49*BK60/100</f>
        <v>1172.0825948288843</v>
      </c>
      <c r="BL56" s="601">
        <f t="shared" si="345"/>
        <v>1254.4903351130649</v>
      </c>
      <c r="BM56" s="605">
        <f t="shared" si="335"/>
        <v>2426.5729299419495</v>
      </c>
    </row>
    <row r="57" spans="1:73">
      <c r="B57" s="40"/>
      <c r="C57" s="40"/>
      <c r="D57" s="40"/>
      <c r="E57" s="40"/>
      <c r="F57" s="40"/>
      <c r="G57" s="40"/>
      <c r="H57" s="40"/>
      <c r="I57" s="40"/>
      <c r="J57" s="40"/>
      <c r="K57" s="40"/>
      <c r="L57" s="40"/>
      <c r="M57" s="40"/>
      <c r="N57" s="40"/>
      <c r="O57" s="40"/>
      <c r="P57" s="40"/>
      <c r="Q57" s="40"/>
      <c r="R57" s="40"/>
      <c r="S57" s="630"/>
      <c r="T57" s="653"/>
      <c r="U57" s="40"/>
      <c r="V57" s="630"/>
      <c r="W57" s="653"/>
      <c r="X57" s="40"/>
      <c r="Y57" s="630"/>
      <c r="Z57" s="653"/>
      <c r="AA57" s="40"/>
      <c r="AB57" s="630"/>
      <c r="AC57" s="653"/>
      <c r="AD57" s="40"/>
      <c r="AE57" s="630"/>
      <c r="AF57" s="653"/>
      <c r="AG57" s="40"/>
      <c r="AH57" s="630"/>
      <c r="AI57" s="653"/>
      <c r="AJ57" s="40"/>
      <c r="AK57" s="630"/>
      <c r="AL57" s="653"/>
      <c r="AM57" s="40"/>
      <c r="AN57" s="630"/>
      <c r="AO57" s="653"/>
      <c r="AP57" s="40"/>
      <c r="AQ57" s="539"/>
      <c r="AR57" s="550"/>
      <c r="AS57"/>
      <c r="AT57" s="539"/>
      <c r="AU57" s="550"/>
      <c r="AV57"/>
      <c r="AW57" s="539"/>
      <c r="AX57" s="550"/>
      <c r="AY57"/>
      <c r="AZ57" s="539"/>
      <c r="BA57" s="550"/>
      <c r="BB57"/>
      <c r="BC57" s="539"/>
      <c r="BD57" s="550"/>
      <c r="BE57"/>
      <c r="BF57" s="539"/>
      <c r="BG57" s="550"/>
      <c r="BH57"/>
      <c r="BI57" s="539"/>
      <c r="BJ57" s="550"/>
      <c r="BK57"/>
      <c r="BL57" s="539"/>
      <c r="BM57" s="550"/>
    </row>
    <row r="58" spans="1:73">
      <c r="A58" s="310" t="s">
        <v>64</v>
      </c>
      <c r="B58" s="318"/>
      <c r="C58" s="318"/>
      <c r="D58" s="318"/>
      <c r="E58" s="318"/>
      <c r="F58" s="318"/>
      <c r="G58" s="318"/>
      <c r="H58" s="318"/>
      <c r="I58" s="318"/>
      <c r="J58" s="318"/>
      <c r="K58" s="318"/>
      <c r="L58" s="318"/>
      <c r="M58" s="318"/>
      <c r="N58" s="318"/>
      <c r="O58" s="318"/>
      <c r="P58" s="318"/>
      <c r="Q58" s="318"/>
      <c r="R58" s="527"/>
      <c r="S58" s="320"/>
      <c r="T58" s="678"/>
      <c r="U58" s="527"/>
      <c r="V58" s="320"/>
      <c r="W58" s="678"/>
      <c r="X58" s="527"/>
      <c r="Y58" s="320"/>
      <c r="Z58" s="678"/>
      <c r="AA58" s="527"/>
      <c r="AB58" s="320"/>
      <c r="AC58" s="664"/>
      <c r="AD58" s="527"/>
      <c r="AE58" s="320"/>
      <c r="AF58" s="664"/>
      <c r="AG58" s="527"/>
      <c r="AH58" s="320"/>
      <c r="AI58" s="664"/>
      <c r="AJ58" s="527"/>
      <c r="AK58" s="320"/>
      <c r="AL58" s="664"/>
      <c r="AM58" s="527"/>
      <c r="AN58" s="320"/>
      <c r="AO58" s="664"/>
      <c r="AP58" s="527"/>
      <c r="AQ58" s="320"/>
      <c r="AR58" s="664"/>
      <c r="AS58" s="527"/>
      <c r="AT58" s="320"/>
      <c r="AU58" s="664"/>
      <c r="AV58" s="527"/>
      <c r="AW58" s="320"/>
      <c r="AX58" s="664"/>
      <c r="AY58" s="527"/>
      <c r="AZ58" s="215"/>
      <c r="BA58" s="574"/>
      <c r="BB58" s="179"/>
      <c r="BC58" s="215"/>
      <c r="BD58" s="574"/>
      <c r="BE58" s="179"/>
      <c r="BF58" s="215"/>
      <c r="BG58" s="574"/>
      <c r="BH58" s="179"/>
      <c r="BI58" s="215"/>
      <c r="BJ58" s="574"/>
      <c r="BK58" s="179"/>
      <c r="BL58" s="215"/>
      <c r="BM58" s="574"/>
    </row>
    <row r="59" spans="1:73">
      <c r="B59" s="40"/>
      <c r="C59" s="40"/>
      <c r="D59" s="40"/>
      <c r="E59" s="40"/>
      <c r="F59" s="40"/>
      <c r="G59" s="40"/>
      <c r="H59" s="40"/>
      <c r="I59" s="40"/>
      <c r="J59" s="40"/>
      <c r="K59" s="40"/>
      <c r="L59" s="40"/>
      <c r="M59" s="40"/>
      <c r="N59" s="40"/>
      <c r="O59" s="40"/>
      <c r="P59" s="40"/>
      <c r="Q59" s="40"/>
      <c r="R59" s="40"/>
      <c r="S59" s="630"/>
      <c r="T59" s="653"/>
      <c r="U59" s="40"/>
      <c r="V59" s="630"/>
      <c r="W59" s="653"/>
      <c r="X59" s="40"/>
      <c r="Y59" s="630"/>
      <c r="Z59" s="653"/>
      <c r="AA59" s="40"/>
      <c r="AB59" s="630"/>
      <c r="AC59" s="653"/>
      <c r="AD59" s="40"/>
      <c r="AE59" s="630"/>
      <c r="AF59" s="653"/>
      <c r="AG59" s="40"/>
      <c r="AH59" s="630"/>
      <c r="AI59" s="653"/>
      <c r="AJ59" s="40"/>
      <c r="AK59" s="630"/>
      <c r="AL59" s="653"/>
      <c r="AM59" s="40"/>
      <c r="AN59" s="630"/>
      <c r="AO59" s="653"/>
      <c r="AP59" s="40"/>
      <c r="AQ59" s="539"/>
      <c r="AR59" s="550"/>
      <c r="AS59"/>
      <c r="AT59" s="539"/>
      <c r="AU59" s="550"/>
      <c r="AV59"/>
      <c r="AW59" s="539"/>
      <c r="AX59" s="550"/>
      <c r="AY59"/>
      <c r="AZ59" s="539"/>
      <c r="BA59" s="550"/>
      <c r="BB59"/>
      <c r="BC59" s="539"/>
      <c r="BD59" s="550"/>
      <c r="BE59"/>
      <c r="BF59" s="539"/>
      <c r="BG59" s="550"/>
      <c r="BH59"/>
      <c r="BI59" s="539"/>
      <c r="BJ59" s="550"/>
      <c r="BK59"/>
      <c r="BL59" s="539"/>
      <c r="BM59" s="550"/>
    </row>
    <row r="60" spans="1:73">
      <c r="A60" s="25" t="s">
        <v>65</v>
      </c>
      <c r="B60" s="40">
        <v>1558</v>
      </c>
      <c r="C60" s="40">
        <v>1589</v>
      </c>
      <c r="D60" s="40">
        <v>1612</v>
      </c>
      <c r="E60" s="40">
        <v>1647</v>
      </c>
      <c r="F60" s="40">
        <v>1690</v>
      </c>
      <c r="G60" s="40">
        <v>1740</v>
      </c>
      <c r="H60" s="40">
        <v>1741</v>
      </c>
      <c r="I60" s="40">
        <v>1800</v>
      </c>
      <c r="J60" s="40">
        <v>1820</v>
      </c>
      <c r="K60" s="40">
        <v>1845</v>
      </c>
      <c r="L60" s="40">
        <v>1846</v>
      </c>
      <c r="M60" s="40">
        <v>1850</v>
      </c>
      <c r="N60" s="40">
        <v>1851</v>
      </c>
      <c r="O60" s="40">
        <v>1866</v>
      </c>
      <c r="P60" s="40">
        <v>1874</v>
      </c>
      <c r="Q60" s="40">
        <v>1839</v>
      </c>
      <c r="R60" s="40">
        <v>1832</v>
      </c>
      <c r="S60" s="630">
        <f>T60*2-R60</f>
        <v>1832</v>
      </c>
      <c r="T60" s="653">
        <v>1832</v>
      </c>
      <c r="U60" s="40">
        <v>1834</v>
      </c>
      <c r="V60" s="630">
        <f>W60*2-U60</f>
        <v>1834</v>
      </c>
      <c r="W60" s="653">
        <v>1834</v>
      </c>
      <c r="X60" s="40">
        <v>1834</v>
      </c>
      <c r="Y60" s="630">
        <f>Z60*2-X60</f>
        <v>1834</v>
      </c>
      <c r="Z60" s="653">
        <f>W60</f>
        <v>1834</v>
      </c>
      <c r="AA60" s="40">
        <v>1849</v>
      </c>
      <c r="AB60" s="630">
        <f>AC60*2-AA60</f>
        <v>1869</v>
      </c>
      <c r="AC60" s="653">
        <v>1859</v>
      </c>
      <c r="AD60" s="40">
        <v>1893</v>
      </c>
      <c r="AE60" s="630">
        <f>AF60*2-AD60</f>
        <v>1915</v>
      </c>
      <c r="AF60" s="653">
        <v>1904</v>
      </c>
      <c r="AG60" s="40">
        <v>5597</v>
      </c>
      <c r="AH60" s="630">
        <f>AI60*2-AG60</f>
        <v>6377</v>
      </c>
      <c r="AI60" s="653">
        <v>5987</v>
      </c>
      <c r="AJ60" s="40">
        <v>8331</v>
      </c>
      <c r="AK60" s="630">
        <f>AL60*2-AJ60</f>
        <v>8333</v>
      </c>
      <c r="AL60" s="653">
        <v>8332</v>
      </c>
      <c r="AM60" s="40">
        <v>8345</v>
      </c>
      <c r="AN60" s="630">
        <f>AO60*2-AM60</f>
        <v>8353</v>
      </c>
      <c r="AO60" s="653">
        <v>8349</v>
      </c>
      <c r="AP60" s="40">
        <v>8359</v>
      </c>
      <c r="AQ60" s="630">
        <f>AR60*2-AP60</f>
        <v>8363</v>
      </c>
      <c r="AR60" s="653">
        <v>8361</v>
      </c>
      <c r="AS60" s="40">
        <v>8380</v>
      </c>
      <c r="AT60" s="630">
        <f>AU60*2-AS60</f>
        <v>8396</v>
      </c>
      <c r="AU60" s="653">
        <v>8388</v>
      </c>
      <c r="AV60" s="40">
        <v>8430</v>
      </c>
      <c r="AW60" s="539">
        <f>AX60*2-AV60</f>
        <v>8400</v>
      </c>
      <c r="AX60" s="653">
        <v>8415</v>
      </c>
      <c r="AY60" s="40">
        <v>8350</v>
      </c>
      <c r="AZ60" s="236">
        <f t="shared" ref="AZ60:BM60" si="346">AVERAGE(AZ64,AZ68)</f>
        <v>8139.6561088723138</v>
      </c>
      <c r="BA60" s="605">
        <f t="shared" si="346"/>
        <v>8176.4865298723134</v>
      </c>
      <c r="BB60" s="56">
        <f t="shared" si="346"/>
        <v>8050.7564844472654</v>
      </c>
      <c r="BC60" s="236">
        <f t="shared" si="346"/>
        <v>7961.5287102746497</v>
      </c>
      <c r="BD60" s="605">
        <f t="shared" si="346"/>
        <v>8006.1425973609566</v>
      </c>
      <c r="BE60" s="56">
        <f t="shared" si="346"/>
        <v>7872.300936102034</v>
      </c>
      <c r="BF60" s="236">
        <f t="shared" si="346"/>
        <v>7783.0731619294202</v>
      </c>
      <c r="BG60" s="605">
        <f t="shared" si="346"/>
        <v>7827.6870490157271</v>
      </c>
      <c r="BH60" s="56">
        <f t="shared" si="346"/>
        <v>7738.4592748431114</v>
      </c>
      <c r="BI60" s="236">
        <f t="shared" si="346"/>
        <v>7738.4592748431114</v>
      </c>
      <c r="BJ60" s="605">
        <f t="shared" si="346"/>
        <v>7738.4592748431114</v>
      </c>
      <c r="BK60" s="56">
        <f t="shared" si="346"/>
        <v>7738.4592748431114</v>
      </c>
      <c r="BL60" s="236">
        <f t="shared" si="346"/>
        <v>7738.4592748431114</v>
      </c>
      <c r="BM60" s="605">
        <f t="shared" si="346"/>
        <v>7738.4592748431114</v>
      </c>
    </row>
    <row r="61" spans="1:73">
      <c r="A61" s="25" t="s">
        <v>63</v>
      </c>
      <c r="B61" s="40">
        <f t="shared" ref="B61:AL61" si="347">B62-B60</f>
        <v>8</v>
      </c>
      <c r="C61" s="40">
        <f t="shared" si="347"/>
        <v>27</v>
      </c>
      <c r="D61" s="40">
        <f t="shared" si="347"/>
        <v>12</v>
      </c>
      <c r="E61" s="40">
        <f t="shared" si="347"/>
        <v>24</v>
      </c>
      <c r="F61" s="40">
        <f t="shared" si="347"/>
        <v>57</v>
      </c>
      <c r="G61" s="40">
        <f t="shared" si="347"/>
        <v>73</v>
      </c>
      <c r="H61" s="40">
        <f t="shared" si="347"/>
        <v>69</v>
      </c>
      <c r="I61" s="40">
        <f t="shared" si="347"/>
        <v>38</v>
      </c>
      <c r="J61" s="51">
        <f t="shared" si="347"/>
        <v>0</v>
      </c>
      <c r="K61" s="40">
        <f t="shared" si="347"/>
        <v>20</v>
      </c>
      <c r="L61" s="40">
        <f t="shared" si="347"/>
        <v>24</v>
      </c>
      <c r="M61" s="40">
        <f t="shared" si="347"/>
        <v>25</v>
      </c>
      <c r="N61" s="40">
        <f t="shared" si="347"/>
        <v>25</v>
      </c>
      <c r="O61" s="40">
        <f t="shared" si="347"/>
        <v>21</v>
      </c>
      <c r="P61" s="40">
        <f t="shared" si="347"/>
        <v>18</v>
      </c>
      <c r="Q61" s="40">
        <f t="shared" si="347"/>
        <v>12</v>
      </c>
      <c r="R61" s="40">
        <v>9</v>
      </c>
      <c r="S61" s="630">
        <f>T61</f>
        <v>0</v>
      </c>
      <c r="T61" s="653">
        <f t="shared" si="347"/>
        <v>0</v>
      </c>
      <c r="U61" s="40">
        <v>3</v>
      </c>
      <c r="V61" s="630">
        <f>W61</f>
        <v>6</v>
      </c>
      <c r="W61" s="653">
        <f t="shared" si="347"/>
        <v>6</v>
      </c>
      <c r="X61" s="40">
        <v>3</v>
      </c>
      <c r="Y61" s="630">
        <f>Z61</f>
        <v>6</v>
      </c>
      <c r="Z61" s="653">
        <f t="shared" si="347"/>
        <v>6</v>
      </c>
      <c r="AA61" s="40">
        <v>0</v>
      </c>
      <c r="AB61" s="630">
        <f>AC61</f>
        <v>0</v>
      </c>
      <c r="AC61" s="653">
        <v>0</v>
      </c>
      <c r="AD61" s="40">
        <v>0</v>
      </c>
      <c r="AE61" s="630">
        <f>AF61</f>
        <v>0</v>
      </c>
      <c r="AF61" s="653">
        <v>0</v>
      </c>
      <c r="AG61" s="40">
        <v>0</v>
      </c>
      <c r="AH61" s="630">
        <f>AI61</f>
        <v>0</v>
      </c>
      <c r="AI61" s="653">
        <v>0</v>
      </c>
      <c r="AJ61" s="40">
        <v>18</v>
      </c>
      <c r="AK61" s="630">
        <f>AL61</f>
        <v>20</v>
      </c>
      <c r="AL61" s="653">
        <f t="shared" si="347"/>
        <v>20</v>
      </c>
      <c r="AM61" s="40">
        <v>0</v>
      </c>
      <c r="AN61" s="630">
        <f>AO61</f>
        <v>0</v>
      </c>
      <c r="AO61" s="653">
        <v>0</v>
      </c>
      <c r="AP61" s="40">
        <v>18</v>
      </c>
      <c r="AQ61" s="630">
        <f>AQ62-AQ60</f>
        <v>70</v>
      </c>
      <c r="AR61" s="653">
        <v>44</v>
      </c>
      <c r="AS61" s="40">
        <v>52</v>
      </c>
      <c r="AT61" s="630">
        <f>AT62-AT60</f>
        <v>50</v>
      </c>
      <c r="AU61" s="653">
        <v>51</v>
      </c>
      <c r="AV61" s="40">
        <v>38</v>
      </c>
      <c r="AW61" s="539">
        <f>AW62-AW60</f>
        <v>28</v>
      </c>
      <c r="AX61" s="653">
        <v>33</v>
      </c>
      <c r="AY61" s="40">
        <v>18</v>
      </c>
      <c r="AZ61" s="236">
        <f>BA61</f>
        <v>20</v>
      </c>
      <c r="BA61" s="580">
        <v>20</v>
      </c>
      <c r="BB61" s="56">
        <f>BD61</f>
        <v>20</v>
      </c>
      <c r="BC61" s="236">
        <f>BD61</f>
        <v>20</v>
      </c>
      <c r="BD61" s="605">
        <f>+BA61</f>
        <v>20</v>
      </c>
      <c r="BE61" s="56">
        <f>BG61</f>
        <v>20</v>
      </c>
      <c r="BF61" s="236">
        <f>BG61</f>
        <v>20</v>
      </c>
      <c r="BG61" s="605">
        <f>+BD61</f>
        <v>20</v>
      </c>
      <c r="BH61" s="56">
        <f>BJ61</f>
        <v>20</v>
      </c>
      <c r="BI61" s="236">
        <f>BJ61</f>
        <v>20</v>
      </c>
      <c r="BJ61" s="605">
        <f>+BG61</f>
        <v>20</v>
      </c>
      <c r="BK61" s="56">
        <f>BM61</f>
        <v>20</v>
      </c>
      <c r="BL61" s="236">
        <f>BM61</f>
        <v>20</v>
      </c>
      <c r="BM61" s="605">
        <f t="shared" ref="BM61" si="348">+BJ61</f>
        <v>20</v>
      </c>
    </row>
    <row r="62" spans="1:73">
      <c r="A62" s="25" t="s">
        <v>66</v>
      </c>
      <c r="B62" s="40">
        <v>1566</v>
      </c>
      <c r="C62" s="40">
        <v>1616</v>
      </c>
      <c r="D62" s="40">
        <v>1624</v>
      </c>
      <c r="E62" s="40">
        <v>1671</v>
      </c>
      <c r="F62" s="40">
        <v>1747</v>
      </c>
      <c r="G62" s="40">
        <v>1813</v>
      </c>
      <c r="H62" s="40">
        <v>1810</v>
      </c>
      <c r="I62" s="40">
        <v>1838</v>
      </c>
      <c r="J62" s="40">
        <v>1820</v>
      </c>
      <c r="K62" s="40">
        <v>1865</v>
      </c>
      <c r="L62" s="40">
        <v>1870</v>
      </c>
      <c r="M62" s="40">
        <v>1875</v>
      </c>
      <c r="N62" s="40">
        <v>1876</v>
      </c>
      <c r="O62" s="40">
        <v>1887</v>
      </c>
      <c r="P62" s="40">
        <v>1892</v>
      </c>
      <c r="Q62" s="40">
        <v>1851</v>
      </c>
      <c r="R62" s="40">
        <f t="shared" ref="R62:S62" si="349">R60+R61</f>
        <v>1841</v>
      </c>
      <c r="S62" s="630">
        <f t="shared" si="349"/>
        <v>1832</v>
      </c>
      <c r="T62" s="653">
        <v>1832</v>
      </c>
      <c r="U62" s="40">
        <f t="shared" ref="U62:V62" si="350">U60+U61</f>
        <v>1837</v>
      </c>
      <c r="V62" s="630">
        <f t="shared" si="350"/>
        <v>1840</v>
      </c>
      <c r="W62" s="653">
        <v>1840</v>
      </c>
      <c r="X62" s="40">
        <f t="shared" ref="X62:Y62" si="351">X60+X61</f>
        <v>1837</v>
      </c>
      <c r="Y62" s="630">
        <f t="shared" si="351"/>
        <v>1840</v>
      </c>
      <c r="Z62" s="653">
        <f>W62</f>
        <v>1840</v>
      </c>
      <c r="AA62" s="40">
        <f t="shared" ref="AA62" si="352">AA60+AA61</f>
        <v>1849</v>
      </c>
      <c r="AB62" s="630">
        <f t="shared" ref="AB62" si="353">AB60+AB61</f>
        <v>1869</v>
      </c>
      <c r="AC62" s="653">
        <v>1859</v>
      </c>
      <c r="AD62" s="40">
        <f t="shared" ref="AD62:BM62" si="354">AD60+AD61</f>
        <v>1893</v>
      </c>
      <c r="AE62" s="630">
        <f t="shared" ref="AE62" si="355">AE60+AE61</f>
        <v>1915</v>
      </c>
      <c r="AF62" s="653">
        <f t="shared" si="354"/>
        <v>1904</v>
      </c>
      <c r="AG62" s="40">
        <f t="shared" si="354"/>
        <v>5597</v>
      </c>
      <c r="AH62" s="630">
        <f t="shared" ref="AH62" si="356">AH60+AH61</f>
        <v>6377</v>
      </c>
      <c r="AI62" s="653">
        <f t="shared" si="354"/>
        <v>5987</v>
      </c>
      <c r="AJ62" s="40">
        <f t="shared" si="354"/>
        <v>8349</v>
      </c>
      <c r="AK62" s="630">
        <f t="shared" ref="AK62" si="357">AK60+AK61</f>
        <v>8353</v>
      </c>
      <c r="AL62" s="653">
        <v>8352</v>
      </c>
      <c r="AM62" s="40">
        <f t="shared" ref="AM62" si="358">AM60+AM61</f>
        <v>8345</v>
      </c>
      <c r="AN62" s="630">
        <f t="shared" si="354"/>
        <v>8353</v>
      </c>
      <c r="AO62" s="653">
        <f t="shared" si="354"/>
        <v>8349</v>
      </c>
      <c r="AP62" s="40">
        <f t="shared" ref="AP62:AR62" si="359">AP60+AP61</f>
        <v>8377</v>
      </c>
      <c r="AQ62" s="630">
        <f>AR62*2-AP62</f>
        <v>8433</v>
      </c>
      <c r="AR62" s="653">
        <f t="shared" si="359"/>
        <v>8405</v>
      </c>
      <c r="AS62" s="40">
        <f t="shared" ref="AS62" si="360">AS60+AS61</f>
        <v>8432</v>
      </c>
      <c r="AT62" s="630">
        <f>AU62*2-AS62</f>
        <v>8446</v>
      </c>
      <c r="AU62" s="653">
        <f t="shared" ref="AU62:AV62" si="361">AU60+AU61</f>
        <v>8439</v>
      </c>
      <c r="AV62" s="40">
        <f t="shared" si="361"/>
        <v>8468</v>
      </c>
      <c r="AW62" s="539">
        <f>AX62*2-AV62</f>
        <v>8428</v>
      </c>
      <c r="AX62" s="653">
        <f t="shared" si="354"/>
        <v>8448</v>
      </c>
      <c r="AY62" s="40">
        <f t="shared" si="354"/>
        <v>8368</v>
      </c>
      <c r="AZ62" s="236">
        <f t="shared" si="354"/>
        <v>8159.6561088723138</v>
      </c>
      <c r="BA62" s="605">
        <f t="shared" si="354"/>
        <v>8196.4865298723125</v>
      </c>
      <c r="BB62" s="56">
        <f t="shared" si="354"/>
        <v>8070.7564844472654</v>
      </c>
      <c r="BC62" s="236">
        <f t="shared" si="354"/>
        <v>7981.5287102746497</v>
      </c>
      <c r="BD62" s="605">
        <f t="shared" si="354"/>
        <v>8026.1425973609566</v>
      </c>
      <c r="BE62" s="56">
        <f t="shared" si="354"/>
        <v>7892.300936102034</v>
      </c>
      <c r="BF62" s="236">
        <f t="shared" si="354"/>
        <v>7803.0731619294202</v>
      </c>
      <c r="BG62" s="605">
        <f t="shared" si="354"/>
        <v>7847.6870490157271</v>
      </c>
      <c r="BH62" s="56">
        <f t="shared" si="354"/>
        <v>7758.4592748431114</v>
      </c>
      <c r="BI62" s="236">
        <f t="shared" si="354"/>
        <v>7758.4592748431114</v>
      </c>
      <c r="BJ62" s="605">
        <f t="shared" si="354"/>
        <v>7758.4592748431114</v>
      </c>
      <c r="BK62" s="56">
        <f t="shared" si="354"/>
        <v>7758.4592748431114</v>
      </c>
      <c r="BL62" s="236">
        <f t="shared" si="354"/>
        <v>7758.4592748431114</v>
      </c>
      <c r="BM62" s="605">
        <f t="shared" si="354"/>
        <v>7758.4592748431114</v>
      </c>
    </row>
    <row r="63" spans="1:73">
      <c r="B63" s="40"/>
      <c r="C63" s="40"/>
      <c r="D63" s="40"/>
      <c r="E63" s="40"/>
      <c r="F63" s="40"/>
      <c r="G63" s="40"/>
      <c r="H63" s="40"/>
      <c r="I63" s="40"/>
      <c r="J63" s="40"/>
      <c r="K63" s="40"/>
      <c r="L63" s="40"/>
      <c r="M63" s="40"/>
      <c r="N63" s="40"/>
      <c r="O63" s="40"/>
      <c r="P63" s="40"/>
      <c r="Q63" s="40"/>
      <c r="R63" s="40"/>
      <c r="S63" s="630"/>
      <c r="T63" s="653"/>
      <c r="U63" s="40"/>
      <c r="V63" s="630"/>
      <c r="W63" s="653"/>
      <c r="X63" s="40"/>
      <c r="Y63" s="630"/>
      <c r="Z63" s="653"/>
      <c r="AA63" s="40"/>
      <c r="AB63" s="630"/>
      <c r="AC63" s="653"/>
      <c r="AD63" s="40"/>
      <c r="AE63" s="630"/>
      <c r="AF63" s="653"/>
      <c r="AG63" s="40"/>
      <c r="AH63" s="630"/>
      <c r="AI63" s="653"/>
      <c r="AJ63" s="40"/>
      <c r="AK63" s="630"/>
      <c r="AL63" s="653"/>
      <c r="AM63" s="40"/>
      <c r="AN63" s="630"/>
      <c r="AO63" s="653"/>
      <c r="AP63" s="40"/>
      <c r="AQ63" s="630"/>
      <c r="AR63" s="653"/>
      <c r="AS63"/>
      <c r="AT63" s="539"/>
      <c r="AU63" s="550"/>
      <c r="AV63"/>
      <c r="AW63" s="539"/>
      <c r="AX63" s="550"/>
      <c r="AY63"/>
      <c r="AZ63" s="539"/>
      <c r="BA63" s="550"/>
      <c r="BB63"/>
      <c r="BC63" s="539"/>
      <c r="BD63" s="550"/>
      <c r="BE63"/>
      <c r="BF63" s="539"/>
      <c r="BG63" s="550"/>
      <c r="BH63"/>
      <c r="BI63" s="539"/>
      <c r="BJ63" s="550"/>
      <c r="BK63"/>
      <c r="BL63" s="539"/>
      <c r="BM63" s="550"/>
    </row>
    <row r="64" spans="1:73">
      <c r="A64" s="25" t="s">
        <v>405</v>
      </c>
      <c r="B64" s="40"/>
      <c r="C64" s="40">
        <f t="shared" ref="C64:Q64" si="362">B68</f>
        <v>1569</v>
      </c>
      <c r="D64" s="40">
        <f t="shared" si="362"/>
        <v>1601</v>
      </c>
      <c r="E64" s="40">
        <f t="shared" si="362"/>
        <v>1617</v>
      </c>
      <c r="F64" s="40">
        <f t="shared" si="362"/>
        <v>1667</v>
      </c>
      <c r="G64" s="40">
        <f t="shared" si="362"/>
        <v>1705</v>
      </c>
      <c r="H64" s="40">
        <f t="shared" si="362"/>
        <v>1758</v>
      </c>
      <c r="I64" s="40">
        <f t="shared" si="362"/>
        <v>1781</v>
      </c>
      <c r="J64" s="40">
        <f t="shared" si="362"/>
        <v>1820</v>
      </c>
      <c r="K64" s="40">
        <f t="shared" si="362"/>
        <v>1844</v>
      </c>
      <c r="L64" s="40">
        <f t="shared" si="362"/>
        <v>1854</v>
      </c>
      <c r="M64" s="40">
        <f t="shared" si="362"/>
        <v>1872</v>
      </c>
      <c r="N64" s="40">
        <f t="shared" si="362"/>
        <v>1872</v>
      </c>
      <c r="O64" s="40">
        <f t="shared" si="362"/>
        <v>1872</v>
      </c>
      <c r="P64" s="40">
        <f t="shared" si="362"/>
        <v>1880</v>
      </c>
      <c r="Q64" s="40">
        <f t="shared" si="362"/>
        <v>1882</v>
      </c>
      <c r="R64" s="40">
        <f>Q68</f>
        <v>1838</v>
      </c>
      <c r="S64" s="630">
        <f>R68</f>
        <v>1835.0478820112987</v>
      </c>
      <c r="T64" s="653">
        <f>Q68</f>
        <v>1838</v>
      </c>
      <c r="U64" s="40">
        <f>T68</f>
        <v>1838</v>
      </c>
      <c r="V64" s="630">
        <f>U68</f>
        <v>1837.7641915782706</v>
      </c>
      <c r="W64" s="653">
        <f>T68</f>
        <v>1838</v>
      </c>
      <c r="X64" s="40">
        <f>W64</f>
        <v>1838</v>
      </c>
      <c r="Y64" s="630">
        <f>X68</f>
        <v>1837.7641915782706</v>
      </c>
      <c r="Z64" s="653">
        <f>W64</f>
        <v>1838</v>
      </c>
      <c r="AA64" s="40">
        <f>Z68</f>
        <v>1837.6462873674059</v>
      </c>
      <c r="AB64" s="630">
        <f>AA68</f>
        <v>1837.6462873674059</v>
      </c>
      <c r="AC64" s="653">
        <f>W68</f>
        <v>1837.6462873674059</v>
      </c>
      <c r="AD64" s="40">
        <f>AC68</f>
        <v>1895.7104509999999</v>
      </c>
      <c r="AE64" s="630">
        <f>AD68</f>
        <v>1894.0436175832915</v>
      </c>
      <c r="AF64" s="653">
        <f t="shared" ref="AF64" si="363">AC68</f>
        <v>1895.7104509999999</v>
      </c>
      <c r="AG64" s="40">
        <f>AF68</f>
        <v>1930.9953129999999</v>
      </c>
      <c r="AH64" s="630">
        <f>AG68</f>
        <v>1930.1794231117469</v>
      </c>
      <c r="AI64" s="653">
        <f>AF68</f>
        <v>1930.9953129999999</v>
      </c>
      <c r="AJ64" s="40">
        <f>AI68</f>
        <v>8367.6463563333255</v>
      </c>
      <c r="AK64" s="630">
        <f>AJ68</f>
        <v>8367.6463563333255</v>
      </c>
      <c r="AL64" s="653">
        <f>AI68</f>
        <v>8367.6463563333255</v>
      </c>
      <c r="AM64" s="40">
        <f>AL68</f>
        <v>8367.6463563333255</v>
      </c>
      <c r="AN64" s="630">
        <f>AM68</f>
        <v>8367.6463563333255</v>
      </c>
      <c r="AO64" s="653">
        <f>AL68</f>
        <v>8367.6463563333255</v>
      </c>
      <c r="AP64" s="40">
        <f>AO68</f>
        <v>8367.6463563333255</v>
      </c>
      <c r="AQ64" s="630">
        <f>AP68</f>
        <v>8367.6463563333255</v>
      </c>
      <c r="AR64" s="653">
        <f>AO68</f>
        <v>8367.6463563333255</v>
      </c>
      <c r="AS64" s="40">
        <f>AR68</f>
        <v>8367.6463563333255</v>
      </c>
      <c r="AT64" s="630">
        <f>AS68</f>
        <v>8367.6463563333255</v>
      </c>
      <c r="AU64" s="653">
        <f>AR68</f>
        <v>8367.6463563333255</v>
      </c>
      <c r="AV64" s="40">
        <f>AU68</f>
        <v>8367.6463563333255</v>
      </c>
      <c r="AW64" s="539">
        <f>AV68</f>
        <v>8319.022416333326</v>
      </c>
      <c r="AX64" s="653">
        <f>AU68</f>
        <v>8367.6463563333255</v>
      </c>
      <c r="AY64" s="40">
        <f>AX68</f>
        <v>8257.6026882110546</v>
      </c>
      <c r="AZ64" s="236">
        <f>AY68</f>
        <v>8183.9418462110543</v>
      </c>
      <c r="BA64" s="605">
        <f>AX68</f>
        <v>8257.6026882110546</v>
      </c>
      <c r="BB64" s="56">
        <f>BA68</f>
        <v>8095.3703715335723</v>
      </c>
      <c r="BC64" s="236">
        <f>BB68</f>
        <v>8006.1425973609576</v>
      </c>
      <c r="BD64" s="605">
        <f>BA68</f>
        <v>8095.3703715335723</v>
      </c>
      <c r="BE64" s="56">
        <f>BD68</f>
        <v>7916.9148231883419</v>
      </c>
      <c r="BF64" s="236">
        <f>BE68</f>
        <v>7827.6870490157271</v>
      </c>
      <c r="BG64" s="605">
        <f>BD68</f>
        <v>7916.9148231883419</v>
      </c>
      <c r="BH64" s="56">
        <f>BG68</f>
        <v>7738.4592748431114</v>
      </c>
      <c r="BI64" s="236">
        <f>BH68</f>
        <v>7738.4592748431114</v>
      </c>
      <c r="BJ64" s="605">
        <f>BG68</f>
        <v>7738.4592748431114</v>
      </c>
      <c r="BK64" s="56">
        <f>BJ68</f>
        <v>7738.4592748431114</v>
      </c>
      <c r="BL64" s="236">
        <f>BK68</f>
        <v>7738.4592748431114</v>
      </c>
      <c r="BM64" s="605">
        <f>BJ68</f>
        <v>7738.4592748431114</v>
      </c>
    </row>
    <row r="65" spans="1:65">
      <c r="A65" s="25" t="s">
        <v>406</v>
      </c>
      <c r="B65" s="40"/>
      <c r="C65" s="40"/>
      <c r="D65" s="40"/>
      <c r="E65" s="40"/>
      <c r="F65" s="40"/>
      <c r="G65" s="40">
        <v>0</v>
      </c>
      <c r="H65" s="40">
        <v>0</v>
      </c>
      <c r="I65" s="40">
        <v>0</v>
      </c>
      <c r="J65" s="40">
        <v>0</v>
      </c>
      <c r="K65" s="40">
        <v>0</v>
      </c>
      <c r="L65" s="40">
        <v>0</v>
      </c>
      <c r="M65" s="40">
        <v>0</v>
      </c>
      <c r="N65" s="40">
        <v>0</v>
      </c>
      <c r="O65" s="40">
        <v>0</v>
      </c>
      <c r="P65" s="40">
        <v>-8</v>
      </c>
      <c r="Q65" s="40">
        <v>-44</v>
      </c>
      <c r="R65" s="40">
        <f t="shared" ref="R65" si="364">(R70/R73)+(R71/R74)</f>
        <v>-2.9521179887012559</v>
      </c>
      <c r="S65" s="630">
        <f>T65-R65</f>
        <v>2.9521179887012559</v>
      </c>
      <c r="T65" s="653">
        <v>0</v>
      </c>
      <c r="U65" s="40">
        <f t="shared" ref="U65" si="365">(U70/U73)+(U71/U74)</f>
        <v>-0.23580842172934791</v>
      </c>
      <c r="V65" s="630">
        <f>W65-U65</f>
        <v>-0.11790421086467351</v>
      </c>
      <c r="W65" s="653">
        <f>(W70/W73)+(W71/W74)</f>
        <v>-0.35371263259402141</v>
      </c>
      <c r="X65" s="40">
        <f t="shared" ref="X65" si="366">(X70/X73)+(X71/X74)</f>
        <v>-0.23580842172934791</v>
      </c>
      <c r="Y65" s="630">
        <f>Z65-X65</f>
        <v>-0.11790421086467351</v>
      </c>
      <c r="Z65" s="653">
        <f>(Z70/Z73)+(Z71/Z74)</f>
        <v>-0.35371263259402141</v>
      </c>
      <c r="AA65" s="40">
        <f t="shared" ref="AA65" si="367">(AA70/AA73)+(AA71/AA74)</f>
        <v>0</v>
      </c>
      <c r="AB65" s="630">
        <f>AC65-AA65</f>
        <v>0</v>
      </c>
      <c r="AC65" s="653">
        <f>(AC70/AC73)+(AC71/AC74)</f>
        <v>0</v>
      </c>
      <c r="AD65" s="40">
        <f t="shared" ref="AD65" si="368">(AD70/AD73)+(AD71/AD74)</f>
        <v>-1.6668334167083541</v>
      </c>
      <c r="AE65" s="630">
        <f>AF65-AD65</f>
        <v>3.4588074167083542</v>
      </c>
      <c r="AF65" s="653">
        <f>0.118831+1.673143</f>
        <v>1.791974</v>
      </c>
      <c r="AG65" s="40">
        <f t="shared" ref="AG65" si="369">(AG70/AG73)+(AG71/AG74)</f>
        <v>-0.81588988825292985</v>
      </c>
      <c r="AH65" s="630">
        <f>AI65-AG65</f>
        <v>0.81588988825292985</v>
      </c>
      <c r="AI65" s="653">
        <v>0</v>
      </c>
      <c r="AJ65" s="40">
        <f t="shared" ref="AJ65" si="370">(AJ70/AJ73)+(AJ71/AJ74)</f>
        <v>0</v>
      </c>
      <c r="AK65" s="630">
        <f>AL65-AJ65</f>
        <v>0</v>
      </c>
      <c r="AL65" s="653">
        <f t="shared" ref="AL65:BM65" si="371">(AL70/AL73)+(AL71/AL74)</f>
        <v>0</v>
      </c>
      <c r="AM65" s="40">
        <f t="shared" si="371"/>
        <v>0</v>
      </c>
      <c r="AN65" s="630">
        <f>AO65-AM65</f>
        <v>0</v>
      </c>
      <c r="AO65" s="653">
        <f t="shared" si="371"/>
        <v>0</v>
      </c>
      <c r="AP65" s="40">
        <f t="shared" ref="AP65" si="372">(AP70/AP73)+(AP71/AP74)</f>
        <v>0</v>
      </c>
      <c r="AQ65" s="630">
        <f>AR65-AP65</f>
        <v>0</v>
      </c>
      <c r="AR65" s="653">
        <f t="shared" ref="AR65:AS65" si="373">(AR70/AR73)+(AR71/AR74)</f>
        <v>0</v>
      </c>
      <c r="AS65" s="40">
        <f t="shared" si="373"/>
        <v>0</v>
      </c>
      <c r="AT65" s="630">
        <f>AU65-AS65</f>
        <v>0</v>
      </c>
      <c r="AU65" s="653">
        <f t="shared" ref="AU65" si="374">(AU70/AU73)+(AU71/AU74)</f>
        <v>0</v>
      </c>
      <c r="AV65" s="40">
        <v>-48.623939999999997</v>
      </c>
      <c r="AW65" s="539">
        <f>AX65-AV65</f>
        <v>-61.419728122270747</v>
      </c>
      <c r="AX65" s="653">
        <f t="shared" ref="AX65" si="375">(AX70/AX73)+(AX71/AX74)</f>
        <v>-110.04366812227074</v>
      </c>
      <c r="AY65" s="40">
        <v>-73.660842000000002</v>
      </c>
      <c r="AZ65" s="236">
        <f>BA65-AY65</f>
        <v>-88.571474677482144</v>
      </c>
      <c r="BA65" s="605">
        <f t="shared" si="371"/>
        <v>-162.23231667748215</v>
      </c>
      <c r="BB65" s="56">
        <f t="shared" si="371"/>
        <v>-89.227774172615185</v>
      </c>
      <c r="BC65" s="236">
        <f>BD65-BB65</f>
        <v>-89.227774172615185</v>
      </c>
      <c r="BD65" s="605">
        <f t="shared" si="371"/>
        <v>-178.45554834523037</v>
      </c>
      <c r="BE65" s="56">
        <f t="shared" si="371"/>
        <v>-89.227774172615185</v>
      </c>
      <c r="BF65" s="236">
        <f>BG65-BE65</f>
        <v>-89.227774172615185</v>
      </c>
      <c r="BG65" s="605">
        <f t="shared" si="371"/>
        <v>-178.45554834523037</v>
      </c>
      <c r="BH65" s="56">
        <f t="shared" si="371"/>
        <v>0</v>
      </c>
      <c r="BI65" s="236">
        <f>BJ65-BH65</f>
        <v>0</v>
      </c>
      <c r="BJ65" s="605">
        <f t="shared" si="371"/>
        <v>0</v>
      </c>
      <c r="BK65" s="56">
        <f t="shared" si="371"/>
        <v>0</v>
      </c>
      <c r="BL65" s="236">
        <f>BM65-BK65</f>
        <v>0</v>
      </c>
      <c r="BM65" s="605">
        <f t="shared" si="371"/>
        <v>0</v>
      </c>
    </row>
    <row r="66" spans="1:65">
      <c r="A66" s="25" t="s">
        <v>799</v>
      </c>
      <c r="B66" s="40"/>
      <c r="C66" s="40"/>
      <c r="D66" s="40"/>
      <c r="E66" s="40"/>
      <c r="F66" s="40"/>
      <c r="G66" s="40">
        <v>19</v>
      </c>
      <c r="H66" s="40">
        <v>8</v>
      </c>
      <c r="I66" s="40">
        <v>24</v>
      </c>
      <c r="J66" s="40">
        <v>12</v>
      </c>
      <c r="K66" s="40">
        <v>10</v>
      </c>
      <c r="L66" s="40">
        <v>18</v>
      </c>
      <c r="M66" s="40">
        <v>0</v>
      </c>
      <c r="N66" s="40">
        <v>0</v>
      </c>
      <c r="O66" s="40">
        <v>8</v>
      </c>
      <c r="P66" s="40">
        <v>10</v>
      </c>
      <c r="Q66" s="40">
        <v>0</v>
      </c>
      <c r="R66" s="40">
        <v>0</v>
      </c>
      <c r="S66" s="630">
        <f>T66-R66</f>
        <v>0</v>
      </c>
      <c r="T66" s="653">
        <v>0</v>
      </c>
      <c r="U66" s="40">
        <v>0</v>
      </c>
      <c r="V66" s="630">
        <f>W66-U66</f>
        <v>0</v>
      </c>
      <c r="W66" s="653">
        <v>0</v>
      </c>
      <c r="X66" s="40">
        <v>0</v>
      </c>
      <c r="Y66" s="630">
        <f>Z66-X66</f>
        <v>0</v>
      </c>
      <c r="Z66" s="653">
        <v>0</v>
      </c>
      <c r="AA66" s="40">
        <v>0</v>
      </c>
      <c r="AB66" s="630">
        <f>AC66-AA66</f>
        <v>0</v>
      </c>
      <c r="AC66" s="653">
        <v>0</v>
      </c>
      <c r="AD66" s="40">
        <v>0</v>
      </c>
      <c r="AE66" s="630">
        <f>AF66-AD66</f>
        <v>0</v>
      </c>
      <c r="AF66" s="653">
        <v>0</v>
      </c>
      <c r="AG66" s="40">
        <v>0</v>
      </c>
      <c r="AH66" s="630">
        <f>AI66-AG66</f>
        <v>6436.651043333326</v>
      </c>
      <c r="AI66" s="653">
        <v>6436.651043333326</v>
      </c>
      <c r="AJ66" s="40">
        <v>0</v>
      </c>
      <c r="AK66" s="630">
        <f>AL66-AJ66</f>
        <v>0</v>
      </c>
      <c r="AL66" s="653">
        <v>0</v>
      </c>
      <c r="AM66" s="40">
        <v>0</v>
      </c>
      <c r="AN66" s="630">
        <f>AO66-AM66</f>
        <v>0</v>
      </c>
      <c r="AO66" s="653">
        <v>0</v>
      </c>
      <c r="AP66" s="40">
        <v>0</v>
      </c>
      <c r="AQ66" s="630">
        <f>AR66-AP66</f>
        <v>0</v>
      </c>
      <c r="AR66" s="653">
        <v>0</v>
      </c>
      <c r="AS66" s="40">
        <v>0</v>
      </c>
      <c r="AT66" s="630">
        <f>AU66-AS66</f>
        <v>0</v>
      </c>
      <c r="AU66" s="653">
        <v>0</v>
      </c>
      <c r="AV66" s="40">
        <v>0</v>
      </c>
      <c r="AW66" s="539">
        <f>AX66-AV66</f>
        <v>0</v>
      </c>
      <c r="AX66" s="653">
        <v>0</v>
      </c>
      <c r="AY66" s="40">
        <v>0</v>
      </c>
      <c r="AZ66" s="236">
        <f>BA66-AY66</f>
        <v>0</v>
      </c>
      <c r="BA66" s="580">
        <v>0</v>
      </c>
      <c r="BB66" s="56">
        <f t="shared" ref="BB66:BB67" si="376">BD66/2</f>
        <v>0</v>
      </c>
      <c r="BC66" s="236">
        <f>BD66-BB66</f>
        <v>0</v>
      </c>
      <c r="BD66" s="580">
        <v>0</v>
      </c>
      <c r="BE66" s="56">
        <f t="shared" ref="BE66:BE67" si="377">BG66/2</f>
        <v>0</v>
      </c>
      <c r="BF66" s="236">
        <f>BG66-BE66</f>
        <v>0</v>
      </c>
      <c r="BG66" s="580">
        <v>0</v>
      </c>
      <c r="BH66" s="56">
        <f t="shared" ref="BH66:BH67" si="378">BJ66/2</f>
        <v>0</v>
      </c>
      <c r="BI66" s="236">
        <f>BJ66-BH66</f>
        <v>0</v>
      </c>
      <c r="BJ66" s="580">
        <v>0</v>
      </c>
      <c r="BK66" s="56">
        <f t="shared" ref="BK66:BK67" si="379">BM66/2</f>
        <v>0</v>
      </c>
      <c r="BL66" s="236">
        <f>BM66-BK66</f>
        <v>0</v>
      </c>
      <c r="BM66" s="580">
        <v>0</v>
      </c>
    </row>
    <row r="67" spans="1:65">
      <c r="A67" s="25" t="s">
        <v>16</v>
      </c>
      <c r="B67" s="40"/>
      <c r="C67" s="40"/>
      <c r="D67" s="40"/>
      <c r="E67" s="40"/>
      <c r="F67" s="40"/>
      <c r="G67" s="40">
        <v>35</v>
      </c>
      <c r="H67" s="40">
        <v>15</v>
      </c>
      <c r="I67" s="40">
        <v>15</v>
      </c>
      <c r="J67" s="40">
        <v>12</v>
      </c>
      <c r="K67" s="40">
        <v>0</v>
      </c>
      <c r="L67" s="40">
        <v>0</v>
      </c>
      <c r="M67" s="40">
        <v>0</v>
      </c>
      <c r="N67" s="40">
        <v>0</v>
      </c>
      <c r="O67" s="40">
        <v>0</v>
      </c>
      <c r="P67" s="40">
        <v>0</v>
      </c>
      <c r="Q67" s="40">
        <v>0</v>
      </c>
      <c r="R67" s="40">
        <v>0</v>
      </c>
      <c r="S67" s="630">
        <f>T67-R67</f>
        <v>0</v>
      </c>
      <c r="T67" s="653">
        <v>0</v>
      </c>
      <c r="U67" s="40">
        <v>0</v>
      </c>
      <c r="V67" s="630">
        <f>W67-U67</f>
        <v>0</v>
      </c>
      <c r="W67" s="653">
        <v>0</v>
      </c>
      <c r="X67" s="40">
        <v>0</v>
      </c>
      <c r="Y67" s="630">
        <f>Z67-X67</f>
        <v>0</v>
      </c>
      <c r="Z67" s="653">
        <v>0</v>
      </c>
      <c r="AA67" s="40">
        <v>0</v>
      </c>
      <c r="AB67" s="630">
        <f>AC67-AA67</f>
        <v>58.064163632594045</v>
      </c>
      <c r="AC67" s="653">
        <f>AC68-AC64</f>
        <v>58.064163632594045</v>
      </c>
      <c r="AD67" s="40">
        <v>0</v>
      </c>
      <c r="AE67" s="630">
        <f>AF67-AD67</f>
        <v>36.776305000000001</v>
      </c>
      <c r="AF67" s="653">
        <f>28.973262+ 7.803043</f>
        <v>36.776305000000001</v>
      </c>
      <c r="AG67" s="40">
        <v>0</v>
      </c>
      <c r="AH67" s="630">
        <f>AI67-AG67</f>
        <v>0</v>
      </c>
      <c r="AI67" s="653">
        <v>0</v>
      </c>
      <c r="AJ67" s="40">
        <v>0</v>
      </c>
      <c r="AK67" s="630">
        <f>AL67-AJ67</f>
        <v>0</v>
      </c>
      <c r="AL67" s="653">
        <v>0</v>
      </c>
      <c r="AM67" s="40">
        <v>0</v>
      </c>
      <c r="AN67" s="630">
        <f>AO67-AM67</f>
        <v>0</v>
      </c>
      <c r="AO67" s="653">
        <v>0</v>
      </c>
      <c r="AP67" s="40">
        <v>0</v>
      </c>
      <c r="AQ67" s="630">
        <f>AR67-AP67</f>
        <v>0</v>
      </c>
      <c r="AR67" s="653">
        <v>0</v>
      </c>
      <c r="AS67" s="40">
        <v>0</v>
      </c>
      <c r="AT67" s="630">
        <f>AU67-AS67</f>
        <v>0</v>
      </c>
      <c r="AU67" s="653">
        <v>0</v>
      </c>
      <c r="AV67" s="40">
        <v>0</v>
      </c>
      <c r="AW67" s="539">
        <f>AX67-AV67</f>
        <v>0</v>
      </c>
      <c r="AX67" s="653">
        <v>0</v>
      </c>
      <c r="AY67" s="40">
        <v>0</v>
      </c>
      <c r="AZ67" s="236">
        <f>BA67-AY67</f>
        <v>0</v>
      </c>
      <c r="BA67" s="580">
        <v>0</v>
      </c>
      <c r="BB67" s="56">
        <f t="shared" si="376"/>
        <v>0</v>
      </c>
      <c r="BC67" s="236">
        <f>BD67-BB67</f>
        <v>0</v>
      </c>
      <c r="BD67" s="580">
        <v>0</v>
      </c>
      <c r="BE67" s="56">
        <f t="shared" si="377"/>
        <v>0</v>
      </c>
      <c r="BF67" s="236">
        <f>BG67-BE67</f>
        <v>0</v>
      </c>
      <c r="BG67" s="580">
        <v>0</v>
      </c>
      <c r="BH67" s="56">
        <f t="shared" si="378"/>
        <v>0</v>
      </c>
      <c r="BI67" s="236">
        <f>BJ67-BH67</f>
        <v>0</v>
      </c>
      <c r="BJ67" s="580">
        <v>0</v>
      </c>
      <c r="BK67" s="56">
        <f t="shared" si="379"/>
        <v>0</v>
      </c>
      <c r="BL67" s="236">
        <f>BM67-BK67</f>
        <v>0</v>
      </c>
      <c r="BM67" s="580">
        <v>0</v>
      </c>
    </row>
    <row r="68" spans="1:65">
      <c r="A68" s="25" t="s">
        <v>404</v>
      </c>
      <c r="B68" s="40">
        <v>1569</v>
      </c>
      <c r="C68" s="40">
        <v>1601</v>
      </c>
      <c r="D68" s="40">
        <v>1617</v>
      </c>
      <c r="E68" s="40">
        <v>1667</v>
      </c>
      <c r="F68" s="40">
        <v>1705</v>
      </c>
      <c r="G68" s="299">
        <v>1758</v>
      </c>
      <c r="H68" s="40">
        <f t="shared" ref="H68:T68" si="380">SUM(H64:H67)</f>
        <v>1781</v>
      </c>
      <c r="I68" s="40">
        <f t="shared" si="380"/>
        <v>1820</v>
      </c>
      <c r="J68" s="40">
        <f t="shared" si="380"/>
        <v>1844</v>
      </c>
      <c r="K68" s="40">
        <f t="shared" si="380"/>
        <v>1854</v>
      </c>
      <c r="L68" s="40">
        <f t="shared" si="380"/>
        <v>1872</v>
      </c>
      <c r="M68" s="40">
        <f t="shared" si="380"/>
        <v>1872</v>
      </c>
      <c r="N68" s="40">
        <f t="shared" si="380"/>
        <v>1872</v>
      </c>
      <c r="O68" s="40">
        <f t="shared" si="380"/>
        <v>1880</v>
      </c>
      <c r="P68" s="40">
        <f t="shared" si="380"/>
        <v>1882</v>
      </c>
      <c r="Q68" s="40">
        <f t="shared" si="380"/>
        <v>1838</v>
      </c>
      <c r="R68" s="40">
        <f t="shared" ref="R68:S68" si="381">SUM(R64:R67)</f>
        <v>1835.0478820112987</v>
      </c>
      <c r="S68" s="630">
        <f t="shared" si="381"/>
        <v>1838</v>
      </c>
      <c r="T68" s="653">
        <f t="shared" si="380"/>
        <v>1838</v>
      </c>
      <c r="U68" s="40">
        <f t="shared" ref="U68:V68" si="382">SUM(U64:U67)</f>
        <v>1837.7641915782706</v>
      </c>
      <c r="V68" s="630">
        <f t="shared" si="382"/>
        <v>1837.6462873674059</v>
      </c>
      <c r="W68" s="653">
        <f t="shared" ref="W68:BM68" si="383">SUM(W64:W67)</f>
        <v>1837.6462873674059</v>
      </c>
      <c r="X68" s="40">
        <f t="shared" si="383"/>
        <v>1837.7641915782706</v>
      </c>
      <c r="Y68" s="630">
        <f t="shared" si="383"/>
        <v>1837.6462873674059</v>
      </c>
      <c r="Z68" s="653">
        <f>SUM(Z64:Z67)</f>
        <v>1837.6462873674059</v>
      </c>
      <c r="AA68" s="40">
        <f t="shared" ref="AA68:AB68" si="384">SUM(AA64:AA67)</f>
        <v>1837.6462873674059</v>
      </c>
      <c r="AB68" s="630">
        <f t="shared" si="384"/>
        <v>1895.7104509999999</v>
      </c>
      <c r="AC68" s="653">
        <v>1895.7104509999999</v>
      </c>
      <c r="AD68" s="40">
        <f t="shared" ref="AD68:AE68" si="385">SUM(AD64:AD67)</f>
        <v>1894.0436175832915</v>
      </c>
      <c r="AE68" s="630">
        <f t="shared" si="385"/>
        <v>1934.27873</v>
      </c>
      <c r="AF68" s="653">
        <f>1930.995313</f>
        <v>1930.9953129999999</v>
      </c>
      <c r="AG68" s="40">
        <f t="shared" ref="AG68:AH68" si="386">SUM(AG64:AG67)</f>
        <v>1930.1794231117469</v>
      </c>
      <c r="AH68" s="630">
        <f t="shared" si="386"/>
        <v>8367.6463563333255</v>
      </c>
      <c r="AI68" s="653">
        <f>SUM(AI64:AI67)</f>
        <v>8367.6463563333255</v>
      </c>
      <c r="AJ68" s="40">
        <f t="shared" ref="AJ68:AK68" si="387">SUM(AJ64:AJ67)</f>
        <v>8367.6463563333255</v>
      </c>
      <c r="AK68" s="630">
        <f t="shared" si="387"/>
        <v>8367.6463563333255</v>
      </c>
      <c r="AL68" s="653">
        <f t="shared" si="383"/>
        <v>8367.6463563333255</v>
      </c>
      <c r="AM68" s="40">
        <f t="shared" si="383"/>
        <v>8367.6463563333255</v>
      </c>
      <c r="AN68" s="630">
        <f t="shared" ref="AN68" si="388">SUM(AN64:AN67)</f>
        <v>8367.6463563333255</v>
      </c>
      <c r="AO68" s="653">
        <f t="shared" si="383"/>
        <v>8367.6463563333255</v>
      </c>
      <c r="AP68" s="40">
        <f t="shared" ref="AP68:AR68" si="389">SUM(AP64:AP67)</f>
        <v>8367.6463563333255</v>
      </c>
      <c r="AQ68" s="630">
        <f t="shared" si="389"/>
        <v>8367.6463563333255</v>
      </c>
      <c r="AR68" s="653">
        <f t="shared" si="389"/>
        <v>8367.6463563333255</v>
      </c>
      <c r="AS68" s="40">
        <f t="shared" ref="AS68:AU68" si="390">SUM(AS64:AS67)</f>
        <v>8367.6463563333255</v>
      </c>
      <c r="AT68" s="630">
        <f t="shared" si="390"/>
        <v>8367.6463563333255</v>
      </c>
      <c r="AU68" s="653">
        <f t="shared" si="390"/>
        <v>8367.6463563333255</v>
      </c>
      <c r="AV68" s="40">
        <f t="shared" ref="AV68:AW68" si="391">SUM(AV64:AV67)</f>
        <v>8319.022416333326</v>
      </c>
      <c r="AW68" s="539">
        <f t="shared" si="391"/>
        <v>8257.6026882110546</v>
      </c>
      <c r="AX68" s="653">
        <f t="shared" ref="AX68:AY68" si="392">SUM(AX64:AX67)</f>
        <v>8257.6026882110546</v>
      </c>
      <c r="AY68" s="40">
        <f t="shared" si="392"/>
        <v>8183.9418462110543</v>
      </c>
      <c r="AZ68" s="236">
        <f t="shared" ref="AZ68" si="393">SUM(AZ64:AZ67)</f>
        <v>8095.3703715335723</v>
      </c>
      <c r="BA68" s="605">
        <f t="shared" si="383"/>
        <v>8095.3703715335723</v>
      </c>
      <c r="BB68" s="56">
        <f t="shared" si="383"/>
        <v>8006.1425973609576</v>
      </c>
      <c r="BC68" s="236">
        <f t="shared" ref="BC68" si="394">SUM(BC64:BC67)</f>
        <v>7916.9148231883428</v>
      </c>
      <c r="BD68" s="605">
        <f t="shared" si="383"/>
        <v>7916.9148231883419</v>
      </c>
      <c r="BE68" s="56">
        <f t="shared" si="383"/>
        <v>7827.6870490157271</v>
      </c>
      <c r="BF68" s="236">
        <f t="shared" ref="BF68" si="395">SUM(BF64:BF67)</f>
        <v>7738.4592748431123</v>
      </c>
      <c r="BG68" s="605">
        <f t="shared" si="383"/>
        <v>7738.4592748431114</v>
      </c>
      <c r="BH68" s="56">
        <f t="shared" si="383"/>
        <v>7738.4592748431114</v>
      </c>
      <c r="BI68" s="236">
        <f t="shared" ref="BI68" si="396">SUM(BI64:BI67)</f>
        <v>7738.4592748431114</v>
      </c>
      <c r="BJ68" s="605">
        <f t="shared" si="383"/>
        <v>7738.4592748431114</v>
      </c>
      <c r="BK68" s="56">
        <f t="shared" si="383"/>
        <v>7738.4592748431114</v>
      </c>
      <c r="BL68" s="236">
        <f t="shared" ref="BL68" si="397">SUM(BL64:BL67)</f>
        <v>7738.4592748431114</v>
      </c>
      <c r="BM68" s="605">
        <f t="shared" si="383"/>
        <v>7738.4592748431114</v>
      </c>
    </row>
    <row r="69" spans="1:65">
      <c r="B69" s="40"/>
      <c r="C69" s="40"/>
      <c r="D69" s="40"/>
      <c r="E69" s="40"/>
      <c r="F69" s="40"/>
      <c r="G69" s="299"/>
      <c r="H69" s="40"/>
      <c r="I69" s="40"/>
      <c r="J69" s="40"/>
      <c r="K69" s="40"/>
      <c r="L69" s="40"/>
      <c r="M69" s="40"/>
      <c r="N69" s="40"/>
      <c r="O69" s="40"/>
      <c r="P69" s="40"/>
      <c r="Q69" s="40"/>
      <c r="R69" s="40"/>
      <c r="S69" s="630"/>
      <c r="T69" s="653"/>
      <c r="U69" s="40"/>
      <c r="V69" s="630"/>
      <c r="W69" s="653"/>
      <c r="X69" s="40"/>
      <c r="Y69" s="630"/>
      <c r="Z69" s="653"/>
      <c r="AA69" s="40"/>
      <c r="AB69" s="630"/>
      <c r="AC69" s="653"/>
      <c r="AD69" s="40"/>
      <c r="AE69" s="630"/>
      <c r="AF69" s="653"/>
      <c r="AG69" s="40"/>
      <c r="AH69" s="630"/>
      <c r="AI69" s="653"/>
      <c r="AJ69" s="40"/>
      <c r="AK69" s="630"/>
      <c r="AL69" s="653"/>
      <c r="AM69" s="40"/>
      <c r="AN69" s="630"/>
      <c r="AO69" s="653"/>
      <c r="AP69" s="40"/>
      <c r="AQ69" s="539"/>
      <c r="AR69" s="550"/>
      <c r="AS69"/>
      <c r="AT69" s="539"/>
      <c r="AU69" s="550"/>
      <c r="AV69"/>
      <c r="AW69" s="539"/>
      <c r="AX69" s="550"/>
      <c r="AY69"/>
      <c r="AZ69" s="539"/>
      <c r="BA69" s="550"/>
      <c r="BB69"/>
      <c r="BC69" s="539"/>
      <c r="BD69" s="550"/>
      <c r="BE69"/>
      <c r="BF69" s="539"/>
      <c r="BG69" s="550"/>
      <c r="BH69"/>
      <c r="BI69" s="539"/>
      <c r="BJ69" s="550"/>
      <c r="BK69"/>
      <c r="BL69" s="539"/>
      <c r="BM69" s="550"/>
    </row>
    <row r="70" spans="1:65">
      <c r="A70" s="25" t="s">
        <v>422</v>
      </c>
      <c r="B70" s="40">
        <f>CFS!B66</f>
        <v>10</v>
      </c>
      <c r="C70" s="40">
        <f>CFS!C66</f>
        <v>16</v>
      </c>
      <c r="D70" s="40">
        <f>CFS!D66</f>
        <v>1</v>
      </c>
      <c r="E70" s="40">
        <f>CFS!E66</f>
        <v>1</v>
      </c>
      <c r="F70" s="40">
        <f>CFS!F66</f>
        <v>4</v>
      </c>
      <c r="G70" s="40">
        <f>CFS!G66</f>
        <v>26</v>
      </c>
      <c r="H70" s="40">
        <f>CFS!H66</f>
        <v>9</v>
      </c>
      <c r="I70" s="40">
        <f>CFS!I66</f>
        <v>0</v>
      </c>
      <c r="J70" s="40">
        <f>CFS!J66</f>
        <v>17</v>
      </c>
      <c r="K70" s="40">
        <f>CFS!K66</f>
        <v>18</v>
      </c>
      <c r="L70" s="40">
        <f>CFS!L66</f>
        <v>67</v>
      </c>
      <c r="M70" s="40">
        <f>CFS!M66</f>
        <v>-1</v>
      </c>
      <c r="N70" s="40">
        <f>CFS!N66</f>
        <v>0</v>
      </c>
      <c r="O70" s="40">
        <f>CFS!O66</f>
        <v>32</v>
      </c>
      <c r="P70" s="40">
        <f>CFS!P66</f>
        <v>1</v>
      </c>
      <c r="Q70" s="40">
        <f>CFS!Q66</f>
        <v>32</v>
      </c>
      <c r="R70" s="40">
        <f>CFS!R66</f>
        <v>0</v>
      </c>
      <c r="S70" s="630">
        <f>T70-R70</f>
        <v>1</v>
      </c>
      <c r="T70" s="653">
        <f>CFS!T66</f>
        <v>1</v>
      </c>
      <c r="U70" s="40">
        <f>CFS!U66</f>
        <v>20</v>
      </c>
      <c r="V70" s="630">
        <f>W70-U70</f>
        <v>1</v>
      </c>
      <c r="W70" s="653">
        <f>CFS!W66</f>
        <v>21</v>
      </c>
      <c r="X70" s="40">
        <f>CFS!X66</f>
        <v>20</v>
      </c>
      <c r="Y70" s="630">
        <f>Z70-X70</f>
        <v>1</v>
      </c>
      <c r="Z70" s="653">
        <f>CFS!Z66</f>
        <v>21</v>
      </c>
      <c r="AA70" s="40">
        <f>CFS!AA66</f>
        <v>0</v>
      </c>
      <c r="AB70" s="630">
        <f>AC70-AA70</f>
        <v>1</v>
      </c>
      <c r="AC70" s="653">
        <f>CFS!AC66</f>
        <v>1</v>
      </c>
      <c r="AD70" s="40">
        <f>CFS!AD66</f>
        <v>1</v>
      </c>
      <c r="AE70" s="630">
        <f>AF70-AD70</f>
        <v>23</v>
      </c>
      <c r="AF70" s="653">
        <f>CFS!AF66</f>
        <v>24</v>
      </c>
      <c r="AG70" s="40">
        <f>CFS!AG66</f>
        <v>0</v>
      </c>
      <c r="AH70" s="630">
        <f>AI70-AG70</f>
        <v>1972</v>
      </c>
      <c r="AI70" s="653">
        <f>CFS!AI66</f>
        <v>1972</v>
      </c>
      <c r="AJ70" s="40">
        <v>0</v>
      </c>
      <c r="AK70" s="630">
        <f>AL70-AJ70</f>
        <v>0</v>
      </c>
      <c r="AL70" s="653">
        <v>0</v>
      </c>
      <c r="AM70" s="40">
        <v>0</v>
      </c>
      <c r="AN70" s="630">
        <f>AO70-AM70</f>
        <v>0</v>
      </c>
      <c r="AO70" s="653">
        <v>0</v>
      </c>
      <c r="AP70" s="40">
        <v>0</v>
      </c>
      <c r="AQ70" s="630">
        <f>AR70-AP70</f>
        <v>0</v>
      </c>
      <c r="AR70" s="653">
        <v>0</v>
      </c>
      <c r="AS70" s="40">
        <v>0</v>
      </c>
      <c r="AT70" s="630">
        <f>AU70-AS70</f>
        <v>0</v>
      </c>
      <c r="AU70" s="653">
        <v>0</v>
      </c>
      <c r="AV70" s="40">
        <v>0</v>
      </c>
      <c r="AW70" s="539">
        <f>AX70-AV70</f>
        <v>0</v>
      </c>
      <c r="AX70" s="653">
        <v>0</v>
      </c>
      <c r="AY70" s="40">
        <v>0</v>
      </c>
      <c r="AZ70" s="236">
        <f>BA70-AY70</f>
        <v>0</v>
      </c>
      <c r="BA70" s="580">
        <v>0</v>
      </c>
      <c r="BB70" s="56">
        <f>BD70/2</f>
        <v>0</v>
      </c>
      <c r="BC70" s="236">
        <f>BD70-BB70</f>
        <v>0</v>
      </c>
      <c r="BD70" s="580">
        <v>0</v>
      </c>
      <c r="BE70" s="56">
        <f>BG70/2</f>
        <v>0</v>
      </c>
      <c r="BF70" s="236">
        <f>BG70-BE70</f>
        <v>0</v>
      </c>
      <c r="BG70" s="580">
        <v>0</v>
      </c>
      <c r="BH70" s="56">
        <f>BJ70/2</f>
        <v>0</v>
      </c>
      <c r="BI70" s="236">
        <f>BJ70-BH70</f>
        <v>0</v>
      </c>
      <c r="BJ70" s="580">
        <v>0</v>
      </c>
      <c r="BK70" s="56">
        <f>BM70/2</f>
        <v>0</v>
      </c>
      <c r="BL70" s="236">
        <f>BM70-BK70</f>
        <v>0</v>
      </c>
      <c r="BM70" s="580">
        <v>0</v>
      </c>
    </row>
    <row r="71" spans="1:65">
      <c r="A71" s="25" t="s">
        <v>423</v>
      </c>
      <c r="B71" s="40">
        <f>CFS!B67+CFS!B68</f>
        <v>0</v>
      </c>
      <c r="C71" s="40">
        <f>CFS!C67+CFS!C68</f>
        <v>0</v>
      </c>
      <c r="D71" s="40">
        <f>CFS!D67+CFS!D68</f>
        <v>0</v>
      </c>
      <c r="E71" s="40">
        <f>CFS!E67+CFS!E68</f>
        <v>0</v>
      </c>
      <c r="F71" s="40">
        <f>CFS!F67+CFS!F68</f>
        <v>0</v>
      </c>
      <c r="G71" s="40">
        <f>CFS!G67+CFS!G68</f>
        <v>0</v>
      </c>
      <c r="H71" s="40">
        <f>CFS!H67+CFS!H68</f>
        <v>-44</v>
      </c>
      <c r="I71" s="40">
        <f>CFS!I67+CFS!I68</f>
        <v>0</v>
      </c>
      <c r="J71" s="40">
        <f>CFS!J67+CFS!J68</f>
        <v>-48</v>
      </c>
      <c r="K71" s="40">
        <f>CFS!K67+CFS!K68</f>
        <v>-20</v>
      </c>
      <c r="L71" s="40">
        <f>CFS!L67+CFS!L68</f>
        <v>-124</v>
      </c>
      <c r="M71" s="40">
        <f>CFS!M67+CFS!M68</f>
        <v>-57</v>
      </c>
      <c r="N71" s="40">
        <f>CFS!N67+CFS!N68</f>
        <v>-94</v>
      </c>
      <c r="O71" s="40">
        <f>CFS!O67+CFS!O68</f>
        <v>-3</v>
      </c>
      <c r="P71" s="40">
        <f>CFS!P67+CFS!P68</f>
        <v>-71</v>
      </c>
      <c r="Q71" s="40">
        <f>CFS!Q67+CFS!Q68</f>
        <v>-435</v>
      </c>
      <c r="R71" s="40">
        <f>CFS!R67+CFS!R68</f>
        <v>-20</v>
      </c>
      <c r="S71" s="630">
        <f>T71-R71</f>
        <v>-1</v>
      </c>
      <c r="T71" s="653">
        <f>CFS!T67+CFS!T68</f>
        <v>-21</v>
      </c>
      <c r="U71" s="40">
        <f>CFS!U67+CFS!U68</f>
        <v>-22</v>
      </c>
      <c r="V71" s="630">
        <f>W71-U71</f>
        <v>-2</v>
      </c>
      <c r="W71" s="653">
        <f>CFS!W67+CFS!W68</f>
        <v>-24</v>
      </c>
      <c r="X71" s="40">
        <f>CFS!X67+CFS!X68</f>
        <v>-22</v>
      </c>
      <c r="Y71" s="630">
        <f>Z71-X71</f>
        <v>-2</v>
      </c>
      <c r="Z71" s="653">
        <f>CFS!Z67+CFS!Z68</f>
        <v>-24</v>
      </c>
      <c r="AA71" s="40">
        <f>CFS!AA67+CFS!AA68</f>
        <v>0</v>
      </c>
      <c r="AB71" s="630">
        <f>AC71-AA71</f>
        <v>-1</v>
      </c>
      <c r="AC71" s="653">
        <f>CFS!AC67+CFS!AC68</f>
        <v>-1</v>
      </c>
      <c r="AD71" s="40">
        <f>CFS!AD67+CFS!AD68</f>
        <v>-15</v>
      </c>
      <c r="AE71" s="630">
        <f>AF71-AD71</f>
        <v>0</v>
      </c>
      <c r="AF71" s="653">
        <f>CFS!AF67+CFS!AF68</f>
        <v>-15</v>
      </c>
      <c r="AG71" s="40">
        <f>CFS!AG67+CFS!AG68</f>
        <v>-1</v>
      </c>
      <c r="AH71" s="630">
        <f>AI71-AG71</f>
        <v>0</v>
      </c>
      <c r="AI71" s="653">
        <f>CFS!AI67+CFS!AI68</f>
        <v>-1</v>
      </c>
      <c r="AJ71" s="40">
        <v>0</v>
      </c>
      <c r="AK71" s="630">
        <f>AL71-AJ71</f>
        <v>0</v>
      </c>
      <c r="AL71" s="653">
        <v>0</v>
      </c>
      <c r="AM71" s="40">
        <v>0</v>
      </c>
      <c r="AN71" s="630">
        <f>AO71-AM71</f>
        <v>0</v>
      </c>
      <c r="AO71" s="653">
        <v>0</v>
      </c>
      <c r="AP71" s="40">
        <v>0</v>
      </c>
      <c r="AQ71" s="630">
        <f>AR71-AP71</f>
        <v>0</v>
      </c>
      <c r="AR71" s="653">
        <v>0</v>
      </c>
      <c r="AS71" s="40">
        <v>0</v>
      </c>
      <c r="AT71" s="630">
        <f>AU71-AS71</f>
        <v>0</v>
      </c>
      <c r="AU71" s="653">
        <v>0</v>
      </c>
      <c r="AV71" s="40">
        <v>-378</v>
      </c>
      <c r="AW71" s="539">
        <f>AX71-AV71</f>
        <v>-630</v>
      </c>
      <c r="AX71" s="550">
        <v>-1008</v>
      </c>
      <c r="AY71" s="40">
        <v>-1097</v>
      </c>
      <c r="AZ71" s="236">
        <f>BA71-AY71</f>
        <v>-1403</v>
      </c>
      <c r="BA71" s="580">
        <v>-2500</v>
      </c>
      <c r="BB71" s="56">
        <f>BD71/2</f>
        <v>-1375</v>
      </c>
      <c r="BC71" s="236">
        <f>BD71-BB71</f>
        <v>-1375</v>
      </c>
      <c r="BD71" s="580">
        <f>(-8000-BA71)/2</f>
        <v>-2750</v>
      </c>
      <c r="BE71" s="56">
        <f>BG71/2</f>
        <v>-1375</v>
      </c>
      <c r="BF71" s="236">
        <f>BG71-BE71</f>
        <v>-1375</v>
      </c>
      <c r="BG71" s="580">
        <f>(-8000-BA71)/2</f>
        <v>-2750</v>
      </c>
      <c r="BH71" s="56">
        <f>BJ71/2</f>
        <v>0</v>
      </c>
      <c r="BI71" s="236">
        <f>BJ71-BH71</f>
        <v>0</v>
      </c>
      <c r="BJ71" s="580">
        <v>0</v>
      </c>
      <c r="BK71" s="56">
        <f>BM71/2</f>
        <v>0</v>
      </c>
      <c r="BL71" s="236">
        <f>BM71-BK71</f>
        <v>0</v>
      </c>
      <c r="BM71" s="580">
        <v>0</v>
      </c>
    </row>
    <row r="72" spans="1:65">
      <c r="B72" s="40"/>
      <c r="C72" s="40"/>
      <c r="D72" s="40"/>
      <c r="E72" s="40"/>
      <c r="F72" s="40"/>
      <c r="G72" s="40"/>
      <c r="H72" s="40"/>
      <c r="I72" s="40"/>
      <c r="J72" s="40"/>
      <c r="K72" s="40"/>
      <c r="L72" s="40"/>
      <c r="M72" s="40"/>
      <c r="N72" s="40"/>
      <c r="O72" s="40"/>
      <c r="P72" s="40"/>
      <c r="Q72" s="40"/>
      <c r="R72" s="40"/>
      <c r="S72" s="630"/>
      <c r="T72" s="653"/>
      <c r="U72" s="40"/>
      <c r="V72" s="630"/>
      <c r="W72" s="653"/>
      <c r="X72" s="40"/>
      <c r="Y72" s="630"/>
      <c r="Z72" s="653"/>
      <c r="AA72" s="40"/>
      <c r="AB72" s="630"/>
      <c r="AC72" s="653"/>
      <c r="AD72" s="40"/>
      <c r="AE72" s="630"/>
      <c r="AF72" s="653"/>
      <c r="AG72" s="40"/>
      <c r="AH72" s="630"/>
      <c r="AI72" s="653"/>
      <c r="AJ72" s="40"/>
      <c r="AK72" s="630"/>
      <c r="AL72" s="653"/>
      <c r="AM72" s="40"/>
      <c r="AN72" s="630"/>
      <c r="AO72" s="653"/>
      <c r="AP72" s="40"/>
      <c r="AQ72" s="539"/>
      <c r="AR72" s="550"/>
      <c r="AS72" s="40"/>
      <c r="AT72" s="539"/>
      <c r="AU72" s="550"/>
      <c r="AV72" s="40"/>
      <c r="AW72" s="539"/>
      <c r="AX72" s="550"/>
      <c r="AY72" s="40"/>
      <c r="AZ72" s="539"/>
      <c r="BA72" s="550"/>
      <c r="BB72"/>
      <c r="BC72" s="539"/>
      <c r="BD72" s="550"/>
      <c r="BE72"/>
      <c r="BF72" s="539"/>
      <c r="BG72" s="550"/>
      <c r="BH72"/>
      <c r="BI72" s="539"/>
      <c r="BJ72" s="550"/>
      <c r="BK72"/>
      <c r="BL72" s="539"/>
      <c r="BM72" s="550"/>
    </row>
    <row r="73" spans="1:65">
      <c r="A73" s="25" t="s">
        <v>419</v>
      </c>
      <c r="B73" s="40"/>
      <c r="C73" s="40"/>
      <c r="D73" s="40"/>
      <c r="E73" s="40"/>
      <c r="F73" s="40"/>
      <c r="G73" s="299"/>
      <c r="H73" s="40"/>
      <c r="I73" s="40"/>
      <c r="J73" s="40"/>
      <c r="K73" s="40"/>
      <c r="L73" s="40"/>
      <c r="M73" s="40"/>
      <c r="N73" s="40"/>
      <c r="O73" s="40"/>
      <c r="P73" s="40"/>
      <c r="Q73" s="40"/>
      <c r="R73" s="102">
        <f>T73</f>
        <v>6.7747969683280607</v>
      </c>
      <c r="S73" s="641">
        <f>T73</f>
        <v>6.7747969683280607</v>
      </c>
      <c r="T73" s="665">
        <f>'Valuation Summary'!R4</f>
        <v>6.7747969683280607</v>
      </c>
      <c r="U73" s="102">
        <f>W73</f>
        <v>8.481461286804798</v>
      </c>
      <c r="V73" s="641">
        <f>W73</f>
        <v>8.481461286804798</v>
      </c>
      <c r="W73" s="665">
        <f>'Valuation Summary'!S4</f>
        <v>8.481461286804798</v>
      </c>
      <c r="X73" s="102">
        <f>Z73</f>
        <v>8.481461286804798</v>
      </c>
      <c r="Y73" s="641">
        <f>Z73</f>
        <v>8.481461286804798</v>
      </c>
      <c r="Z73" s="665">
        <f>'Valuation Summary'!T4</f>
        <v>8.481461286804798</v>
      </c>
      <c r="AA73" s="102">
        <f>AC73</f>
        <v>8.965034965034965</v>
      </c>
      <c r="AB73" s="641">
        <f>AC73</f>
        <v>8.965034965034965</v>
      </c>
      <c r="AC73" s="665">
        <f>'Valuation Summary'!U4</f>
        <v>8.965034965034965</v>
      </c>
      <c r="AD73" s="102">
        <f>AF73</f>
        <v>8.3991596638655466</v>
      </c>
      <c r="AE73" s="641">
        <f>AF73</f>
        <v>8.3991596638655466</v>
      </c>
      <c r="AF73" s="665">
        <f>'Valuation Summary'!V4</f>
        <v>8.3991596638655466</v>
      </c>
      <c r="AG73" s="102">
        <f>AI73</f>
        <v>1.2256555871053951</v>
      </c>
      <c r="AH73" s="641">
        <f>AI73</f>
        <v>1.2256555871053951</v>
      </c>
      <c r="AI73" s="665">
        <f>'Valuation Summary'!W4</f>
        <v>1.2256555871053951</v>
      </c>
      <c r="AJ73" s="102">
        <f>AL73</f>
        <v>1.1403024483917428</v>
      </c>
      <c r="AK73" s="641">
        <f>AL73</f>
        <v>1.1403024483917428</v>
      </c>
      <c r="AL73" s="665">
        <f>'Valuation Summary'!X4</f>
        <v>1.1403024483917428</v>
      </c>
      <c r="AM73" s="102">
        <f>AO73</f>
        <v>0.93412384716732544</v>
      </c>
      <c r="AN73" s="641">
        <f>AO73</f>
        <v>0.93412384716732544</v>
      </c>
      <c r="AO73" s="665">
        <f>'Valuation Summary'!Y4</f>
        <v>0.93412384716732544</v>
      </c>
      <c r="AP73" s="102">
        <f>AR73</f>
        <v>2.9969999999999999</v>
      </c>
      <c r="AQ73" s="231">
        <f>AR73</f>
        <v>2.9969999999999999</v>
      </c>
      <c r="AR73" s="1000">
        <f>'Valuation Summary'!Z4</f>
        <v>2.9969999999999999</v>
      </c>
      <c r="AS73" s="102">
        <f>AU73</f>
        <v>5.6859999999999999</v>
      </c>
      <c r="AT73" s="231">
        <f>AU73</f>
        <v>5.6859999999999999</v>
      </c>
      <c r="AU73" s="1000">
        <f>'Valuation Summary'!AA4</f>
        <v>5.6859999999999999</v>
      </c>
      <c r="AV73" s="102">
        <f>AX73</f>
        <v>9.16</v>
      </c>
      <c r="AW73" s="753">
        <f>AX73</f>
        <v>9.16</v>
      </c>
      <c r="AX73" s="1000">
        <f>'Valuation Summary'!AB4</f>
        <v>9.16</v>
      </c>
      <c r="AY73" s="102">
        <f>BA73</f>
        <v>15.41</v>
      </c>
      <c r="AZ73" s="238">
        <f>BA73</f>
        <v>15.41</v>
      </c>
      <c r="BA73" s="613">
        <f>'Valuation Summary'!AC4</f>
        <v>15.41</v>
      </c>
      <c r="BB73" s="180">
        <f>BD73</f>
        <v>15.41</v>
      </c>
      <c r="BC73" s="238">
        <f>BD73</f>
        <v>15.41</v>
      </c>
      <c r="BD73" s="613">
        <f>'Valuation Summary'!AD4</f>
        <v>15.41</v>
      </c>
      <c r="BE73" s="180">
        <f>BG73</f>
        <v>15.41</v>
      </c>
      <c r="BF73" s="238">
        <f>BG73</f>
        <v>15.41</v>
      </c>
      <c r="BG73" s="613">
        <f>'Valuation Summary'!AE4</f>
        <v>15.41</v>
      </c>
      <c r="BH73" s="180">
        <f>BJ73</f>
        <v>15.41</v>
      </c>
      <c r="BI73" s="238">
        <f>BJ73</f>
        <v>15.41</v>
      </c>
      <c r="BJ73" s="613">
        <f>'Valuation Summary'!AF4</f>
        <v>15.41</v>
      </c>
      <c r="BK73" s="180">
        <f>BM73</f>
        <v>15.41</v>
      </c>
      <c r="BL73" s="238">
        <f>BM73</f>
        <v>15.41</v>
      </c>
      <c r="BM73" s="613">
        <f>'Valuation Summary'!AG4</f>
        <v>15.41</v>
      </c>
    </row>
    <row r="74" spans="1:65">
      <c r="A74" s="25" t="s">
        <v>420</v>
      </c>
      <c r="B74" s="40"/>
      <c r="C74" s="40"/>
      <c r="D74" s="40"/>
      <c r="E74" s="40"/>
      <c r="F74" s="40"/>
      <c r="G74" s="299"/>
      <c r="H74" s="40"/>
      <c r="I74" s="40"/>
      <c r="J74" s="40"/>
      <c r="K74" s="40"/>
      <c r="L74" s="40"/>
      <c r="M74" s="40"/>
      <c r="N74" s="40"/>
      <c r="O74" s="40"/>
      <c r="P74" s="81"/>
      <c r="Q74" s="81"/>
      <c r="R74" s="102">
        <f t="shared" ref="R74" si="398">+R73</f>
        <v>6.7747969683280607</v>
      </c>
      <c r="S74" s="641">
        <f>T74</f>
        <v>6.7747969683280607</v>
      </c>
      <c r="T74" s="665">
        <f t="shared" ref="T74" si="399">+T73</f>
        <v>6.7747969683280607</v>
      </c>
      <c r="U74" s="102">
        <f t="shared" ref="U74" si="400">+U73</f>
        <v>8.481461286804798</v>
      </c>
      <c r="V74" s="641">
        <f>W74</f>
        <v>8.481461286804798</v>
      </c>
      <c r="W74" s="665">
        <f t="shared" ref="W74:AU74" si="401">+W73</f>
        <v>8.481461286804798</v>
      </c>
      <c r="X74" s="102">
        <f t="shared" si="401"/>
        <v>8.481461286804798</v>
      </c>
      <c r="Y74" s="641">
        <f>Z74</f>
        <v>8.481461286804798</v>
      </c>
      <c r="Z74" s="665">
        <f t="shared" si="401"/>
        <v>8.481461286804798</v>
      </c>
      <c r="AA74" s="102">
        <f t="shared" ref="AA74" si="402">+AA73</f>
        <v>8.965034965034965</v>
      </c>
      <c r="AB74" s="641">
        <f>AC74</f>
        <v>8.965034965034965</v>
      </c>
      <c r="AC74" s="665">
        <f t="shared" si="401"/>
        <v>8.965034965034965</v>
      </c>
      <c r="AD74" s="102">
        <f t="shared" si="401"/>
        <v>8.3991596638655466</v>
      </c>
      <c r="AE74" s="641">
        <f>AF74</f>
        <v>8.3991596638655466</v>
      </c>
      <c r="AF74" s="665">
        <f t="shared" si="401"/>
        <v>8.3991596638655466</v>
      </c>
      <c r="AG74" s="102">
        <f t="shared" ref="AG74" si="403">+AG73</f>
        <v>1.2256555871053951</v>
      </c>
      <c r="AH74" s="641">
        <f>AI74</f>
        <v>1.2256555871053951</v>
      </c>
      <c r="AI74" s="665">
        <f t="shared" si="401"/>
        <v>1.2256555871053951</v>
      </c>
      <c r="AJ74" s="102">
        <f t="shared" si="401"/>
        <v>1.1403024483917428</v>
      </c>
      <c r="AK74" s="641">
        <f>AL74</f>
        <v>1.1403024483917428</v>
      </c>
      <c r="AL74" s="665">
        <f t="shared" si="401"/>
        <v>1.1403024483917428</v>
      </c>
      <c r="AM74" s="102">
        <f t="shared" ref="AM74" si="404">+AM73</f>
        <v>0.93412384716732544</v>
      </c>
      <c r="AN74" s="641">
        <f>AO74</f>
        <v>0.93412384716732544</v>
      </c>
      <c r="AO74" s="665">
        <f t="shared" si="401"/>
        <v>0.93412384716732544</v>
      </c>
      <c r="AP74" s="102">
        <f t="shared" si="401"/>
        <v>2.9969999999999999</v>
      </c>
      <c r="AQ74" s="231">
        <f>AR74</f>
        <v>2.9969999999999999</v>
      </c>
      <c r="AR74" s="1000">
        <f t="shared" si="401"/>
        <v>2.9969999999999999</v>
      </c>
      <c r="AS74" s="102">
        <f t="shared" ref="AS74" si="405">+AS73</f>
        <v>5.6859999999999999</v>
      </c>
      <c r="AT74" s="231">
        <f>AU74</f>
        <v>5.6859999999999999</v>
      </c>
      <c r="AU74" s="1000">
        <f t="shared" si="401"/>
        <v>5.6859999999999999</v>
      </c>
      <c r="AV74" s="102">
        <f>AV71/AV65</f>
        <v>7.7739483883864615</v>
      </c>
      <c r="AW74" s="753">
        <f>AX74</f>
        <v>9.16</v>
      </c>
      <c r="AX74" s="1000">
        <f t="shared" ref="AX74" si="406">+AX73</f>
        <v>9.16</v>
      </c>
      <c r="AY74" s="102">
        <f>AY71/AY65</f>
        <v>14.892580239579667</v>
      </c>
      <c r="AZ74" s="238">
        <f>BA74</f>
        <v>15.41</v>
      </c>
      <c r="BA74" s="613">
        <f t="shared" ref="BA74:BM74" si="407">+BA73</f>
        <v>15.41</v>
      </c>
      <c r="BB74" s="180">
        <f t="shared" si="407"/>
        <v>15.41</v>
      </c>
      <c r="BC74" s="238">
        <f>BD74</f>
        <v>15.41</v>
      </c>
      <c r="BD74" s="613">
        <f t="shared" si="407"/>
        <v>15.41</v>
      </c>
      <c r="BE74" s="180">
        <f t="shared" si="407"/>
        <v>15.41</v>
      </c>
      <c r="BF74" s="238">
        <f>BG74</f>
        <v>15.41</v>
      </c>
      <c r="BG74" s="613">
        <f t="shared" si="407"/>
        <v>15.41</v>
      </c>
      <c r="BH74" s="180">
        <f t="shared" si="407"/>
        <v>15.41</v>
      </c>
      <c r="BI74" s="238">
        <f>BJ74</f>
        <v>15.41</v>
      </c>
      <c r="BJ74" s="613">
        <f t="shared" si="407"/>
        <v>15.41</v>
      </c>
      <c r="BK74" s="180">
        <f t="shared" si="407"/>
        <v>15.41</v>
      </c>
      <c r="BL74" s="238">
        <f>BM74</f>
        <v>15.41</v>
      </c>
      <c r="BM74" s="613">
        <f t="shared" si="407"/>
        <v>15.41</v>
      </c>
    </row>
    <row r="75" spans="1:65">
      <c r="B75" s="40"/>
      <c r="C75" s="40"/>
      <c r="D75" s="40"/>
      <c r="E75" s="40"/>
      <c r="F75" s="40"/>
      <c r="G75" s="40"/>
      <c r="H75" s="40"/>
      <c r="I75" s="40"/>
      <c r="J75" s="40"/>
      <c r="K75" s="40"/>
      <c r="L75" s="40"/>
      <c r="M75" s="40"/>
      <c r="N75" s="40"/>
      <c r="O75" s="40"/>
      <c r="P75" s="40"/>
      <c r="Q75" s="40"/>
      <c r="R75" s="40"/>
      <c r="S75" s="630"/>
      <c r="T75" s="653"/>
      <c r="U75" s="40"/>
      <c r="V75" s="630"/>
      <c r="W75" s="653"/>
      <c r="X75" s="40"/>
      <c r="Y75" s="630"/>
      <c r="Z75" s="653"/>
      <c r="AA75" s="40"/>
      <c r="AB75" s="630"/>
      <c r="AC75" s="653"/>
      <c r="AD75" s="40"/>
      <c r="AE75" s="630"/>
      <c r="AF75" s="653"/>
      <c r="AG75" s="40"/>
      <c r="AH75" s="630"/>
      <c r="AI75" s="653"/>
      <c r="AJ75" s="40"/>
      <c r="AK75" s="630"/>
      <c r="AL75" s="653"/>
      <c r="AM75" s="40"/>
      <c r="AN75" s="630"/>
      <c r="AO75" s="653"/>
      <c r="AP75" s="40"/>
      <c r="AQ75" s="539"/>
      <c r="AR75" s="550"/>
      <c r="AS75"/>
      <c r="AT75" s="539"/>
      <c r="AU75" s="550"/>
      <c r="AV75"/>
      <c r="AW75" s="539"/>
      <c r="AX75" s="550"/>
      <c r="AY75"/>
      <c r="AZ75" s="539"/>
      <c r="BA75" s="550"/>
      <c r="BB75"/>
      <c r="BC75" s="539"/>
      <c r="BD75" s="550"/>
      <c r="BE75"/>
      <c r="BF75" s="539"/>
      <c r="BG75" s="550"/>
      <c r="BH75"/>
      <c r="BI75" s="539"/>
      <c r="BJ75" s="550"/>
      <c r="BK75"/>
      <c r="BL75" s="539"/>
      <c r="BM75" s="550"/>
    </row>
    <row r="76" spans="1:65">
      <c r="A76" s="310" t="s">
        <v>23</v>
      </c>
      <c r="B76" s="318"/>
      <c r="C76" s="318"/>
      <c r="D76" s="318"/>
      <c r="E76" s="318"/>
      <c r="F76" s="318"/>
      <c r="G76" s="318"/>
      <c r="H76" s="318"/>
      <c r="I76" s="318"/>
      <c r="J76" s="318"/>
      <c r="K76" s="318"/>
      <c r="L76" s="318"/>
      <c r="M76" s="318"/>
      <c r="N76" s="318"/>
      <c r="O76" s="318"/>
      <c r="P76" s="318"/>
      <c r="Q76" s="318"/>
      <c r="R76" s="527"/>
      <c r="S76" s="320"/>
      <c r="T76" s="678"/>
      <c r="U76" s="527"/>
      <c r="V76" s="320"/>
      <c r="W76" s="678"/>
      <c r="X76" s="527"/>
      <c r="Y76" s="320"/>
      <c r="Z76" s="678"/>
      <c r="AA76" s="527"/>
      <c r="AB76" s="320"/>
      <c r="AC76" s="664"/>
      <c r="AD76" s="527"/>
      <c r="AE76" s="320"/>
      <c r="AF76" s="664"/>
      <c r="AG76" s="527"/>
      <c r="AH76" s="320"/>
      <c r="AI76" s="664"/>
      <c r="AJ76" s="527"/>
      <c r="AK76" s="320"/>
      <c r="AL76" s="664"/>
      <c r="AM76" s="527"/>
      <c r="AN76" s="320"/>
      <c r="AO76" s="664"/>
      <c r="AP76" s="527"/>
      <c r="AQ76" s="320"/>
      <c r="AR76" s="664"/>
      <c r="AS76" s="527"/>
      <c r="AT76" s="320"/>
      <c r="AU76" s="664"/>
      <c r="AV76" s="527"/>
      <c r="AW76" s="1109"/>
      <c r="AX76" s="664"/>
      <c r="AY76" s="527"/>
      <c r="AZ76" s="215"/>
      <c r="BA76" s="574"/>
      <c r="BB76" s="179"/>
      <c r="BC76" s="215"/>
      <c r="BD76" s="574"/>
      <c r="BE76" s="179"/>
      <c r="BF76" s="215"/>
      <c r="BG76" s="574"/>
      <c r="BH76" s="179"/>
      <c r="BI76" s="215"/>
      <c r="BJ76" s="574"/>
      <c r="BK76" s="179"/>
      <c r="BL76" s="215"/>
      <c r="BM76" s="574"/>
    </row>
    <row r="77" spans="1:65" ht="11.4">
      <c r="B77" s="40"/>
      <c r="C77" s="40"/>
      <c r="D77" s="40"/>
      <c r="E77" s="40"/>
      <c r="F77" s="40"/>
      <c r="G77" s="40"/>
      <c r="H77" s="40"/>
      <c r="I77" s="40"/>
      <c r="J77" s="40"/>
      <c r="K77" s="40"/>
      <c r="L77" s="40"/>
      <c r="M77" s="40"/>
      <c r="N77" s="40"/>
      <c r="O77" s="40"/>
      <c r="P77" s="40"/>
      <c r="Q77" s="40"/>
      <c r="R77" s="300"/>
      <c r="S77" s="642"/>
      <c r="T77" s="679"/>
      <c r="U77" s="300"/>
      <c r="V77" s="642"/>
      <c r="W77" s="679"/>
      <c r="X77" s="300"/>
      <c r="Y77" s="642"/>
      <c r="Z77" s="666"/>
      <c r="AA77" s="300"/>
      <c r="AB77" s="642"/>
      <c r="AC77" s="666"/>
      <c r="AD77" s="300"/>
      <c r="AE77" s="642"/>
      <c r="AF77" s="666"/>
      <c r="AG77" s="300"/>
      <c r="AH77" s="642"/>
      <c r="AI77" s="666"/>
      <c r="AJ77" s="300"/>
      <c r="AK77" s="642"/>
      <c r="AL77" s="666"/>
      <c r="AM77" s="300"/>
      <c r="AN77" s="642"/>
      <c r="AO77" s="666"/>
      <c r="AP77" s="300"/>
      <c r="AQ77" s="592"/>
      <c r="AR77" s="614"/>
      <c r="AS77" s="300"/>
      <c r="AT77" s="592"/>
      <c r="AU77" s="614"/>
      <c r="AV77" s="300"/>
      <c r="AW77" s="592"/>
      <c r="AX77" s="614"/>
      <c r="AY77" s="300"/>
      <c r="AZ77" s="592"/>
      <c r="BA77" s="614"/>
      <c r="BB77" s="174"/>
      <c r="BC77" s="592"/>
      <c r="BD77" s="614"/>
      <c r="BE77" s="174"/>
      <c r="BF77" s="592"/>
      <c r="BG77" s="614"/>
      <c r="BH77" s="174"/>
      <c r="BI77" s="592"/>
      <c r="BJ77" s="614"/>
      <c r="BK77" s="174"/>
      <c r="BL77" s="592"/>
      <c r="BM77" s="614"/>
    </row>
    <row r="78" spans="1:65">
      <c r="A78" s="25" t="s">
        <v>11</v>
      </c>
      <c r="B78" s="40"/>
      <c r="C78" s="40"/>
      <c r="D78" s="40"/>
      <c r="E78" s="40"/>
      <c r="F78" s="40"/>
      <c r="G78" s="40"/>
      <c r="H78" s="40"/>
      <c r="I78" s="40"/>
      <c r="J78" s="40">
        <v>-145</v>
      </c>
      <c r="K78" s="40">
        <v>279</v>
      </c>
      <c r="L78" s="40">
        <v>219</v>
      </c>
      <c r="M78" s="40">
        <v>-153</v>
      </c>
      <c r="N78" s="40">
        <v>-48</v>
      </c>
      <c r="O78" s="40">
        <v>8</v>
      </c>
      <c r="P78" s="40">
        <v>-128</v>
      </c>
      <c r="Q78" s="40">
        <v>371</v>
      </c>
      <c r="R78" s="40">
        <v>319</v>
      </c>
      <c r="S78" s="630">
        <f>T78-R78</f>
        <v>853</v>
      </c>
      <c r="T78" s="653">
        <v>1172</v>
      </c>
      <c r="U78" s="40">
        <v>701</v>
      </c>
      <c r="V78" s="630">
        <f>W78-U78</f>
        <v>516</v>
      </c>
      <c r="W78" s="653">
        <v>1217</v>
      </c>
      <c r="X78" s="40">
        <v>615</v>
      </c>
      <c r="Y78" s="630">
        <f>Z78-X78</f>
        <v>461</v>
      </c>
      <c r="Z78" s="653">
        <v>1076</v>
      </c>
      <c r="AA78" s="40">
        <v>447</v>
      </c>
      <c r="AB78" s="630">
        <f>AC78-AA78</f>
        <v>334</v>
      </c>
      <c r="AC78" s="653">
        <v>781</v>
      </c>
      <c r="AD78" s="40">
        <v>530</v>
      </c>
      <c r="AE78" s="630">
        <f>AF78-AD78</f>
        <v>607</v>
      </c>
      <c r="AF78" s="653">
        <v>1137</v>
      </c>
      <c r="AG78" s="40">
        <v>263</v>
      </c>
      <c r="AH78" s="630">
        <f>AI78-AG78</f>
        <v>-202</v>
      </c>
      <c r="AI78" s="653">
        <v>61</v>
      </c>
      <c r="AJ78" s="40">
        <v>-68</v>
      </c>
      <c r="AK78" s="630">
        <f>AL78-AJ78</f>
        <v>339</v>
      </c>
      <c r="AL78" s="653">
        <v>271</v>
      </c>
      <c r="AM78" s="40">
        <v>292</v>
      </c>
      <c r="AN78" s="630">
        <f>AO78-AM78</f>
        <v>537</v>
      </c>
      <c r="AO78" s="653">
        <v>829</v>
      </c>
      <c r="AP78" s="40">
        <v>573</v>
      </c>
      <c r="AQ78" s="630">
        <f>AR78-AP78</f>
        <v>504</v>
      </c>
      <c r="AR78" s="653">
        <v>1077</v>
      </c>
      <c r="AS78" s="40">
        <v>679</v>
      </c>
      <c r="AT78" s="630">
        <f>AU78-AS78</f>
        <v>382</v>
      </c>
      <c r="AU78" s="653">
        <v>1061</v>
      </c>
      <c r="AV78" s="40">
        <v>433</v>
      </c>
      <c r="AW78" s="595">
        <f>AX78-AV78</f>
        <v>715</v>
      </c>
      <c r="AX78" s="653">
        <v>1148</v>
      </c>
      <c r="AY78" s="40">
        <v>169</v>
      </c>
      <c r="AZ78" s="236">
        <f>BA78-AY78</f>
        <v>0</v>
      </c>
      <c r="BA78" s="580">
        <v>169</v>
      </c>
      <c r="BB78" s="56">
        <f>BD78/2</f>
        <v>0</v>
      </c>
      <c r="BC78" s="236">
        <f>BD78-BB78</f>
        <v>0</v>
      </c>
      <c r="BD78" s="580">
        <v>0</v>
      </c>
      <c r="BE78" s="56">
        <f>BG78/2</f>
        <v>0</v>
      </c>
      <c r="BF78" s="236">
        <f>BG78-BE78</f>
        <v>0</v>
      </c>
      <c r="BG78" s="580">
        <v>0</v>
      </c>
      <c r="BH78" s="56">
        <f>BJ78/2</f>
        <v>0</v>
      </c>
      <c r="BI78" s="236">
        <f>BJ78-BH78</f>
        <v>0</v>
      </c>
      <c r="BJ78" s="580">
        <v>0</v>
      </c>
      <c r="BK78" s="56">
        <f>BM78/2</f>
        <v>0</v>
      </c>
      <c r="BL78" s="236">
        <f>BM78-BK78</f>
        <v>0</v>
      </c>
      <c r="BM78" s="580">
        <v>0</v>
      </c>
    </row>
    <row r="79" spans="1:65">
      <c r="A79" s="25" t="s">
        <v>16</v>
      </c>
      <c r="B79" s="40"/>
      <c r="C79" s="40"/>
      <c r="D79" s="40"/>
      <c r="E79" s="40"/>
      <c r="F79" s="40"/>
      <c r="G79" s="40"/>
      <c r="H79" s="40"/>
      <c r="I79" s="40"/>
      <c r="J79" s="40"/>
      <c r="K79" s="40"/>
      <c r="L79" s="40"/>
      <c r="M79" s="40"/>
      <c r="N79" s="40"/>
      <c r="O79" s="40"/>
      <c r="P79" s="40"/>
      <c r="Q79" s="40"/>
      <c r="R79" s="40">
        <v>0</v>
      </c>
      <c r="S79" s="630">
        <f t="shared" ref="S79:S81" si="408">T79-R79</f>
        <v>0</v>
      </c>
      <c r="T79" s="653"/>
      <c r="U79" s="40">
        <v>0</v>
      </c>
      <c r="V79" s="630">
        <f t="shared" ref="V79:V81" si="409">W79-U79</f>
        <v>0</v>
      </c>
      <c r="W79" s="653"/>
      <c r="X79" s="40">
        <v>0</v>
      </c>
      <c r="Y79" s="630">
        <f t="shared" ref="Y79:Y81" si="410">Z79-X79</f>
        <v>0</v>
      </c>
      <c r="Z79" s="653">
        <v>0</v>
      </c>
      <c r="AA79" s="40">
        <v>0</v>
      </c>
      <c r="AB79" s="630">
        <f t="shared" ref="AB79:AB81" si="411">AC79-AA79</f>
        <v>-119</v>
      </c>
      <c r="AC79" s="653">
        <v>-119</v>
      </c>
      <c r="AD79" s="40">
        <v>0</v>
      </c>
      <c r="AE79" s="630">
        <f t="shared" ref="AE79:AE81" si="412">AF79-AD79</f>
        <v>0</v>
      </c>
      <c r="AF79" s="653">
        <v>0</v>
      </c>
      <c r="AG79" s="40">
        <v>0</v>
      </c>
      <c r="AH79" s="630">
        <f t="shared" ref="AH79:AH81" si="413">AI79-AG79</f>
        <v>0</v>
      </c>
      <c r="AI79" s="653">
        <v>0</v>
      </c>
      <c r="AJ79" s="40">
        <v>0</v>
      </c>
      <c r="AK79" s="630">
        <f t="shared" ref="AK79:AK81" si="414">AL79-AJ79</f>
        <v>0</v>
      </c>
      <c r="AL79" s="653">
        <v>0</v>
      </c>
      <c r="AM79" s="40">
        <v>0</v>
      </c>
      <c r="AN79" s="630">
        <f t="shared" ref="AN79:AN81" si="415">AO79-AM79</f>
        <v>0</v>
      </c>
      <c r="AO79" s="653">
        <v>0</v>
      </c>
      <c r="AP79" s="40">
        <v>0</v>
      </c>
      <c r="AQ79" s="630">
        <f t="shared" ref="AQ79:AQ81" si="416">AR79-AP79</f>
        <v>0</v>
      </c>
      <c r="AR79" s="653">
        <v>0</v>
      </c>
      <c r="AS79" s="40">
        <v>0</v>
      </c>
      <c r="AT79" s="630">
        <f t="shared" ref="AT79:AT81" si="417">AU79-AS79</f>
        <v>0</v>
      </c>
      <c r="AU79" s="653">
        <v>0</v>
      </c>
      <c r="AV79" s="40">
        <v>0</v>
      </c>
      <c r="AW79" s="595">
        <f t="shared" ref="AW79:AW81" si="418">AX79-AV79</f>
        <v>0</v>
      </c>
      <c r="AX79" s="653">
        <v>0</v>
      </c>
      <c r="AY79" s="40">
        <v>0</v>
      </c>
      <c r="AZ79" s="236">
        <f t="shared" ref="AZ79:AZ81" si="419">BA79-AY79</f>
        <v>0</v>
      </c>
      <c r="BA79" s="580">
        <v>0</v>
      </c>
      <c r="BB79" s="56">
        <f>BD79/2</f>
        <v>0</v>
      </c>
      <c r="BC79" s="236">
        <f t="shared" ref="BC79:BC81" si="420">BD79-BB79</f>
        <v>0</v>
      </c>
      <c r="BD79" s="580">
        <v>0</v>
      </c>
      <c r="BE79" s="56">
        <f>BG79/2</f>
        <v>0</v>
      </c>
      <c r="BF79" s="236">
        <f t="shared" ref="BF79:BF81" si="421">BG79-BE79</f>
        <v>0</v>
      </c>
      <c r="BG79" s="580">
        <v>0</v>
      </c>
      <c r="BH79" s="56">
        <f>BJ79/2</f>
        <v>0</v>
      </c>
      <c r="BI79" s="236">
        <f t="shared" ref="BI79:BI81" si="422">BJ79-BH79</f>
        <v>0</v>
      </c>
      <c r="BJ79" s="580">
        <v>0</v>
      </c>
      <c r="BK79" s="56">
        <f>BM79/2</f>
        <v>0</v>
      </c>
      <c r="BL79" s="236">
        <f t="shared" ref="BL79:BL81" si="423">BM79-BK79</f>
        <v>0</v>
      </c>
      <c r="BM79" s="580">
        <v>0</v>
      </c>
    </row>
    <row r="80" spans="1:65">
      <c r="A80" s="25" t="s">
        <v>118</v>
      </c>
      <c r="B80" s="40"/>
      <c r="C80" s="40"/>
      <c r="D80" s="40"/>
      <c r="E80" s="40"/>
      <c r="F80" s="40"/>
      <c r="G80" s="40"/>
      <c r="H80" s="40"/>
      <c r="I80" s="40"/>
      <c r="J80" s="40">
        <v>0</v>
      </c>
      <c r="K80" s="40">
        <v>0</v>
      </c>
      <c r="L80" s="40">
        <v>0</v>
      </c>
      <c r="M80" s="40">
        <v>0</v>
      </c>
      <c r="N80" s="40">
        <v>0</v>
      </c>
      <c r="O80" s="40">
        <v>-871</v>
      </c>
      <c r="P80" s="40">
        <v>0</v>
      </c>
      <c r="Q80" s="40">
        <v>0</v>
      </c>
      <c r="R80" s="40">
        <v>0</v>
      </c>
      <c r="S80" s="630">
        <f t="shared" si="408"/>
        <v>0</v>
      </c>
      <c r="T80" s="653">
        <v>0</v>
      </c>
      <c r="U80" s="40">
        <v>0</v>
      </c>
      <c r="V80" s="630">
        <f t="shared" si="409"/>
        <v>0</v>
      </c>
      <c r="W80" s="653">
        <v>0</v>
      </c>
      <c r="X80" s="40">
        <v>0</v>
      </c>
      <c r="Y80" s="630">
        <f t="shared" si="410"/>
        <v>0</v>
      </c>
      <c r="Z80" s="653">
        <v>0</v>
      </c>
      <c r="AA80" s="40">
        <v>0</v>
      </c>
      <c r="AB80" s="630">
        <f t="shared" si="411"/>
        <v>0</v>
      </c>
      <c r="AC80" s="653">
        <v>0</v>
      </c>
      <c r="AD80" s="40">
        <v>0</v>
      </c>
      <c r="AE80" s="630">
        <f t="shared" si="412"/>
        <v>0</v>
      </c>
      <c r="AF80" s="653">
        <v>0</v>
      </c>
      <c r="AG80" s="40">
        <v>-151</v>
      </c>
      <c r="AH80" s="630">
        <f t="shared" si="413"/>
        <v>151</v>
      </c>
      <c r="AI80" s="653">
        <v>0</v>
      </c>
      <c r="AJ80" s="40">
        <v>0</v>
      </c>
      <c r="AK80" s="630">
        <f t="shared" si="414"/>
        <v>0</v>
      </c>
      <c r="AL80" s="653">
        <v>0</v>
      </c>
      <c r="AM80" s="40">
        <v>0</v>
      </c>
      <c r="AN80" s="630">
        <f t="shared" si="415"/>
        <v>0</v>
      </c>
      <c r="AO80" s="653">
        <v>0</v>
      </c>
      <c r="AP80" s="40">
        <v>0</v>
      </c>
      <c r="AQ80" s="630">
        <f t="shared" si="416"/>
        <v>0</v>
      </c>
      <c r="AR80" s="653">
        <v>0</v>
      </c>
      <c r="AS80" s="40">
        <v>0</v>
      </c>
      <c r="AT80" s="630">
        <f t="shared" si="417"/>
        <v>0</v>
      </c>
      <c r="AU80" s="653">
        <v>0</v>
      </c>
      <c r="AV80" s="40">
        <v>0</v>
      </c>
      <c r="AW80" s="595">
        <f t="shared" si="418"/>
        <v>0</v>
      </c>
      <c r="AX80" s="653">
        <v>0</v>
      </c>
      <c r="AY80" s="40">
        <v>0</v>
      </c>
      <c r="AZ80" s="236">
        <f t="shared" si="419"/>
        <v>0</v>
      </c>
      <c r="BA80" s="580">
        <v>0</v>
      </c>
      <c r="BB80" s="56">
        <f>BD80/2</f>
        <v>0</v>
      </c>
      <c r="BC80" s="236">
        <f t="shared" si="420"/>
        <v>0</v>
      </c>
      <c r="BD80" s="580">
        <v>0</v>
      </c>
      <c r="BE80" s="56">
        <f>BG80/2</f>
        <v>0</v>
      </c>
      <c r="BF80" s="236">
        <f t="shared" si="421"/>
        <v>0</v>
      </c>
      <c r="BG80" s="580">
        <v>0</v>
      </c>
      <c r="BH80" s="56">
        <f>BJ80/2</f>
        <v>0</v>
      </c>
      <c r="BI80" s="236">
        <f t="shared" si="422"/>
        <v>0</v>
      </c>
      <c r="BJ80" s="580">
        <v>0</v>
      </c>
      <c r="BK80" s="56">
        <f>BM80/2</f>
        <v>0</v>
      </c>
      <c r="BL80" s="236">
        <f t="shared" si="423"/>
        <v>0</v>
      </c>
      <c r="BM80" s="580">
        <v>0</v>
      </c>
    </row>
    <row r="81" spans="1:65">
      <c r="A81" s="25" t="s">
        <v>215</v>
      </c>
      <c r="B81" s="40"/>
      <c r="C81" s="40"/>
      <c r="D81" s="40"/>
      <c r="E81" s="40"/>
      <c r="F81" s="40"/>
      <c r="G81" s="40"/>
      <c r="H81" s="40"/>
      <c r="I81" s="40"/>
      <c r="J81" s="40">
        <v>80</v>
      </c>
      <c r="K81" s="40">
        <v>27</v>
      </c>
      <c r="L81" s="40">
        <v>0</v>
      </c>
      <c r="M81" s="40">
        <v>0</v>
      </c>
      <c r="N81" s="40">
        <v>0</v>
      </c>
      <c r="O81" s="40">
        <v>0</v>
      </c>
      <c r="P81" s="40">
        <v>0</v>
      </c>
      <c r="Q81" s="40">
        <v>0</v>
      </c>
      <c r="R81" s="40">
        <v>0</v>
      </c>
      <c r="S81" s="630">
        <f t="shared" si="408"/>
        <v>0</v>
      </c>
      <c r="T81" s="653">
        <v>0</v>
      </c>
      <c r="U81" s="40">
        <v>0</v>
      </c>
      <c r="V81" s="630">
        <f t="shared" si="409"/>
        <v>0</v>
      </c>
      <c r="W81" s="653">
        <v>0</v>
      </c>
      <c r="X81" s="40">
        <v>0</v>
      </c>
      <c r="Y81" s="630">
        <f t="shared" si="410"/>
        <v>0</v>
      </c>
      <c r="Z81" s="653">
        <v>0</v>
      </c>
      <c r="AA81" s="40">
        <v>0</v>
      </c>
      <c r="AB81" s="630">
        <f t="shared" si="411"/>
        <v>0</v>
      </c>
      <c r="AC81" s="653">
        <v>0</v>
      </c>
      <c r="AD81" s="40">
        <v>0</v>
      </c>
      <c r="AE81" s="630">
        <f t="shared" si="412"/>
        <v>0</v>
      </c>
      <c r="AF81" s="653">
        <v>0</v>
      </c>
      <c r="AG81" s="40">
        <v>0</v>
      </c>
      <c r="AH81" s="630">
        <f t="shared" si="413"/>
        <v>0</v>
      </c>
      <c r="AI81" s="653">
        <v>0</v>
      </c>
      <c r="AJ81" s="40">
        <v>0</v>
      </c>
      <c r="AK81" s="630">
        <f t="shared" si="414"/>
        <v>0</v>
      </c>
      <c r="AL81" s="653">
        <v>0</v>
      </c>
      <c r="AM81" s="40">
        <v>0</v>
      </c>
      <c r="AN81" s="630">
        <f t="shared" si="415"/>
        <v>0</v>
      </c>
      <c r="AO81" s="653">
        <v>0</v>
      </c>
      <c r="AP81" s="40">
        <v>0</v>
      </c>
      <c r="AQ81" s="630">
        <f t="shared" si="416"/>
        <v>0</v>
      </c>
      <c r="AR81" s="653">
        <v>0</v>
      </c>
      <c r="AS81" s="40">
        <v>0</v>
      </c>
      <c r="AT81" s="630">
        <f t="shared" si="417"/>
        <v>0</v>
      </c>
      <c r="AU81" s="653">
        <v>0</v>
      </c>
      <c r="AV81" s="40">
        <v>0</v>
      </c>
      <c r="AW81" s="595">
        <f t="shared" si="418"/>
        <v>0</v>
      </c>
      <c r="AX81" s="653">
        <v>0</v>
      </c>
      <c r="AY81" s="40">
        <v>0</v>
      </c>
      <c r="AZ81" s="236">
        <f t="shared" si="419"/>
        <v>0</v>
      </c>
      <c r="BA81" s="580">
        <v>0</v>
      </c>
      <c r="BB81" s="56">
        <f>BD81/2</f>
        <v>0</v>
      </c>
      <c r="BC81" s="236">
        <f t="shared" si="420"/>
        <v>0</v>
      </c>
      <c r="BD81" s="580">
        <v>0</v>
      </c>
      <c r="BE81" s="56">
        <f>BG81/2</f>
        <v>0</v>
      </c>
      <c r="BF81" s="236">
        <f t="shared" si="421"/>
        <v>0</v>
      </c>
      <c r="BG81" s="580">
        <v>0</v>
      </c>
      <c r="BH81" s="56">
        <f>BJ81/2</f>
        <v>0</v>
      </c>
      <c r="BI81" s="236">
        <f t="shared" si="422"/>
        <v>0</v>
      </c>
      <c r="BJ81" s="580">
        <v>0</v>
      </c>
      <c r="BK81" s="56">
        <f>BM81/2</f>
        <v>0</v>
      </c>
      <c r="BL81" s="236">
        <f t="shared" si="423"/>
        <v>0</v>
      </c>
      <c r="BM81" s="580">
        <v>0</v>
      </c>
    </row>
    <row r="82" spans="1:65">
      <c r="A82" s="68" t="s">
        <v>216</v>
      </c>
      <c r="B82" s="46">
        <f t="shared" ref="B82:I82" si="424">B6</f>
        <v>0</v>
      </c>
      <c r="C82" s="46">
        <f t="shared" si="424"/>
        <v>0</v>
      </c>
      <c r="D82" s="46">
        <f t="shared" si="424"/>
        <v>0</v>
      </c>
      <c r="E82" s="46">
        <f t="shared" si="424"/>
        <v>0</v>
      </c>
      <c r="F82" s="46">
        <f t="shared" si="424"/>
        <v>0</v>
      </c>
      <c r="G82" s="46">
        <f t="shared" si="424"/>
        <v>145</v>
      </c>
      <c r="H82" s="46">
        <f t="shared" si="424"/>
        <v>-197</v>
      </c>
      <c r="I82" s="46">
        <f t="shared" si="424"/>
        <v>-382</v>
      </c>
      <c r="J82" s="46">
        <f t="shared" ref="J82:AP82" si="425">SUM(J78:J81)</f>
        <v>-65</v>
      </c>
      <c r="K82" s="46">
        <f t="shared" si="425"/>
        <v>306</v>
      </c>
      <c r="L82" s="46">
        <f t="shared" si="425"/>
        <v>219</v>
      </c>
      <c r="M82" s="46">
        <f t="shared" si="425"/>
        <v>-153</v>
      </c>
      <c r="N82" s="46">
        <f t="shared" si="425"/>
        <v>-48</v>
      </c>
      <c r="O82" s="46">
        <f t="shared" si="425"/>
        <v>-863</v>
      </c>
      <c r="P82" s="46">
        <f t="shared" si="425"/>
        <v>-128</v>
      </c>
      <c r="Q82" s="46">
        <f t="shared" si="425"/>
        <v>371</v>
      </c>
      <c r="R82" s="46">
        <f t="shared" ref="R82:S82" si="426">SUM(R78:R81)</f>
        <v>319</v>
      </c>
      <c r="S82" s="643">
        <f t="shared" si="426"/>
        <v>853</v>
      </c>
      <c r="T82" s="667">
        <f t="shared" si="425"/>
        <v>1172</v>
      </c>
      <c r="U82" s="46">
        <f t="shared" ref="U82:V82" si="427">SUM(U78:U81)</f>
        <v>701</v>
      </c>
      <c r="V82" s="643">
        <f t="shared" si="427"/>
        <v>516</v>
      </c>
      <c r="W82" s="667">
        <f>SUM(W78:W81)</f>
        <v>1217</v>
      </c>
      <c r="X82" s="46">
        <f t="shared" ref="X82:Y82" si="428">SUM(X78:X81)</f>
        <v>615</v>
      </c>
      <c r="Y82" s="643">
        <f t="shared" si="428"/>
        <v>461</v>
      </c>
      <c r="Z82" s="667">
        <f>SUM(Z78:Z81)</f>
        <v>1076</v>
      </c>
      <c r="AA82" s="46">
        <f t="shared" ref="AA82:AB82" si="429">SUM(AA78:AA81)</f>
        <v>447</v>
      </c>
      <c r="AB82" s="643">
        <f t="shared" si="429"/>
        <v>215</v>
      </c>
      <c r="AC82" s="667">
        <f>SUM(AC78:AC81)</f>
        <v>662</v>
      </c>
      <c r="AD82" s="46">
        <f t="shared" ref="AD82:AE82" si="430">SUM(AD78:AD81)</f>
        <v>530</v>
      </c>
      <c r="AE82" s="643">
        <f t="shared" si="430"/>
        <v>607</v>
      </c>
      <c r="AF82" s="667">
        <f t="shared" si="425"/>
        <v>1137</v>
      </c>
      <c r="AG82" s="46">
        <f t="shared" ref="AG82" si="431">SUM(AG78:AG81)</f>
        <v>112</v>
      </c>
      <c r="AH82" s="643">
        <f t="shared" ref="AH82" si="432">SUM(AH78:AH81)</f>
        <v>-51</v>
      </c>
      <c r="AI82" s="667">
        <f t="shared" si="425"/>
        <v>61</v>
      </c>
      <c r="AJ82" s="46">
        <f t="shared" ref="AJ82" si="433">SUM(AJ78:AJ81)</f>
        <v>-68</v>
      </c>
      <c r="AK82" s="643">
        <f t="shared" ref="AK82" si="434">SUM(AK78:AK81)</f>
        <v>339</v>
      </c>
      <c r="AL82" s="667">
        <f t="shared" si="425"/>
        <v>271</v>
      </c>
      <c r="AM82" s="46">
        <f t="shared" ref="AM82" si="435">SUM(AM78:AM81)</f>
        <v>292</v>
      </c>
      <c r="AN82" s="643">
        <f t="shared" si="425"/>
        <v>537</v>
      </c>
      <c r="AO82" s="667">
        <f t="shared" si="425"/>
        <v>829</v>
      </c>
      <c r="AP82" s="46">
        <f t="shared" si="425"/>
        <v>573</v>
      </c>
      <c r="AQ82" s="643">
        <f t="shared" ref="AQ82:AR82" si="436">SUM(AQ78:AQ81)</f>
        <v>504</v>
      </c>
      <c r="AR82" s="667">
        <f t="shared" si="436"/>
        <v>1077</v>
      </c>
      <c r="AS82" s="46">
        <f t="shared" ref="AS82:AT82" si="437">SUM(AS78:AS81)</f>
        <v>679</v>
      </c>
      <c r="AT82" s="643">
        <f t="shared" si="437"/>
        <v>382</v>
      </c>
      <c r="AU82" s="667">
        <f t="shared" ref="AU82:AW82" si="438">SUM(AU78:AU81)</f>
        <v>1061</v>
      </c>
      <c r="AV82" s="46">
        <f t="shared" si="438"/>
        <v>433</v>
      </c>
      <c r="AW82" s="1110">
        <f t="shared" si="438"/>
        <v>715</v>
      </c>
      <c r="AX82" s="667">
        <f t="shared" ref="AX82:AY82" si="439">SUM(AX78:AX81)</f>
        <v>1148</v>
      </c>
      <c r="AY82" s="46">
        <f t="shared" si="439"/>
        <v>169</v>
      </c>
      <c r="AZ82" s="250">
        <f t="shared" ref="AZ82" si="440">SUM(AZ78:AZ81)</f>
        <v>0</v>
      </c>
      <c r="BA82" s="615">
        <f t="shared" ref="BA82:BM82" si="441">SUM(BA78:BA81)</f>
        <v>169</v>
      </c>
      <c r="BB82" s="249">
        <f t="shared" ref="BB82:BC82" si="442">SUM(BB78:BB81)</f>
        <v>0</v>
      </c>
      <c r="BC82" s="250">
        <f t="shared" si="442"/>
        <v>0</v>
      </c>
      <c r="BD82" s="615">
        <f t="shared" si="441"/>
        <v>0</v>
      </c>
      <c r="BE82" s="249">
        <f t="shared" ref="BE82:BF82" si="443">SUM(BE78:BE81)</f>
        <v>0</v>
      </c>
      <c r="BF82" s="250">
        <f t="shared" si="443"/>
        <v>0</v>
      </c>
      <c r="BG82" s="615">
        <f t="shared" si="441"/>
        <v>0</v>
      </c>
      <c r="BH82" s="249">
        <f t="shared" ref="BH82:BI82" si="444">SUM(BH78:BH81)</f>
        <v>0</v>
      </c>
      <c r="BI82" s="250">
        <f t="shared" si="444"/>
        <v>0</v>
      </c>
      <c r="BJ82" s="615">
        <f t="shared" si="441"/>
        <v>0</v>
      </c>
      <c r="BK82" s="249">
        <f t="shared" ref="BK82:BL82" si="445">SUM(BK78:BK81)</f>
        <v>0</v>
      </c>
      <c r="BL82" s="250">
        <f t="shared" si="445"/>
        <v>0</v>
      </c>
      <c r="BM82" s="615">
        <f t="shared" si="441"/>
        <v>0</v>
      </c>
    </row>
    <row r="83" spans="1:65">
      <c r="A83" s="31"/>
      <c r="B83" s="40"/>
      <c r="C83" s="40"/>
      <c r="D83" s="40"/>
      <c r="E83" s="40"/>
      <c r="F83" s="40"/>
      <c r="G83" s="40"/>
      <c r="H83" s="40"/>
      <c r="I83" s="40"/>
      <c r="J83" s="40"/>
      <c r="K83" s="40"/>
      <c r="L83" s="51"/>
      <c r="M83" s="51"/>
      <c r="N83" s="51"/>
      <c r="O83" s="51"/>
      <c r="P83" s="51"/>
      <c r="Q83" s="51"/>
      <c r="R83" s="40"/>
      <c r="S83" s="630"/>
      <c r="T83" s="653"/>
      <c r="U83" s="40"/>
      <c r="V83" s="630"/>
      <c r="W83" s="653"/>
      <c r="X83" s="40"/>
      <c r="Y83" s="630"/>
      <c r="Z83" s="653"/>
      <c r="AA83" s="40"/>
      <c r="AB83" s="630"/>
      <c r="AC83" s="653"/>
      <c r="AD83" s="40"/>
      <c r="AE83" s="630"/>
      <c r="AF83" s="653"/>
      <c r="AG83" s="40"/>
      <c r="AH83" s="630"/>
      <c r="AI83" s="653"/>
      <c r="AJ83" s="40"/>
      <c r="AK83" s="630"/>
      <c r="AL83" s="653"/>
      <c r="AM83" s="40"/>
      <c r="AN83" s="630"/>
      <c r="AO83" s="653"/>
      <c r="AP83" s="40"/>
      <c r="AQ83" s="539"/>
      <c r="AR83" s="550"/>
      <c r="AS83"/>
      <c r="AT83" s="539"/>
      <c r="AU83" s="550"/>
      <c r="AV83"/>
      <c r="AW83" s="539"/>
      <c r="AX83" s="550"/>
      <c r="AY83"/>
      <c r="AZ83" s="539"/>
      <c r="BA83" s="550"/>
      <c r="BB83"/>
      <c r="BC83" s="539"/>
      <c r="BD83" s="550"/>
      <c r="BE83"/>
      <c r="BF83" s="539"/>
      <c r="BG83" s="550"/>
      <c r="BH83"/>
      <c r="BI83" s="539"/>
      <c r="BJ83" s="550"/>
      <c r="BK83"/>
      <c r="BL83" s="539"/>
      <c r="BM83" s="550"/>
    </row>
    <row r="84" spans="1:65">
      <c r="A84" s="25" t="s">
        <v>792</v>
      </c>
      <c r="B84" s="40"/>
      <c r="C84" s="40"/>
      <c r="D84" s="40"/>
      <c r="E84" s="40"/>
      <c r="F84" s="40"/>
      <c r="G84" s="40"/>
      <c r="H84" s="40"/>
      <c r="I84" s="40"/>
      <c r="J84" s="40"/>
      <c r="K84" s="40"/>
      <c r="L84" s="51"/>
      <c r="M84" s="51"/>
      <c r="N84" s="51"/>
      <c r="O84" s="51"/>
      <c r="P84" s="51"/>
      <c r="Q84" s="51"/>
      <c r="R84" s="40">
        <v>0</v>
      </c>
      <c r="S84" s="630">
        <f>T84-R84</f>
        <v>0</v>
      </c>
      <c r="T84" s="653"/>
      <c r="U84" s="40">
        <v>0</v>
      </c>
      <c r="V84" s="630">
        <f>W84-U84</f>
        <v>0</v>
      </c>
      <c r="W84" s="653"/>
      <c r="X84" s="40">
        <v>0</v>
      </c>
      <c r="Y84" s="630">
        <f>Z84-X84</f>
        <v>0</v>
      </c>
      <c r="Z84" s="653">
        <v>0</v>
      </c>
      <c r="AA84" s="40">
        <v>0</v>
      </c>
      <c r="AB84" s="630">
        <f>AC84-AA84</f>
        <v>-23</v>
      </c>
      <c r="AC84" s="653">
        <f>AC85+AC86+AC87</f>
        <v>-23</v>
      </c>
      <c r="AD84" s="40">
        <v>0</v>
      </c>
      <c r="AE84" s="630">
        <f>AF84-AD84</f>
        <v>145</v>
      </c>
      <c r="AF84" s="653">
        <v>145</v>
      </c>
      <c r="AG84" s="40">
        <v>0</v>
      </c>
      <c r="AH84" s="630">
        <f>AI84-AG84</f>
        <v>995</v>
      </c>
      <c r="AI84" s="653">
        <v>995</v>
      </c>
      <c r="AJ84" s="40">
        <v>0</v>
      </c>
      <c r="AK84" s="630">
        <f>AL84-AJ84</f>
        <v>0</v>
      </c>
      <c r="AL84" s="653">
        <v>0</v>
      </c>
      <c r="AM84" s="40">
        <v>0</v>
      </c>
      <c r="AN84" s="630">
        <f>AO84-AM84</f>
        <v>0</v>
      </c>
      <c r="AO84" s="653">
        <v>0</v>
      </c>
      <c r="AP84" s="40">
        <v>0</v>
      </c>
      <c r="AQ84" s="630">
        <f>AR84-AP84</f>
        <v>0</v>
      </c>
      <c r="AR84" s="653">
        <v>0</v>
      </c>
      <c r="AS84" s="40">
        <v>0</v>
      </c>
      <c r="AT84" s="630">
        <f>AU84-AS84</f>
        <v>0</v>
      </c>
      <c r="AU84" s="653">
        <v>0</v>
      </c>
      <c r="AV84" s="40">
        <v>0</v>
      </c>
      <c r="AW84" s="539">
        <f>AX84-AV84</f>
        <v>0</v>
      </c>
      <c r="AX84" s="653">
        <v>0</v>
      </c>
      <c r="AY84" s="40">
        <v>0</v>
      </c>
      <c r="AZ84" s="236">
        <f>BA84-AY84</f>
        <v>0</v>
      </c>
      <c r="BA84" s="580">
        <v>0</v>
      </c>
      <c r="BB84" s="56">
        <f>BD84/2</f>
        <v>0</v>
      </c>
      <c r="BC84" s="236">
        <f>BD84-BB84</f>
        <v>0</v>
      </c>
      <c r="BD84" s="580">
        <v>0</v>
      </c>
      <c r="BE84" s="56">
        <f>BG84/2</f>
        <v>0</v>
      </c>
      <c r="BF84" s="236">
        <f>BG84-BE84</f>
        <v>0</v>
      </c>
      <c r="BG84" s="580">
        <v>0</v>
      </c>
      <c r="BH84" s="56">
        <f>BJ84/2</f>
        <v>0</v>
      </c>
      <c r="BI84" s="236">
        <f>BJ84-BH84</f>
        <v>0</v>
      </c>
      <c r="BJ84" s="580">
        <v>0</v>
      </c>
      <c r="BK84" s="56">
        <f>BM84/2</f>
        <v>0</v>
      </c>
      <c r="BL84" s="236">
        <f>BM84-BK84</f>
        <v>0</v>
      </c>
      <c r="BM84" s="580">
        <v>0</v>
      </c>
    </row>
    <row r="85" spans="1:65">
      <c r="A85" s="25" t="s">
        <v>32</v>
      </c>
      <c r="B85" s="40">
        <v>0</v>
      </c>
      <c r="C85" s="40">
        <v>0</v>
      </c>
      <c r="D85" s="40">
        <v>0</v>
      </c>
      <c r="E85" s="40">
        <v>0</v>
      </c>
      <c r="F85" s="40">
        <v>0</v>
      </c>
      <c r="G85" s="40">
        <v>-328</v>
      </c>
      <c r="H85" s="40">
        <v>-343</v>
      </c>
      <c r="I85" s="40">
        <v>-415</v>
      </c>
      <c r="J85" s="40">
        <v>-185</v>
      </c>
      <c r="K85" s="40">
        <v>274</v>
      </c>
      <c r="L85" s="40">
        <v>180</v>
      </c>
      <c r="M85" s="40">
        <v>-116</v>
      </c>
      <c r="N85" s="40">
        <v>-25</v>
      </c>
      <c r="O85" s="40">
        <v>-10</v>
      </c>
      <c r="P85" s="40">
        <v>-91</v>
      </c>
      <c r="Q85" s="40">
        <v>287</v>
      </c>
      <c r="R85" s="40">
        <v>0</v>
      </c>
      <c r="S85" s="630">
        <f t="shared" ref="S85:S99" si="446">T85-R85</f>
        <v>426</v>
      </c>
      <c r="T85" s="653">
        <v>426</v>
      </c>
      <c r="U85" s="40">
        <v>0</v>
      </c>
      <c r="V85" s="630">
        <f t="shared" ref="V85:V99" si="447">W85-U85</f>
        <v>475</v>
      </c>
      <c r="W85" s="653">
        <v>475</v>
      </c>
      <c r="X85" s="40">
        <v>0</v>
      </c>
      <c r="Y85" s="630">
        <f t="shared" ref="Y85:Y99" si="448">Z85-X85</f>
        <v>453</v>
      </c>
      <c r="Z85" s="653">
        <v>453</v>
      </c>
      <c r="AA85" s="40">
        <v>0</v>
      </c>
      <c r="AB85" s="630">
        <f t="shared" ref="AB85:AB99" si="449">AC85-AA85</f>
        <v>219</v>
      </c>
      <c r="AC85" s="653">
        <v>219</v>
      </c>
      <c r="AD85" s="40">
        <v>80</v>
      </c>
      <c r="AE85" s="630">
        <f t="shared" ref="AE85:AE99" si="450">AF85-AD85</f>
        <v>-80</v>
      </c>
      <c r="AF85" s="653">
        <v>0</v>
      </c>
      <c r="AG85" s="40">
        <v>664</v>
      </c>
      <c r="AH85" s="630">
        <f t="shared" ref="AH85:AH99" si="451">AI85-AG85</f>
        <v>-656</v>
      </c>
      <c r="AI85" s="653">
        <v>8</v>
      </c>
      <c r="AJ85" s="40">
        <v>-293</v>
      </c>
      <c r="AK85" s="630">
        <f t="shared" ref="AK85:AK99" si="452">AL85-AJ85</f>
        <v>259</v>
      </c>
      <c r="AL85" s="653">
        <v>-34</v>
      </c>
      <c r="AM85" s="40">
        <v>124</v>
      </c>
      <c r="AN85" s="630">
        <f t="shared" ref="AN85:AN99" si="453">AO85-AM85</f>
        <v>143</v>
      </c>
      <c r="AO85" s="653">
        <v>267</v>
      </c>
      <c r="AP85" s="40">
        <v>163</v>
      </c>
      <c r="AQ85" s="630">
        <f t="shared" ref="AQ85:AQ99" si="454">AR85-AP85</f>
        <v>306</v>
      </c>
      <c r="AR85" s="653">
        <v>469</v>
      </c>
      <c r="AS85" s="40">
        <v>85</v>
      </c>
      <c r="AT85" s="630">
        <f t="shared" ref="AT85:AT99" si="455">AU85-AS85</f>
        <v>112</v>
      </c>
      <c r="AU85" s="653">
        <v>197</v>
      </c>
      <c r="AV85" s="40">
        <v>102</v>
      </c>
      <c r="AW85" s="539">
        <f t="shared" ref="AW85:AW99" si="456">AX85-AV85</f>
        <v>695</v>
      </c>
      <c r="AX85" s="653">
        <v>797</v>
      </c>
      <c r="AY85" s="40">
        <v>37</v>
      </c>
      <c r="AZ85" s="236">
        <f t="shared" ref="AZ85:AZ99" si="457">BA85-AY85</f>
        <v>0</v>
      </c>
      <c r="BA85" s="580">
        <v>37</v>
      </c>
      <c r="BB85" s="56">
        <f t="shared" ref="BB85:BB88" si="458">BD85/2</f>
        <v>0</v>
      </c>
      <c r="BC85" s="236">
        <f t="shared" ref="BC85:BC99" si="459">BD85-BB85</f>
        <v>0</v>
      </c>
      <c r="BD85" s="580">
        <v>0</v>
      </c>
      <c r="BE85" s="56">
        <f t="shared" ref="BE85:BE88" si="460">BG85/2</f>
        <v>0</v>
      </c>
      <c r="BF85" s="236">
        <f t="shared" ref="BF85:BF99" si="461">BG85-BE85</f>
        <v>0</v>
      </c>
      <c r="BG85" s="580">
        <v>0</v>
      </c>
      <c r="BH85" s="56">
        <f t="shared" ref="BH85:BH88" si="462">BJ85/2</f>
        <v>0</v>
      </c>
      <c r="BI85" s="236">
        <f t="shared" ref="BI85:BI99" si="463">BJ85-BH85</f>
        <v>0</v>
      </c>
      <c r="BJ85" s="580">
        <v>0</v>
      </c>
      <c r="BK85" s="56">
        <f t="shared" ref="BK85:BK88" si="464">BM85/2</f>
        <v>0</v>
      </c>
      <c r="BL85" s="236">
        <f t="shared" ref="BL85:BL99" si="465">BM85-BK85</f>
        <v>0</v>
      </c>
      <c r="BM85" s="580">
        <v>0</v>
      </c>
    </row>
    <row r="86" spans="1:65">
      <c r="A86" s="25" t="s">
        <v>57</v>
      </c>
      <c r="B86" s="40">
        <v>0</v>
      </c>
      <c r="C86" s="40">
        <v>0</v>
      </c>
      <c r="D86" s="40">
        <v>0</v>
      </c>
      <c r="E86" s="40">
        <v>0</v>
      </c>
      <c r="F86" s="40">
        <v>0</v>
      </c>
      <c r="G86" s="40">
        <f>32+42</f>
        <v>74</v>
      </c>
      <c r="H86" s="40">
        <v>-1</v>
      </c>
      <c r="I86" s="40">
        <v>76</v>
      </c>
      <c r="J86" s="40">
        <v>44</v>
      </c>
      <c r="K86" s="40">
        <v>-126</v>
      </c>
      <c r="L86" s="40">
        <v>-56</v>
      </c>
      <c r="M86" s="40">
        <v>4</v>
      </c>
      <c r="N86" s="40">
        <v>-23</v>
      </c>
      <c r="O86" s="40">
        <v>-18</v>
      </c>
      <c r="P86" s="40">
        <v>13</v>
      </c>
      <c r="Q86" s="40">
        <v>-9</v>
      </c>
      <c r="R86" s="40">
        <v>0</v>
      </c>
      <c r="S86" s="630">
        <f t="shared" si="446"/>
        <v>77</v>
      </c>
      <c r="T86" s="653">
        <v>77</v>
      </c>
      <c r="U86" s="40">
        <v>0</v>
      </c>
      <c r="V86" s="630">
        <f t="shared" si="447"/>
        <v>-124</v>
      </c>
      <c r="W86" s="653">
        <v>-124</v>
      </c>
      <c r="X86" s="40">
        <v>0</v>
      </c>
      <c r="Y86" s="630">
        <f t="shared" si="448"/>
        <v>-153</v>
      </c>
      <c r="Z86" s="653">
        <v>-153</v>
      </c>
      <c r="AA86" s="40">
        <v>0</v>
      </c>
      <c r="AB86" s="630">
        <f t="shared" si="449"/>
        <v>-265</v>
      </c>
      <c r="AC86" s="653">
        <v>-265</v>
      </c>
      <c r="AD86" s="40">
        <v>0</v>
      </c>
      <c r="AE86" s="630">
        <f t="shared" si="450"/>
        <v>0</v>
      </c>
      <c r="AF86" s="653">
        <v>0</v>
      </c>
      <c r="AG86" s="40">
        <v>0</v>
      </c>
      <c r="AH86" s="630">
        <f t="shared" si="451"/>
        <v>0</v>
      </c>
      <c r="AI86" s="653">
        <v>0</v>
      </c>
      <c r="AJ86" s="40">
        <v>0</v>
      </c>
      <c r="AK86" s="630">
        <f t="shared" si="452"/>
        <v>0</v>
      </c>
      <c r="AL86" s="653">
        <v>0</v>
      </c>
      <c r="AM86" s="40">
        <v>0</v>
      </c>
      <c r="AN86" s="630">
        <f t="shared" si="453"/>
        <v>0</v>
      </c>
      <c r="AO86" s="653">
        <v>0</v>
      </c>
      <c r="AP86" s="40">
        <v>0</v>
      </c>
      <c r="AQ86" s="630">
        <f t="shared" si="454"/>
        <v>0</v>
      </c>
      <c r="AR86" s="653">
        <v>0</v>
      </c>
      <c r="AS86" s="40">
        <v>0</v>
      </c>
      <c r="AT86" s="630">
        <f t="shared" si="455"/>
        <v>0</v>
      </c>
      <c r="AU86" s="653">
        <v>0</v>
      </c>
      <c r="AV86" s="40">
        <v>0</v>
      </c>
      <c r="AW86" s="539">
        <f t="shared" si="456"/>
        <v>0</v>
      </c>
      <c r="AX86" s="653">
        <v>0</v>
      </c>
      <c r="AY86" s="40">
        <v>0</v>
      </c>
      <c r="AZ86" s="236">
        <f t="shared" si="457"/>
        <v>0</v>
      </c>
      <c r="BA86" s="580">
        <v>0</v>
      </c>
      <c r="BB86" s="56">
        <f t="shared" si="458"/>
        <v>0</v>
      </c>
      <c r="BC86" s="236">
        <f t="shared" si="459"/>
        <v>0</v>
      </c>
      <c r="BD86" s="580">
        <v>0</v>
      </c>
      <c r="BE86" s="56">
        <f t="shared" si="460"/>
        <v>0</v>
      </c>
      <c r="BF86" s="236">
        <f t="shared" si="461"/>
        <v>0</v>
      </c>
      <c r="BG86" s="580">
        <v>0</v>
      </c>
      <c r="BH86" s="56">
        <f t="shared" si="462"/>
        <v>0</v>
      </c>
      <c r="BI86" s="236">
        <f t="shared" si="463"/>
        <v>0</v>
      </c>
      <c r="BJ86" s="580">
        <v>0</v>
      </c>
      <c r="BK86" s="56">
        <f t="shared" si="464"/>
        <v>0</v>
      </c>
      <c r="BL86" s="236">
        <f t="shared" si="465"/>
        <v>0</v>
      </c>
      <c r="BM86" s="580">
        <v>0</v>
      </c>
    </row>
    <row r="87" spans="1:65">
      <c r="A87" s="25" t="s">
        <v>34</v>
      </c>
      <c r="B87" s="40">
        <v>0</v>
      </c>
      <c r="C87" s="40">
        <v>0</v>
      </c>
      <c r="D87" s="40">
        <v>0</v>
      </c>
      <c r="E87" s="40">
        <v>0</v>
      </c>
      <c r="F87" s="40">
        <v>0</v>
      </c>
      <c r="G87" s="40">
        <v>0</v>
      </c>
      <c r="H87" s="40">
        <v>0</v>
      </c>
      <c r="I87" s="40">
        <v>0</v>
      </c>
      <c r="J87" s="40">
        <v>0</v>
      </c>
      <c r="K87" s="40">
        <v>0</v>
      </c>
      <c r="L87" s="40">
        <v>0</v>
      </c>
      <c r="M87" s="40">
        <v>0</v>
      </c>
      <c r="N87" s="40">
        <v>0</v>
      </c>
      <c r="O87" s="40">
        <v>0</v>
      </c>
      <c r="P87" s="40">
        <v>-11</v>
      </c>
      <c r="Q87" s="40">
        <v>-13</v>
      </c>
      <c r="R87" s="40">
        <v>0</v>
      </c>
      <c r="S87" s="630">
        <f t="shared" si="446"/>
        <v>67</v>
      </c>
      <c r="T87" s="653">
        <v>67</v>
      </c>
      <c r="U87" s="40">
        <v>0</v>
      </c>
      <c r="V87" s="630">
        <f t="shared" si="447"/>
        <v>-6</v>
      </c>
      <c r="W87" s="653">
        <v>-6</v>
      </c>
      <c r="X87" s="40">
        <v>0</v>
      </c>
      <c r="Y87" s="630">
        <f t="shared" si="448"/>
        <v>-6</v>
      </c>
      <c r="Z87" s="653">
        <v>-6</v>
      </c>
      <c r="AA87" s="40">
        <v>0</v>
      </c>
      <c r="AB87" s="630">
        <f t="shared" si="449"/>
        <v>23</v>
      </c>
      <c r="AC87" s="653">
        <v>23</v>
      </c>
      <c r="AD87" s="40">
        <v>0</v>
      </c>
      <c r="AE87" s="630">
        <f t="shared" si="450"/>
        <v>0</v>
      </c>
      <c r="AF87" s="653">
        <v>0</v>
      </c>
      <c r="AG87" s="40">
        <v>0</v>
      </c>
      <c r="AH87" s="630">
        <f t="shared" si="451"/>
        <v>0</v>
      </c>
      <c r="AI87" s="653">
        <v>0</v>
      </c>
      <c r="AJ87" s="40">
        <v>0</v>
      </c>
      <c r="AK87" s="630">
        <f t="shared" si="452"/>
        <v>0</v>
      </c>
      <c r="AL87" s="653">
        <v>0</v>
      </c>
      <c r="AM87" s="40">
        <v>0</v>
      </c>
      <c r="AN87" s="630">
        <f t="shared" si="453"/>
        <v>0</v>
      </c>
      <c r="AO87" s="653">
        <v>0</v>
      </c>
      <c r="AP87" s="40">
        <v>0</v>
      </c>
      <c r="AQ87" s="630">
        <f t="shared" si="454"/>
        <v>0</v>
      </c>
      <c r="AR87" s="653">
        <v>0</v>
      </c>
      <c r="AS87" s="40">
        <v>0</v>
      </c>
      <c r="AT87" s="630">
        <f t="shared" si="455"/>
        <v>0</v>
      </c>
      <c r="AU87" s="653">
        <v>0</v>
      </c>
      <c r="AV87" s="40">
        <v>0</v>
      </c>
      <c r="AW87" s="539">
        <f t="shared" si="456"/>
        <v>0</v>
      </c>
      <c r="AX87" s="653">
        <v>0</v>
      </c>
      <c r="AY87" s="40">
        <v>0</v>
      </c>
      <c r="AZ87" s="236">
        <f t="shared" si="457"/>
        <v>0</v>
      </c>
      <c r="BA87" s="580">
        <v>0</v>
      </c>
      <c r="BB87" s="56">
        <f t="shared" si="458"/>
        <v>0</v>
      </c>
      <c r="BC87" s="236">
        <f t="shared" si="459"/>
        <v>0</v>
      </c>
      <c r="BD87" s="580">
        <v>0</v>
      </c>
      <c r="BE87" s="56">
        <f t="shared" si="460"/>
        <v>0</v>
      </c>
      <c r="BF87" s="236">
        <f t="shared" si="461"/>
        <v>0</v>
      </c>
      <c r="BG87" s="580">
        <v>0</v>
      </c>
      <c r="BH87" s="56">
        <f t="shared" si="462"/>
        <v>0</v>
      </c>
      <c r="BI87" s="236">
        <f t="shared" si="463"/>
        <v>0</v>
      </c>
      <c r="BJ87" s="580">
        <v>0</v>
      </c>
      <c r="BK87" s="56">
        <f t="shared" si="464"/>
        <v>0</v>
      </c>
      <c r="BL87" s="236">
        <f t="shared" si="465"/>
        <v>0</v>
      </c>
      <c r="BM87" s="580">
        <v>0</v>
      </c>
    </row>
    <row r="88" spans="1:65">
      <c r="A88" s="25" t="s">
        <v>33</v>
      </c>
      <c r="B88" s="40">
        <v>0</v>
      </c>
      <c r="C88" s="40">
        <v>0</v>
      </c>
      <c r="D88" s="40">
        <v>0</v>
      </c>
      <c r="E88" s="40">
        <v>0</v>
      </c>
      <c r="F88" s="40">
        <v>0</v>
      </c>
      <c r="G88" s="40">
        <v>0</v>
      </c>
      <c r="H88" s="40">
        <v>0</v>
      </c>
      <c r="I88" s="40">
        <v>0</v>
      </c>
      <c r="J88" s="40">
        <v>4</v>
      </c>
      <c r="K88" s="40">
        <v>14</v>
      </c>
      <c r="L88" s="40">
        <v>0</v>
      </c>
      <c r="M88" s="40">
        <v>-5</v>
      </c>
      <c r="N88" s="40">
        <v>0</v>
      </c>
      <c r="O88" s="40">
        <v>0</v>
      </c>
      <c r="P88" s="40">
        <v>-15</v>
      </c>
      <c r="Q88" s="40">
        <v>-9</v>
      </c>
      <c r="R88" s="40">
        <v>207</v>
      </c>
      <c r="S88" s="630">
        <f t="shared" si="446"/>
        <v>-207</v>
      </c>
      <c r="T88" s="653">
        <v>0</v>
      </c>
      <c r="U88" s="40">
        <v>223</v>
      </c>
      <c r="V88" s="630">
        <f t="shared" si="447"/>
        <v>-199</v>
      </c>
      <c r="W88" s="653">
        <v>24</v>
      </c>
      <c r="X88" s="40">
        <v>78</v>
      </c>
      <c r="Y88" s="630">
        <f t="shared" si="448"/>
        <v>-54</v>
      </c>
      <c r="Z88" s="653">
        <v>24</v>
      </c>
      <c r="AA88" s="40">
        <v>103</v>
      </c>
      <c r="AB88" s="630">
        <f t="shared" si="449"/>
        <v>-104</v>
      </c>
      <c r="AC88" s="653">
        <v>-1</v>
      </c>
      <c r="AD88" s="40">
        <v>-2</v>
      </c>
      <c r="AE88" s="630">
        <f t="shared" si="450"/>
        <v>1</v>
      </c>
      <c r="AF88" s="653">
        <v>-1</v>
      </c>
      <c r="AG88" s="40">
        <v>-4</v>
      </c>
      <c r="AH88" s="630">
        <f t="shared" si="451"/>
        <v>4</v>
      </c>
      <c r="AI88" s="653">
        <v>0</v>
      </c>
      <c r="AJ88" s="40">
        <v>-4</v>
      </c>
      <c r="AK88" s="630">
        <f t="shared" si="452"/>
        <v>-2</v>
      </c>
      <c r="AL88" s="653">
        <v>-6</v>
      </c>
      <c r="AM88" s="40">
        <v>-5</v>
      </c>
      <c r="AN88" s="630">
        <f t="shared" si="453"/>
        <v>2</v>
      </c>
      <c r="AO88" s="653">
        <v>-3</v>
      </c>
      <c r="AP88" s="40">
        <v>2</v>
      </c>
      <c r="AQ88" s="630">
        <f t="shared" si="454"/>
        <v>4</v>
      </c>
      <c r="AR88" s="653">
        <v>6</v>
      </c>
      <c r="AS88" s="40">
        <v>-3</v>
      </c>
      <c r="AT88" s="630">
        <f t="shared" si="455"/>
        <v>-3</v>
      </c>
      <c r="AU88" s="653">
        <v>-6</v>
      </c>
      <c r="AV88" s="40">
        <v>0</v>
      </c>
      <c r="AW88" s="539">
        <f t="shared" si="456"/>
        <v>0</v>
      </c>
      <c r="AX88" s="653">
        <v>0</v>
      </c>
      <c r="AY88" s="40">
        <v>0</v>
      </c>
      <c r="AZ88" s="236">
        <f t="shared" si="457"/>
        <v>0</v>
      </c>
      <c r="BA88" s="580">
        <v>0</v>
      </c>
      <c r="BB88" s="56">
        <f t="shared" si="458"/>
        <v>0</v>
      </c>
      <c r="BC88" s="236">
        <f t="shared" si="459"/>
        <v>0</v>
      </c>
      <c r="BD88" s="580">
        <v>0</v>
      </c>
      <c r="BE88" s="56">
        <f t="shared" si="460"/>
        <v>0</v>
      </c>
      <c r="BF88" s="236">
        <f t="shared" si="461"/>
        <v>0</v>
      </c>
      <c r="BG88" s="580">
        <v>0</v>
      </c>
      <c r="BH88" s="56">
        <f t="shared" si="462"/>
        <v>0</v>
      </c>
      <c r="BI88" s="236">
        <f t="shared" si="463"/>
        <v>0</v>
      </c>
      <c r="BJ88" s="580">
        <v>0</v>
      </c>
      <c r="BK88" s="56">
        <f t="shared" si="464"/>
        <v>0</v>
      </c>
      <c r="BL88" s="236">
        <f t="shared" si="465"/>
        <v>0</v>
      </c>
      <c r="BM88" s="580">
        <v>0</v>
      </c>
    </row>
    <row r="89" spans="1:65">
      <c r="A89" s="25" t="s">
        <v>12</v>
      </c>
      <c r="B89" s="40">
        <v>-46</v>
      </c>
      <c r="C89" s="40">
        <v>-45</v>
      </c>
      <c r="D89" s="40">
        <v>-52</v>
      </c>
      <c r="E89" s="40">
        <v>-48</v>
      </c>
      <c r="F89" s="40">
        <v>0</v>
      </c>
      <c r="G89" s="40">
        <v>0</v>
      </c>
      <c r="H89" s="40">
        <v>0</v>
      </c>
      <c r="I89" s="40">
        <v>0</v>
      </c>
      <c r="J89" s="40">
        <v>0</v>
      </c>
      <c r="K89" s="40">
        <v>0</v>
      </c>
      <c r="L89" s="40">
        <v>0</v>
      </c>
      <c r="M89" s="40">
        <v>-64</v>
      </c>
      <c r="N89" s="40">
        <v>-69</v>
      </c>
      <c r="O89" s="40">
        <v>-265</v>
      </c>
      <c r="P89" s="40">
        <v>-142</v>
      </c>
      <c r="Q89" s="40">
        <v>-124</v>
      </c>
      <c r="R89" s="40">
        <v>-62</v>
      </c>
      <c r="S89" s="630">
        <f t="shared" si="446"/>
        <v>-53</v>
      </c>
      <c r="T89" s="653">
        <v>-115</v>
      </c>
      <c r="U89" s="40">
        <v>-62</v>
      </c>
      <c r="V89" s="630">
        <f t="shared" si="447"/>
        <v>-67</v>
      </c>
      <c r="W89" s="653">
        <v>-129</v>
      </c>
      <c r="X89" s="40">
        <v>-62</v>
      </c>
      <c r="Y89" s="630">
        <f t="shared" si="448"/>
        <v>-67</v>
      </c>
      <c r="Z89" s="653">
        <v>-129</v>
      </c>
      <c r="AA89" s="40">
        <v>-124</v>
      </c>
      <c r="AB89" s="630">
        <f t="shared" si="449"/>
        <v>-51</v>
      </c>
      <c r="AC89" s="653">
        <v>-175</v>
      </c>
      <c r="AD89" s="40">
        <v>-71</v>
      </c>
      <c r="AE89" s="630">
        <f t="shared" si="450"/>
        <v>-92</v>
      </c>
      <c r="AF89" s="653">
        <v>-163</v>
      </c>
      <c r="AG89" s="40">
        <v>-66</v>
      </c>
      <c r="AH89" s="630">
        <f t="shared" si="451"/>
        <v>-19</v>
      </c>
      <c r="AI89" s="653">
        <v>-85</v>
      </c>
      <c r="AJ89" s="40">
        <v>-26</v>
      </c>
      <c r="AK89" s="630">
        <f t="shared" si="452"/>
        <v>-24</v>
      </c>
      <c r="AL89" s="653">
        <v>-50</v>
      </c>
      <c r="AM89" s="40">
        <v>-23</v>
      </c>
      <c r="AN89" s="630">
        <f t="shared" si="453"/>
        <v>-35</v>
      </c>
      <c r="AO89" s="653">
        <v>-58</v>
      </c>
      <c r="AP89" s="40">
        <v>-24</v>
      </c>
      <c r="AQ89" s="630">
        <f t="shared" si="454"/>
        <v>-26</v>
      </c>
      <c r="AR89" s="653">
        <v>-50</v>
      </c>
      <c r="AS89" s="40">
        <v>-23</v>
      </c>
      <c r="AT89" s="630">
        <f t="shared" si="455"/>
        <v>-22</v>
      </c>
      <c r="AU89" s="653">
        <v>-45</v>
      </c>
      <c r="AV89" s="40">
        <v>-8</v>
      </c>
      <c r="AW89" s="539">
        <f t="shared" si="456"/>
        <v>-8</v>
      </c>
      <c r="AX89" s="653">
        <v>-16</v>
      </c>
      <c r="AY89" s="40">
        <v>-8</v>
      </c>
      <c r="AZ89" s="236">
        <f t="shared" si="457"/>
        <v>-10.835632820612311</v>
      </c>
      <c r="BA89" s="605">
        <f t="shared" ref="BA89:BM90" si="466">-BA116</f>
        <v>-18.835632820612311</v>
      </c>
      <c r="BB89" s="56">
        <f t="shared" si="466"/>
        <v>-10.300971519152</v>
      </c>
      <c r="BC89" s="236">
        <f t="shared" si="459"/>
        <v>-10.978597143714644</v>
      </c>
      <c r="BD89" s="605">
        <f t="shared" si="466"/>
        <v>-21.279568662866645</v>
      </c>
      <c r="BE89" s="56">
        <f t="shared" si="466"/>
        <v>-11.295439128201355</v>
      </c>
      <c r="BF89" s="236">
        <f t="shared" si="461"/>
        <v>-12.264095403251154</v>
      </c>
      <c r="BG89" s="605">
        <f t="shared" si="466"/>
        <v>-23.55953453145251</v>
      </c>
      <c r="BH89" s="56">
        <f t="shared" si="466"/>
        <v>-12.658722756768638</v>
      </c>
      <c r="BI89" s="236">
        <f t="shared" si="463"/>
        <v>-13.740674690077208</v>
      </c>
      <c r="BJ89" s="605">
        <f t="shared" si="466"/>
        <v>-26.399397446845846</v>
      </c>
      <c r="BK89" s="56">
        <f t="shared" si="466"/>
        <v>-14.191878737613139</v>
      </c>
      <c r="BL89" s="236">
        <f t="shared" si="465"/>
        <v>-15.376484380001008</v>
      </c>
      <c r="BM89" s="605">
        <f t="shared" si="466"/>
        <v>-29.568363117614147</v>
      </c>
    </row>
    <row r="90" spans="1:65">
      <c r="A90" s="25" t="s">
        <v>673</v>
      </c>
      <c r="B90" s="40">
        <v>0</v>
      </c>
      <c r="C90" s="40">
        <v>0</v>
      </c>
      <c r="D90" s="40">
        <v>0</v>
      </c>
      <c r="E90" s="40">
        <v>0</v>
      </c>
      <c r="F90" s="40">
        <v>0</v>
      </c>
      <c r="G90" s="40">
        <v>0</v>
      </c>
      <c r="H90" s="40">
        <v>0</v>
      </c>
      <c r="I90" s="40">
        <v>0</v>
      </c>
      <c r="J90" s="40">
        <v>0</v>
      </c>
      <c r="K90" s="40">
        <v>0</v>
      </c>
      <c r="L90" s="40">
        <v>0</v>
      </c>
      <c r="M90" s="40">
        <v>0</v>
      </c>
      <c r="N90" s="40">
        <v>0</v>
      </c>
      <c r="O90" s="40">
        <v>0</v>
      </c>
      <c r="P90" s="40">
        <v>0</v>
      </c>
      <c r="Q90" s="40">
        <v>-75</v>
      </c>
      <c r="R90" s="40">
        <v>0</v>
      </c>
      <c r="S90" s="630">
        <f t="shared" si="446"/>
        <v>-219</v>
      </c>
      <c r="T90" s="653">
        <v>-219</v>
      </c>
      <c r="U90" s="40">
        <v>0</v>
      </c>
      <c r="V90" s="630">
        <f t="shared" si="447"/>
        <v>-12</v>
      </c>
      <c r="W90" s="653">
        <v>-12</v>
      </c>
      <c r="X90" s="40">
        <v>0</v>
      </c>
      <c r="Y90" s="630">
        <f t="shared" si="448"/>
        <v>0</v>
      </c>
      <c r="Z90" s="653">
        <v>0</v>
      </c>
      <c r="AA90" s="40">
        <v>-160</v>
      </c>
      <c r="AB90" s="630">
        <f t="shared" si="449"/>
        <v>5</v>
      </c>
      <c r="AC90" s="653">
        <v>-155</v>
      </c>
      <c r="AD90" s="40">
        <v>0</v>
      </c>
      <c r="AE90" s="630">
        <f t="shared" si="450"/>
        <v>-84</v>
      </c>
      <c r="AF90" s="653">
        <v>-84</v>
      </c>
      <c r="AG90" s="40">
        <v>-966</v>
      </c>
      <c r="AH90" s="630">
        <f t="shared" si="451"/>
        <v>-370</v>
      </c>
      <c r="AI90" s="653">
        <f>-1244-92</f>
        <v>-1336</v>
      </c>
      <c r="AJ90" s="40">
        <v>1</v>
      </c>
      <c r="AK90" s="630">
        <f t="shared" si="452"/>
        <v>8</v>
      </c>
      <c r="AL90" s="653">
        <v>9</v>
      </c>
      <c r="AM90" s="40">
        <v>11</v>
      </c>
      <c r="AN90" s="630">
        <f t="shared" si="453"/>
        <v>-76</v>
      </c>
      <c r="AO90" s="653">
        <v>-65</v>
      </c>
      <c r="AP90" s="40">
        <v>0</v>
      </c>
      <c r="AQ90" s="630">
        <f t="shared" si="454"/>
        <v>8</v>
      </c>
      <c r="AR90" s="653">
        <v>8</v>
      </c>
      <c r="AS90" s="40">
        <v>545</v>
      </c>
      <c r="AT90" s="630">
        <f t="shared" si="455"/>
        <v>2</v>
      </c>
      <c r="AU90" s="653">
        <v>547</v>
      </c>
      <c r="AV90" s="40">
        <v>185</v>
      </c>
      <c r="AW90" s="539">
        <f t="shared" si="456"/>
        <v>-6</v>
      </c>
      <c r="AX90" s="653">
        <v>179</v>
      </c>
      <c r="AY90" s="40">
        <v>0</v>
      </c>
      <c r="AZ90" s="236">
        <f t="shared" si="457"/>
        <v>0</v>
      </c>
      <c r="BA90" s="605">
        <f t="shared" si="466"/>
        <v>0</v>
      </c>
      <c r="BB90" s="56">
        <f t="shared" si="466"/>
        <v>0</v>
      </c>
      <c r="BC90" s="236">
        <f t="shared" si="459"/>
        <v>0</v>
      </c>
      <c r="BD90" s="605">
        <f t="shared" si="466"/>
        <v>0</v>
      </c>
      <c r="BE90" s="56">
        <f t="shared" si="466"/>
        <v>0</v>
      </c>
      <c r="BF90" s="236">
        <f t="shared" si="461"/>
        <v>0</v>
      </c>
      <c r="BG90" s="605">
        <f t="shared" si="466"/>
        <v>0</v>
      </c>
      <c r="BH90" s="56">
        <f t="shared" si="466"/>
        <v>0</v>
      </c>
      <c r="BI90" s="236">
        <f t="shared" si="463"/>
        <v>0</v>
      </c>
      <c r="BJ90" s="605">
        <f t="shared" si="466"/>
        <v>0</v>
      </c>
      <c r="BK90" s="56">
        <f t="shared" si="466"/>
        <v>0</v>
      </c>
      <c r="BL90" s="236">
        <f t="shared" si="465"/>
        <v>0</v>
      </c>
      <c r="BM90" s="605">
        <f t="shared" si="466"/>
        <v>0</v>
      </c>
    </row>
    <row r="91" spans="1:65">
      <c r="A91" s="25" t="s">
        <v>13</v>
      </c>
      <c r="B91" s="40">
        <f>-9-16</f>
        <v>-25</v>
      </c>
      <c r="C91" s="40">
        <v>-230</v>
      </c>
      <c r="D91" s="40">
        <v>-75</v>
      </c>
      <c r="E91" s="40">
        <v>-54</v>
      </c>
      <c r="F91" s="40">
        <v>0</v>
      </c>
      <c r="G91" s="40">
        <v>0</v>
      </c>
      <c r="H91" s="40">
        <v>0</v>
      </c>
      <c r="I91" s="40">
        <v>0</v>
      </c>
      <c r="J91" s="40">
        <v>0</v>
      </c>
      <c r="K91" s="40">
        <v>0</v>
      </c>
      <c r="L91" s="40">
        <v>0</v>
      </c>
      <c r="M91" s="40">
        <v>0</v>
      </c>
      <c r="N91" s="40">
        <v>0</v>
      </c>
      <c r="O91" s="40">
        <v>0</v>
      </c>
      <c r="P91" s="40">
        <v>-39</v>
      </c>
      <c r="Q91" s="40">
        <v>-49</v>
      </c>
      <c r="R91" s="40">
        <v>-68</v>
      </c>
      <c r="S91" s="630">
        <f t="shared" si="446"/>
        <v>-61</v>
      </c>
      <c r="T91" s="653">
        <v>-129</v>
      </c>
      <c r="U91" s="40">
        <v>-31</v>
      </c>
      <c r="V91" s="630">
        <f t="shared" si="447"/>
        <v>-73</v>
      </c>
      <c r="W91" s="653">
        <v>-104</v>
      </c>
      <c r="X91" s="40">
        <v>-31</v>
      </c>
      <c r="Y91" s="630">
        <f t="shared" si="448"/>
        <v>-73</v>
      </c>
      <c r="Z91" s="653">
        <v>-104</v>
      </c>
      <c r="AA91" s="40">
        <v>-179</v>
      </c>
      <c r="AB91" s="630">
        <f t="shared" si="449"/>
        <v>-138</v>
      </c>
      <c r="AC91" s="653">
        <v>-317</v>
      </c>
      <c r="AD91" s="40">
        <v>-69</v>
      </c>
      <c r="AE91" s="630">
        <f t="shared" si="450"/>
        <v>-67</v>
      </c>
      <c r="AF91" s="653">
        <v>-136</v>
      </c>
      <c r="AG91" s="40">
        <v>-366</v>
      </c>
      <c r="AH91" s="630">
        <f t="shared" si="451"/>
        <v>-104</v>
      </c>
      <c r="AI91" s="653">
        <v>-470</v>
      </c>
      <c r="AJ91" s="40">
        <v>-11</v>
      </c>
      <c r="AK91" s="630">
        <f t="shared" si="452"/>
        <v>56</v>
      </c>
      <c r="AL91" s="653">
        <v>45</v>
      </c>
      <c r="AM91" s="40">
        <v>-32</v>
      </c>
      <c r="AN91" s="630">
        <f t="shared" si="453"/>
        <v>-15</v>
      </c>
      <c r="AO91" s="653">
        <v>-47</v>
      </c>
      <c r="AP91" s="40">
        <v>-35</v>
      </c>
      <c r="AQ91" s="630">
        <f t="shared" si="454"/>
        <v>-67</v>
      </c>
      <c r="AR91" s="653">
        <v>-102</v>
      </c>
      <c r="AS91" s="40">
        <v>-107</v>
      </c>
      <c r="AT91" s="630">
        <f t="shared" si="455"/>
        <v>-127</v>
      </c>
      <c r="AU91" s="653">
        <v>-234</v>
      </c>
      <c r="AV91" s="40">
        <f>83-21</f>
        <v>62</v>
      </c>
      <c r="AW91" s="539">
        <f t="shared" si="456"/>
        <v>-23</v>
      </c>
      <c r="AX91" s="653">
        <f>83-44</f>
        <v>39</v>
      </c>
      <c r="AY91" s="40">
        <v>-28</v>
      </c>
      <c r="AZ91" s="236">
        <f t="shared" si="457"/>
        <v>0</v>
      </c>
      <c r="BA91" s="580">
        <v>-28</v>
      </c>
      <c r="BB91" s="56">
        <f t="shared" ref="BB91" si="467">BD91/2</f>
        <v>0</v>
      </c>
      <c r="BC91" s="236">
        <f t="shared" si="459"/>
        <v>0</v>
      </c>
      <c r="BD91" s="580">
        <v>0</v>
      </c>
      <c r="BE91" s="56">
        <f t="shared" ref="BE91" si="468">BG91/2</f>
        <v>0</v>
      </c>
      <c r="BF91" s="236">
        <f t="shared" si="461"/>
        <v>0</v>
      </c>
      <c r="BG91" s="580">
        <v>0</v>
      </c>
      <c r="BH91" s="56">
        <f t="shared" ref="BH91" si="469">BJ91/2</f>
        <v>0</v>
      </c>
      <c r="BI91" s="236">
        <f t="shared" si="463"/>
        <v>0</v>
      </c>
      <c r="BJ91" s="580">
        <v>0</v>
      </c>
      <c r="BK91" s="56">
        <f t="shared" ref="BK91" si="470">BM91/2</f>
        <v>0</v>
      </c>
      <c r="BL91" s="236">
        <f t="shared" si="465"/>
        <v>0</v>
      </c>
      <c r="BM91" s="580">
        <v>0</v>
      </c>
    </row>
    <row r="92" spans="1:65">
      <c r="A92" s="25" t="s">
        <v>56</v>
      </c>
      <c r="B92" s="40">
        <v>0</v>
      </c>
      <c r="C92" s="40">
        <v>0</v>
      </c>
      <c r="D92" s="40">
        <v>0</v>
      </c>
      <c r="E92" s="40">
        <v>0</v>
      </c>
      <c r="F92" s="40">
        <v>0</v>
      </c>
      <c r="G92" s="40">
        <v>0</v>
      </c>
      <c r="H92" s="40">
        <v>0</v>
      </c>
      <c r="I92" s="40">
        <v>0</v>
      </c>
      <c r="J92" s="40">
        <v>0</v>
      </c>
      <c r="K92" s="40">
        <f t="shared" ref="K92:U92" si="471">K20</f>
        <v>0</v>
      </c>
      <c r="L92" s="40">
        <f t="shared" si="471"/>
        <v>0</v>
      </c>
      <c r="M92" s="40">
        <f t="shared" si="471"/>
        <v>0</v>
      </c>
      <c r="N92" s="40">
        <f t="shared" si="471"/>
        <v>0</v>
      </c>
      <c r="O92" s="40">
        <f t="shared" si="471"/>
        <v>119</v>
      </c>
      <c r="P92" s="40">
        <f t="shared" si="471"/>
        <v>2</v>
      </c>
      <c r="Q92" s="40">
        <f t="shared" si="471"/>
        <v>0</v>
      </c>
      <c r="R92" s="40">
        <f t="shared" ref="R92" si="472">R20</f>
        <v>0</v>
      </c>
      <c r="S92" s="630">
        <f t="shared" si="446"/>
        <v>0</v>
      </c>
      <c r="T92" s="653">
        <f t="shared" si="471"/>
        <v>0</v>
      </c>
      <c r="U92" s="40">
        <f t="shared" si="471"/>
        <v>0</v>
      </c>
      <c r="V92" s="630">
        <f t="shared" si="447"/>
        <v>0</v>
      </c>
      <c r="W92" s="653">
        <v>0</v>
      </c>
      <c r="X92" s="40">
        <f t="shared" ref="X92" si="473">X20</f>
        <v>0</v>
      </c>
      <c r="Y92" s="630">
        <f t="shared" si="448"/>
        <v>0</v>
      </c>
      <c r="Z92" s="653">
        <v>0</v>
      </c>
      <c r="AA92" s="40">
        <f t="shared" ref="AA92" si="474">AA20</f>
        <v>0</v>
      </c>
      <c r="AB92" s="630">
        <f t="shared" si="449"/>
        <v>0</v>
      </c>
      <c r="AC92" s="653">
        <f t="shared" ref="AC92:BM92" si="475">AC20</f>
        <v>0</v>
      </c>
      <c r="AD92" s="40">
        <f t="shared" ref="AD92" si="476">AD20</f>
        <v>0</v>
      </c>
      <c r="AE92" s="630">
        <f t="shared" si="450"/>
        <v>0</v>
      </c>
      <c r="AF92" s="653">
        <f t="shared" si="475"/>
        <v>0</v>
      </c>
      <c r="AG92" s="40">
        <f t="shared" si="475"/>
        <v>0</v>
      </c>
      <c r="AH92" s="630">
        <f t="shared" si="451"/>
        <v>0</v>
      </c>
      <c r="AI92" s="653">
        <f t="shared" si="475"/>
        <v>0</v>
      </c>
      <c r="AJ92" s="40">
        <f t="shared" ref="AJ92" si="477">AJ20</f>
        <v>0</v>
      </c>
      <c r="AK92" s="630">
        <f t="shared" si="452"/>
        <v>0</v>
      </c>
      <c r="AL92" s="653">
        <f t="shared" si="475"/>
        <v>0</v>
      </c>
      <c r="AM92" s="40">
        <f t="shared" si="475"/>
        <v>0</v>
      </c>
      <c r="AN92" s="630">
        <f t="shared" si="453"/>
        <v>0</v>
      </c>
      <c r="AO92" s="653">
        <f t="shared" si="475"/>
        <v>0</v>
      </c>
      <c r="AP92" s="40">
        <f t="shared" ref="AP92" si="478">AP20</f>
        <v>0</v>
      </c>
      <c r="AQ92" s="630">
        <f t="shared" si="454"/>
        <v>0</v>
      </c>
      <c r="AR92" s="653">
        <f t="shared" ref="AR92:AS92" si="479">AR20</f>
        <v>0</v>
      </c>
      <c r="AS92" s="40">
        <f t="shared" si="479"/>
        <v>0</v>
      </c>
      <c r="AT92" s="630">
        <f t="shared" si="455"/>
        <v>0</v>
      </c>
      <c r="AU92" s="653">
        <f t="shared" ref="AU92:AV92" si="480">AU20</f>
        <v>0</v>
      </c>
      <c r="AV92" s="40">
        <f t="shared" si="480"/>
        <v>0</v>
      </c>
      <c r="AW92" s="539">
        <f t="shared" si="456"/>
        <v>0</v>
      </c>
      <c r="AX92" s="653">
        <f t="shared" ref="AX92:AY92" si="481">AX20</f>
        <v>0</v>
      </c>
      <c r="AY92" s="40">
        <f t="shared" si="481"/>
        <v>0</v>
      </c>
      <c r="AZ92" s="236">
        <f t="shared" si="457"/>
        <v>0</v>
      </c>
      <c r="BA92" s="605">
        <f t="shared" si="475"/>
        <v>0</v>
      </c>
      <c r="BB92" s="56">
        <f t="shared" si="475"/>
        <v>0</v>
      </c>
      <c r="BC92" s="236">
        <f t="shared" si="459"/>
        <v>0</v>
      </c>
      <c r="BD92" s="605">
        <f t="shared" si="475"/>
        <v>0</v>
      </c>
      <c r="BE92" s="56">
        <f t="shared" si="475"/>
        <v>0</v>
      </c>
      <c r="BF92" s="236">
        <f t="shared" si="461"/>
        <v>0</v>
      </c>
      <c r="BG92" s="605">
        <f t="shared" si="475"/>
        <v>0</v>
      </c>
      <c r="BH92" s="56">
        <f t="shared" si="475"/>
        <v>0</v>
      </c>
      <c r="BI92" s="236">
        <f t="shared" si="463"/>
        <v>0</v>
      </c>
      <c r="BJ92" s="605">
        <f t="shared" si="475"/>
        <v>0</v>
      </c>
      <c r="BK92" s="56">
        <f t="shared" si="475"/>
        <v>0</v>
      </c>
      <c r="BL92" s="236">
        <f t="shared" si="465"/>
        <v>0</v>
      </c>
      <c r="BM92" s="605">
        <f t="shared" si="475"/>
        <v>0</v>
      </c>
    </row>
    <row r="93" spans="1:65">
      <c r="A93" s="25" t="s">
        <v>672</v>
      </c>
      <c r="B93" s="40">
        <f>-5-73</f>
        <v>-78</v>
      </c>
      <c r="C93" s="40">
        <f>C21</f>
        <v>-11</v>
      </c>
      <c r="D93" s="40">
        <f>D21</f>
        <v>-22</v>
      </c>
      <c r="E93" s="40">
        <f>E21</f>
        <v>6</v>
      </c>
      <c r="F93" s="40">
        <v>0</v>
      </c>
      <c r="G93" s="40">
        <v>0</v>
      </c>
      <c r="H93" s="40">
        <v>0</v>
      </c>
      <c r="I93" s="40">
        <v>0</v>
      </c>
      <c r="J93" s="40">
        <v>0</v>
      </c>
      <c r="K93" s="40">
        <v>0</v>
      </c>
      <c r="L93" s="40">
        <v>0</v>
      </c>
      <c r="M93" s="40">
        <v>0</v>
      </c>
      <c r="N93" s="40">
        <f>N21</f>
        <v>699</v>
      </c>
      <c r="O93" s="40">
        <f>O21</f>
        <v>216</v>
      </c>
      <c r="P93" s="40">
        <f>P21</f>
        <v>6</v>
      </c>
      <c r="Q93" s="40">
        <f>Q21</f>
        <v>2</v>
      </c>
      <c r="R93" s="40">
        <v>-1</v>
      </c>
      <c r="S93" s="630">
        <f t="shared" si="446"/>
        <v>-2</v>
      </c>
      <c r="T93" s="653">
        <f>T21</f>
        <v>-3</v>
      </c>
      <c r="U93" s="40">
        <v>0</v>
      </c>
      <c r="V93" s="630">
        <f t="shared" si="447"/>
        <v>786</v>
      </c>
      <c r="W93" s="653">
        <f>798-12</f>
        <v>786</v>
      </c>
      <c r="X93" s="40">
        <v>0</v>
      </c>
      <c r="Y93" s="630">
        <f t="shared" si="448"/>
        <v>785</v>
      </c>
      <c r="Z93" s="653">
        <v>785</v>
      </c>
      <c r="AA93" s="40">
        <v>358</v>
      </c>
      <c r="AB93" s="630">
        <f t="shared" si="449"/>
        <v>0</v>
      </c>
      <c r="AC93" s="653">
        <v>358</v>
      </c>
      <c r="AD93" s="40">
        <f>84+34</f>
        <v>118</v>
      </c>
      <c r="AE93" s="630">
        <f t="shared" si="450"/>
        <v>21</v>
      </c>
      <c r="AF93" s="653">
        <v>139</v>
      </c>
      <c r="AG93" s="40">
        <v>0</v>
      </c>
      <c r="AH93" s="630">
        <f t="shared" si="451"/>
        <v>-14</v>
      </c>
      <c r="AI93" s="653">
        <v>-14</v>
      </c>
      <c r="AJ93" s="40">
        <v>0</v>
      </c>
      <c r="AK93" s="630">
        <f t="shared" si="452"/>
        <v>0</v>
      </c>
      <c r="AL93" s="653">
        <v>0</v>
      </c>
      <c r="AM93" s="40">
        <v>0</v>
      </c>
      <c r="AN93" s="630">
        <f t="shared" si="453"/>
        <v>0</v>
      </c>
      <c r="AO93" s="653">
        <v>0</v>
      </c>
      <c r="AP93" s="40">
        <v>0</v>
      </c>
      <c r="AQ93" s="630">
        <f t="shared" si="454"/>
        <v>0</v>
      </c>
      <c r="AR93" s="653">
        <v>0</v>
      </c>
      <c r="AS93" s="40">
        <v>0</v>
      </c>
      <c r="AT93" s="630">
        <f t="shared" si="455"/>
        <v>0</v>
      </c>
      <c r="AU93" s="653">
        <v>0</v>
      </c>
      <c r="AV93" s="40">
        <v>0</v>
      </c>
      <c r="AW93" s="539">
        <f t="shared" si="456"/>
        <v>0</v>
      </c>
      <c r="AX93" s="653">
        <v>0</v>
      </c>
      <c r="AY93" s="40">
        <v>0</v>
      </c>
      <c r="AZ93" s="236">
        <f t="shared" si="457"/>
        <v>0</v>
      </c>
      <c r="BA93" s="580">
        <v>0</v>
      </c>
      <c r="BB93" s="56">
        <f t="shared" ref="BB93:BB95" si="482">BD93/2</f>
        <v>0</v>
      </c>
      <c r="BC93" s="236">
        <f t="shared" si="459"/>
        <v>0</v>
      </c>
      <c r="BD93" s="580">
        <v>0</v>
      </c>
      <c r="BE93" s="56">
        <f t="shared" ref="BE93:BE95" si="483">BG93/2</f>
        <v>0</v>
      </c>
      <c r="BF93" s="236">
        <f t="shared" si="461"/>
        <v>0</v>
      </c>
      <c r="BG93" s="580">
        <v>0</v>
      </c>
      <c r="BH93" s="56">
        <f t="shared" ref="BH93:BH95" si="484">BJ93/2</f>
        <v>0</v>
      </c>
      <c r="BI93" s="236">
        <f t="shared" si="463"/>
        <v>0</v>
      </c>
      <c r="BJ93" s="580">
        <v>0</v>
      </c>
      <c r="BK93" s="56">
        <f t="shared" ref="BK93:BK95" si="485">BM93/2</f>
        <v>0</v>
      </c>
      <c r="BL93" s="236">
        <f t="shared" si="465"/>
        <v>0</v>
      </c>
      <c r="BM93" s="580">
        <v>0</v>
      </c>
    </row>
    <row r="94" spans="1:65">
      <c r="A94" s="25" t="s">
        <v>225</v>
      </c>
      <c r="B94" s="40">
        <v>-1</v>
      </c>
      <c r="C94" s="40">
        <v>3</v>
      </c>
      <c r="D94" s="40">
        <v>-1</v>
      </c>
      <c r="E94" s="40">
        <v>-9</v>
      </c>
      <c r="F94" s="40">
        <v>0</v>
      </c>
      <c r="G94" s="40">
        <v>0</v>
      </c>
      <c r="H94" s="40">
        <v>0</v>
      </c>
      <c r="I94" s="40">
        <v>0</v>
      </c>
      <c r="J94" s="40">
        <v>0</v>
      </c>
      <c r="K94" s="40">
        <v>0</v>
      </c>
      <c r="L94" s="40">
        <v>0</v>
      </c>
      <c r="M94" s="40">
        <v>0</v>
      </c>
      <c r="N94" s="40">
        <v>0</v>
      </c>
      <c r="O94" s="40">
        <v>0</v>
      </c>
      <c r="P94" s="40">
        <v>0</v>
      </c>
      <c r="Q94" s="40">
        <v>0</v>
      </c>
      <c r="R94" s="40">
        <v>0</v>
      </c>
      <c r="S94" s="630">
        <f t="shared" si="446"/>
        <v>0</v>
      </c>
      <c r="T94" s="653">
        <v>0</v>
      </c>
      <c r="U94" s="40">
        <v>0</v>
      </c>
      <c r="V94" s="630">
        <f t="shared" si="447"/>
        <v>0</v>
      </c>
      <c r="W94" s="653">
        <v>0</v>
      </c>
      <c r="X94" s="40">
        <v>0</v>
      </c>
      <c r="Y94" s="630">
        <f t="shared" si="448"/>
        <v>0</v>
      </c>
      <c r="Z94" s="653">
        <v>0</v>
      </c>
      <c r="AA94" s="40">
        <v>0</v>
      </c>
      <c r="AB94" s="630">
        <f t="shared" si="449"/>
        <v>0</v>
      </c>
      <c r="AC94" s="653">
        <v>0</v>
      </c>
      <c r="AD94" s="40">
        <v>0</v>
      </c>
      <c r="AE94" s="630">
        <f t="shared" si="450"/>
        <v>0</v>
      </c>
      <c r="AF94" s="653"/>
      <c r="AG94" s="40">
        <v>0</v>
      </c>
      <c r="AH94" s="630">
        <f t="shared" si="451"/>
        <v>0</v>
      </c>
      <c r="AI94" s="653">
        <v>0</v>
      </c>
      <c r="AJ94" s="40">
        <v>0</v>
      </c>
      <c r="AK94" s="630">
        <f t="shared" si="452"/>
        <v>56</v>
      </c>
      <c r="AL94" s="653">
        <v>56</v>
      </c>
      <c r="AM94" s="40">
        <v>77</v>
      </c>
      <c r="AN94" s="630">
        <f t="shared" si="453"/>
        <v>4</v>
      </c>
      <c r="AO94" s="653">
        <v>81</v>
      </c>
      <c r="AP94" s="40">
        <v>1</v>
      </c>
      <c r="AQ94" s="630">
        <f t="shared" si="454"/>
        <v>0</v>
      </c>
      <c r="AR94" s="653">
        <v>1</v>
      </c>
      <c r="AS94" s="40">
        <v>0</v>
      </c>
      <c r="AT94" s="630">
        <f t="shared" si="455"/>
        <v>16</v>
      </c>
      <c r="AU94" s="653">
        <v>16</v>
      </c>
      <c r="AV94" s="40">
        <v>679</v>
      </c>
      <c r="AW94" s="539">
        <f t="shared" si="456"/>
        <v>130</v>
      </c>
      <c r="AX94" s="653">
        <v>809</v>
      </c>
      <c r="AY94" s="40">
        <v>0</v>
      </c>
      <c r="AZ94" s="236">
        <f t="shared" si="457"/>
        <v>0</v>
      </c>
      <c r="BA94" s="580">
        <v>0</v>
      </c>
      <c r="BB94" s="56">
        <f t="shared" si="482"/>
        <v>0</v>
      </c>
      <c r="BC94" s="236">
        <f t="shared" si="459"/>
        <v>0</v>
      </c>
      <c r="BD94" s="580">
        <v>0</v>
      </c>
      <c r="BE94" s="56">
        <f t="shared" si="483"/>
        <v>0</v>
      </c>
      <c r="BF94" s="236">
        <f t="shared" si="461"/>
        <v>0</v>
      </c>
      <c r="BG94" s="580">
        <v>0</v>
      </c>
      <c r="BH94" s="56">
        <f t="shared" si="484"/>
        <v>0</v>
      </c>
      <c r="BI94" s="236">
        <f t="shared" si="463"/>
        <v>0</v>
      </c>
      <c r="BJ94" s="580">
        <v>0</v>
      </c>
      <c r="BK94" s="56">
        <f t="shared" si="485"/>
        <v>0</v>
      </c>
      <c r="BL94" s="236">
        <f t="shared" si="465"/>
        <v>0</v>
      </c>
      <c r="BM94" s="580">
        <v>0</v>
      </c>
    </row>
    <row r="95" spans="1:65">
      <c r="A95" s="25" t="s">
        <v>15</v>
      </c>
      <c r="B95" s="40">
        <v>0</v>
      </c>
      <c r="C95" s="40">
        <v>0</v>
      </c>
      <c r="D95" s="40">
        <v>0</v>
      </c>
      <c r="E95" s="40">
        <v>0</v>
      </c>
      <c r="F95" s="40">
        <v>0</v>
      </c>
      <c r="G95" s="40">
        <v>0</v>
      </c>
      <c r="H95" s="40">
        <v>0</v>
      </c>
      <c r="I95" s="40">
        <v>0</v>
      </c>
      <c r="J95" s="40">
        <v>0</v>
      </c>
      <c r="K95" s="40">
        <v>0</v>
      </c>
      <c r="L95" s="40">
        <v>0</v>
      </c>
      <c r="M95" s="40">
        <v>0</v>
      </c>
      <c r="N95" s="40">
        <v>0</v>
      </c>
      <c r="O95" s="40">
        <v>0</v>
      </c>
      <c r="P95" s="40">
        <v>0</v>
      </c>
      <c r="Q95" s="40">
        <v>0</v>
      </c>
      <c r="R95" s="40">
        <v>0</v>
      </c>
      <c r="S95" s="630">
        <f t="shared" si="446"/>
        <v>-671</v>
      </c>
      <c r="T95" s="653">
        <v>-671</v>
      </c>
      <c r="U95" s="40">
        <v>0</v>
      </c>
      <c r="V95" s="630">
        <f t="shared" si="447"/>
        <v>0</v>
      </c>
      <c r="W95" s="653">
        <v>0</v>
      </c>
      <c r="X95" s="40">
        <v>0</v>
      </c>
      <c r="Y95" s="630">
        <f t="shared" si="448"/>
        <v>0</v>
      </c>
      <c r="Z95" s="653">
        <v>0</v>
      </c>
      <c r="AA95" s="40">
        <v>0</v>
      </c>
      <c r="AB95" s="630">
        <f t="shared" si="449"/>
        <v>0</v>
      </c>
      <c r="AC95" s="653">
        <v>0</v>
      </c>
      <c r="AD95" s="40">
        <v>0</v>
      </c>
      <c r="AE95" s="630">
        <f t="shared" si="450"/>
        <v>0</v>
      </c>
      <c r="AF95" s="653">
        <v>0</v>
      </c>
      <c r="AG95" s="40">
        <v>0</v>
      </c>
      <c r="AH95" s="630">
        <f t="shared" si="451"/>
        <v>0</v>
      </c>
      <c r="AI95" s="653">
        <v>0</v>
      </c>
      <c r="AJ95" s="40">
        <v>0</v>
      </c>
      <c r="AK95" s="630">
        <f t="shared" si="452"/>
        <v>0</v>
      </c>
      <c r="AL95" s="653">
        <v>0</v>
      </c>
      <c r="AM95" s="40">
        <v>0</v>
      </c>
      <c r="AN95" s="630">
        <f t="shared" si="453"/>
        <v>0</v>
      </c>
      <c r="AO95" s="653">
        <v>0</v>
      </c>
      <c r="AP95" s="40">
        <v>0</v>
      </c>
      <c r="AQ95" s="630">
        <f t="shared" si="454"/>
        <v>0</v>
      </c>
      <c r="AR95" s="653">
        <v>0</v>
      </c>
      <c r="AS95" s="40">
        <v>0</v>
      </c>
      <c r="AT95" s="630">
        <f t="shared" si="455"/>
        <v>0</v>
      </c>
      <c r="AU95" s="653">
        <v>0</v>
      </c>
      <c r="AV95" s="40">
        <v>0</v>
      </c>
      <c r="AW95" s="539">
        <f t="shared" si="456"/>
        <v>0</v>
      </c>
      <c r="AX95" s="653">
        <v>0</v>
      </c>
      <c r="AY95" s="40">
        <v>0</v>
      </c>
      <c r="AZ95" s="236">
        <f t="shared" si="457"/>
        <v>0</v>
      </c>
      <c r="BA95" s="580">
        <v>0</v>
      </c>
      <c r="BB95" s="56">
        <f t="shared" si="482"/>
        <v>0</v>
      </c>
      <c r="BC95" s="236">
        <f t="shared" si="459"/>
        <v>0</v>
      </c>
      <c r="BD95" s="580">
        <v>0</v>
      </c>
      <c r="BE95" s="56">
        <f t="shared" si="483"/>
        <v>0</v>
      </c>
      <c r="BF95" s="236">
        <f t="shared" si="461"/>
        <v>0</v>
      </c>
      <c r="BG95" s="580">
        <v>0</v>
      </c>
      <c r="BH95" s="56">
        <f t="shared" si="484"/>
        <v>0</v>
      </c>
      <c r="BI95" s="236">
        <f t="shared" si="463"/>
        <v>0</v>
      </c>
      <c r="BJ95" s="580">
        <v>0</v>
      </c>
      <c r="BK95" s="56">
        <f t="shared" si="485"/>
        <v>0</v>
      </c>
      <c r="BL95" s="236">
        <f t="shared" si="465"/>
        <v>0</v>
      </c>
      <c r="BM95" s="580">
        <v>0</v>
      </c>
    </row>
    <row r="96" spans="1:65">
      <c r="A96" s="25" t="s">
        <v>58</v>
      </c>
      <c r="B96" s="40">
        <v>0</v>
      </c>
      <c r="C96" s="40">
        <v>0</v>
      </c>
      <c r="D96" s="40">
        <v>0</v>
      </c>
      <c r="E96" s="40">
        <v>0</v>
      </c>
      <c r="F96" s="40">
        <v>0</v>
      </c>
      <c r="G96" s="40">
        <v>0</v>
      </c>
      <c r="H96" s="40">
        <v>0</v>
      </c>
      <c r="I96" s="40">
        <v>-130</v>
      </c>
      <c r="J96" s="40">
        <v>0</v>
      </c>
      <c r="K96" s="40">
        <v>0</v>
      </c>
      <c r="L96" s="40">
        <v>0</v>
      </c>
      <c r="M96" s="40">
        <v>164</v>
      </c>
      <c r="N96" s="40">
        <v>0</v>
      </c>
      <c r="O96" s="40">
        <v>-64</v>
      </c>
      <c r="P96" s="40">
        <v>0</v>
      </c>
      <c r="Q96" s="40">
        <v>0</v>
      </c>
      <c r="R96" s="40">
        <v>0</v>
      </c>
      <c r="S96" s="630">
        <f t="shared" si="446"/>
        <v>-306</v>
      </c>
      <c r="T96" s="653">
        <v>-306</v>
      </c>
      <c r="U96" s="40">
        <v>0</v>
      </c>
      <c r="V96" s="630">
        <f t="shared" si="447"/>
        <v>0</v>
      </c>
      <c r="W96" s="653">
        <v>0</v>
      </c>
      <c r="X96" s="40">
        <v>0</v>
      </c>
      <c r="Y96" s="630">
        <f t="shared" si="448"/>
        <v>0</v>
      </c>
      <c r="Z96" s="653">
        <v>0</v>
      </c>
      <c r="AA96" s="40">
        <v>0</v>
      </c>
      <c r="AB96" s="630">
        <f t="shared" si="449"/>
        <v>-121</v>
      </c>
      <c r="AC96" s="653">
        <v>-121</v>
      </c>
      <c r="AD96" s="40">
        <v>0</v>
      </c>
      <c r="AE96" s="630">
        <f t="shared" si="450"/>
        <v>0</v>
      </c>
      <c r="AF96" s="653">
        <v>0</v>
      </c>
      <c r="AG96" s="40">
        <v>248</v>
      </c>
      <c r="AH96" s="630">
        <f t="shared" si="451"/>
        <v>60</v>
      </c>
      <c r="AI96" s="653">
        <v>308</v>
      </c>
      <c r="AJ96" s="40">
        <v>11</v>
      </c>
      <c r="AK96" s="630">
        <f t="shared" si="452"/>
        <v>36</v>
      </c>
      <c r="AL96" s="653">
        <v>47</v>
      </c>
      <c r="AM96" s="40">
        <v>0</v>
      </c>
      <c r="AN96" s="630">
        <f t="shared" si="453"/>
        <v>22</v>
      </c>
      <c r="AO96" s="653">
        <v>22</v>
      </c>
      <c r="AP96" s="40">
        <v>0</v>
      </c>
      <c r="AQ96" s="630">
        <f t="shared" si="454"/>
        <v>0</v>
      </c>
      <c r="AR96" s="653">
        <v>0</v>
      </c>
      <c r="AS96" s="40">
        <v>0</v>
      </c>
      <c r="AT96" s="630">
        <f t="shared" si="455"/>
        <v>0</v>
      </c>
      <c r="AU96" s="653">
        <v>0</v>
      </c>
      <c r="AV96" s="40">
        <v>0</v>
      </c>
      <c r="AW96" s="539">
        <f t="shared" si="456"/>
        <v>0</v>
      </c>
      <c r="AX96" s="653">
        <v>0</v>
      </c>
      <c r="AY96" s="40">
        <v>0</v>
      </c>
      <c r="AZ96" s="236">
        <f t="shared" si="457"/>
        <v>0</v>
      </c>
      <c r="BA96" s="605">
        <f>AX96</f>
        <v>0</v>
      </c>
      <c r="BB96" s="56">
        <f>BD96/2</f>
        <v>0</v>
      </c>
      <c r="BC96" s="236">
        <f t="shared" si="459"/>
        <v>0</v>
      </c>
      <c r="BD96" s="605">
        <f>BA96</f>
        <v>0</v>
      </c>
      <c r="BE96" s="56">
        <f>BG96/2</f>
        <v>0</v>
      </c>
      <c r="BF96" s="236">
        <f t="shared" si="461"/>
        <v>0</v>
      </c>
      <c r="BG96" s="605">
        <f>BD96</f>
        <v>0</v>
      </c>
      <c r="BH96" s="56">
        <f>BJ96/2</f>
        <v>0</v>
      </c>
      <c r="BI96" s="236">
        <f t="shared" si="463"/>
        <v>0</v>
      </c>
      <c r="BJ96" s="605">
        <f>BG96</f>
        <v>0</v>
      </c>
      <c r="BK96" s="56">
        <f>BM96/2</f>
        <v>0</v>
      </c>
      <c r="BL96" s="236">
        <f t="shared" si="465"/>
        <v>0</v>
      </c>
      <c r="BM96" s="605">
        <f t="shared" ref="BM96" si="486">BJ96</f>
        <v>0</v>
      </c>
    </row>
    <row r="97" spans="1:73">
      <c r="A97" s="25" t="s">
        <v>16</v>
      </c>
      <c r="B97" s="40">
        <v>-120</v>
      </c>
      <c r="C97" s="40">
        <v>0</v>
      </c>
      <c r="D97" s="40">
        <v>0</v>
      </c>
      <c r="E97" s="40">
        <v>0</v>
      </c>
      <c r="F97" s="40">
        <v>0</v>
      </c>
      <c r="G97" s="40">
        <v>0</v>
      </c>
      <c r="H97" s="40">
        <v>0</v>
      </c>
      <c r="I97" s="40">
        <v>0</v>
      </c>
      <c r="J97" s="40">
        <v>0</v>
      </c>
      <c r="K97" s="40">
        <v>0</v>
      </c>
      <c r="L97" s="40">
        <v>0</v>
      </c>
      <c r="M97" s="40">
        <v>0</v>
      </c>
      <c r="N97" s="40">
        <v>0</v>
      </c>
      <c r="O97" s="40">
        <v>61</v>
      </c>
      <c r="P97" s="40">
        <v>-6</v>
      </c>
      <c r="Q97" s="40">
        <v>-1</v>
      </c>
      <c r="R97" s="40">
        <v>2</v>
      </c>
      <c r="S97" s="630">
        <f t="shared" si="446"/>
        <v>-3</v>
      </c>
      <c r="T97" s="653">
        <v>-1</v>
      </c>
      <c r="U97" s="40">
        <v>-4</v>
      </c>
      <c r="V97" s="630">
        <f t="shared" si="447"/>
        <v>4</v>
      </c>
      <c r="W97" s="653">
        <v>0</v>
      </c>
      <c r="X97" s="40">
        <v>-4</v>
      </c>
      <c r="Y97" s="630">
        <f t="shared" si="448"/>
        <v>-21</v>
      </c>
      <c r="Z97" s="653">
        <v>-25</v>
      </c>
      <c r="AA97" s="40">
        <f>-554-2</f>
        <v>-556</v>
      </c>
      <c r="AB97" s="630">
        <f t="shared" si="449"/>
        <v>-429</v>
      </c>
      <c r="AC97" s="653">
        <f>-9-790-186</f>
        <v>-985</v>
      </c>
      <c r="AD97" s="40">
        <f>-59+1</f>
        <v>-58</v>
      </c>
      <c r="AE97" s="630">
        <f t="shared" si="450"/>
        <v>-1363</v>
      </c>
      <c r="AF97" s="653">
        <f>-1409-12</f>
        <v>-1421</v>
      </c>
      <c r="AG97" s="40">
        <f>-9+498-99</f>
        <v>390</v>
      </c>
      <c r="AH97" s="630">
        <f t="shared" si="451"/>
        <v>226</v>
      </c>
      <c r="AI97" s="653">
        <f>620-4</f>
        <v>616</v>
      </c>
      <c r="AJ97" s="40">
        <v>53</v>
      </c>
      <c r="AK97" s="630">
        <f t="shared" si="452"/>
        <v>35</v>
      </c>
      <c r="AL97" s="653">
        <f>105-17</f>
        <v>88</v>
      </c>
      <c r="AM97" s="40">
        <f>22+1</f>
        <v>23</v>
      </c>
      <c r="AN97" s="630">
        <f t="shared" si="453"/>
        <v>46</v>
      </c>
      <c r="AO97" s="653">
        <v>69</v>
      </c>
      <c r="AP97" s="40">
        <f>21-3</f>
        <v>18</v>
      </c>
      <c r="AQ97" s="630">
        <f t="shared" si="454"/>
        <v>5</v>
      </c>
      <c r="AR97" s="653">
        <f>2+21</f>
        <v>23</v>
      </c>
      <c r="AS97" s="40">
        <v>0</v>
      </c>
      <c r="AT97" s="630">
        <f t="shared" si="455"/>
        <v>-17</v>
      </c>
      <c r="AU97" s="653">
        <v>-17</v>
      </c>
      <c r="AV97" s="40">
        <v>0</v>
      </c>
      <c r="AW97" s="539">
        <f t="shared" si="456"/>
        <v>7</v>
      </c>
      <c r="AX97" s="653">
        <v>7</v>
      </c>
      <c r="AY97" s="40">
        <v>-117</v>
      </c>
      <c r="AZ97" s="236">
        <f t="shared" si="457"/>
        <v>0</v>
      </c>
      <c r="BA97" s="580">
        <v>-117</v>
      </c>
      <c r="BB97" s="56">
        <f>BD97/2</f>
        <v>0</v>
      </c>
      <c r="BC97" s="236">
        <f t="shared" si="459"/>
        <v>0</v>
      </c>
      <c r="BD97" s="580">
        <v>0</v>
      </c>
      <c r="BE97" s="56">
        <f>BG97/2</f>
        <v>0</v>
      </c>
      <c r="BF97" s="236">
        <f t="shared" si="461"/>
        <v>0</v>
      </c>
      <c r="BG97" s="580">
        <v>0</v>
      </c>
      <c r="BH97" s="56">
        <f>BJ97/2</f>
        <v>0</v>
      </c>
      <c r="BI97" s="236">
        <f t="shared" si="463"/>
        <v>0</v>
      </c>
      <c r="BJ97" s="580">
        <v>0</v>
      </c>
      <c r="BK97" s="56">
        <f>BM97/2</f>
        <v>0</v>
      </c>
      <c r="BL97" s="236">
        <f t="shared" si="465"/>
        <v>0</v>
      </c>
      <c r="BM97" s="580">
        <v>0</v>
      </c>
    </row>
    <row r="98" spans="1:73">
      <c r="A98" s="25" t="s">
        <v>118</v>
      </c>
      <c r="B98" s="40">
        <v>0</v>
      </c>
      <c r="C98" s="40">
        <v>0</v>
      </c>
      <c r="D98" s="40">
        <v>0</v>
      </c>
      <c r="E98" s="40">
        <v>0</v>
      </c>
      <c r="F98" s="40">
        <v>0</v>
      </c>
      <c r="G98" s="40">
        <v>0</v>
      </c>
      <c r="H98" s="40">
        <v>0</v>
      </c>
      <c r="I98" s="40">
        <v>0</v>
      </c>
      <c r="J98" s="40">
        <v>0</v>
      </c>
      <c r="K98" s="40">
        <v>0</v>
      </c>
      <c r="L98" s="40">
        <v>0</v>
      </c>
      <c r="M98" s="40">
        <v>0</v>
      </c>
      <c r="N98" s="40">
        <v>0</v>
      </c>
      <c r="O98" s="40">
        <v>-56</v>
      </c>
      <c r="P98" s="40">
        <v>0</v>
      </c>
      <c r="Q98" s="40">
        <v>0</v>
      </c>
      <c r="R98" s="40">
        <v>0</v>
      </c>
      <c r="S98" s="630">
        <f t="shared" si="446"/>
        <v>0</v>
      </c>
      <c r="T98" s="653">
        <v>0</v>
      </c>
      <c r="U98" s="40">
        <v>0</v>
      </c>
      <c r="V98" s="630">
        <f t="shared" si="447"/>
        <v>0</v>
      </c>
      <c r="W98" s="653">
        <v>0</v>
      </c>
      <c r="X98" s="40">
        <v>0</v>
      </c>
      <c r="Y98" s="630">
        <f t="shared" si="448"/>
        <v>0</v>
      </c>
      <c r="Z98" s="653">
        <v>0</v>
      </c>
      <c r="AA98" s="40">
        <v>0</v>
      </c>
      <c r="AB98" s="630">
        <f t="shared" si="449"/>
        <v>0</v>
      </c>
      <c r="AC98" s="653">
        <v>0</v>
      </c>
      <c r="AD98" s="40">
        <v>0</v>
      </c>
      <c r="AE98" s="630">
        <f t="shared" si="450"/>
        <v>0</v>
      </c>
      <c r="AF98" s="653">
        <v>0</v>
      </c>
      <c r="AG98" s="40">
        <v>0</v>
      </c>
      <c r="AH98" s="630">
        <f t="shared" si="451"/>
        <v>0</v>
      </c>
      <c r="AI98" s="653">
        <v>0</v>
      </c>
      <c r="AJ98" s="40">
        <v>0</v>
      </c>
      <c r="AK98" s="630">
        <f t="shared" si="452"/>
        <v>0</v>
      </c>
      <c r="AL98" s="653">
        <v>0</v>
      </c>
      <c r="AM98" s="40">
        <v>0</v>
      </c>
      <c r="AN98" s="630">
        <f t="shared" si="453"/>
        <v>0</v>
      </c>
      <c r="AO98" s="653">
        <v>0</v>
      </c>
      <c r="AP98" s="40">
        <v>0</v>
      </c>
      <c r="AQ98" s="630">
        <f t="shared" si="454"/>
        <v>0</v>
      </c>
      <c r="AR98" s="653">
        <v>0</v>
      </c>
      <c r="AS98" s="40">
        <v>0</v>
      </c>
      <c r="AT98" s="630">
        <f t="shared" si="455"/>
        <v>0</v>
      </c>
      <c r="AU98" s="653">
        <v>0</v>
      </c>
      <c r="AV98" s="40">
        <v>0</v>
      </c>
      <c r="AW98" s="539">
        <f t="shared" si="456"/>
        <v>0</v>
      </c>
      <c r="AX98" s="653">
        <v>0</v>
      </c>
      <c r="AY98" s="40">
        <v>0</v>
      </c>
      <c r="AZ98" s="236">
        <f t="shared" si="457"/>
        <v>0</v>
      </c>
      <c r="BA98" s="580">
        <v>0</v>
      </c>
      <c r="BB98" s="56">
        <f>BD98/2</f>
        <v>0</v>
      </c>
      <c r="BC98" s="236">
        <f t="shared" si="459"/>
        <v>0</v>
      </c>
      <c r="BD98" s="580">
        <v>0</v>
      </c>
      <c r="BE98" s="56">
        <f>BG98/2</f>
        <v>0</v>
      </c>
      <c r="BF98" s="236">
        <f t="shared" si="461"/>
        <v>0</v>
      </c>
      <c r="BG98" s="580">
        <v>0</v>
      </c>
      <c r="BH98" s="56">
        <f>BJ98/2</f>
        <v>0</v>
      </c>
      <c r="BI98" s="236">
        <f t="shared" si="463"/>
        <v>0</v>
      </c>
      <c r="BJ98" s="580">
        <v>0</v>
      </c>
      <c r="BK98" s="56">
        <f>BM98/2</f>
        <v>0</v>
      </c>
      <c r="BL98" s="236">
        <f t="shared" si="465"/>
        <v>0</v>
      </c>
      <c r="BM98" s="580">
        <v>0</v>
      </c>
    </row>
    <row r="99" spans="1:73">
      <c r="A99" s="25" t="s">
        <v>215</v>
      </c>
      <c r="B99" s="40">
        <v>0</v>
      </c>
      <c r="C99" s="40">
        <v>0</v>
      </c>
      <c r="D99" s="40">
        <v>0</v>
      </c>
      <c r="E99" s="40">
        <v>0</v>
      </c>
      <c r="F99" s="40">
        <v>0</v>
      </c>
      <c r="G99" s="40">
        <v>452</v>
      </c>
      <c r="H99" s="40">
        <v>289</v>
      </c>
      <c r="I99" s="40">
        <v>149</v>
      </c>
      <c r="J99" s="40">
        <v>80</v>
      </c>
      <c r="K99" s="40">
        <v>27</v>
      </c>
      <c r="L99" s="40">
        <v>0</v>
      </c>
      <c r="M99" s="40">
        <v>0</v>
      </c>
      <c r="N99" s="40">
        <v>0</v>
      </c>
      <c r="O99" s="40">
        <v>0</v>
      </c>
      <c r="P99" s="40">
        <v>0</v>
      </c>
      <c r="Q99" s="40">
        <v>0</v>
      </c>
      <c r="R99" s="40">
        <v>0</v>
      </c>
      <c r="S99" s="630">
        <f t="shared" si="446"/>
        <v>0</v>
      </c>
      <c r="T99" s="653">
        <v>0</v>
      </c>
      <c r="U99" s="40">
        <v>0</v>
      </c>
      <c r="V99" s="630">
        <f t="shared" si="447"/>
        <v>0</v>
      </c>
      <c r="W99" s="653">
        <v>0</v>
      </c>
      <c r="X99" s="40">
        <v>0</v>
      </c>
      <c r="Y99" s="630">
        <f t="shared" si="448"/>
        <v>0</v>
      </c>
      <c r="Z99" s="653">
        <v>0</v>
      </c>
      <c r="AA99" s="40">
        <v>0</v>
      </c>
      <c r="AB99" s="630">
        <f t="shared" si="449"/>
        <v>0</v>
      </c>
      <c r="AC99" s="653">
        <v>0</v>
      </c>
      <c r="AD99" s="40">
        <v>0</v>
      </c>
      <c r="AE99" s="630">
        <f t="shared" si="450"/>
        <v>0</v>
      </c>
      <c r="AF99" s="653">
        <v>0</v>
      </c>
      <c r="AG99" s="40">
        <v>0</v>
      </c>
      <c r="AH99" s="630">
        <f t="shared" si="451"/>
        <v>0</v>
      </c>
      <c r="AI99" s="653">
        <v>0</v>
      </c>
      <c r="AJ99" s="40">
        <v>0</v>
      </c>
      <c r="AK99" s="630">
        <f t="shared" si="452"/>
        <v>0</v>
      </c>
      <c r="AL99" s="653">
        <v>0</v>
      </c>
      <c r="AM99" s="40">
        <v>0</v>
      </c>
      <c r="AN99" s="630">
        <f t="shared" si="453"/>
        <v>0</v>
      </c>
      <c r="AO99" s="653">
        <v>0</v>
      </c>
      <c r="AP99" s="40">
        <v>0</v>
      </c>
      <c r="AQ99" s="630">
        <f t="shared" si="454"/>
        <v>0</v>
      </c>
      <c r="AR99" s="653">
        <v>0</v>
      </c>
      <c r="AS99" s="40">
        <v>0</v>
      </c>
      <c r="AT99" s="630">
        <f t="shared" si="455"/>
        <v>0</v>
      </c>
      <c r="AU99" s="653">
        <v>0</v>
      </c>
      <c r="AV99" s="40">
        <v>0</v>
      </c>
      <c r="AW99" s="539">
        <f t="shared" si="456"/>
        <v>0</v>
      </c>
      <c r="AX99" s="653">
        <v>0</v>
      </c>
      <c r="AY99" s="40">
        <v>0</v>
      </c>
      <c r="AZ99" s="236">
        <f t="shared" si="457"/>
        <v>0</v>
      </c>
      <c r="BA99" s="580">
        <v>0</v>
      </c>
      <c r="BB99" s="56">
        <f>BD99/2</f>
        <v>0</v>
      </c>
      <c r="BC99" s="236">
        <f t="shared" si="459"/>
        <v>0</v>
      </c>
      <c r="BD99" s="580">
        <v>0</v>
      </c>
      <c r="BE99" s="56">
        <f>BG99/2</f>
        <v>0</v>
      </c>
      <c r="BF99" s="236">
        <f t="shared" si="461"/>
        <v>0</v>
      </c>
      <c r="BG99" s="580">
        <v>0</v>
      </c>
      <c r="BH99" s="56">
        <f>BJ99/2</f>
        <v>0</v>
      </c>
      <c r="BI99" s="236">
        <f t="shared" si="463"/>
        <v>0</v>
      </c>
      <c r="BJ99" s="580">
        <v>0</v>
      </c>
      <c r="BK99" s="56">
        <f>BM99/2</f>
        <v>0</v>
      </c>
      <c r="BL99" s="236">
        <f t="shared" si="465"/>
        <v>0</v>
      </c>
      <c r="BM99" s="580">
        <v>0</v>
      </c>
    </row>
    <row r="100" spans="1:73">
      <c r="A100" s="68" t="s">
        <v>109</v>
      </c>
      <c r="B100" s="46">
        <f t="shared" ref="B100:AC100" si="487">SUM(B85:B99)</f>
        <v>-270</v>
      </c>
      <c r="C100" s="46">
        <f t="shared" si="487"/>
        <v>-283</v>
      </c>
      <c r="D100" s="46">
        <f t="shared" si="487"/>
        <v>-150</v>
      </c>
      <c r="E100" s="46">
        <f t="shared" si="487"/>
        <v>-105</v>
      </c>
      <c r="F100" s="46">
        <f t="shared" si="487"/>
        <v>0</v>
      </c>
      <c r="G100" s="46">
        <f t="shared" si="487"/>
        <v>198</v>
      </c>
      <c r="H100" s="46">
        <f t="shared" si="487"/>
        <v>-55</v>
      </c>
      <c r="I100" s="46">
        <f t="shared" si="487"/>
        <v>-320</v>
      </c>
      <c r="J100" s="46">
        <f t="shared" si="487"/>
        <v>-57</v>
      </c>
      <c r="K100" s="46">
        <f t="shared" si="487"/>
        <v>189</v>
      </c>
      <c r="L100" s="46">
        <f t="shared" si="487"/>
        <v>124</v>
      </c>
      <c r="M100" s="46">
        <f t="shared" si="487"/>
        <v>-17</v>
      </c>
      <c r="N100" s="46">
        <f t="shared" si="487"/>
        <v>582</v>
      </c>
      <c r="O100" s="46">
        <f t="shared" si="487"/>
        <v>-17</v>
      </c>
      <c r="P100" s="46">
        <f t="shared" si="487"/>
        <v>-283</v>
      </c>
      <c r="Q100" s="46">
        <f t="shared" si="487"/>
        <v>9</v>
      </c>
      <c r="R100" s="46">
        <f>SUM(R85:R99)</f>
        <v>78</v>
      </c>
      <c r="S100" s="643">
        <f>SUM(S85:S99)</f>
        <v>-952</v>
      </c>
      <c r="T100" s="667">
        <f t="shared" si="487"/>
        <v>-874</v>
      </c>
      <c r="U100" s="46">
        <f>SUM(U85:U99)</f>
        <v>126</v>
      </c>
      <c r="V100" s="643">
        <f>SUM(V85:V99)</f>
        <v>784</v>
      </c>
      <c r="W100" s="667">
        <f t="shared" si="487"/>
        <v>910</v>
      </c>
      <c r="X100" s="46">
        <f>SUM(X85:X99)</f>
        <v>-19</v>
      </c>
      <c r="Y100" s="643">
        <f>SUM(Y85:Y99)</f>
        <v>864</v>
      </c>
      <c r="Z100" s="667">
        <f t="shared" si="487"/>
        <v>845</v>
      </c>
      <c r="AA100" s="46">
        <f>SUM(AA85:AA99)</f>
        <v>-558</v>
      </c>
      <c r="AB100" s="643">
        <f>SUM(AB85:AB99)</f>
        <v>-861</v>
      </c>
      <c r="AC100" s="667">
        <f t="shared" si="487"/>
        <v>-1419</v>
      </c>
      <c r="AD100" s="46">
        <f>SUM(AD85:AD99)</f>
        <v>-2</v>
      </c>
      <c r="AE100" s="643">
        <f>SUM(AE85:AE99)</f>
        <v>-1664</v>
      </c>
      <c r="AF100" s="667">
        <f>SUM(AF84:AF99)</f>
        <v>-1521</v>
      </c>
      <c r="AG100" s="46">
        <f>SUM(AG85:AG99)</f>
        <v>-100</v>
      </c>
      <c r="AH100" s="643">
        <f>SUM(AH85:AH99)</f>
        <v>-873</v>
      </c>
      <c r="AI100" s="667">
        <f>SUM(AI84:AI99)</f>
        <v>22</v>
      </c>
      <c r="AJ100" s="46">
        <f>SUM(AJ85:AJ99)</f>
        <v>-269</v>
      </c>
      <c r="AK100" s="643">
        <f>SUM(AK85:AK99)</f>
        <v>424</v>
      </c>
      <c r="AL100" s="667">
        <f>SUM(AL84:AL99)</f>
        <v>155</v>
      </c>
      <c r="AM100" s="46">
        <f>SUM(AM85:AM99)</f>
        <v>175</v>
      </c>
      <c r="AN100" s="643">
        <f>SUM(AN85:AN99)</f>
        <v>91</v>
      </c>
      <c r="AO100" s="667">
        <f>SUM(AO84:AO99)</f>
        <v>266</v>
      </c>
      <c r="AP100" s="46">
        <f>SUM(AP84:AP99)</f>
        <v>125</v>
      </c>
      <c r="AQ100" s="643">
        <f>SUM(AQ85:AQ99)</f>
        <v>230</v>
      </c>
      <c r="AR100" s="667">
        <f>SUM(AR84:AR99)</f>
        <v>355</v>
      </c>
      <c r="AS100" s="46">
        <f>SUM(AS84:AS99)</f>
        <v>497</v>
      </c>
      <c r="AT100" s="643">
        <f>SUM(AT85:AT99)</f>
        <v>-39</v>
      </c>
      <c r="AU100" s="667">
        <f>SUM(AU84:AU99)</f>
        <v>458</v>
      </c>
      <c r="AV100" s="46">
        <f>SUM(AV84:AV99)</f>
        <v>1020</v>
      </c>
      <c r="AW100" s="723">
        <f>SUM(AW85:AW99)</f>
        <v>795</v>
      </c>
      <c r="AX100" s="667">
        <f>SUM(AX84:AX99)</f>
        <v>1815</v>
      </c>
      <c r="AY100" s="46">
        <f>SUM(AY84:AY99)</f>
        <v>-116</v>
      </c>
      <c r="AZ100" s="250">
        <f t="shared" ref="AZ100" si="488">SUM(AZ85:AZ99)</f>
        <v>-10.835632820612311</v>
      </c>
      <c r="BA100" s="615">
        <f>SUM(BA84:BA99)</f>
        <v>-126.83563282061232</v>
      </c>
      <c r="BB100" s="249">
        <f t="shared" ref="BB100:BK100" si="489">SUM(BB85:BB99)</f>
        <v>-10.300971519152</v>
      </c>
      <c r="BC100" s="250">
        <f t="shared" ref="BC100" si="490">SUM(BC85:BC99)</f>
        <v>-10.978597143714644</v>
      </c>
      <c r="BD100" s="615">
        <f>SUM(BD84:BD99)</f>
        <v>-21.279568662866645</v>
      </c>
      <c r="BE100" s="249">
        <f t="shared" si="489"/>
        <v>-11.295439128201355</v>
      </c>
      <c r="BF100" s="250">
        <f t="shared" ref="BF100" si="491">SUM(BF85:BF99)</f>
        <v>-12.264095403251154</v>
      </c>
      <c r="BG100" s="615">
        <f>SUM(BG84:BG99)</f>
        <v>-23.55953453145251</v>
      </c>
      <c r="BH100" s="249">
        <f t="shared" si="489"/>
        <v>-12.658722756768638</v>
      </c>
      <c r="BI100" s="250">
        <f t="shared" ref="BI100" si="492">SUM(BI85:BI99)</f>
        <v>-13.740674690077208</v>
      </c>
      <c r="BJ100" s="615">
        <f>SUM(BJ84:BJ99)</f>
        <v>-26.399397446845846</v>
      </c>
      <c r="BK100" s="249">
        <f t="shared" si="489"/>
        <v>-14.191878737613139</v>
      </c>
      <c r="BL100" s="250">
        <f t="shared" ref="BL100" si="493">SUM(BL85:BL99)</f>
        <v>-15.376484380001008</v>
      </c>
      <c r="BM100" s="615">
        <f>SUM(BM84:BM99)</f>
        <v>-29.568363117614147</v>
      </c>
    </row>
    <row r="101" spans="1:73">
      <c r="B101" s="40"/>
      <c r="C101" s="40"/>
      <c r="D101" s="40"/>
      <c r="E101" s="40"/>
      <c r="F101" s="40"/>
      <c r="G101" s="40"/>
      <c r="H101" s="40"/>
      <c r="I101" s="40"/>
      <c r="J101" s="40"/>
      <c r="K101" s="40"/>
      <c r="L101" s="40"/>
      <c r="M101" s="40"/>
      <c r="N101" s="40"/>
      <c r="O101" s="40"/>
      <c r="P101" s="40"/>
      <c r="Q101" s="40"/>
      <c r="R101" s="40"/>
      <c r="S101" s="630"/>
      <c r="T101" s="653"/>
      <c r="U101" s="40"/>
      <c r="V101" s="630"/>
      <c r="W101" s="653"/>
      <c r="X101" s="40"/>
      <c r="Y101" s="630"/>
      <c r="Z101" s="653"/>
      <c r="AA101" s="40"/>
      <c r="AB101" s="630"/>
      <c r="AC101" s="653"/>
      <c r="AD101" s="40"/>
      <c r="AE101" s="630"/>
      <c r="AF101" s="653"/>
      <c r="AG101" s="40"/>
      <c r="AH101" s="630"/>
      <c r="AI101" s="653"/>
      <c r="AJ101" s="40"/>
      <c r="AK101" s="630"/>
      <c r="AL101" s="653"/>
      <c r="AM101" s="40"/>
      <c r="AN101" s="630"/>
      <c r="AO101" s="653"/>
      <c r="AP101" s="40"/>
      <c r="AQ101" s="539"/>
      <c r="AR101" s="550"/>
      <c r="AS101"/>
      <c r="AT101" s="539"/>
      <c r="AU101" s="550"/>
      <c r="AV101"/>
      <c r="AW101" s="539"/>
      <c r="AX101" s="550"/>
      <c r="AY101"/>
      <c r="AZ101" s="539"/>
      <c r="BA101" s="550"/>
      <c r="BB101"/>
      <c r="BC101" s="539"/>
      <c r="BD101" s="550"/>
      <c r="BE101"/>
      <c r="BF101" s="539"/>
      <c r="BG101" s="550"/>
      <c r="BH101"/>
      <c r="BI101" s="539"/>
      <c r="BJ101" s="550"/>
      <c r="BK101"/>
      <c r="BL101" s="539"/>
      <c r="BM101" s="550"/>
    </row>
    <row r="102" spans="1:73">
      <c r="A102" s="25" t="s">
        <v>32</v>
      </c>
      <c r="B102" s="40">
        <v>0</v>
      </c>
      <c r="C102" s="40">
        <v>0</v>
      </c>
      <c r="D102" s="40">
        <v>0</v>
      </c>
      <c r="E102" s="40">
        <v>0</v>
      </c>
      <c r="F102" s="40">
        <v>0</v>
      </c>
      <c r="G102" s="40">
        <f>328-396</f>
        <v>-68</v>
      </c>
      <c r="H102" s="40">
        <f>343-370</f>
        <v>-27</v>
      </c>
      <c r="I102" s="40">
        <v>-5</v>
      </c>
      <c r="J102" s="40">
        <v>-107</v>
      </c>
      <c r="K102" s="40">
        <v>60</v>
      </c>
      <c r="L102" s="40">
        <v>-7</v>
      </c>
      <c r="M102" s="40">
        <v>24</v>
      </c>
      <c r="N102" s="40">
        <v>0</v>
      </c>
      <c r="O102" s="40">
        <v>-5</v>
      </c>
      <c r="P102" s="40">
        <v>-5</v>
      </c>
      <c r="Q102" s="40">
        <v>-35</v>
      </c>
      <c r="R102" s="40">
        <v>0</v>
      </c>
      <c r="S102" s="630">
        <f>T102-R102</f>
        <v>162</v>
      </c>
      <c r="T102" s="653">
        <v>162</v>
      </c>
      <c r="U102" s="40">
        <v>0</v>
      </c>
      <c r="V102" s="630">
        <f>W102-U102</f>
        <v>173</v>
      </c>
      <c r="W102" s="653">
        <v>173</v>
      </c>
      <c r="X102" s="40">
        <v>0</v>
      </c>
      <c r="Y102" s="630">
        <f>Z102-X102</f>
        <v>195</v>
      </c>
      <c r="Z102" s="653">
        <v>195</v>
      </c>
      <c r="AA102" s="40">
        <v>0</v>
      </c>
      <c r="AB102" s="630">
        <f>AC102-AA102</f>
        <v>465</v>
      </c>
      <c r="AC102" s="653">
        <v>465</v>
      </c>
      <c r="AD102" s="40">
        <v>-123</v>
      </c>
      <c r="AE102" s="630">
        <f>AF102-AD102</f>
        <v>310</v>
      </c>
      <c r="AF102" s="653">
        <v>187</v>
      </c>
      <c r="AG102" s="40">
        <v>-669</v>
      </c>
      <c r="AH102" s="630">
        <f>AI102-AG102</f>
        <v>547</v>
      </c>
      <c r="AI102" s="653">
        <f>-324+202</f>
        <v>-122</v>
      </c>
      <c r="AJ102" s="40">
        <v>164</v>
      </c>
      <c r="AK102" s="630">
        <f>AL102-AJ102</f>
        <v>-102</v>
      </c>
      <c r="AL102" s="653">
        <v>62</v>
      </c>
      <c r="AM102" s="40">
        <v>-464</v>
      </c>
      <c r="AN102" s="630">
        <f>AO102-AM102</f>
        <v>106</v>
      </c>
      <c r="AO102" s="653">
        <v>-358</v>
      </c>
      <c r="AP102" s="40">
        <v>396</v>
      </c>
      <c r="AQ102" s="630">
        <f>AR102-AP102</f>
        <v>-2</v>
      </c>
      <c r="AR102" s="653">
        <v>394</v>
      </c>
      <c r="AS102" s="40">
        <v>120</v>
      </c>
      <c r="AT102" s="630">
        <f>AU102-AS102</f>
        <v>70</v>
      </c>
      <c r="AU102" s="653">
        <v>190</v>
      </c>
      <c r="AV102" s="40">
        <v>529</v>
      </c>
      <c r="AW102" s="539">
        <f>AX102-AV102</f>
        <v>-30</v>
      </c>
      <c r="AX102" s="653">
        <v>499</v>
      </c>
      <c r="AY102" s="40">
        <v>-167</v>
      </c>
      <c r="AZ102" s="236">
        <f>BA102-AY102</f>
        <v>0</v>
      </c>
      <c r="BA102" s="580">
        <v>-167</v>
      </c>
      <c r="BB102" s="56">
        <f>BD102/2</f>
        <v>0</v>
      </c>
      <c r="BC102" s="236">
        <f t="shared" ref="BC102:BC108" si="494">BD102-BB102</f>
        <v>0</v>
      </c>
      <c r="BD102" s="580">
        <v>0</v>
      </c>
      <c r="BE102" s="56">
        <f>BG102/2</f>
        <v>0</v>
      </c>
      <c r="BF102" s="236">
        <f t="shared" ref="BF102:BF108" si="495">BG102-BE102</f>
        <v>0</v>
      </c>
      <c r="BG102" s="580">
        <v>0</v>
      </c>
      <c r="BH102" s="56">
        <f>BJ102/2</f>
        <v>0</v>
      </c>
      <c r="BI102" s="236">
        <f t="shared" ref="BI102:BI108" si="496">BJ102-BH102</f>
        <v>0</v>
      </c>
      <c r="BJ102" s="580">
        <v>0</v>
      </c>
      <c r="BK102" s="56">
        <f>BM102/2</f>
        <v>0</v>
      </c>
      <c r="BL102" s="236">
        <f t="shared" ref="BL102:BL108" si="497">BM102-BK102</f>
        <v>0</v>
      </c>
      <c r="BM102" s="580">
        <v>0</v>
      </c>
    </row>
    <row r="103" spans="1:73">
      <c r="A103" s="25" t="s">
        <v>33</v>
      </c>
      <c r="B103" s="40">
        <v>0</v>
      </c>
      <c r="C103" s="40">
        <v>0</v>
      </c>
      <c r="D103" s="40">
        <v>0</v>
      </c>
      <c r="E103" s="40">
        <v>0</v>
      </c>
      <c r="F103" s="40">
        <v>0</v>
      </c>
      <c r="G103" s="40">
        <v>-345</v>
      </c>
      <c r="H103" s="40">
        <v>730</v>
      </c>
      <c r="I103" s="40">
        <v>251</v>
      </c>
      <c r="J103" s="40">
        <v>-2479</v>
      </c>
      <c r="K103" s="40">
        <v>1835</v>
      </c>
      <c r="L103" s="40">
        <v>-341</v>
      </c>
      <c r="M103" s="40">
        <v>-49</v>
      </c>
      <c r="N103" s="40">
        <v>747</v>
      </c>
      <c r="O103" s="40">
        <v>250</v>
      </c>
      <c r="P103" s="40">
        <v>-1141</v>
      </c>
      <c r="Q103" s="40">
        <v>-1306</v>
      </c>
      <c r="R103" s="40">
        <v>-2326</v>
      </c>
      <c r="S103" s="630">
        <f t="shared" ref="S103:S108" si="498">T103-R103</f>
        <v>-2094</v>
      </c>
      <c r="T103" s="653">
        <v>-4420</v>
      </c>
      <c r="U103" s="40">
        <v>1526</v>
      </c>
      <c r="V103" s="630">
        <f t="shared" ref="V103:V108" si="499">W103-U103</f>
        <v>1122</v>
      </c>
      <c r="W103" s="653">
        <v>2648</v>
      </c>
      <c r="X103" s="40">
        <v>1604</v>
      </c>
      <c r="Y103" s="630">
        <f t="shared" ref="Y103:Y108" si="500">Z103-X103</f>
        <v>1044</v>
      </c>
      <c r="Z103" s="653">
        <v>2648</v>
      </c>
      <c r="AA103" s="40">
        <v>-786</v>
      </c>
      <c r="AB103" s="630">
        <f t="shared" ref="AB103:AB108" si="501">AC103-AA103</f>
        <v>-1358</v>
      </c>
      <c r="AC103" s="653">
        <v>-2144</v>
      </c>
      <c r="AD103" s="40">
        <v>-738</v>
      </c>
      <c r="AE103" s="630">
        <f t="shared" ref="AE103:AE108" si="502">AF103-AD103</f>
        <v>732</v>
      </c>
      <c r="AF103" s="653">
        <f>-6</f>
        <v>-6</v>
      </c>
      <c r="AG103" s="40">
        <f>-2729+1369+88-88</f>
        <v>-1360</v>
      </c>
      <c r="AH103" s="630">
        <f t="shared" ref="AH103:AH108" si="503">AI103-AG103</f>
        <v>2692</v>
      </c>
      <c r="AI103" s="653">
        <f>-85+1503-86</f>
        <v>1332</v>
      </c>
      <c r="AJ103" s="40">
        <f>66-8-7+38</f>
        <v>89</v>
      </c>
      <c r="AK103" s="630">
        <f t="shared" ref="AK103:AK108" si="504">AL103-AJ103</f>
        <v>-642</v>
      </c>
      <c r="AL103" s="653">
        <f>-618-8-6+79</f>
        <v>-553</v>
      </c>
      <c r="AM103" s="40">
        <f>-1442+88</f>
        <v>-1354</v>
      </c>
      <c r="AN103" s="630">
        <f t="shared" ref="AN103:AN108" si="505">AO103-AM103</f>
        <v>-226</v>
      </c>
      <c r="AO103" s="653">
        <f>-1768+191-3</f>
        <v>-1580</v>
      </c>
      <c r="AP103" s="40">
        <f>355+66</f>
        <v>421</v>
      </c>
      <c r="AQ103" s="630">
        <f t="shared" ref="AQ103:AQ108" si="506">AR103-AP103</f>
        <v>100</v>
      </c>
      <c r="AR103" s="653">
        <f>514+7</f>
        <v>521</v>
      </c>
      <c r="AS103" s="40">
        <f>-213+39</f>
        <v>-174</v>
      </c>
      <c r="AT103" s="630">
        <f t="shared" ref="AT103:AT108" si="507">AU103-AS103</f>
        <v>-435</v>
      </c>
      <c r="AU103" s="653">
        <f>-649+40</f>
        <v>-609</v>
      </c>
      <c r="AV103" s="40">
        <f>1640-6</f>
        <v>1634</v>
      </c>
      <c r="AW103" s="539">
        <f t="shared" ref="AW103:AW108" si="508">AX103-AV103</f>
        <v>-310</v>
      </c>
      <c r="AX103" s="653">
        <f>1328-4</f>
        <v>1324</v>
      </c>
      <c r="AY103" s="40">
        <f>-256+6</f>
        <v>-250</v>
      </c>
      <c r="AZ103" s="236">
        <f>BA103-AY103</f>
        <v>0</v>
      </c>
      <c r="BA103" s="580">
        <v>-250</v>
      </c>
      <c r="BB103" s="56">
        <f>BD103/2</f>
        <v>0</v>
      </c>
      <c r="BC103" s="236">
        <f t="shared" si="494"/>
        <v>0</v>
      </c>
      <c r="BD103" s="580">
        <v>0</v>
      </c>
      <c r="BE103" s="56">
        <f>BG103/2</f>
        <v>0</v>
      </c>
      <c r="BF103" s="236">
        <f t="shared" si="495"/>
        <v>0</v>
      </c>
      <c r="BG103" s="580">
        <v>0</v>
      </c>
      <c r="BH103" s="56">
        <f>BJ103/2</f>
        <v>0</v>
      </c>
      <c r="BI103" s="236">
        <f t="shared" si="496"/>
        <v>0</v>
      </c>
      <c r="BJ103" s="580">
        <v>0</v>
      </c>
      <c r="BK103" s="56">
        <f>BM103/2</f>
        <v>0</v>
      </c>
      <c r="BL103" s="236">
        <f t="shared" si="497"/>
        <v>0</v>
      </c>
      <c r="BM103" s="580">
        <v>0</v>
      </c>
    </row>
    <row r="104" spans="1:73">
      <c r="A104" s="25" t="s">
        <v>34</v>
      </c>
      <c r="B104" s="40">
        <v>0</v>
      </c>
      <c r="C104" s="40">
        <v>0</v>
      </c>
      <c r="D104" s="40">
        <v>0</v>
      </c>
      <c r="E104" s="40">
        <v>0</v>
      </c>
      <c r="F104" s="40">
        <v>0</v>
      </c>
      <c r="G104" s="40">
        <v>78</v>
      </c>
      <c r="H104" s="40">
        <v>-4</v>
      </c>
      <c r="I104" s="40">
        <v>-10</v>
      </c>
      <c r="J104" s="40">
        <v>14</v>
      </c>
      <c r="K104" s="40">
        <v>-17</v>
      </c>
      <c r="L104" s="40">
        <v>8</v>
      </c>
      <c r="M104" s="40">
        <v>0</v>
      </c>
      <c r="N104" s="40">
        <v>0</v>
      </c>
      <c r="O104" s="40">
        <v>0</v>
      </c>
      <c r="P104" s="40">
        <v>-8</v>
      </c>
      <c r="Q104" s="40">
        <v>20</v>
      </c>
      <c r="R104" s="40">
        <v>0</v>
      </c>
      <c r="S104" s="630">
        <f t="shared" si="498"/>
        <v>-313</v>
      </c>
      <c r="T104" s="653">
        <v>-313</v>
      </c>
      <c r="U104" s="40">
        <v>0</v>
      </c>
      <c r="V104" s="630">
        <f t="shared" si="499"/>
        <v>84</v>
      </c>
      <c r="W104" s="653">
        <v>84</v>
      </c>
      <c r="X104" s="40">
        <v>0</v>
      </c>
      <c r="Y104" s="630">
        <f t="shared" si="500"/>
        <v>1</v>
      </c>
      <c r="Z104" s="653">
        <v>1</v>
      </c>
      <c r="AA104" s="40">
        <v>0</v>
      </c>
      <c r="AB104" s="630">
        <f t="shared" si="501"/>
        <v>-302</v>
      </c>
      <c r="AC104" s="653">
        <v>-302</v>
      </c>
      <c r="AD104" s="40">
        <v>0</v>
      </c>
      <c r="AE104" s="630">
        <f t="shared" si="502"/>
        <v>-107</v>
      </c>
      <c r="AF104" s="653">
        <f>80-AF102</f>
        <v>-107</v>
      </c>
      <c r="AG104" s="40">
        <v>0</v>
      </c>
      <c r="AH104" s="630">
        <f t="shared" si="503"/>
        <v>0</v>
      </c>
      <c r="AI104" s="653">
        <v>0</v>
      </c>
      <c r="AJ104" s="40">
        <v>0</v>
      </c>
      <c r="AK104" s="630">
        <f t="shared" si="504"/>
        <v>0</v>
      </c>
      <c r="AL104" s="653">
        <v>0</v>
      </c>
      <c r="AM104" s="40">
        <v>0</v>
      </c>
      <c r="AN104" s="630">
        <f t="shared" si="505"/>
        <v>0</v>
      </c>
      <c r="AO104" s="653">
        <v>0</v>
      </c>
      <c r="AP104" s="40">
        <v>0</v>
      </c>
      <c r="AQ104" s="630">
        <f t="shared" si="506"/>
        <v>0</v>
      </c>
      <c r="AR104" s="653">
        <v>0</v>
      </c>
      <c r="AS104" s="40">
        <v>0</v>
      </c>
      <c r="AT104" s="630">
        <f t="shared" si="507"/>
        <v>0</v>
      </c>
      <c r="AU104" s="653">
        <v>0</v>
      </c>
      <c r="AV104" s="40">
        <v>0</v>
      </c>
      <c r="AW104" s="539">
        <f t="shared" si="508"/>
        <v>0</v>
      </c>
      <c r="AX104" s="653">
        <v>0</v>
      </c>
      <c r="AY104" s="40">
        <v>0</v>
      </c>
      <c r="AZ104" s="236">
        <f t="shared" ref="AZ104:AZ108" si="509">BA104-AY104</f>
        <v>0</v>
      </c>
      <c r="BA104" s="580">
        <v>0</v>
      </c>
      <c r="BB104" s="56">
        <f>BD104/2</f>
        <v>0</v>
      </c>
      <c r="BC104" s="236">
        <f t="shared" si="494"/>
        <v>0</v>
      </c>
      <c r="BD104" s="580">
        <v>0</v>
      </c>
      <c r="BE104" s="56">
        <f>BG104/2</f>
        <v>0</v>
      </c>
      <c r="BF104" s="236">
        <f t="shared" si="495"/>
        <v>0</v>
      </c>
      <c r="BG104" s="580">
        <v>0</v>
      </c>
      <c r="BH104" s="56">
        <f>BJ104/2</f>
        <v>0</v>
      </c>
      <c r="BI104" s="236">
        <f t="shared" si="496"/>
        <v>0</v>
      </c>
      <c r="BJ104" s="580">
        <v>0</v>
      </c>
      <c r="BK104" s="56">
        <f>BM104/2</f>
        <v>0</v>
      </c>
      <c r="BL104" s="236">
        <f t="shared" si="497"/>
        <v>0</v>
      </c>
      <c r="BM104" s="580">
        <v>0</v>
      </c>
    </row>
    <row r="105" spans="1:73">
      <c r="A105" s="25" t="s">
        <v>27</v>
      </c>
      <c r="B105" s="40">
        <v>0</v>
      </c>
      <c r="C105" s="40">
        <v>0</v>
      </c>
      <c r="D105" s="40">
        <v>0</v>
      </c>
      <c r="E105" s="40">
        <v>0</v>
      </c>
      <c r="F105" s="40">
        <v>0</v>
      </c>
      <c r="G105" s="40">
        <v>30</v>
      </c>
      <c r="H105" s="40">
        <v>39</v>
      </c>
      <c r="I105" s="40">
        <v>-13</v>
      </c>
      <c r="J105" s="40">
        <v>-121</v>
      </c>
      <c r="K105" s="40">
        <v>72</v>
      </c>
      <c r="L105" s="40">
        <v>-6</v>
      </c>
      <c r="M105" s="40">
        <v>2</v>
      </c>
      <c r="N105" s="40">
        <v>11</v>
      </c>
      <c r="O105" s="40">
        <v>-251</v>
      </c>
      <c r="P105" s="40">
        <v>-87</v>
      </c>
      <c r="Q105" s="40">
        <v>8</v>
      </c>
      <c r="R105" s="40">
        <v>-8</v>
      </c>
      <c r="S105" s="630">
        <f t="shared" si="498"/>
        <v>0</v>
      </c>
      <c r="T105" s="653">
        <v>-8</v>
      </c>
      <c r="U105" s="40">
        <v>0</v>
      </c>
      <c r="V105" s="630">
        <f t="shared" si="499"/>
        <v>11</v>
      </c>
      <c r="W105" s="653">
        <v>11</v>
      </c>
      <c r="X105" s="40">
        <v>0</v>
      </c>
      <c r="Y105" s="630">
        <f t="shared" si="500"/>
        <v>12</v>
      </c>
      <c r="Z105" s="653">
        <v>12</v>
      </c>
      <c r="AA105" s="40">
        <v>0</v>
      </c>
      <c r="AB105" s="630">
        <f t="shared" si="501"/>
        <v>-2</v>
      </c>
      <c r="AC105" s="653">
        <v>-2</v>
      </c>
      <c r="AD105" s="40">
        <v>0</v>
      </c>
      <c r="AE105" s="630">
        <f t="shared" si="502"/>
        <v>1</v>
      </c>
      <c r="AF105" s="653">
        <v>1</v>
      </c>
      <c r="AG105" s="40">
        <v>0</v>
      </c>
      <c r="AH105" s="630">
        <f t="shared" si="503"/>
        <v>0</v>
      </c>
      <c r="AI105" s="653">
        <v>0</v>
      </c>
      <c r="AJ105" s="40">
        <v>0</v>
      </c>
      <c r="AK105" s="630">
        <f t="shared" si="504"/>
        <v>0</v>
      </c>
      <c r="AL105" s="653">
        <v>0</v>
      </c>
      <c r="AM105" s="40">
        <v>0</v>
      </c>
      <c r="AN105" s="630">
        <f t="shared" si="505"/>
        <v>0</v>
      </c>
      <c r="AO105" s="653">
        <v>0</v>
      </c>
      <c r="AP105" s="40">
        <v>0</v>
      </c>
      <c r="AQ105" s="630">
        <f t="shared" si="506"/>
        <v>0</v>
      </c>
      <c r="AR105" s="653">
        <v>0</v>
      </c>
      <c r="AS105" s="40">
        <v>0</v>
      </c>
      <c r="AT105" s="630">
        <f t="shared" si="507"/>
        <v>0</v>
      </c>
      <c r="AU105" s="653">
        <v>0</v>
      </c>
      <c r="AV105" s="40">
        <v>0</v>
      </c>
      <c r="AW105" s="539">
        <f t="shared" si="508"/>
        <v>0</v>
      </c>
      <c r="AX105" s="653">
        <v>0</v>
      </c>
      <c r="AY105" s="40">
        <v>0</v>
      </c>
      <c r="AZ105" s="236">
        <f t="shared" si="509"/>
        <v>0</v>
      </c>
      <c r="BA105" s="580">
        <v>0</v>
      </c>
      <c r="BB105" s="56">
        <f>BD105/2</f>
        <v>0</v>
      </c>
      <c r="BC105" s="236">
        <f t="shared" si="494"/>
        <v>0</v>
      </c>
      <c r="BD105" s="580">
        <v>0</v>
      </c>
      <c r="BE105" s="56">
        <f>BG105/2</f>
        <v>0</v>
      </c>
      <c r="BF105" s="236">
        <f t="shared" si="495"/>
        <v>0</v>
      </c>
      <c r="BG105" s="580">
        <v>0</v>
      </c>
      <c r="BH105" s="56">
        <f>BJ105/2</f>
        <v>0</v>
      </c>
      <c r="BI105" s="236">
        <f t="shared" si="496"/>
        <v>0</v>
      </c>
      <c r="BJ105" s="580">
        <v>0</v>
      </c>
      <c r="BK105" s="56">
        <f>BM105/2</f>
        <v>0</v>
      </c>
      <c r="BL105" s="236">
        <f t="shared" si="497"/>
        <v>0</v>
      </c>
      <c r="BM105" s="580">
        <v>0</v>
      </c>
    </row>
    <row r="106" spans="1:73">
      <c r="A106" s="25" t="s">
        <v>35</v>
      </c>
      <c r="B106" s="40">
        <v>0</v>
      </c>
      <c r="C106" s="40">
        <v>0</v>
      </c>
      <c r="D106" s="40">
        <v>0</v>
      </c>
      <c r="E106" s="40">
        <v>0</v>
      </c>
      <c r="F106" s="40">
        <v>0</v>
      </c>
      <c r="G106" s="40">
        <v>-9</v>
      </c>
      <c r="H106" s="40">
        <v>3</v>
      </c>
      <c r="I106" s="40">
        <v>30</v>
      </c>
      <c r="J106" s="40">
        <v>-22</v>
      </c>
      <c r="K106" s="40">
        <v>-97</v>
      </c>
      <c r="L106" s="40">
        <v>-31</v>
      </c>
      <c r="M106" s="40">
        <v>-12</v>
      </c>
      <c r="N106" s="40">
        <v>-8</v>
      </c>
      <c r="O106" s="40">
        <v>-26</v>
      </c>
      <c r="P106" s="40">
        <v>-29</v>
      </c>
      <c r="Q106" s="40">
        <v>32</v>
      </c>
      <c r="R106" s="40">
        <v>3</v>
      </c>
      <c r="S106" s="630">
        <f t="shared" si="498"/>
        <v>0</v>
      </c>
      <c r="T106" s="653">
        <v>3</v>
      </c>
      <c r="U106" s="40">
        <v>-1</v>
      </c>
      <c r="V106" s="630">
        <f t="shared" si="499"/>
        <v>2</v>
      </c>
      <c r="W106" s="653">
        <v>1</v>
      </c>
      <c r="X106" s="40">
        <v>0</v>
      </c>
      <c r="Y106" s="630">
        <f t="shared" si="500"/>
        <v>1</v>
      </c>
      <c r="Z106" s="653">
        <v>1</v>
      </c>
      <c r="AA106" s="40">
        <v>0</v>
      </c>
      <c r="AB106" s="630">
        <f t="shared" si="501"/>
        <v>23</v>
      </c>
      <c r="AC106" s="653">
        <v>23</v>
      </c>
      <c r="AD106" s="40">
        <v>0</v>
      </c>
      <c r="AE106" s="630">
        <f t="shared" si="502"/>
        <v>20</v>
      </c>
      <c r="AF106" s="653">
        <v>20</v>
      </c>
      <c r="AG106" s="40">
        <v>0</v>
      </c>
      <c r="AH106" s="630">
        <f t="shared" si="503"/>
        <v>0</v>
      </c>
      <c r="AI106" s="653">
        <v>0</v>
      </c>
      <c r="AJ106" s="40">
        <v>0</v>
      </c>
      <c r="AK106" s="630">
        <f t="shared" si="504"/>
        <v>0</v>
      </c>
      <c r="AL106" s="653">
        <v>0</v>
      </c>
      <c r="AM106" s="40">
        <v>0</v>
      </c>
      <c r="AN106" s="630">
        <f t="shared" si="505"/>
        <v>0</v>
      </c>
      <c r="AO106" s="653">
        <v>0</v>
      </c>
      <c r="AP106" s="40">
        <v>0</v>
      </c>
      <c r="AQ106" s="630">
        <f t="shared" si="506"/>
        <v>0</v>
      </c>
      <c r="AR106" s="653">
        <v>0</v>
      </c>
      <c r="AS106" s="40">
        <v>0</v>
      </c>
      <c r="AT106" s="630">
        <f t="shared" si="507"/>
        <v>0</v>
      </c>
      <c r="AU106" s="653">
        <v>0</v>
      </c>
      <c r="AV106" s="40">
        <v>0</v>
      </c>
      <c r="AW106" s="539">
        <f t="shared" si="508"/>
        <v>0</v>
      </c>
      <c r="AX106" s="653">
        <v>0</v>
      </c>
      <c r="AY106" s="40">
        <v>0</v>
      </c>
      <c r="AZ106" s="236">
        <f t="shared" si="509"/>
        <v>-8</v>
      </c>
      <c r="BA106" s="605">
        <f>BS!BA184+BS!BA200</f>
        <v>-8</v>
      </c>
      <c r="BB106" s="56">
        <f>BS!BB184+BS!BB200</f>
        <v>-4</v>
      </c>
      <c r="BC106" s="236">
        <f t="shared" si="494"/>
        <v>-4</v>
      </c>
      <c r="BD106" s="605">
        <f>BS!BD184+BS!BD200</f>
        <v>-8</v>
      </c>
      <c r="BE106" s="56">
        <f>BS!BE184+BS!BE200</f>
        <v>-4</v>
      </c>
      <c r="BF106" s="236">
        <f t="shared" si="495"/>
        <v>-4</v>
      </c>
      <c r="BG106" s="605">
        <f>BS!BG184+BS!BG200</f>
        <v>-8</v>
      </c>
      <c r="BH106" s="56">
        <f>BS!BH184+BS!BH200</f>
        <v>-4</v>
      </c>
      <c r="BI106" s="236">
        <f t="shared" si="496"/>
        <v>-4</v>
      </c>
      <c r="BJ106" s="605">
        <f>BS!BJ184+BS!BJ200</f>
        <v>-8</v>
      </c>
      <c r="BK106" s="56">
        <f>BS!BK184+BS!BK200</f>
        <v>-4</v>
      </c>
      <c r="BL106" s="236">
        <f t="shared" si="497"/>
        <v>-4</v>
      </c>
      <c r="BM106" s="605">
        <f>BS!BM184+BS!BM200</f>
        <v>-8</v>
      </c>
    </row>
    <row r="107" spans="1:73">
      <c r="A107" s="25" t="s">
        <v>16</v>
      </c>
      <c r="B107" s="40">
        <v>0</v>
      </c>
      <c r="C107" s="40">
        <v>0</v>
      </c>
      <c r="D107" s="40">
        <v>0</v>
      </c>
      <c r="E107" s="40">
        <v>0</v>
      </c>
      <c r="F107" s="40">
        <v>0</v>
      </c>
      <c r="G107" s="40">
        <v>0</v>
      </c>
      <c r="H107" s="40">
        <v>0</v>
      </c>
      <c r="I107" s="40">
        <v>0</v>
      </c>
      <c r="J107" s="40">
        <v>0</v>
      </c>
      <c r="K107" s="40">
        <v>0</v>
      </c>
      <c r="L107" s="40">
        <v>0</v>
      </c>
      <c r="M107" s="40">
        <v>0</v>
      </c>
      <c r="N107" s="40">
        <v>0</v>
      </c>
      <c r="O107" s="40">
        <v>-7</v>
      </c>
      <c r="P107" s="40">
        <v>0</v>
      </c>
      <c r="Q107" s="40">
        <v>0</v>
      </c>
      <c r="R107" s="40">
        <v>-1</v>
      </c>
      <c r="S107" s="630">
        <f t="shared" si="498"/>
        <v>2</v>
      </c>
      <c r="T107" s="653">
        <v>1</v>
      </c>
      <c r="U107" s="40">
        <f>4-1</f>
        <v>3</v>
      </c>
      <c r="V107" s="630">
        <f t="shared" si="499"/>
        <v>-4</v>
      </c>
      <c r="W107" s="653">
        <v>-1</v>
      </c>
      <c r="X107" s="40">
        <v>2</v>
      </c>
      <c r="Y107" s="630">
        <f t="shared" si="500"/>
        <v>-5</v>
      </c>
      <c r="Z107" s="653">
        <v>-3</v>
      </c>
      <c r="AA107" s="40">
        <v>9</v>
      </c>
      <c r="AB107" s="630">
        <f t="shared" si="501"/>
        <v>-43</v>
      </c>
      <c r="AC107" s="653">
        <f>-11-15-8</f>
        <v>-34</v>
      </c>
      <c r="AD107" s="40">
        <f>-15-6</f>
        <v>-21</v>
      </c>
      <c r="AE107" s="630">
        <f t="shared" si="502"/>
        <v>-27</v>
      </c>
      <c r="AF107" s="653">
        <f>-8-40</f>
        <v>-48</v>
      </c>
      <c r="AG107" s="40">
        <f>-21+30-5</f>
        <v>4</v>
      </c>
      <c r="AH107" s="630">
        <f t="shared" si="503"/>
        <v>-42</v>
      </c>
      <c r="AI107" s="653">
        <f>-36-2</f>
        <v>-38</v>
      </c>
      <c r="AJ107" s="40">
        <v>4</v>
      </c>
      <c r="AK107" s="630">
        <f t="shared" si="504"/>
        <v>2</v>
      </c>
      <c r="AL107" s="653">
        <v>6</v>
      </c>
      <c r="AM107" s="40">
        <f>-3+3</f>
        <v>0</v>
      </c>
      <c r="AN107" s="630">
        <f t="shared" si="505"/>
        <v>-36</v>
      </c>
      <c r="AO107" s="653">
        <v>-36</v>
      </c>
      <c r="AP107" s="40">
        <v>-47</v>
      </c>
      <c r="AQ107" s="630">
        <f t="shared" si="506"/>
        <v>-58</v>
      </c>
      <c r="AR107" s="653">
        <v>-105</v>
      </c>
      <c r="AS107" s="40">
        <f>-51-11</f>
        <v>-62</v>
      </c>
      <c r="AT107" s="630">
        <f t="shared" si="507"/>
        <v>-36</v>
      </c>
      <c r="AU107" s="653">
        <f>-11-87</f>
        <v>-98</v>
      </c>
      <c r="AV107" s="40">
        <v>-31</v>
      </c>
      <c r="AW107" s="539">
        <f t="shared" si="508"/>
        <v>-24</v>
      </c>
      <c r="AX107" s="653">
        <v>-55</v>
      </c>
      <c r="AY107" s="40">
        <v>-31</v>
      </c>
      <c r="AZ107" s="236">
        <f t="shared" si="509"/>
        <v>0</v>
      </c>
      <c r="BA107" s="580">
        <v>-31</v>
      </c>
      <c r="BB107" s="56">
        <f t="shared" ref="BB107:BB108" si="510">BD107/2</f>
        <v>0</v>
      </c>
      <c r="BC107" s="236">
        <f t="shared" si="494"/>
        <v>0</v>
      </c>
      <c r="BD107" s="580">
        <v>0</v>
      </c>
      <c r="BE107" s="56">
        <f t="shared" ref="BE107:BE108" si="511">BG107/2</f>
        <v>0</v>
      </c>
      <c r="BF107" s="236">
        <f t="shared" si="495"/>
        <v>0</v>
      </c>
      <c r="BG107" s="580">
        <v>0</v>
      </c>
      <c r="BH107" s="56">
        <f t="shared" ref="BH107:BH108" si="512">BJ107/2</f>
        <v>0</v>
      </c>
      <c r="BI107" s="236">
        <f t="shared" si="496"/>
        <v>0</v>
      </c>
      <c r="BJ107" s="580">
        <v>0</v>
      </c>
      <c r="BK107" s="56">
        <f t="shared" ref="BK107:BK108" si="513">BM107/2</f>
        <v>0</v>
      </c>
      <c r="BL107" s="236">
        <f t="shared" si="497"/>
        <v>0</v>
      </c>
      <c r="BM107" s="580">
        <v>0</v>
      </c>
    </row>
    <row r="108" spans="1:73">
      <c r="A108" s="25" t="s">
        <v>118</v>
      </c>
      <c r="B108" s="40">
        <v>0</v>
      </c>
      <c r="C108" s="40">
        <v>0</v>
      </c>
      <c r="D108" s="40">
        <v>0</v>
      </c>
      <c r="E108" s="40">
        <v>0</v>
      </c>
      <c r="F108" s="40">
        <v>0</v>
      </c>
      <c r="G108" s="40">
        <v>0</v>
      </c>
      <c r="H108" s="40">
        <v>0</v>
      </c>
      <c r="I108" s="40">
        <v>0</v>
      </c>
      <c r="J108" s="40">
        <v>0</v>
      </c>
      <c r="K108" s="40">
        <v>0</v>
      </c>
      <c r="L108" s="40">
        <v>0</v>
      </c>
      <c r="M108" s="40">
        <v>0</v>
      </c>
      <c r="N108" s="40">
        <v>0</v>
      </c>
      <c r="O108" s="40">
        <v>-3</v>
      </c>
      <c r="P108" s="40">
        <v>0</v>
      </c>
      <c r="Q108" s="40">
        <v>0</v>
      </c>
      <c r="R108" s="40">
        <v>0</v>
      </c>
      <c r="S108" s="630">
        <f t="shared" si="498"/>
        <v>0</v>
      </c>
      <c r="T108" s="653">
        <v>0</v>
      </c>
      <c r="U108" s="40">
        <v>0</v>
      </c>
      <c r="V108" s="630">
        <f t="shared" si="499"/>
        <v>0</v>
      </c>
      <c r="W108" s="653">
        <v>0</v>
      </c>
      <c r="X108" s="40">
        <v>0</v>
      </c>
      <c r="Y108" s="630">
        <f t="shared" si="500"/>
        <v>0</v>
      </c>
      <c r="Z108" s="653">
        <v>0</v>
      </c>
      <c r="AA108" s="40">
        <v>0</v>
      </c>
      <c r="AB108" s="630">
        <f t="shared" si="501"/>
        <v>0</v>
      </c>
      <c r="AC108" s="653">
        <v>0</v>
      </c>
      <c r="AD108" s="40">
        <v>0</v>
      </c>
      <c r="AE108" s="630">
        <f t="shared" si="502"/>
        <v>0</v>
      </c>
      <c r="AF108" s="653">
        <v>0</v>
      </c>
      <c r="AG108" s="40">
        <v>0</v>
      </c>
      <c r="AH108" s="630">
        <f t="shared" si="503"/>
        <v>0</v>
      </c>
      <c r="AI108" s="653">
        <v>0</v>
      </c>
      <c r="AJ108" s="40">
        <v>0</v>
      </c>
      <c r="AK108" s="630">
        <f t="shared" si="504"/>
        <v>0</v>
      </c>
      <c r="AL108" s="653">
        <v>0</v>
      </c>
      <c r="AM108" s="40">
        <v>0</v>
      </c>
      <c r="AN108" s="630">
        <f t="shared" si="505"/>
        <v>0</v>
      </c>
      <c r="AO108" s="653">
        <v>0</v>
      </c>
      <c r="AP108" s="40">
        <v>0</v>
      </c>
      <c r="AQ108" s="630">
        <f t="shared" si="506"/>
        <v>0</v>
      </c>
      <c r="AR108" s="653">
        <v>0</v>
      </c>
      <c r="AS108" s="40">
        <v>0</v>
      </c>
      <c r="AT108" s="630">
        <f t="shared" si="507"/>
        <v>0</v>
      </c>
      <c r="AU108" s="653">
        <v>0</v>
      </c>
      <c r="AV108" s="40">
        <v>0</v>
      </c>
      <c r="AW108" s="539">
        <f t="shared" si="508"/>
        <v>0</v>
      </c>
      <c r="AX108" s="653">
        <v>0</v>
      </c>
      <c r="AY108" s="40"/>
      <c r="AZ108" s="236">
        <f t="shared" si="509"/>
        <v>0</v>
      </c>
      <c r="BA108" s="580">
        <v>0</v>
      </c>
      <c r="BB108" s="56">
        <f t="shared" si="510"/>
        <v>0</v>
      </c>
      <c r="BC108" s="236">
        <f t="shared" si="494"/>
        <v>0</v>
      </c>
      <c r="BD108" s="580">
        <v>0</v>
      </c>
      <c r="BE108" s="56">
        <f t="shared" si="511"/>
        <v>0</v>
      </c>
      <c r="BF108" s="236">
        <f t="shared" si="495"/>
        <v>0</v>
      </c>
      <c r="BG108" s="580">
        <v>0</v>
      </c>
      <c r="BH108" s="56">
        <f t="shared" si="512"/>
        <v>0</v>
      </c>
      <c r="BI108" s="236">
        <f t="shared" si="496"/>
        <v>0</v>
      </c>
      <c r="BJ108" s="580">
        <v>0</v>
      </c>
      <c r="BK108" s="56">
        <f t="shared" si="513"/>
        <v>0</v>
      </c>
      <c r="BL108" s="236">
        <f t="shared" si="497"/>
        <v>0</v>
      </c>
      <c r="BM108" s="580">
        <v>0</v>
      </c>
    </row>
    <row r="109" spans="1:73">
      <c r="A109" s="68" t="s">
        <v>36</v>
      </c>
      <c r="B109" s="46">
        <f t="shared" ref="B109:AO109" si="514">SUM(B102:B108)</f>
        <v>0</v>
      </c>
      <c r="C109" s="46">
        <f t="shared" si="514"/>
        <v>0</v>
      </c>
      <c r="D109" s="46">
        <f t="shared" si="514"/>
        <v>0</v>
      </c>
      <c r="E109" s="46">
        <f t="shared" si="514"/>
        <v>0</v>
      </c>
      <c r="F109" s="46">
        <f t="shared" si="514"/>
        <v>0</v>
      </c>
      <c r="G109" s="46">
        <f t="shared" si="514"/>
        <v>-314</v>
      </c>
      <c r="H109" s="46">
        <f t="shared" si="514"/>
        <v>741</v>
      </c>
      <c r="I109" s="46">
        <f t="shared" si="514"/>
        <v>253</v>
      </c>
      <c r="J109" s="46">
        <f t="shared" si="514"/>
        <v>-2715</v>
      </c>
      <c r="K109" s="46">
        <f t="shared" si="514"/>
        <v>1853</v>
      </c>
      <c r="L109" s="46">
        <f t="shared" si="514"/>
        <v>-377</v>
      </c>
      <c r="M109" s="46">
        <f t="shared" si="514"/>
        <v>-35</v>
      </c>
      <c r="N109" s="46">
        <f t="shared" si="514"/>
        <v>750</v>
      </c>
      <c r="O109" s="46">
        <f t="shared" si="514"/>
        <v>-42</v>
      </c>
      <c r="P109" s="46">
        <f t="shared" si="514"/>
        <v>-1270</v>
      </c>
      <c r="Q109" s="46">
        <f t="shared" si="514"/>
        <v>-1281</v>
      </c>
      <c r="R109" s="46">
        <f t="shared" ref="R109:S109" si="515">SUM(R102:R108)</f>
        <v>-2332</v>
      </c>
      <c r="S109" s="643">
        <f t="shared" si="515"/>
        <v>-2243</v>
      </c>
      <c r="T109" s="667">
        <f t="shared" si="514"/>
        <v>-4575</v>
      </c>
      <c r="U109" s="46">
        <f t="shared" ref="U109:V109" si="516">SUM(U102:U108)</f>
        <v>1528</v>
      </c>
      <c r="V109" s="643">
        <f t="shared" si="516"/>
        <v>1388</v>
      </c>
      <c r="W109" s="667">
        <f t="shared" si="514"/>
        <v>2916</v>
      </c>
      <c r="X109" s="46">
        <f t="shared" ref="X109:Y109" si="517">SUM(X102:X108)</f>
        <v>1606</v>
      </c>
      <c r="Y109" s="643">
        <f t="shared" si="517"/>
        <v>1248</v>
      </c>
      <c r="Z109" s="667">
        <f>SUM(Z102:Z108)</f>
        <v>2854</v>
      </c>
      <c r="AA109" s="46">
        <f t="shared" ref="AA109:AB109" si="518">SUM(AA102:AA108)</f>
        <v>-777</v>
      </c>
      <c r="AB109" s="643">
        <f t="shared" si="518"/>
        <v>-1217</v>
      </c>
      <c r="AC109" s="667">
        <f>SUM(AC102:AC108)</f>
        <v>-1994</v>
      </c>
      <c r="AD109" s="46">
        <f t="shared" ref="AD109:AE109" si="519">SUM(AD102:AD108)</f>
        <v>-882</v>
      </c>
      <c r="AE109" s="643">
        <f t="shared" si="519"/>
        <v>929</v>
      </c>
      <c r="AF109" s="667">
        <f t="shared" si="514"/>
        <v>47</v>
      </c>
      <c r="AG109" s="46">
        <f t="shared" ref="AG109" si="520">SUM(AG102:AG108)</f>
        <v>-2025</v>
      </c>
      <c r="AH109" s="643">
        <f t="shared" ref="AH109" si="521">SUM(AH102:AH108)</f>
        <v>3197</v>
      </c>
      <c r="AI109" s="667">
        <f t="shared" si="514"/>
        <v>1172</v>
      </c>
      <c r="AJ109" s="46">
        <f t="shared" ref="AJ109" si="522">SUM(AJ102:AJ108)</f>
        <v>257</v>
      </c>
      <c r="AK109" s="643">
        <f t="shared" ref="AK109" si="523">SUM(AK102:AK108)</f>
        <v>-742</v>
      </c>
      <c r="AL109" s="667">
        <f t="shared" si="514"/>
        <v>-485</v>
      </c>
      <c r="AM109" s="46">
        <f t="shared" ref="AM109" si="524">SUM(AM102:AM108)</f>
        <v>-1818</v>
      </c>
      <c r="AN109" s="643">
        <f t="shared" si="514"/>
        <v>-156</v>
      </c>
      <c r="AO109" s="667">
        <f t="shared" si="514"/>
        <v>-1974</v>
      </c>
      <c r="AP109" s="46">
        <f t="shared" ref="AP109" si="525">SUM(AP102:AP108)</f>
        <v>770</v>
      </c>
      <c r="AQ109" s="643">
        <f t="shared" ref="AQ109" si="526">SUM(AQ102:AQ108)</f>
        <v>40</v>
      </c>
      <c r="AR109" s="667">
        <f>SUM(AR102:AR108)</f>
        <v>810</v>
      </c>
      <c r="AS109" s="46">
        <f t="shared" ref="AS109:AT109" si="527">SUM(AS102:AS108)</f>
        <v>-116</v>
      </c>
      <c r="AT109" s="643">
        <f t="shared" si="527"/>
        <v>-401</v>
      </c>
      <c r="AU109" s="667">
        <f>SUM(AU102:AU108)</f>
        <v>-517</v>
      </c>
      <c r="AV109" s="46">
        <f t="shared" ref="AV109:AW109" si="528">SUM(AV102:AV108)</f>
        <v>2132</v>
      </c>
      <c r="AW109" s="723">
        <f t="shared" si="528"/>
        <v>-364</v>
      </c>
      <c r="AX109" s="667">
        <f>SUM(AX102:AX108)</f>
        <v>1768</v>
      </c>
      <c r="AY109" s="46">
        <f>SUM(AY102:AY108)</f>
        <v>-448</v>
      </c>
      <c r="AZ109" s="250">
        <f t="shared" ref="AZ109" si="529">SUM(AZ102:AZ108)</f>
        <v>-8</v>
      </c>
      <c r="BA109" s="615">
        <f t="shared" ref="BA109:BM109" si="530">SUM(BA102:BA108)</f>
        <v>-456</v>
      </c>
      <c r="BB109" s="249">
        <f t="shared" ref="BB109:BC109" si="531">SUM(BB102:BB108)</f>
        <v>-4</v>
      </c>
      <c r="BC109" s="250">
        <f t="shared" si="531"/>
        <v>-4</v>
      </c>
      <c r="BD109" s="615">
        <f t="shared" si="530"/>
        <v>-8</v>
      </c>
      <c r="BE109" s="249">
        <f t="shared" ref="BE109:BF109" si="532">SUM(BE102:BE108)</f>
        <v>-4</v>
      </c>
      <c r="BF109" s="250">
        <f t="shared" si="532"/>
        <v>-4</v>
      </c>
      <c r="BG109" s="615">
        <f t="shared" si="530"/>
        <v>-8</v>
      </c>
      <c r="BH109" s="249">
        <f t="shared" ref="BH109:BI109" si="533">SUM(BH102:BH108)</f>
        <v>-4</v>
      </c>
      <c r="BI109" s="250">
        <f t="shared" si="533"/>
        <v>-4</v>
      </c>
      <c r="BJ109" s="615">
        <f t="shared" si="530"/>
        <v>-8</v>
      </c>
      <c r="BK109" s="249">
        <f t="shared" ref="BK109:BL109" si="534">SUM(BK102:BK108)</f>
        <v>-4</v>
      </c>
      <c r="BL109" s="250">
        <f t="shared" si="534"/>
        <v>-4</v>
      </c>
      <c r="BM109" s="615">
        <f t="shared" si="530"/>
        <v>-8</v>
      </c>
    </row>
    <row r="110" spans="1:73">
      <c r="B110" s="40"/>
      <c r="C110" s="40"/>
      <c r="D110" s="40"/>
      <c r="E110" s="40"/>
      <c r="F110" s="40"/>
      <c r="G110" s="40"/>
      <c r="H110" s="40"/>
      <c r="I110" s="40"/>
      <c r="J110" s="40"/>
      <c r="K110" s="40"/>
      <c r="L110" s="40"/>
      <c r="M110" s="40"/>
      <c r="N110" s="40"/>
      <c r="O110" s="40"/>
      <c r="P110" s="40"/>
      <c r="Q110" s="40"/>
      <c r="R110" s="40"/>
      <c r="S110" s="630"/>
      <c r="T110" s="653"/>
      <c r="U110" s="40"/>
      <c r="V110" s="630"/>
      <c r="W110" s="653"/>
      <c r="X110" s="40"/>
      <c r="Y110" s="630"/>
      <c r="Z110" s="653"/>
      <c r="AA110" s="40"/>
      <c r="AB110" s="630"/>
      <c r="AC110" s="653"/>
      <c r="AD110" s="40"/>
      <c r="AE110" s="630"/>
      <c r="AF110" s="653"/>
      <c r="AG110" s="40"/>
      <c r="AH110" s="630"/>
      <c r="AI110" s="653"/>
      <c r="AJ110" s="40"/>
      <c r="AK110" s="630"/>
      <c r="AL110" s="653"/>
      <c r="AM110" s="40"/>
      <c r="AN110" s="630"/>
      <c r="AO110" s="653"/>
      <c r="AP110" s="40"/>
      <c r="AQ110" s="539"/>
      <c r="AR110" s="550"/>
      <c r="AS110"/>
      <c r="AT110" s="539"/>
      <c r="AU110" s="550"/>
      <c r="AV110"/>
      <c r="AW110" s="539"/>
      <c r="AX110" s="550"/>
      <c r="AY110"/>
      <c r="AZ110" s="539"/>
      <c r="BA110" s="550"/>
      <c r="BB110"/>
      <c r="BC110" s="539"/>
      <c r="BD110" s="550"/>
      <c r="BE110"/>
      <c r="BF110" s="539"/>
      <c r="BG110" s="550"/>
      <c r="BH110"/>
      <c r="BI110" s="539"/>
      <c r="BJ110" s="550"/>
      <c r="BK110"/>
      <c r="BL110" s="539"/>
      <c r="BM110" s="550"/>
    </row>
    <row r="111" spans="1:73">
      <c r="A111" s="310" t="s">
        <v>173</v>
      </c>
      <c r="B111" s="318"/>
      <c r="C111" s="318"/>
      <c r="D111" s="318"/>
      <c r="E111" s="318"/>
      <c r="F111" s="318"/>
      <c r="G111" s="318"/>
      <c r="H111" s="318"/>
      <c r="I111" s="318"/>
      <c r="J111" s="318"/>
      <c r="K111" s="318"/>
      <c r="L111" s="318"/>
      <c r="M111" s="318"/>
      <c r="N111" s="318"/>
      <c r="O111" s="318"/>
      <c r="P111" s="318"/>
      <c r="Q111" s="318"/>
      <c r="R111" s="527"/>
      <c r="S111" s="320"/>
      <c r="T111" s="678"/>
      <c r="U111" s="527"/>
      <c r="V111" s="320"/>
      <c r="W111" s="678"/>
      <c r="X111" s="527"/>
      <c r="Y111" s="320"/>
      <c r="Z111" s="678"/>
      <c r="AA111" s="527"/>
      <c r="AB111" s="320"/>
      <c r="AC111" s="664"/>
      <c r="AD111" s="527"/>
      <c r="AE111" s="320"/>
      <c r="AF111" s="664"/>
      <c r="AG111" s="527"/>
      <c r="AH111" s="320"/>
      <c r="AI111" s="664"/>
      <c r="AJ111" s="527"/>
      <c r="AK111" s="320"/>
      <c r="AL111" s="664"/>
      <c r="AM111" s="527"/>
      <c r="AN111" s="320"/>
      <c r="AO111" s="664"/>
      <c r="AP111" s="527"/>
      <c r="AQ111" s="320"/>
      <c r="AR111" s="664"/>
      <c r="AS111" s="527"/>
      <c r="AT111" s="320"/>
      <c r="AU111" s="664"/>
      <c r="AV111" s="527"/>
      <c r="AW111" s="320"/>
      <c r="AX111" s="664"/>
      <c r="AY111" s="527"/>
      <c r="AZ111" s="215"/>
      <c r="BA111" s="574"/>
      <c r="BB111" s="179"/>
      <c r="BC111" s="215"/>
      <c r="BD111" s="574"/>
      <c r="BE111" s="179"/>
      <c r="BF111" s="215"/>
      <c r="BG111" s="574"/>
      <c r="BH111" s="179"/>
      <c r="BI111" s="215"/>
      <c r="BJ111" s="574"/>
      <c r="BK111" s="179"/>
      <c r="BL111" s="215"/>
      <c r="BM111" s="574"/>
    </row>
    <row r="112" spans="1:73" s="10" customFormat="1">
      <c r="A112" s="27" t="s">
        <v>173</v>
      </c>
      <c r="B112" s="27">
        <f t="shared" ref="B112:O112" si="535">B113+B115+B119</f>
        <v>238</v>
      </c>
      <c r="C112" s="27">
        <f t="shared" si="535"/>
        <v>255</v>
      </c>
      <c r="D112" s="27">
        <f t="shared" si="535"/>
        <v>310</v>
      </c>
      <c r="E112" s="27">
        <f t="shared" si="535"/>
        <v>286</v>
      </c>
      <c r="F112" s="27">
        <f t="shared" si="535"/>
        <v>300</v>
      </c>
      <c r="G112" s="27">
        <f t="shared" si="535"/>
        <v>254</v>
      </c>
      <c r="H112" s="27">
        <f t="shared" si="535"/>
        <v>221</v>
      </c>
      <c r="I112" s="27">
        <f t="shared" si="535"/>
        <v>233</v>
      </c>
      <c r="J112" s="27">
        <f t="shared" si="535"/>
        <v>315</v>
      </c>
      <c r="K112" s="27">
        <f t="shared" si="535"/>
        <v>315</v>
      </c>
      <c r="L112" s="27">
        <f t="shared" si="535"/>
        <v>370</v>
      </c>
      <c r="M112" s="27">
        <f t="shared" si="535"/>
        <v>410</v>
      </c>
      <c r="N112" s="27">
        <f t="shared" si="535"/>
        <v>489</v>
      </c>
      <c r="O112" s="27">
        <f t="shared" si="535"/>
        <v>800</v>
      </c>
      <c r="P112" s="27">
        <f t="shared" ref="P112:BM112" si="536">P113+P114+P115+P119</f>
        <v>742</v>
      </c>
      <c r="Q112" s="27">
        <f t="shared" si="536"/>
        <v>812</v>
      </c>
      <c r="R112" s="27">
        <f t="shared" ref="R112:S112" si="537">R113+R114+R115+R119</f>
        <v>397</v>
      </c>
      <c r="S112" s="218">
        <f t="shared" si="537"/>
        <v>657</v>
      </c>
      <c r="T112" s="553">
        <f t="shared" si="536"/>
        <v>1054</v>
      </c>
      <c r="U112" s="27">
        <f t="shared" si="536"/>
        <v>434</v>
      </c>
      <c r="V112" s="218">
        <f t="shared" si="536"/>
        <v>460</v>
      </c>
      <c r="W112" s="553">
        <f t="shared" si="536"/>
        <v>894</v>
      </c>
      <c r="X112" s="27">
        <f t="shared" ref="X112:Y112" si="538">X113+X114+X115+X119</f>
        <v>393</v>
      </c>
      <c r="Y112" s="218">
        <f t="shared" si="538"/>
        <v>414</v>
      </c>
      <c r="Z112" s="553">
        <f t="shared" si="536"/>
        <v>807</v>
      </c>
      <c r="AA112" s="27">
        <f t="shared" si="536"/>
        <v>564</v>
      </c>
      <c r="AB112" s="218">
        <f t="shared" si="536"/>
        <v>528</v>
      </c>
      <c r="AC112" s="553">
        <f t="shared" si="536"/>
        <v>1092</v>
      </c>
      <c r="AD112" s="27">
        <f t="shared" ref="AD112:AE112" si="539">AD113+AD114+AD115+AD119</f>
        <v>582</v>
      </c>
      <c r="AE112" s="218">
        <f t="shared" si="539"/>
        <v>734</v>
      </c>
      <c r="AF112" s="553">
        <f t="shared" si="536"/>
        <v>1316</v>
      </c>
      <c r="AG112" s="27">
        <f t="shared" si="536"/>
        <v>1535</v>
      </c>
      <c r="AH112" s="218">
        <f t="shared" si="536"/>
        <v>842</v>
      </c>
      <c r="AI112" s="553">
        <f t="shared" si="536"/>
        <v>2377</v>
      </c>
      <c r="AJ112" s="27">
        <f t="shared" ref="AJ112:AK112" si="540">AJ113+AJ114+AJ115+AJ119</f>
        <v>529</v>
      </c>
      <c r="AK112" s="218">
        <f t="shared" si="540"/>
        <v>483</v>
      </c>
      <c r="AL112" s="553">
        <f t="shared" si="536"/>
        <v>1012</v>
      </c>
      <c r="AM112" s="27">
        <f t="shared" si="536"/>
        <v>467</v>
      </c>
      <c r="AN112" s="218">
        <f t="shared" si="536"/>
        <v>609</v>
      </c>
      <c r="AO112" s="553">
        <f t="shared" si="536"/>
        <v>1076</v>
      </c>
      <c r="AP112" s="27">
        <f t="shared" ref="AP112:AR112" si="541">AP113+AP114+AP115+AP119</f>
        <v>513</v>
      </c>
      <c r="AQ112" s="218">
        <f t="shared" si="541"/>
        <v>506</v>
      </c>
      <c r="AR112" s="553">
        <f t="shared" si="541"/>
        <v>1019</v>
      </c>
      <c r="AS112" s="27">
        <f t="shared" ref="AS112:AU112" si="542">AS113+AS114+AS115+AS119</f>
        <v>51</v>
      </c>
      <c r="AT112" s="218">
        <f t="shared" si="542"/>
        <v>492</v>
      </c>
      <c r="AU112" s="553">
        <f t="shared" si="542"/>
        <v>543</v>
      </c>
      <c r="AV112" s="27">
        <f t="shared" ref="AV112:AW112" si="543">AV113+AV114+AV115+AV119</f>
        <v>256</v>
      </c>
      <c r="AW112" s="218">
        <f t="shared" si="543"/>
        <v>481</v>
      </c>
      <c r="AX112" s="553">
        <f t="shared" si="536"/>
        <v>737</v>
      </c>
      <c r="AY112" s="27">
        <f t="shared" si="536"/>
        <v>434</v>
      </c>
      <c r="AZ112" s="237">
        <f t="shared" si="536"/>
        <v>527.55110038817838</v>
      </c>
      <c r="BA112" s="576">
        <f t="shared" si="536"/>
        <v>961.55110038817838</v>
      </c>
      <c r="BB112" s="48">
        <f t="shared" si="536"/>
        <v>512.40354252963095</v>
      </c>
      <c r="BC112" s="237">
        <f t="shared" si="536"/>
        <v>536.67101020928067</v>
      </c>
      <c r="BD112" s="576">
        <f t="shared" si="536"/>
        <v>1049.0745527389117</v>
      </c>
      <c r="BE112" s="48">
        <f t="shared" si="536"/>
        <v>548.01791377871109</v>
      </c>
      <c r="BF112" s="237">
        <f t="shared" si="536"/>
        <v>582.70791662893203</v>
      </c>
      <c r="BG112" s="576">
        <f t="shared" si="536"/>
        <v>1130.7258304076429</v>
      </c>
      <c r="BH112" s="48">
        <f t="shared" si="536"/>
        <v>596.84050872677687</v>
      </c>
      <c r="BI112" s="237">
        <f t="shared" si="536"/>
        <v>635.58791233839008</v>
      </c>
      <c r="BJ112" s="576">
        <f t="shared" si="536"/>
        <v>1232.428421065167</v>
      </c>
      <c r="BK112" s="48">
        <f t="shared" si="536"/>
        <v>651.7466572907706</v>
      </c>
      <c r="BL112" s="237">
        <f t="shared" si="536"/>
        <v>694.17034685878616</v>
      </c>
      <c r="BM112" s="576">
        <f t="shared" si="536"/>
        <v>1345.9170041495568</v>
      </c>
      <c r="BP112"/>
      <c r="BQ112"/>
      <c r="BR112"/>
      <c r="BS112"/>
      <c r="BT112"/>
      <c r="BU112"/>
    </row>
    <row r="113" spans="1:65">
      <c r="A113" s="25" t="s">
        <v>378</v>
      </c>
      <c r="B113" s="40">
        <f>CFS!B14</f>
        <v>178</v>
      </c>
      <c r="C113" s="40">
        <f>CFS!C14</f>
        <v>198</v>
      </c>
      <c r="D113" s="40">
        <f>CFS!D14</f>
        <v>236</v>
      </c>
      <c r="E113" s="40">
        <f>CFS!E14</f>
        <v>223</v>
      </c>
      <c r="F113" s="40">
        <f>CFS!F14</f>
        <v>242</v>
      </c>
      <c r="G113" s="40">
        <f>CFS!G14</f>
        <v>195</v>
      </c>
      <c r="H113" s="40">
        <f>CFS!H14</f>
        <v>161</v>
      </c>
      <c r="I113" s="40">
        <f>CFS!I14</f>
        <v>170</v>
      </c>
      <c r="J113" s="40">
        <f>CFS!J14</f>
        <v>208</v>
      </c>
      <c r="K113" s="40">
        <f>CFS!K14</f>
        <v>194</v>
      </c>
      <c r="L113" s="40">
        <f>CFS!L14</f>
        <v>237</v>
      </c>
      <c r="M113" s="40">
        <f>CFS!M14</f>
        <v>241</v>
      </c>
      <c r="N113" s="40">
        <f>CFS!N14</f>
        <v>256</v>
      </c>
      <c r="O113" s="40">
        <f>CFS!O14</f>
        <v>372</v>
      </c>
      <c r="P113" s="40">
        <f>CFS!P14</f>
        <v>375</v>
      </c>
      <c r="Q113" s="40">
        <f>CFS!Q14</f>
        <v>378</v>
      </c>
      <c r="R113" s="40">
        <f>CFS!R14</f>
        <v>196</v>
      </c>
      <c r="S113" s="630">
        <f>CFS!S14</f>
        <v>230</v>
      </c>
      <c r="T113" s="653">
        <f>CFS!T14</f>
        <v>426</v>
      </c>
      <c r="U113" s="40">
        <f>CFS!U14</f>
        <v>221</v>
      </c>
      <c r="V113" s="630">
        <f>CFS!V14</f>
        <v>229</v>
      </c>
      <c r="W113" s="653">
        <f>CFS!W14</f>
        <v>450</v>
      </c>
      <c r="X113" s="40">
        <f>CFS!X14</f>
        <v>221</v>
      </c>
      <c r="Y113" s="630">
        <f>CFS!Y14</f>
        <v>229</v>
      </c>
      <c r="Z113" s="653">
        <f>CFS!Z14</f>
        <v>450</v>
      </c>
      <c r="AA113" s="40">
        <f>CFS!AA14</f>
        <v>239</v>
      </c>
      <c r="AB113" s="630">
        <f>CFS!AB14</f>
        <v>282</v>
      </c>
      <c r="AC113" s="653">
        <f>CFS!AC14</f>
        <v>521</v>
      </c>
      <c r="AD113" s="40">
        <f>CFS!AD14</f>
        <v>229</v>
      </c>
      <c r="AE113" s="630">
        <f>CFS!AE14</f>
        <v>303</v>
      </c>
      <c r="AF113" s="653">
        <f>CFS!AF14</f>
        <v>532</v>
      </c>
      <c r="AG113" s="40">
        <f>CFS!AG14</f>
        <v>495</v>
      </c>
      <c r="AH113" s="630">
        <f>CFS!AH14</f>
        <v>326</v>
      </c>
      <c r="AI113" s="653">
        <f>CFS!AI14</f>
        <v>821</v>
      </c>
      <c r="AJ113" s="40">
        <f>CFS!AJ14</f>
        <v>243</v>
      </c>
      <c r="AK113" s="630">
        <f>CFS!AK14</f>
        <v>219</v>
      </c>
      <c r="AL113" s="653">
        <f>CFS!AL14</f>
        <v>462</v>
      </c>
      <c r="AM113" s="40">
        <f>CFS!AM14</f>
        <v>203</v>
      </c>
      <c r="AN113" s="630">
        <f>CFS!AN14</f>
        <v>227</v>
      </c>
      <c r="AO113" s="653">
        <f>CFS!AO14</f>
        <v>430</v>
      </c>
      <c r="AP113" s="40">
        <f>CFS!AP14</f>
        <v>206</v>
      </c>
      <c r="AQ113" s="630">
        <f>CFS!AQ14</f>
        <v>217</v>
      </c>
      <c r="AR113" s="653">
        <f>CFS!AR14</f>
        <v>423</v>
      </c>
      <c r="AS113" s="40">
        <f>CFS!AS14</f>
        <v>205</v>
      </c>
      <c r="AT113" s="630">
        <f>CFS!AT14</f>
        <v>195</v>
      </c>
      <c r="AU113" s="653">
        <f>CFS!AU14</f>
        <v>400</v>
      </c>
      <c r="AV113" s="40">
        <f>CFS!AV14</f>
        <v>132</v>
      </c>
      <c r="AW113" s="630">
        <f>CFS!AW14</f>
        <v>206</v>
      </c>
      <c r="AX113" s="653">
        <f>CFS!AX14</f>
        <v>338</v>
      </c>
      <c r="AY113" s="40">
        <f>CFS!AY14</f>
        <v>184</v>
      </c>
      <c r="AZ113" s="236">
        <f>-BS!AZ161</f>
        <v>213.90274333543505</v>
      </c>
      <c r="BA113" s="605">
        <f>-BS!BA161</f>
        <v>397.90274333543505</v>
      </c>
      <c r="BB113" s="56">
        <f>-BS!BB161</f>
        <v>217.60802334208597</v>
      </c>
      <c r="BC113" s="236">
        <f>-BS!BC161</f>
        <v>231.92286466097187</v>
      </c>
      <c r="BD113" s="605">
        <f>-BS!BD161</f>
        <v>449.53088800305784</v>
      </c>
      <c r="BE113" s="56">
        <f>-BS!BE161</f>
        <v>238.61615158325361</v>
      </c>
      <c r="BF113" s="236">
        <f>-BS!BF161</f>
        <v>259.07901539368061</v>
      </c>
      <c r="BG113" s="605">
        <f>-BS!BG161</f>
        <v>497.69516697693422</v>
      </c>
      <c r="BH113" s="56">
        <f>-BS!BH161</f>
        <v>267.41551823673746</v>
      </c>
      <c r="BI113" s="236">
        <f>-BS!BI161</f>
        <v>290.27175282788102</v>
      </c>
      <c r="BJ113" s="605">
        <f>-BS!BJ161</f>
        <v>557.68727106461847</v>
      </c>
      <c r="BK113" s="56">
        <f>-BS!BK161</f>
        <v>299.80343833207758</v>
      </c>
      <c r="BL113" s="236">
        <f>-BS!BL161</f>
        <v>324.82823252752132</v>
      </c>
      <c r="BM113" s="605">
        <f>-BS!BM161</f>
        <v>624.6316708595989</v>
      </c>
    </row>
    <row r="114" spans="1:65">
      <c r="A114" s="25" t="s">
        <v>771</v>
      </c>
      <c r="B114" s="40"/>
      <c r="C114" s="40"/>
      <c r="D114" s="40"/>
      <c r="E114" s="40"/>
      <c r="F114" s="40"/>
      <c r="G114" s="40"/>
      <c r="H114" s="40"/>
      <c r="I114" s="40"/>
      <c r="J114" s="40"/>
      <c r="K114" s="40"/>
      <c r="L114" s="40"/>
      <c r="M114" s="40"/>
      <c r="N114" s="40"/>
      <c r="O114" s="40"/>
      <c r="P114" s="40"/>
      <c r="Q114" s="40"/>
      <c r="R114" s="40">
        <f>CFS!R15</f>
        <v>0</v>
      </c>
      <c r="S114" s="630">
        <f>CFS!S15</f>
        <v>0</v>
      </c>
      <c r="T114" s="653"/>
      <c r="U114" s="40">
        <f>CFS!U15</f>
        <v>0</v>
      </c>
      <c r="V114" s="630">
        <f>CFS!V15</f>
        <v>0</v>
      </c>
      <c r="W114" s="653"/>
      <c r="X114" s="40">
        <f>CFS!X15</f>
        <v>0</v>
      </c>
      <c r="Y114" s="630">
        <f>CFS!Y15</f>
        <v>0</v>
      </c>
      <c r="Z114" s="653"/>
      <c r="AA114" s="40">
        <f>CFS!AA15</f>
        <v>0</v>
      </c>
      <c r="AB114" s="630">
        <f>CFS!AB15</f>
        <v>0</v>
      </c>
      <c r="AC114" s="653"/>
      <c r="AD114" s="40">
        <f>CFS!AD15</f>
        <v>200</v>
      </c>
      <c r="AE114" s="630">
        <f>CFS!AE15</f>
        <v>211</v>
      </c>
      <c r="AF114" s="653">
        <f>CFS!AF15</f>
        <v>411</v>
      </c>
      <c r="AG114" s="40">
        <f>CFS!AG15</f>
        <v>471</v>
      </c>
      <c r="AH114" s="630">
        <f>CFS!AH15</f>
        <v>261</v>
      </c>
      <c r="AI114" s="653">
        <f>CFS!AI15</f>
        <v>732</v>
      </c>
      <c r="AJ114" s="40">
        <f>CFS!AJ15</f>
        <v>125</v>
      </c>
      <c r="AK114" s="630">
        <f>CFS!AK15</f>
        <v>128</v>
      </c>
      <c r="AL114" s="653">
        <f>CFS!AL15</f>
        <v>253</v>
      </c>
      <c r="AM114" s="40">
        <f>CFS!AM15</f>
        <v>126</v>
      </c>
      <c r="AN114" s="630">
        <f>CFS!AN15</f>
        <v>158</v>
      </c>
      <c r="AO114" s="653">
        <f>CFS!AO15</f>
        <v>284</v>
      </c>
      <c r="AP114" s="40">
        <f>CFS!AP15</f>
        <v>168</v>
      </c>
      <c r="AQ114" s="630">
        <f>CFS!AQ15</f>
        <v>156</v>
      </c>
      <c r="AR114" s="653">
        <f>CFS!AR15</f>
        <v>324</v>
      </c>
      <c r="AS114" s="40">
        <f>CFS!AS15</f>
        <v>129</v>
      </c>
      <c r="AT114" s="630">
        <f>CFS!AT15</f>
        <v>130</v>
      </c>
      <c r="AU114" s="653">
        <f>CFS!AU15</f>
        <v>259</v>
      </c>
      <c r="AV114" s="40">
        <f>CFS!AV15</f>
        <v>13</v>
      </c>
      <c r="AW114" s="630">
        <f>CFS!AW15</f>
        <v>145</v>
      </c>
      <c r="AX114" s="653">
        <f>CFS!AX15</f>
        <v>158</v>
      </c>
      <c r="AY114" s="40">
        <f>CFS!AY15</f>
        <v>140</v>
      </c>
      <c r="AZ114" s="236">
        <f>-BS!AZ173</f>
        <v>147</v>
      </c>
      <c r="BA114" s="605">
        <f>-BS!BA173</f>
        <v>287</v>
      </c>
      <c r="BB114" s="56">
        <f>-BS!BB173</f>
        <v>143.5</v>
      </c>
      <c r="BC114" s="236">
        <f>-BS!BC173</f>
        <v>143.5</v>
      </c>
      <c r="BD114" s="605">
        <f>-BS!BD173</f>
        <v>287</v>
      </c>
      <c r="BE114" s="56">
        <f>-BS!BE173</f>
        <v>143.5</v>
      </c>
      <c r="BF114" s="236">
        <f>-BS!BF173</f>
        <v>143.5</v>
      </c>
      <c r="BG114" s="605">
        <f>-BS!BG173</f>
        <v>287</v>
      </c>
      <c r="BH114" s="56">
        <f>-BS!BH173</f>
        <v>143.5</v>
      </c>
      <c r="BI114" s="236">
        <f>-BS!BI173</f>
        <v>143.5</v>
      </c>
      <c r="BJ114" s="605">
        <f>-BS!BJ173</f>
        <v>287</v>
      </c>
      <c r="BK114" s="56">
        <f>-BS!BK173</f>
        <v>143.5</v>
      </c>
      <c r="BL114" s="236">
        <f>-BS!BL173</f>
        <v>143.5</v>
      </c>
      <c r="BM114" s="605">
        <f>-BS!BM173</f>
        <v>287</v>
      </c>
    </row>
    <row r="115" spans="1:65">
      <c r="A115" s="25" t="s">
        <v>407</v>
      </c>
      <c r="B115" s="40">
        <f>CFS!B13</f>
        <v>60</v>
      </c>
      <c r="C115" s="40">
        <f>CFS!C13</f>
        <v>57</v>
      </c>
      <c r="D115" s="40">
        <f>CFS!D13</f>
        <v>74</v>
      </c>
      <c r="E115" s="40">
        <f>CFS!E13</f>
        <v>63</v>
      </c>
      <c r="F115" s="40">
        <f>CFS!F13</f>
        <v>58</v>
      </c>
      <c r="G115" s="40">
        <f>CFS!G13</f>
        <v>59</v>
      </c>
      <c r="H115" s="40">
        <f>CFS!H13</f>
        <v>60</v>
      </c>
      <c r="I115" s="40">
        <f>CFS!I13</f>
        <v>63</v>
      </c>
      <c r="J115" s="40">
        <f>CFS!J13</f>
        <v>107</v>
      </c>
      <c r="K115" s="40">
        <f>CFS!K13</f>
        <v>121</v>
      </c>
      <c r="L115" s="40">
        <f>CFS!L13</f>
        <v>130</v>
      </c>
      <c r="M115" s="40">
        <f>CFS!M13</f>
        <v>169</v>
      </c>
      <c r="N115" s="40">
        <f>CFS!N13</f>
        <v>231</v>
      </c>
      <c r="O115" s="40">
        <f>CFS!O13</f>
        <v>428</v>
      </c>
      <c r="P115" s="40">
        <f>CFS!P13</f>
        <v>367</v>
      </c>
      <c r="Q115" s="40">
        <f>CFS!Q13</f>
        <v>432</v>
      </c>
      <c r="R115" s="40">
        <f>CFS!R13</f>
        <v>201</v>
      </c>
      <c r="S115" s="630">
        <f>CFS!S13</f>
        <v>427</v>
      </c>
      <c r="T115" s="653">
        <f>CFS!T13</f>
        <v>628</v>
      </c>
      <c r="U115" s="40">
        <f>CFS!U13</f>
        <v>213</v>
      </c>
      <c r="V115" s="630">
        <f>CFS!V13</f>
        <v>217</v>
      </c>
      <c r="W115" s="653">
        <f>CFS!W13</f>
        <v>430</v>
      </c>
      <c r="X115" s="40">
        <f>CFS!X13</f>
        <v>172</v>
      </c>
      <c r="Y115" s="630">
        <f>CFS!Y13</f>
        <v>171</v>
      </c>
      <c r="Z115" s="653">
        <f>CFS!Z13</f>
        <v>343</v>
      </c>
      <c r="AA115" s="40">
        <f>CFS!AA13</f>
        <v>325</v>
      </c>
      <c r="AB115" s="630">
        <f>CFS!AB13</f>
        <v>240</v>
      </c>
      <c r="AC115" s="653">
        <f>CFS!AC13</f>
        <v>565</v>
      </c>
      <c r="AD115" s="40">
        <f>CFS!AD13</f>
        <v>153</v>
      </c>
      <c r="AE115" s="630">
        <f>CFS!AE13</f>
        <v>219</v>
      </c>
      <c r="AF115" s="653">
        <f>CFS!AF13</f>
        <v>372</v>
      </c>
      <c r="AG115" s="40">
        <f>CFS!AG13</f>
        <v>550</v>
      </c>
      <c r="AH115" s="630">
        <f>CFS!AH13</f>
        <v>352</v>
      </c>
      <c r="AI115" s="653">
        <f>CFS!AI13</f>
        <v>902</v>
      </c>
      <c r="AJ115" s="40">
        <f>CFS!AJ13</f>
        <v>159</v>
      </c>
      <c r="AK115" s="630">
        <f>CFS!AK13</f>
        <v>131</v>
      </c>
      <c r="AL115" s="653">
        <f>CFS!AL13</f>
        <v>290</v>
      </c>
      <c r="AM115" s="40">
        <f>CFS!AM13</f>
        <v>138</v>
      </c>
      <c r="AN115" s="630">
        <f>CFS!AN13</f>
        <v>149</v>
      </c>
      <c r="AO115" s="653">
        <f>CFS!AO13</f>
        <v>287</v>
      </c>
      <c r="AP115" s="40">
        <f>CFS!AP13</f>
        <v>139</v>
      </c>
      <c r="AQ115" s="630">
        <f>CFS!AQ13</f>
        <v>133</v>
      </c>
      <c r="AR115" s="653">
        <f>CFS!AR13</f>
        <v>272</v>
      </c>
      <c r="AS115" s="40">
        <f>CFS!AS13</f>
        <v>-287</v>
      </c>
      <c r="AT115" s="630">
        <f>CFS!AT13</f>
        <v>167</v>
      </c>
      <c r="AU115" s="653">
        <f>CFS!AU13</f>
        <v>-120</v>
      </c>
      <c r="AV115" s="40">
        <f>CFS!AV13</f>
        <v>111</v>
      </c>
      <c r="AW115" s="630">
        <f>CFS!AW13</f>
        <v>130</v>
      </c>
      <c r="AX115" s="653">
        <f>CFS!AX13</f>
        <v>241</v>
      </c>
      <c r="AY115" s="40">
        <f>CFS!AY13</f>
        <v>110</v>
      </c>
      <c r="AZ115" s="236">
        <f>BS!AZ149+BS!AZ154</f>
        <v>166.64835705274334</v>
      </c>
      <c r="BA115" s="605">
        <f>BS!BA149+BS!BA154</f>
        <v>276.64835705274334</v>
      </c>
      <c r="BB115" s="56">
        <f>BS!BB149+BS!BB154</f>
        <v>151.29551918754501</v>
      </c>
      <c r="BC115" s="236">
        <f>BS!BC149+BS!BC154</f>
        <v>161.24814554830886</v>
      </c>
      <c r="BD115" s="605">
        <f>BS!BD149+BS!BD154</f>
        <v>312.54366473585389</v>
      </c>
      <c r="BE115" s="56">
        <f>BS!BE149+BS!BE154</f>
        <v>165.90176219545742</v>
      </c>
      <c r="BF115" s="236">
        <f>BS!BF149+BS!BF154</f>
        <v>180.12890123525136</v>
      </c>
      <c r="BG115" s="605">
        <f>BS!BG149+BS!BG154</f>
        <v>346.03066343070878</v>
      </c>
      <c r="BH115" s="56">
        <f>BS!BH149+BS!BH154</f>
        <v>185.92499049003939</v>
      </c>
      <c r="BI115" s="236">
        <f>BS!BI149+BS!BI154</f>
        <v>201.81615951050904</v>
      </c>
      <c r="BJ115" s="605">
        <f>BS!BJ149+BS!BJ154</f>
        <v>387.74115000054843</v>
      </c>
      <c r="BK115" s="56">
        <f>BS!BK149+BS!BK154</f>
        <v>208.443218958693</v>
      </c>
      <c r="BL115" s="236">
        <f>BS!BL149+BS!BL154</f>
        <v>225.8421143312649</v>
      </c>
      <c r="BM115" s="605">
        <f>BS!BM149+BS!BM154</f>
        <v>434.28533328995786</v>
      </c>
    </row>
    <row r="116" spans="1:65">
      <c r="A116" s="148" t="s">
        <v>409</v>
      </c>
      <c r="B116" s="40">
        <f t="shared" ref="B116:AO117" si="544">-B89</f>
        <v>46</v>
      </c>
      <c r="C116" s="40">
        <f t="shared" si="544"/>
        <v>45</v>
      </c>
      <c r="D116" s="40">
        <f t="shared" si="544"/>
        <v>52</v>
      </c>
      <c r="E116" s="40">
        <f t="shared" si="544"/>
        <v>48</v>
      </c>
      <c r="F116" s="40">
        <f t="shared" si="544"/>
        <v>0</v>
      </c>
      <c r="G116" s="40">
        <f t="shared" si="544"/>
        <v>0</v>
      </c>
      <c r="H116" s="40">
        <f t="shared" si="544"/>
        <v>0</v>
      </c>
      <c r="I116" s="40">
        <f t="shared" si="544"/>
        <v>0</v>
      </c>
      <c r="J116" s="40">
        <f t="shared" si="544"/>
        <v>0</v>
      </c>
      <c r="K116" s="40">
        <f t="shared" si="544"/>
        <v>0</v>
      </c>
      <c r="L116" s="40">
        <f t="shared" si="544"/>
        <v>0</v>
      </c>
      <c r="M116" s="40">
        <f t="shared" si="544"/>
        <v>64</v>
      </c>
      <c r="N116" s="40">
        <f t="shared" si="544"/>
        <v>69</v>
      </c>
      <c r="O116" s="40">
        <f t="shared" si="544"/>
        <v>265</v>
      </c>
      <c r="P116" s="40">
        <f t="shared" si="544"/>
        <v>142</v>
      </c>
      <c r="Q116" s="40">
        <f t="shared" si="544"/>
        <v>124</v>
      </c>
      <c r="R116" s="40">
        <f t="shared" ref="R116:S116" si="545">-R89</f>
        <v>62</v>
      </c>
      <c r="S116" s="630">
        <f t="shared" si="545"/>
        <v>53</v>
      </c>
      <c r="T116" s="653">
        <f t="shared" si="544"/>
        <v>115</v>
      </c>
      <c r="U116" s="40">
        <f t="shared" si="544"/>
        <v>62</v>
      </c>
      <c r="V116" s="630">
        <f t="shared" si="544"/>
        <v>67</v>
      </c>
      <c r="W116" s="653">
        <f t="shared" si="544"/>
        <v>129</v>
      </c>
      <c r="X116" s="40">
        <f t="shared" ref="X116:Y116" si="546">-X89</f>
        <v>62</v>
      </c>
      <c r="Y116" s="630">
        <f t="shared" si="546"/>
        <v>67</v>
      </c>
      <c r="Z116" s="653">
        <f t="shared" si="544"/>
        <v>129</v>
      </c>
      <c r="AA116" s="40">
        <f t="shared" si="544"/>
        <v>124</v>
      </c>
      <c r="AB116" s="630">
        <f t="shared" si="544"/>
        <v>51</v>
      </c>
      <c r="AC116" s="653">
        <f t="shared" si="544"/>
        <v>175</v>
      </c>
      <c r="AD116" s="40">
        <f t="shared" ref="AD116:AE116" si="547">-AD89</f>
        <v>71</v>
      </c>
      <c r="AE116" s="630">
        <f t="shared" si="547"/>
        <v>92</v>
      </c>
      <c r="AF116" s="653">
        <f t="shared" si="544"/>
        <v>163</v>
      </c>
      <c r="AG116" s="40">
        <f t="shared" si="544"/>
        <v>66</v>
      </c>
      <c r="AH116" s="630">
        <f t="shared" si="544"/>
        <v>19</v>
      </c>
      <c r="AI116" s="653">
        <f t="shared" si="544"/>
        <v>85</v>
      </c>
      <c r="AJ116" s="40">
        <f t="shared" ref="AJ116:AK116" si="548">-AJ89</f>
        <v>26</v>
      </c>
      <c r="AK116" s="630">
        <f t="shared" si="548"/>
        <v>24</v>
      </c>
      <c r="AL116" s="653">
        <f t="shared" si="544"/>
        <v>50</v>
      </c>
      <c r="AM116" s="40">
        <f t="shared" si="544"/>
        <v>23</v>
      </c>
      <c r="AN116" s="630">
        <f t="shared" ref="AN116" si="549">-AN89</f>
        <v>35</v>
      </c>
      <c r="AO116" s="653">
        <f t="shared" si="544"/>
        <v>58</v>
      </c>
      <c r="AP116" s="40">
        <f t="shared" ref="AP116:AR116" si="550">-AP89</f>
        <v>24</v>
      </c>
      <c r="AQ116" s="630">
        <f t="shared" si="550"/>
        <v>26</v>
      </c>
      <c r="AR116" s="653">
        <f t="shared" si="550"/>
        <v>50</v>
      </c>
      <c r="AS116" s="40">
        <f t="shared" ref="AS116:AU116" si="551">-AS89</f>
        <v>23</v>
      </c>
      <c r="AT116" s="630">
        <f t="shared" si="551"/>
        <v>22</v>
      </c>
      <c r="AU116" s="653">
        <f t="shared" si="551"/>
        <v>45</v>
      </c>
      <c r="AV116" s="40">
        <f t="shared" ref="AV116:AW116" si="552">-AV89</f>
        <v>8</v>
      </c>
      <c r="AW116" s="630">
        <f t="shared" si="552"/>
        <v>8</v>
      </c>
      <c r="AX116" s="653">
        <f t="shared" ref="AX116:AY116" si="553">-AX89</f>
        <v>16</v>
      </c>
      <c r="AY116" s="40">
        <f t="shared" si="553"/>
        <v>8</v>
      </c>
      <c r="AZ116" s="236">
        <f>BS!AZ150</f>
        <v>10.835632820612311</v>
      </c>
      <c r="BA116" s="605">
        <f>BS!BA150</f>
        <v>18.835632820612311</v>
      </c>
      <c r="BB116" s="56">
        <f>BS!BB150</f>
        <v>10.300971519152</v>
      </c>
      <c r="BC116" s="236">
        <f>BS!BC150</f>
        <v>10.978597143714644</v>
      </c>
      <c r="BD116" s="605">
        <f>BS!BD150</f>
        <v>21.279568662866645</v>
      </c>
      <c r="BE116" s="56">
        <f>BS!BE150</f>
        <v>11.295439128201355</v>
      </c>
      <c r="BF116" s="236">
        <f>BS!BF150</f>
        <v>12.264095403251154</v>
      </c>
      <c r="BG116" s="605">
        <f>BS!BG150</f>
        <v>23.55953453145251</v>
      </c>
      <c r="BH116" s="56">
        <f>BS!BH150</f>
        <v>12.658722756768638</v>
      </c>
      <c r="BI116" s="236">
        <f>BS!BI150</f>
        <v>13.740674690077208</v>
      </c>
      <c r="BJ116" s="605">
        <f>BS!BJ150</f>
        <v>26.399397446845846</v>
      </c>
      <c r="BK116" s="56">
        <f>BS!BK150</f>
        <v>14.191878737613139</v>
      </c>
      <c r="BL116" s="236">
        <f>BS!BL150</f>
        <v>15.376484380001008</v>
      </c>
      <c r="BM116" s="605">
        <f>BS!BM150</f>
        <v>29.568363117614147</v>
      </c>
    </row>
    <row r="117" spans="1:65">
      <c r="A117" s="148" t="s">
        <v>410</v>
      </c>
      <c r="B117" s="40">
        <f t="shared" ref="B117:AO117" si="554">-B90</f>
        <v>0</v>
      </c>
      <c r="C117" s="40">
        <f t="shared" si="554"/>
        <v>0</v>
      </c>
      <c r="D117" s="40">
        <f t="shared" si="554"/>
        <v>0</v>
      </c>
      <c r="E117" s="40">
        <f t="shared" si="554"/>
        <v>0</v>
      </c>
      <c r="F117" s="40">
        <f t="shared" si="554"/>
        <v>0</v>
      </c>
      <c r="G117" s="40">
        <f t="shared" si="554"/>
        <v>0</v>
      </c>
      <c r="H117" s="40">
        <f t="shared" si="554"/>
        <v>0</v>
      </c>
      <c r="I117" s="40">
        <f t="shared" si="554"/>
        <v>0</v>
      </c>
      <c r="J117" s="40">
        <f t="shared" si="554"/>
        <v>0</v>
      </c>
      <c r="K117" s="40">
        <f t="shared" si="554"/>
        <v>0</v>
      </c>
      <c r="L117" s="40">
        <f t="shared" si="554"/>
        <v>0</v>
      </c>
      <c r="M117" s="40">
        <f t="shared" si="554"/>
        <v>0</v>
      </c>
      <c r="N117" s="40">
        <f t="shared" si="554"/>
        <v>0</v>
      </c>
      <c r="O117" s="40">
        <f t="shared" si="554"/>
        <v>0</v>
      </c>
      <c r="P117" s="40">
        <f t="shared" si="554"/>
        <v>0</v>
      </c>
      <c r="Q117" s="40">
        <f t="shared" si="554"/>
        <v>75</v>
      </c>
      <c r="R117" s="40">
        <f t="shared" si="554"/>
        <v>0</v>
      </c>
      <c r="S117" s="630">
        <f t="shared" si="554"/>
        <v>219</v>
      </c>
      <c r="T117" s="653">
        <f t="shared" si="554"/>
        <v>219</v>
      </c>
      <c r="U117" s="40">
        <f t="shared" ref="U117:V117" si="555">-U90</f>
        <v>0</v>
      </c>
      <c r="V117" s="630">
        <f t="shared" si="555"/>
        <v>12</v>
      </c>
      <c r="W117" s="653">
        <f t="shared" si="554"/>
        <v>12</v>
      </c>
      <c r="X117" s="40">
        <f t="shared" si="554"/>
        <v>0</v>
      </c>
      <c r="Y117" s="630">
        <f t="shared" si="554"/>
        <v>0</v>
      </c>
      <c r="Z117" s="653">
        <f t="shared" si="554"/>
        <v>0</v>
      </c>
      <c r="AA117" s="40">
        <f t="shared" ref="AA117:AB117" si="556">-AA90</f>
        <v>160</v>
      </c>
      <c r="AB117" s="630">
        <f t="shared" si="556"/>
        <v>-5</v>
      </c>
      <c r="AC117" s="653">
        <f t="shared" si="554"/>
        <v>155</v>
      </c>
      <c r="AD117" s="40">
        <f t="shared" si="554"/>
        <v>0</v>
      </c>
      <c r="AE117" s="630">
        <f t="shared" si="554"/>
        <v>84</v>
      </c>
      <c r="AF117" s="653">
        <f t="shared" si="554"/>
        <v>84</v>
      </c>
      <c r="AG117" s="40">
        <f t="shared" ref="AG117:AH117" si="557">-AG90</f>
        <v>966</v>
      </c>
      <c r="AH117" s="630">
        <f t="shared" si="557"/>
        <v>370</v>
      </c>
      <c r="AI117" s="653">
        <f t="shared" si="554"/>
        <v>1336</v>
      </c>
      <c r="AJ117" s="40">
        <f t="shared" si="554"/>
        <v>-1</v>
      </c>
      <c r="AK117" s="630">
        <f t="shared" si="554"/>
        <v>-8</v>
      </c>
      <c r="AL117" s="653">
        <f t="shared" si="554"/>
        <v>-9</v>
      </c>
      <c r="AM117" s="40">
        <f t="shared" si="544"/>
        <v>-11</v>
      </c>
      <c r="AN117" s="630">
        <f t="shared" si="544"/>
        <v>76</v>
      </c>
      <c r="AO117" s="653">
        <f t="shared" si="554"/>
        <v>65</v>
      </c>
      <c r="AP117" s="40">
        <f t="shared" ref="AP117:AR117" si="558">-AP90</f>
        <v>0</v>
      </c>
      <c r="AQ117" s="630">
        <f t="shared" si="558"/>
        <v>-8</v>
      </c>
      <c r="AR117" s="653">
        <f t="shared" si="558"/>
        <v>-8</v>
      </c>
      <c r="AS117" s="40">
        <f t="shared" ref="AS117:AU117" si="559">-AS90</f>
        <v>-545</v>
      </c>
      <c r="AT117" s="630">
        <f t="shared" si="559"/>
        <v>-2</v>
      </c>
      <c r="AU117" s="653">
        <f t="shared" si="559"/>
        <v>-547</v>
      </c>
      <c r="AV117" s="40">
        <f t="shared" ref="AV117:AW117" si="560">-AV90</f>
        <v>-185</v>
      </c>
      <c r="AW117" s="630">
        <f t="shared" si="560"/>
        <v>6</v>
      </c>
      <c r="AX117" s="653">
        <f t="shared" ref="AX117:AY117" si="561">-AX90</f>
        <v>-179</v>
      </c>
      <c r="AY117" s="40">
        <f t="shared" si="561"/>
        <v>0</v>
      </c>
      <c r="AZ117" s="236">
        <f>BA117-AY117</f>
        <v>0</v>
      </c>
      <c r="BA117" s="580">
        <v>0</v>
      </c>
      <c r="BB117" s="56">
        <f>BD117/2</f>
        <v>0</v>
      </c>
      <c r="BC117" s="236">
        <f>BD117-BB117</f>
        <v>0</v>
      </c>
      <c r="BD117" s="580">
        <v>0</v>
      </c>
      <c r="BE117" s="56">
        <f>BG117/2</f>
        <v>0</v>
      </c>
      <c r="BF117" s="236">
        <f>BG117-BE117</f>
        <v>0</v>
      </c>
      <c r="BG117" s="580">
        <v>0</v>
      </c>
      <c r="BH117" s="56">
        <f>BJ117/2</f>
        <v>0</v>
      </c>
      <c r="BI117" s="236">
        <f>BJ117-BH117</f>
        <v>0</v>
      </c>
      <c r="BJ117" s="580">
        <v>0</v>
      </c>
      <c r="BK117" s="56">
        <f>BM117/2</f>
        <v>0</v>
      </c>
      <c r="BL117" s="236">
        <f>BM117-BK117</f>
        <v>0</v>
      </c>
      <c r="BM117" s="580">
        <v>0</v>
      </c>
    </row>
    <row r="118" spans="1:65">
      <c r="A118" s="148" t="s">
        <v>425</v>
      </c>
      <c r="B118" s="40">
        <f t="shared" ref="B118:BM118" si="562">B115-B116-B117</f>
        <v>14</v>
      </c>
      <c r="C118" s="40">
        <f t="shared" si="562"/>
        <v>12</v>
      </c>
      <c r="D118" s="40">
        <f t="shared" si="562"/>
        <v>22</v>
      </c>
      <c r="E118" s="40">
        <f t="shared" si="562"/>
        <v>15</v>
      </c>
      <c r="F118" s="40">
        <f t="shared" si="562"/>
        <v>58</v>
      </c>
      <c r="G118" s="40">
        <f t="shared" si="562"/>
        <v>59</v>
      </c>
      <c r="H118" s="40">
        <f t="shared" si="562"/>
        <v>60</v>
      </c>
      <c r="I118" s="40">
        <f t="shared" si="562"/>
        <v>63</v>
      </c>
      <c r="J118" s="40">
        <f t="shared" si="562"/>
        <v>107</v>
      </c>
      <c r="K118" s="40">
        <f t="shared" si="562"/>
        <v>121</v>
      </c>
      <c r="L118" s="40">
        <f t="shared" si="562"/>
        <v>130</v>
      </c>
      <c r="M118" s="40">
        <f t="shared" si="562"/>
        <v>105</v>
      </c>
      <c r="N118" s="40">
        <f t="shared" si="562"/>
        <v>162</v>
      </c>
      <c r="O118" s="40">
        <f t="shared" si="562"/>
        <v>163</v>
      </c>
      <c r="P118" s="40">
        <f t="shared" si="562"/>
        <v>225</v>
      </c>
      <c r="Q118" s="40">
        <f t="shared" si="562"/>
        <v>233</v>
      </c>
      <c r="R118" s="40">
        <f t="shared" ref="R118" si="563">R115-R116-R117</f>
        <v>139</v>
      </c>
      <c r="S118" s="630">
        <f t="shared" ref="S118" si="564">S115-S116-S117</f>
        <v>155</v>
      </c>
      <c r="T118" s="653">
        <f t="shared" si="562"/>
        <v>294</v>
      </c>
      <c r="U118" s="40">
        <f t="shared" ref="U118" si="565">U115-U116-U117</f>
        <v>151</v>
      </c>
      <c r="V118" s="630">
        <f t="shared" ref="V118" si="566">V115-V116-V117</f>
        <v>138</v>
      </c>
      <c r="W118" s="653">
        <f t="shared" si="562"/>
        <v>289</v>
      </c>
      <c r="X118" s="40">
        <f t="shared" ref="X118" si="567">X115-X116-X117</f>
        <v>110</v>
      </c>
      <c r="Y118" s="630">
        <f t="shared" ref="Y118" si="568">Y115-Y116-Y117</f>
        <v>104</v>
      </c>
      <c r="Z118" s="653">
        <f t="shared" si="562"/>
        <v>214</v>
      </c>
      <c r="AA118" s="40">
        <f t="shared" ref="AA118" si="569">AA115-AA116-AA117</f>
        <v>41</v>
      </c>
      <c r="AB118" s="630">
        <f t="shared" ref="AB118" si="570">AB115-AB116-AB117</f>
        <v>194</v>
      </c>
      <c r="AC118" s="653">
        <f t="shared" si="562"/>
        <v>235</v>
      </c>
      <c r="AD118" s="40">
        <f t="shared" ref="AD118" si="571">AD115-AD116-AD117</f>
        <v>82</v>
      </c>
      <c r="AE118" s="630">
        <f t="shared" ref="AE118" si="572">AE115-AE116-AE117</f>
        <v>43</v>
      </c>
      <c r="AF118" s="653">
        <f t="shared" si="562"/>
        <v>125</v>
      </c>
      <c r="AG118" s="40">
        <f t="shared" ref="AG118:AP118" si="573">AG115-AG116-AG117</f>
        <v>-482</v>
      </c>
      <c r="AH118" s="630">
        <f t="shared" si="573"/>
        <v>-37</v>
      </c>
      <c r="AI118" s="653">
        <f t="shared" si="573"/>
        <v>-519</v>
      </c>
      <c r="AJ118" s="40">
        <f t="shared" si="573"/>
        <v>134</v>
      </c>
      <c r="AK118" s="630">
        <f t="shared" si="573"/>
        <v>115</v>
      </c>
      <c r="AL118" s="653">
        <f t="shared" si="573"/>
        <v>249</v>
      </c>
      <c r="AM118" s="40">
        <f t="shared" si="573"/>
        <v>126</v>
      </c>
      <c r="AN118" s="630">
        <f t="shared" si="573"/>
        <v>38</v>
      </c>
      <c r="AO118" s="653">
        <f t="shared" si="573"/>
        <v>164</v>
      </c>
      <c r="AP118" s="40">
        <f t="shared" si="573"/>
        <v>115</v>
      </c>
      <c r="AQ118" s="630">
        <f t="shared" ref="AQ118:AS118" si="574">AQ115-AQ116-AQ117</f>
        <v>115</v>
      </c>
      <c r="AR118" s="653">
        <f t="shared" si="574"/>
        <v>230</v>
      </c>
      <c r="AS118" s="40">
        <f t="shared" si="574"/>
        <v>235</v>
      </c>
      <c r="AT118" s="630">
        <f t="shared" ref="AT118:AV118" si="575">AT115-AT116-AT117</f>
        <v>147</v>
      </c>
      <c r="AU118" s="653">
        <f t="shared" si="575"/>
        <v>382</v>
      </c>
      <c r="AV118" s="40">
        <f t="shared" si="575"/>
        <v>288</v>
      </c>
      <c r="AW118" s="630">
        <f t="shared" ref="AW118" si="576">AW115-AW116-AW117</f>
        <v>116</v>
      </c>
      <c r="AX118" s="653">
        <f t="shared" si="562"/>
        <v>404</v>
      </c>
      <c r="AY118" s="40">
        <f t="shared" si="562"/>
        <v>102</v>
      </c>
      <c r="AZ118" s="236">
        <f t="shared" si="562"/>
        <v>155.81272423213102</v>
      </c>
      <c r="BA118" s="605">
        <f t="shared" si="562"/>
        <v>257.81272423213102</v>
      </c>
      <c r="BB118" s="56">
        <f t="shared" si="562"/>
        <v>140.99454766839301</v>
      </c>
      <c r="BC118" s="236">
        <f t="shared" si="562"/>
        <v>150.26954840459422</v>
      </c>
      <c r="BD118" s="605">
        <f t="shared" si="562"/>
        <v>291.26409607298723</v>
      </c>
      <c r="BE118" s="56">
        <f t="shared" si="562"/>
        <v>154.60632306725606</v>
      </c>
      <c r="BF118" s="236">
        <f t="shared" si="562"/>
        <v>167.8648058320002</v>
      </c>
      <c r="BG118" s="605">
        <f t="shared" si="562"/>
        <v>322.47112889925626</v>
      </c>
      <c r="BH118" s="56">
        <f t="shared" si="562"/>
        <v>173.26626773327075</v>
      </c>
      <c r="BI118" s="236">
        <f t="shared" si="562"/>
        <v>188.07548482043183</v>
      </c>
      <c r="BJ118" s="605">
        <f t="shared" si="562"/>
        <v>361.34175255370258</v>
      </c>
      <c r="BK118" s="56">
        <f t="shared" si="562"/>
        <v>194.25134022107986</v>
      </c>
      <c r="BL118" s="236">
        <f t="shared" si="562"/>
        <v>210.46562995126388</v>
      </c>
      <c r="BM118" s="605">
        <f t="shared" si="562"/>
        <v>404.71697017234374</v>
      </c>
    </row>
    <row r="119" spans="1:65">
      <c r="A119" s="25" t="s">
        <v>408</v>
      </c>
      <c r="B119" s="40">
        <f>CFS!B16</f>
        <v>0</v>
      </c>
      <c r="C119" s="40">
        <f>CFS!C16</f>
        <v>0</v>
      </c>
      <c r="D119" s="40">
        <f>CFS!D16</f>
        <v>0</v>
      </c>
      <c r="E119" s="40">
        <f>CFS!E16</f>
        <v>0</v>
      </c>
      <c r="F119" s="40">
        <f>CFS!F16</f>
        <v>0</v>
      </c>
      <c r="G119" s="40">
        <f>CFS!G16</f>
        <v>0</v>
      </c>
      <c r="H119" s="40">
        <f>CFS!H16</f>
        <v>0</v>
      </c>
      <c r="I119" s="40">
        <f>CFS!I16</f>
        <v>0</v>
      </c>
      <c r="J119" s="40">
        <f>CFS!J16</f>
        <v>0</v>
      </c>
      <c r="K119" s="40">
        <f>CFS!K16</f>
        <v>0</v>
      </c>
      <c r="L119" s="40">
        <f>CFS!L16</f>
        <v>3</v>
      </c>
      <c r="M119" s="40">
        <f>CFS!M16</f>
        <v>0</v>
      </c>
      <c r="N119" s="40">
        <f>CFS!N16</f>
        <v>2</v>
      </c>
      <c r="O119" s="40">
        <f>CFS!O16</f>
        <v>0</v>
      </c>
      <c r="P119" s="40">
        <f>CFS!P16</f>
        <v>0</v>
      </c>
      <c r="Q119" s="40">
        <f>CFS!Q16</f>
        <v>2</v>
      </c>
      <c r="R119" s="40">
        <f>CFS!R16</f>
        <v>0</v>
      </c>
      <c r="S119" s="630">
        <f>CFS!S16</f>
        <v>0</v>
      </c>
      <c r="T119" s="653">
        <f>CFS!T16</f>
        <v>0</v>
      </c>
      <c r="U119" s="40">
        <f>CFS!U16</f>
        <v>0</v>
      </c>
      <c r="V119" s="630">
        <f>CFS!V16</f>
        <v>14</v>
      </c>
      <c r="W119" s="653">
        <f>CFS!W16</f>
        <v>14</v>
      </c>
      <c r="X119" s="40">
        <f>CFS!X16</f>
        <v>0</v>
      </c>
      <c r="Y119" s="630">
        <f>CFS!Y16</f>
        <v>14</v>
      </c>
      <c r="Z119" s="653">
        <f>CFS!Z16</f>
        <v>14</v>
      </c>
      <c r="AA119" s="40">
        <f>CFS!AA16</f>
        <v>0</v>
      </c>
      <c r="AB119" s="630">
        <f>CFS!AB16</f>
        <v>6</v>
      </c>
      <c r="AC119" s="653">
        <f>CFS!AC16</f>
        <v>6</v>
      </c>
      <c r="AD119" s="40">
        <f>CFS!AD16</f>
        <v>0</v>
      </c>
      <c r="AE119" s="630">
        <f>CFS!AE16</f>
        <v>1</v>
      </c>
      <c r="AF119" s="653">
        <f>CFS!AF16</f>
        <v>1</v>
      </c>
      <c r="AG119" s="40">
        <f>CFS!AG16</f>
        <v>19</v>
      </c>
      <c r="AH119" s="630">
        <f>CFS!AH16</f>
        <v>-97</v>
      </c>
      <c r="AI119" s="653">
        <f>CFS!AI16</f>
        <v>-78</v>
      </c>
      <c r="AJ119" s="40">
        <f>CFS!AJ16</f>
        <v>2</v>
      </c>
      <c r="AK119" s="630">
        <f>CFS!AK16</f>
        <v>5</v>
      </c>
      <c r="AL119" s="653">
        <f>CFS!AL16</f>
        <v>7</v>
      </c>
      <c r="AM119" s="40">
        <f>CFS!AM16</f>
        <v>0</v>
      </c>
      <c r="AN119" s="630">
        <f>CFS!AN16</f>
        <v>75</v>
      </c>
      <c r="AO119" s="653">
        <f>CFS!AO16</f>
        <v>75</v>
      </c>
      <c r="AP119" s="40">
        <f>CFS!AP16</f>
        <v>0</v>
      </c>
      <c r="AQ119" s="630">
        <f>CFS!AQ16</f>
        <v>0</v>
      </c>
      <c r="AR119" s="653">
        <f>CFS!AR16</f>
        <v>0</v>
      </c>
      <c r="AS119" s="40">
        <f>CFS!AS16</f>
        <v>4</v>
      </c>
      <c r="AT119" s="630">
        <f>CFS!AT16</f>
        <v>0</v>
      </c>
      <c r="AU119" s="653">
        <f>CFS!AU16</f>
        <v>4</v>
      </c>
      <c r="AV119" s="40">
        <f>CFS!AV16</f>
        <v>0</v>
      </c>
      <c r="AW119" s="630">
        <f>CFS!AW16</f>
        <v>0</v>
      </c>
      <c r="AX119" s="653">
        <f>CFS!AX16</f>
        <v>0</v>
      </c>
      <c r="AY119" s="40">
        <f>CFS!AY16</f>
        <v>0</v>
      </c>
      <c r="AZ119" s="236">
        <f>BA119-AY119</f>
        <v>0</v>
      </c>
      <c r="BA119" s="580">
        <v>0</v>
      </c>
      <c r="BB119" s="56">
        <f>BD119/2</f>
        <v>0</v>
      </c>
      <c r="BC119" s="236">
        <f>BD119-BB119</f>
        <v>0</v>
      </c>
      <c r="BD119" s="580">
        <v>0</v>
      </c>
      <c r="BE119" s="56">
        <f>BG119/2</f>
        <v>0</v>
      </c>
      <c r="BF119" s="236">
        <f>BG119-BE119</f>
        <v>0</v>
      </c>
      <c r="BG119" s="580">
        <v>0</v>
      </c>
      <c r="BH119" s="56">
        <f>BJ119/2</f>
        <v>0</v>
      </c>
      <c r="BI119" s="236">
        <f>BJ119-BH119</f>
        <v>0</v>
      </c>
      <c r="BJ119" s="580">
        <v>0</v>
      </c>
      <c r="BK119" s="56">
        <f>BM119/2</f>
        <v>0</v>
      </c>
      <c r="BL119" s="236">
        <f>BM119-BK119</f>
        <v>0</v>
      </c>
      <c r="BM119" s="580">
        <v>0</v>
      </c>
    </row>
    <row r="120" spans="1:65">
      <c r="B120" s="40"/>
      <c r="C120" s="40"/>
      <c r="D120" s="40"/>
      <c r="E120" s="40"/>
      <c r="F120" s="40"/>
      <c r="G120" s="40"/>
      <c r="H120" s="40"/>
      <c r="I120" s="40"/>
      <c r="J120" s="40"/>
      <c r="K120" s="40"/>
      <c r="L120" s="40"/>
      <c r="M120" s="40"/>
      <c r="N120" s="40"/>
      <c r="O120" s="40"/>
      <c r="P120" s="40"/>
      <c r="Q120" s="40"/>
      <c r="R120" s="40"/>
      <c r="S120" s="630"/>
      <c r="T120" s="653"/>
      <c r="U120" s="40"/>
      <c r="V120" s="630"/>
      <c r="W120" s="653"/>
      <c r="X120" s="40"/>
      <c r="Y120" s="630"/>
      <c r="Z120" s="653"/>
      <c r="AA120" s="40"/>
      <c r="AB120" s="630"/>
      <c r="AC120" s="653"/>
      <c r="AD120" s="40"/>
      <c r="AE120" s="630"/>
      <c r="AF120" s="653"/>
      <c r="AG120" s="40"/>
      <c r="AH120" s="630"/>
      <c r="AI120" s="653"/>
      <c r="AJ120" s="40"/>
      <c r="AK120" s="630"/>
      <c r="AL120" s="653"/>
      <c r="AM120" s="40"/>
      <c r="AN120" s="630"/>
      <c r="AO120" s="653"/>
      <c r="AP120" s="40"/>
      <c r="AQ120" s="539"/>
      <c r="AR120" s="550"/>
      <c r="AS120"/>
      <c r="AT120" s="539"/>
      <c r="AU120" s="550"/>
      <c r="AV120"/>
      <c r="AW120" s="539"/>
      <c r="AX120" s="550"/>
      <c r="AY120"/>
      <c r="AZ120" s="539"/>
      <c r="BA120" s="550"/>
      <c r="BB120"/>
      <c r="BC120" s="539"/>
      <c r="BD120" s="550"/>
      <c r="BE120"/>
      <c r="BF120" s="539"/>
      <c r="BG120" s="550"/>
      <c r="BH120"/>
      <c r="BI120" s="539"/>
      <c r="BJ120" s="550"/>
      <c r="BK120"/>
      <c r="BL120" s="539"/>
      <c r="BM120" s="550"/>
    </row>
    <row r="121" spans="1:65">
      <c r="A121" s="25" t="s">
        <v>176</v>
      </c>
      <c r="B121" s="58">
        <f t="shared" ref="B121:BM121" si="577">B113/B5</f>
        <v>3.0354706684856753E-2</v>
      </c>
      <c r="C121" s="58">
        <f t="shared" si="577"/>
        <v>3.1289506953223765E-2</v>
      </c>
      <c r="D121" s="58">
        <f t="shared" si="577"/>
        <v>4.0774015203870077E-2</v>
      </c>
      <c r="E121" s="58">
        <f t="shared" si="577"/>
        <v>3.950398582816652E-2</v>
      </c>
      <c r="F121" s="58">
        <f t="shared" si="577"/>
        <v>4.069278627879603E-2</v>
      </c>
      <c r="G121" s="58">
        <f t="shared" si="577"/>
        <v>3.0195106844224218E-2</v>
      </c>
      <c r="H121" s="58">
        <f t="shared" si="577"/>
        <v>2.1895824833401332E-2</v>
      </c>
      <c r="I121" s="58">
        <f t="shared" si="577"/>
        <v>2.1747473455289754E-2</v>
      </c>
      <c r="J121" s="58">
        <f t="shared" si="577"/>
        <v>2.2739696075215917E-2</v>
      </c>
      <c r="K121" s="58">
        <f t="shared" si="577"/>
        <v>1.9192718638702019E-2</v>
      </c>
      <c r="L121" s="58">
        <f t="shared" si="577"/>
        <v>2.1811154058531197E-2</v>
      </c>
      <c r="M121" s="58">
        <f t="shared" si="577"/>
        <v>2.1370931985457125E-2</v>
      </c>
      <c r="N121" s="58">
        <f t="shared" si="577"/>
        <v>2.0968138258661641E-2</v>
      </c>
      <c r="O121" s="58">
        <f t="shared" si="577"/>
        <v>2.399226056110932E-2</v>
      </c>
      <c r="P121" s="58">
        <f t="shared" si="577"/>
        <v>2.7048470859780727E-2</v>
      </c>
      <c r="Q121" s="58">
        <f t="shared" si="577"/>
        <v>2.8306125505466528E-2</v>
      </c>
      <c r="R121" s="87">
        <f t="shared" ref="R121:S121" si="578">R113/R5</f>
        <v>3.1906234738727009E-2</v>
      </c>
      <c r="S121" s="644">
        <f t="shared" si="578"/>
        <v>3.0104712041884817E-2</v>
      </c>
      <c r="T121" s="668">
        <f t="shared" si="577"/>
        <v>3.0907639846187333E-2</v>
      </c>
      <c r="U121" s="87">
        <f t="shared" si="577"/>
        <v>3.2192279679533871E-2</v>
      </c>
      <c r="V121" s="644">
        <f t="shared" si="577"/>
        <v>2.7841945288753799E-2</v>
      </c>
      <c r="W121" s="668">
        <f t="shared" si="577"/>
        <v>2.982107355864811E-2</v>
      </c>
      <c r="X121" s="87">
        <f t="shared" ref="X121:Y121" si="579">X113/X5</f>
        <v>3.6583347127958944E-2</v>
      </c>
      <c r="Y121" s="644">
        <f t="shared" si="579"/>
        <v>3.001310615989515E-2</v>
      </c>
      <c r="Z121" s="668">
        <f t="shared" si="577"/>
        <v>3.2916392363396975E-2</v>
      </c>
      <c r="AA121" s="87">
        <f t="shared" si="577"/>
        <v>3.3948863636363638E-2</v>
      </c>
      <c r="AB121" s="644">
        <f t="shared" si="577"/>
        <v>3.5131431418961009E-2</v>
      </c>
      <c r="AC121" s="668">
        <f t="shared" si="577"/>
        <v>3.4578880998208002E-2</v>
      </c>
      <c r="AD121" s="87">
        <f t="shared" ref="AD121:AE121" si="580">AD113/AD5</f>
        <v>3.1143750849993199E-2</v>
      </c>
      <c r="AE121" s="644">
        <f t="shared" si="580"/>
        <v>3.7421267135976287E-2</v>
      </c>
      <c r="AF121" s="668">
        <f t="shared" si="577"/>
        <v>3.4433656957928806E-2</v>
      </c>
      <c r="AG121" s="87">
        <f t="shared" si="577"/>
        <v>8.9012767487861896E-2</v>
      </c>
      <c r="AH121" s="644">
        <f t="shared" si="577"/>
        <v>5.5546089623445219E-2</v>
      </c>
      <c r="AI121" s="668">
        <f>AI113/AI5</f>
        <v>7.1828521434820644E-2</v>
      </c>
      <c r="AJ121" s="87">
        <f t="shared" ref="AJ121:AK121" si="581">AJ113/AJ5</f>
        <v>4.6489382054715901E-2</v>
      </c>
      <c r="AK121" s="644">
        <f t="shared" si="581"/>
        <v>3.8286713286713285E-2</v>
      </c>
      <c r="AL121" s="668">
        <f>AL113/AL5</f>
        <v>4.2203343381748422E-2</v>
      </c>
      <c r="AM121" s="87">
        <f t="shared" ref="AM121:AN121" si="582">AM113/AM5</f>
        <v>3.8244159758854562E-2</v>
      </c>
      <c r="AN121" s="644">
        <f t="shared" si="582"/>
        <v>3.074630908844643E-2</v>
      </c>
      <c r="AO121" s="668">
        <f t="shared" si="577"/>
        <v>3.3882278780237966E-2</v>
      </c>
      <c r="AP121" s="87">
        <f t="shared" ref="AP121:AR121" si="583">AP113/AP5</f>
        <v>2.9640287769784172E-2</v>
      </c>
      <c r="AQ121" s="644">
        <f t="shared" si="583"/>
        <v>2.5653150490601725E-2</v>
      </c>
      <c r="AR121" s="668">
        <f t="shared" si="583"/>
        <v>2.7451489389317931E-2</v>
      </c>
      <c r="AS121" s="87">
        <f t="shared" ref="AS121:AU121" si="584">AS113/AS5</f>
        <v>2.5054998777804937E-2</v>
      </c>
      <c r="AT121" s="644">
        <f t="shared" si="584"/>
        <v>2.0173805090006207E-2</v>
      </c>
      <c r="AU121" s="668">
        <f t="shared" si="584"/>
        <v>2.2411474675033616E-2</v>
      </c>
      <c r="AV121" s="87">
        <f t="shared" ref="AV121:AW121" si="585">AV113/AV5</f>
        <v>1.457436237164624E-2</v>
      </c>
      <c r="AW121" s="644">
        <f t="shared" si="585"/>
        <v>1.8723868387565897E-2</v>
      </c>
      <c r="AX121" s="668">
        <f t="shared" si="577"/>
        <v>1.6850291639662993E-2</v>
      </c>
      <c r="AY121" s="87">
        <f t="shared" si="577"/>
        <v>1.6313502970121466E-2</v>
      </c>
      <c r="AZ121" s="247">
        <f t="shared" si="577"/>
        <v>1.7341125905510742E-2</v>
      </c>
      <c r="BA121" s="583">
        <f t="shared" si="577"/>
        <v>1.6850291639662993E-2</v>
      </c>
      <c r="BB121" s="245">
        <f t="shared" si="577"/>
        <v>1.6850291639662993E-2</v>
      </c>
      <c r="BC121" s="247">
        <f t="shared" si="577"/>
        <v>1.6850291639662989E-2</v>
      </c>
      <c r="BD121" s="583">
        <f t="shared" si="577"/>
        <v>1.6850291639662993E-2</v>
      </c>
      <c r="BE121" s="245">
        <f t="shared" si="577"/>
        <v>1.6850291639662993E-2</v>
      </c>
      <c r="BF121" s="247">
        <f t="shared" si="577"/>
        <v>1.6850291639662989E-2</v>
      </c>
      <c r="BG121" s="583">
        <f t="shared" si="577"/>
        <v>1.6850291639662993E-2</v>
      </c>
      <c r="BH121" s="245">
        <f t="shared" si="577"/>
        <v>1.6850291639662993E-2</v>
      </c>
      <c r="BI121" s="247">
        <f t="shared" si="577"/>
        <v>1.6850291639662989E-2</v>
      </c>
      <c r="BJ121" s="583">
        <f t="shared" si="577"/>
        <v>1.6850291639662993E-2</v>
      </c>
      <c r="BK121" s="245">
        <f t="shared" si="577"/>
        <v>1.6850291639662993E-2</v>
      </c>
      <c r="BL121" s="247">
        <f t="shared" si="577"/>
        <v>1.6850291639662993E-2</v>
      </c>
      <c r="BM121" s="583">
        <f t="shared" si="577"/>
        <v>1.6850291639662993E-2</v>
      </c>
    </row>
    <row r="122" spans="1:65">
      <c r="A122" s="25" t="s">
        <v>411</v>
      </c>
      <c r="B122" s="58">
        <f t="shared" ref="B122:BM122" si="586">B116/B5</f>
        <v>7.8444747612551168E-3</v>
      </c>
      <c r="C122" s="58">
        <f t="shared" si="586"/>
        <v>7.1112515802781292E-3</v>
      </c>
      <c r="D122" s="58">
        <f t="shared" si="586"/>
        <v>8.9841050449205248E-3</v>
      </c>
      <c r="E122" s="58">
        <f t="shared" si="586"/>
        <v>8.5031000885739585E-3</v>
      </c>
      <c r="F122" s="58">
        <f t="shared" si="586"/>
        <v>0</v>
      </c>
      <c r="G122" s="58">
        <f t="shared" si="586"/>
        <v>0</v>
      </c>
      <c r="H122" s="58">
        <f t="shared" si="586"/>
        <v>0</v>
      </c>
      <c r="I122" s="58">
        <f t="shared" si="586"/>
        <v>0</v>
      </c>
      <c r="J122" s="58">
        <f t="shared" si="586"/>
        <v>0</v>
      </c>
      <c r="K122" s="58">
        <f t="shared" si="586"/>
        <v>0</v>
      </c>
      <c r="L122" s="58">
        <f t="shared" si="586"/>
        <v>0</v>
      </c>
      <c r="M122" s="58">
        <f t="shared" si="586"/>
        <v>5.675268245100647E-3</v>
      </c>
      <c r="N122" s="58">
        <f t="shared" si="586"/>
        <v>5.6515685150298964E-3</v>
      </c>
      <c r="O122" s="58">
        <f t="shared" si="586"/>
        <v>1.7091260883585941E-2</v>
      </c>
      <c r="P122" s="58">
        <f t="shared" si="586"/>
        <v>1.0242354298903635E-2</v>
      </c>
      <c r="Q122" s="58">
        <f t="shared" si="586"/>
        <v>9.2856073086715583E-3</v>
      </c>
      <c r="R122" s="87">
        <f t="shared" ref="R122:S122" si="587">R116/R5</f>
        <v>1.00927885398014E-2</v>
      </c>
      <c r="S122" s="644">
        <f t="shared" si="587"/>
        <v>6.93717277486911E-3</v>
      </c>
      <c r="T122" s="668">
        <f t="shared" si="586"/>
        <v>8.3436116955670023E-3</v>
      </c>
      <c r="U122" s="87">
        <f t="shared" si="586"/>
        <v>9.0313182811361976E-3</v>
      </c>
      <c r="V122" s="644">
        <f t="shared" si="586"/>
        <v>8.1458966565349546E-3</v>
      </c>
      <c r="W122" s="668">
        <f t="shared" si="586"/>
        <v>8.5487077534791255E-3</v>
      </c>
      <c r="X122" s="87">
        <f t="shared" ref="X122:Y122" si="588">X116/X5</f>
        <v>1.0263201456712464E-2</v>
      </c>
      <c r="Y122" s="644">
        <f t="shared" si="588"/>
        <v>8.7811271297509822E-3</v>
      </c>
      <c r="Z122" s="668">
        <f t="shared" si="586"/>
        <v>9.4360324775071315E-3</v>
      </c>
      <c r="AA122" s="87">
        <f t="shared" si="586"/>
        <v>1.7613636363636363E-2</v>
      </c>
      <c r="AB122" s="644">
        <f t="shared" si="586"/>
        <v>6.3535567459823096E-3</v>
      </c>
      <c r="AC122" s="668">
        <f t="shared" si="586"/>
        <v>1.161478728346718E-2</v>
      </c>
      <c r="AD122" s="87">
        <f t="shared" ref="AD122:AE122" si="589">AD116/AD5</f>
        <v>9.6559227526179792E-3</v>
      </c>
      <c r="AE122" s="644">
        <f t="shared" si="589"/>
        <v>1.1362232925774979E-2</v>
      </c>
      <c r="AF122" s="668">
        <f t="shared" si="586"/>
        <v>1.0550161812297735E-2</v>
      </c>
      <c r="AG122" s="87">
        <f t="shared" si="586"/>
        <v>1.1868368998381586E-2</v>
      </c>
      <c r="AH122" s="644">
        <f t="shared" si="586"/>
        <v>3.2373487817345375E-3</v>
      </c>
      <c r="AI122" s="668">
        <f>AI116/AI5</f>
        <v>7.4365704286964126E-3</v>
      </c>
      <c r="AJ122" s="87">
        <f t="shared" ref="AJ122:AK122" si="590">AJ116/AJ5</f>
        <v>4.9741725655251577E-3</v>
      </c>
      <c r="AK122" s="644">
        <f t="shared" si="590"/>
        <v>4.1958041958041958E-3</v>
      </c>
      <c r="AL122" s="668">
        <f>AL116/AL5</f>
        <v>4.5674614049511283E-3</v>
      </c>
      <c r="AM122" s="87">
        <f t="shared" ref="AM122:AN122" si="591">AM116/AM5</f>
        <v>4.3330821401657872E-3</v>
      </c>
      <c r="AN122" s="644">
        <f t="shared" si="591"/>
        <v>4.7406203440335908E-3</v>
      </c>
      <c r="AO122" s="668">
        <f t="shared" si="586"/>
        <v>4.5701678354739582E-3</v>
      </c>
      <c r="AP122" s="87">
        <f t="shared" ref="AP122:AR122" si="592">AP116/AP5</f>
        <v>3.4532374100719426E-3</v>
      </c>
      <c r="AQ122" s="644">
        <f t="shared" si="592"/>
        <v>3.0736493675375342E-3</v>
      </c>
      <c r="AR122" s="668">
        <f t="shared" si="592"/>
        <v>3.24485690181063E-3</v>
      </c>
      <c r="AS122" s="87">
        <f t="shared" ref="AS122:AU122" si="593">AS116/AS5</f>
        <v>2.811048643363481E-3</v>
      </c>
      <c r="AT122" s="644">
        <f t="shared" si="593"/>
        <v>2.276019035795572E-3</v>
      </c>
      <c r="AU122" s="668">
        <f t="shared" si="593"/>
        <v>2.5212909009412819E-3</v>
      </c>
      <c r="AV122" s="87">
        <f t="shared" ref="AV122:AW122" si="594">AV116/AV5</f>
        <v>8.8329468919068127E-4</v>
      </c>
      <c r="AW122" s="644">
        <f t="shared" si="594"/>
        <v>7.2714051990547168E-4</v>
      </c>
      <c r="AX122" s="668">
        <f t="shared" si="586"/>
        <v>7.9764694152250856E-4</v>
      </c>
      <c r="AY122" s="87">
        <f t="shared" si="586"/>
        <v>7.0928273783136804E-4</v>
      </c>
      <c r="AZ122" s="247">
        <f t="shared" si="586"/>
        <v>8.7844629796758101E-4</v>
      </c>
      <c r="BA122" s="583">
        <f t="shared" si="586"/>
        <v>7.9764694152250856E-4</v>
      </c>
      <c r="BB122" s="245">
        <f t="shared" si="586"/>
        <v>7.9764694152250867E-4</v>
      </c>
      <c r="BC122" s="247">
        <f t="shared" si="586"/>
        <v>7.9764694152250845E-4</v>
      </c>
      <c r="BD122" s="583">
        <f t="shared" si="586"/>
        <v>7.9764694152250856E-4</v>
      </c>
      <c r="BE122" s="245">
        <f t="shared" si="586"/>
        <v>7.9764694152250856E-4</v>
      </c>
      <c r="BF122" s="247">
        <f t="shared" si="586"/>
        <v>7.9764694152250845E-4</v>
      </c>
      <c r="BG122" s="583">
        <f t="shared" si="586"/>
        <v>7.9764694152250856E-4</v>
      </c>
      <c r="BH122" s="245">
        <f t="shared" si="586"/>
        <v>7.9764694152250856E-4</v>
      </c>
      <c r="BI122" s="247">
        <f t="shared" si="586"/>
        <v>7.9764694152250834E-4</v>
      </c>
      <c r="BJ122" s="583">
        <f t="shared" si="586"/>
        <v>7.9764694152250856E-4</v>
      </c>
      <c r="BK122" s="245">
        <f t="shared" si="586"/>
        <v>7.9764694152250856E-4</v>
      </c>
      <c r="BL122" s="247">
        <f t="shared" si="586"/>
        <v>7.9764694152250845E-4</v>
      </c>
      <c r="BM122" s="583">
        <f t="shared" si="586"/>
        <v>7.9764694152250856E-4</v>
      </c>
    </row>
    <row r="123" spans="1:65">
      <c r="A123" s="25" t="s">
        <v>177</v>
      </c>
      <c r="B123" s="58">
        <f t="shared" ref="B123:BM123" si="595">B118/B5</f>
        <v>2.3874488403819918E-3</v>
      </c>
      <c r="C123" s="58">
        <f t="shared" si="595"/>
        <v>1.8963337547408343E-3</v>
      </c>
      <c r="D123" s="58">
        <f t="shared" si="595"/>
        <v>3.8009675190048375E-3</v>
      </c>
      <c r="E123" s="58">
        <f t="shared" si="595"/>
        <v>2.6572187776793621E-3</v>
      </c>
      <c r="F123" s="58">
        <f t="shared" si="595"/>
        <v>9.7528165461577259E-3</v>
      </c>
      <c r="G123" s="58">
        <f t="shared" si="595"/>
        <v>9.1359554041498918E-3</v>
      </c>
      <c r="H123" s="58">
        <f t="shared" si="595"/>
        <v>8.1599347205222363E-3</v>
      </c>
      <c r="I123" s="58">
        <f t="shared" si="595"/>
        <v>8.0593578099014962E-3</v>
      </c>
      <c r="J123" s="58">
        <f t="shared" si="595"/>
        <v>1.1697824423308188E-2</v>
      </c>
      <c r="K123" s="58">
        <f t="shared" si="595"/>
        <v>1.1970716264345073E-2</v>
      </c>
      <c r="L123" s="58">
        <f t="shared" si="595"/>
        <v>1.1963924167126818E-2</v>
      </c>
      <c r="M123" s="58">
        <f t="shared" si="595"/>
        <v>9.3109869646182501E-3</v>
      </c>
      <c r="N123" s="58">
        <f t="shared" si="595"/>
        <v>1.3268899991809321E-2</v>
      </c>
      <c r="O123" s="58">
        <f t="shared" si="595"/>
        <v>1.0512737826507579E-2</v>
      </c>
      <c r="P123" s="58">
        <f t="shared" si="595"/>
        <v>1.6229082515868437E-2</v>
      </c>
      <c r="Q123" s="58">
        <f t="shared" si="595"/>
        <v>1.7447955668713495E-2</v>
      </c>
      <c r="R123" s="87">
        <f t="shared" ref="R123:S123" si="596">R118/R5</f>
        <v>2.2627380758587008E-2</v>
      </c>
      <c r="S123" s="644">
        <f t="shared" si="596"/>
        <v>2.0287958115183247E-2</v>
      </c>
      <c r="T123" s="668">
        <f t="shared" si="595"/>
        <v>2.1330624682579988E-2</v>
      </c>
      <c r="U123" s="87">
        <f t="shared" si="595"/>
        <v>2.1995630007283322E-2</v>
      </c>
      <c r="V123" s="644">
        <f t="shared" si="595"/>
        <v>1.6778115501519756E-2</v>
      </c>
      <c r="W123" s="668">
        <f t="shared" si="595"/>
        <v>1.9151756129887343E-2</v>
      </c>
      <c r="X123" s="87">
        <f t="shared" ref="X123:Y123" si="597">X118/X5</f>
        <v>1.820890581029631E-2</v>
      </c>
      <c r="Y123" s="644">
        <f t="shared" si="597"/>
        <v>1.3630406290956749E-2</v>
      </c>
      <c r="Z123" s="668">
        <f t="shared" si="595"/>
        <v>1.5653573257259894E-2</v>
      </c>
      <c r="AA123" s="87">
        <f t="shared" si="595"/>
        <v>5.8238636363636366E-3</v>
      </c>
      <c r="AB123" s="644">
        <f t="shared" si="595"/>
        <v>2.416843154354055E-2</v>
      </c>
      <c r="AC123" s="668">
        <f t="shared" si="595"/>
        <v>1.5597000066370213E-2</v>
      </c>
      <c r="AD123" s="87">
        <f t="shared" ref="AD123:AE123" si="598">AD118/AD5</f>
        <v>1.1151910784713722E-2</v>
      </c>
      <c r="AE123" s="644">
        <f t="shared" si="598"/>
        <v>5.3106088674817831E-3</v>
      </c>
      <c r="AF123" s="668">
        <f t="shared" si="595"/>
        <v>8.0906148867313909E-3</v>
      </c>
      <c r="AG123" s="87">
        <f t="shared" si="595"/>
        <v>-8.6675058442726133E-2</v>
      </c>
      <c r="AH123" s="644">
        <f t="shared" si="595"/>
        <v>-6.3043107854830463E-3</v>
      </c>
      <c r="AI123" s="668">
        <f>AI118/AI5</f>
        <v>-4.5406824146981627E-2</v>
      </c>
      <c r="AJ123" s="87">
        <f t="shared" ref="AJ123:AK123" si="599">AJ118/AJ5</f>
        <v>2.5636120145398889E-2</v>
      </c>
      <c r="AK123" s="644">
        <f t="shared" si="599"/>
        <v>2.0104895104895104E-2</v>
      </c>
      <c r="AL123" s="668">
        <f>AL118/AL5</f>
        <v>2.274595779665662E-2</v>
      </c>
      <c r="AM123" s="87">
        <f t="shared" ref="AM123:AN123" si="600">AM118/AM5</f>
        <v>2.3737754333082142E-2</v>
      </c>
      <c r="AN123" s="644">
        <f t="shared" si="600"/>
        <v>5.1469592306650413E-3</v>
      </c>
      <c r="AO123" s="668">
        <f t="shared" si="595"/>
        <v>1.2922543534788432E-2</v>
      </c>
      <c r="AP123" s="87">
        <f t="shared" ref="AP123:AR123" si="601">AP118/AP5</f>
        <v>1.6546762589928057E-2</v>
      </c>
      <c r="AQ123" s="644">
        <f t="shared" si="601"/>
        <v>1.3594987587185246E-2</v>
      </c>
      <c r="AR123" s="668">
        <f t="shared" si="601"/>
        <v>1.4926341748328898E-2</v>
      </c>
      <c r="AS123" s="87">
        <f t="shared" ref="AS123:AU123" si="602">AS118/AS5</f>
        <v>2.8721583964800783E-2</v>
      </c>
      <c r="AT123" s="644">
        <f t="shared" si="602"/>
        <v>1.520794537554314E-2</v>
      </c>
      <c r="AU123" s="668">
        <f t="shared" si="602"/>
        <v>2.1402958314657106E-2</v>
      </c>
      <c r="AV123" s="87">
        <f t="shared" ref="AV123:AW123" si="603">AV118/AV5</f>
        <v>3.1798608810864527E-2</v>
      </c>
      <c r="AW123" s="644">
        <f t="shared" si="603"/>
        <v>1.0543537538629339E-2</v>
      </c>
      <c r="AX123" s="668">
        <f t="shared" si="595"/>
        <v>2.0140585273443343E-2</v>
      </c>
      <c r="AY123" s="87">
        <f t="shared" si="595"/>
        <v>9.0433549073499417E-3</v>
      </c>
      <c r="AZ123" s="247">
        <f t="shared" si="595"/>
        <v>1.2631759772958469E-2</v>
      </c>
      <c r="BA123" s="583">
        <f t="shared" si="595"/>
        <v>1.0917792512089335E-2</v>
      </c>
      <c r="BB123" s="245">
        <f t="shared" si="595"/>
        <v>1.0917792512089337E-2</v>
      </c>
      <c r="BC123" s="247">
        <f t="shared" si="595"/>
        <v>1.0917792512089335E-2</v>
      </c>
      <c r="BD123" s="583">
        <f t="shared" si="595"/>
        <v>1.0917792512089337E-2</v>
      </c>
      <c r="BE123" s="245">
        <f t="shared" si="595"/>
        <v>1.0917792512089337E-2</v>
      </c>
      <c r="BF123" s="247">
        <f t="shared" si="595"/>
        <v>1.0917792512089337E-2</v>
      </c>
      <c r="BG123" s="583">
        <f t="shared" si="595"/>
        <v>1.0917792512089337E-2</v>
      </c>
      <c r="BH123" s="245">
        <f t="shared" si="595"/>
        <v>1.0917792512089337E-2</v>
      </c>
      <c r="BI123" s="247">
        <f t="shared" si="595"/>
        <v>1.0917792512089335E-2</v>
      </c>
      <c r="BJ123" s="583">
        <f t="shared" si="595"/>
        <v>1.0917792512089337E-2</v>
      </c>
      <c r="BK123" s="245">
        <f t="shared" si="595"/>
        <v>1.0917792512089337E-2</v>
      </c>
      <c r="BL123" s="247">
        <f t="shared" si="595"/>
        <v>1.0917792512089339E-2</v>
      </c>
      <c r="BM123" s="583">
        <f t="shared" si="595"/>
        <v>1.0917792512089337E-2</v>
      </c>
    </row>
    <row r="124" spans="1:65">
      <c r="B124" s="40"/>
      <c r="C124" s="40"/>
      <c r="D124" s="40"/>
      <c r="E124" s="40"/>
      <c r="F124" s="40">
        <v>0</v>
      </c>
      <c r="G124" s="40"/>
      <c r="H124" s="40"/>
      <c r="I124" s="40"/>
      <c r="J124" s="40"/>
      <c r="K124" s="40"/>
      <c r="L124" s="40"/>
      <c r="M124" s="40"/>
      <c r="N124" s="40"/>
      <c r="O124" s="40"/>
      <c r="P124" s="40"/>
      <c r="Q124" s="40"/>
      <c r="R124" s="40"/>
      <c r="S124" s="630"/>
      <c r="T124" s="653"/>
      <c r="U124" s="40"/>
      <c r="V124" s="630"/>
      <c r="W124" s="653"/>
      <c r="X124" s="40"/>
      <c r="Y124" s="630"/>
      <c r="Z124" s="653"/>
      <c r="AA124" s="40"/>
      <c r="AB124" s="630"/>
      <c r="AC124" s="653"/>
      <c r="AD124" s="40"/>
      <c r="AE124" s="630"/>
      <c r="AF124" s="653"/>
      <c r="AG124" s="40"/>
      <c r="AH124" s="630"/>
      <c r="AI124" s="653"/>
      <c r="AJ124" s="40"/>
      <c r="AK124" s="630"/>
      <c r="AL124" s="653"/>
      <c r="AM124" s="40"/>
      <c r="AN124" s="630"/>
      <c r="AO124" s="653"/>
      <c r="AP124" s="40"/>
      <c r="AQ124" s="630"/>
      <c r="AR124" s="653"/>
      <c r="AS124" s="40"/>
      <c r="AT124" s="630"/>
      <c r="AU124" s="653"/>
      <c r="AV124" s="40"/>
      <c r="AW124" s="630"/>
      <c r="AX124" s="653"/>
      <c r="AY124" s="40"/>
      <c r="AZ124" s="539"/>
      <c r="BA124" s="550"/>
      <c r="BB124"/>
      <c r="BC124" s="539"/>
      <c r="BD124" s="550"/>
      <c r="BE124"/>
      <c r="BF124" s="539"/>
      <c r="BG124" s="550"/>
      <c r="BH124"/>
      <c r="BI124" s="539"/>
      <c r="BJ124" s="550"/>
      <c r="BK124"/>
      <c r="BL124" s="539"/>
      <c r="BM124" s="550"/>
    </row>
    <row r="125" spans="1:65">
      <c r="A125" s="25" t="s">
        <v>416</v>
      </c>
      <c r="B125" s="40">
        <f>B113+B115-B116-B117+B119</f>
        <v>192</v>
      </c>
      <c r="C125" s="40">
        <f t="shared" ref="C125:N125" si="604">C113+C115-C116-C117+C119</f>
        <v>210</v>
      </c>
      <c r="D125" s="40">
        <f t="shared" si="604"/>
        <v>258</v>
      </c>
      <c r="E125" s="40">
        <f t="shared" si="604"/>
        <v>238</v>
      </c>
      <c r="F125" s="40">
        <f t="shared" si="604"/>
        <v>300</v>
      </c>
      <c r="G125" s="40">
        <f t="shared" si="604"/>
        <v>254</v>
      </c>
      <c r="H125" s="40">
        <f t="shared" si="604"/>
        <v>221</v>
      </c>
      <c r="I125" s="40">
        <f t="shared" si="604"/>
        <v>233</v>
      </c>
      <c r="J125" s="40">
        <f t="shared" si="604"/>
        <v>315</v>
      </c>
      <c r="K125" s="40">
        <f t="shared" si="604"/>
        <v>315</v>
      </c>
      <c r="L125" s="40">
        <f t="shared" si="604"/>
        <v>370</v>
      </c>
      <c r="M125" s="40">
        <f t="shared" si="604"/>
        <v>346</v>
      </c>
      <c r="N125" s="40">
        <f t="shared" si="604"/>
        <v>420</v>
      </c>
      <c r="O125" s="40">
        <f>CFS!O101</f>
        <v>608</v>
      </c>
      <c r="P125" s="40">
        <f>CFS!P101</f>
        <v>582</v>
      </c>
      <c r="Q125" s="40">
        <f>CFS!Q101</f>
        <v>613</v>
      </c>
      <c r="R125" s="40">
        <f>CFS!R101</f>
        <v>335</v>
      </c>
      <c r="S125" s="630">
        <f>CFS!S101</f>
        <v>385</v>
      </c>
      <c r="T125" s="653">
        <f>CFS!T101</f>
        <v>720</v>
      </c>
      <c r="U125" s="40">
        <f>CFS!U101</f>
        <v>372</v>
      </c>
      <c r="V125" s="630">
        <f>CFS!V101</f>
        <v>373</v>
      </c>
      <c r="W125" s="653">
        <f>CFS!W101</f>
        <v>745</v>
      </c>
      <c r="X125" s="40">
        <f>CFS!X101</f>
        <v>331</v>
      </c>
      <c r="Y125" s="630">
        <f>CFS!Y101</f>
        <v>321</v>
      </c>
      <c r="Z125" s="653">
        <f>CFS!Z101</f>
        <v>652</v>
      </c>
      <c r="AA125" s="40">
        <f>CFS!AA101</f>
        <v>315</v>
      </c>
      <c r="AB125" s="630">
        <f>CFS!AB101</f>
        <v>441</v>
      </c>
      <c r="AC125" s="653">
        <f>CFS!AC101</f>
        <v>756</v>
      </c>
      <c r="AD125" s="40">
        <f>CFS!AD101</f>
        <v>511</v>
      </c>
      <c r="AE125" s="630">
        <f>CFS!AE101</f>
        <v>557</v>
      </c>
      <c r="AF125" s="653">
        <f>CFS!AF101</f>
        <v>1068</v>
      </c>
      <c r="AG125" s="40">
        <f>CFS!AG101</f>
        <v>499</v>
      </c>
      <c r="AH125" s="630">
        <f>CFS!AH101</f>
        <v>549</v>
      </c>
      <c r="AI125" s="653">
        <f>CFS!AI101</f>
        <v>1048</v>
      </c>
      <c r="AJ125" s="40">
        <f>CFS!AJ101</f>
        <v>504</v>
      </c>
      <c r="AK125" s="630">
        <f>CFS!AK101</f>
        <v>467</v>
      </c>
      <c r="AL125" s="653">
        <f>CFS!AL101</f>
        <v>971</v>
      </c>
      <c r="AM125" s="40">
        <f>CFS!AM101</f>
        <v>455</v>
      </c>
      <c r="AN125" s="630">
        <f>CFS!AN101</f>
        <v>498</v>
      </c>
      <c r="AO125" s="653">
        <f>CFS!AO101</f>
        <v>953</v>
      </c>
      <c r="AP125" s="40">
        <f>CFS!AP101</f>
        <v>489</v>
      </c>
      <c r="AQ125" s="630">
        <f>CFS!AQ101</f>
        <v>489</v>
      </c>
      <c r="AR125" s="653">
        <f>CFS!AR101</f>
        <v>978</v>
      </c>
      <c r="AS125" s="40">
        <f>CFS!AS101</f>
        <v>427</v>
      </c>
      <c r="AT125" s="630">
        <f>CFS!AT101</f>
        <v>426</v>
      </c>
      <c r="AU125" s="653">
        <f>CFS!AU101</f>
        <v>853</v>
      </c>
      <c r="AV125" s="40">
        <f>CFS!AV101</f>
        <v>433</v>
      </c>
      <c r="AW125" s="630">
        <f>CFS!AW101</f>
        <v>467</v>
      </c>
      <c r="AX125" s="653">
        <f>CFS!AX101</f>
        <v>900</v>
      </c>
      <c r="AY125" s="40">
        <f>CFS!AY101</f>
        <v>426</v>
      </c>
      <c r="AZ125" s="236">
        <f>AZ113+AZ114+AZ118+AZ119</f>
        <v>516.71546756756607</v>
      </c>
      <c r="BA125" s="605">
        <f t="shared" ref="BA125:BM125" si="605">BA113+BA114+BA118+BA119</f>
        <v>942.71546756756607</v>
      </c>
      <c r="BB125" s="56">
        <f>BB113+BB114+BB118+BB119</f>
        <v>502.10257101047898</v>
      </c>
      <c r="BC125" s="236">
        <f>BC113+BC114+BC118+BC119</f>
        <v>525.69241306556614</v>
      </c>
      <c r="BD125" s="605">
        <f t="shared" si="605"/>
        <v>1027.794984076045</v>
      </c>
      <c r="BE125" s="56">
        <f>BE113+BE114+BE118+BE119</f>
        <v>536.72247465050964</v>
      </c>
      <c r="BF125" s="236">
        <f>BF113+BF114+BF118+BF119</f>
        <v>570.44382122568084</v>
      </c>
      <c r="BG125" s="605">
        <f t="shared" si="605"/>
        <v>1107.1662958761904</v>
      </c>
      <c r="BH125" s="56">
        <f>BH113+BH114+BH118+BH119</f>
        <v>584.18178597000815</v>
      </c>
      <c r="BI125" s="236">
        <f>BI113+BI114+BI118+BI119</f>
        <v>621.84723764831278</v>
      </c>
      <c r="BJ125" s="605">
        <f t="shared" si="605"/>
        <v>1206.0290236183209</v>
      </c>
      <c r="BK125" s="56">
        <f>BK113+BK114+BK118+BK119</f>
        <v>637.55477855315746</v>
      </c>
      <c r="BL125" s="236">
        <f>BL113+BL114+BL118+BL119</f>
        <v>678.79386247878517</v>
      </c>
      <c r="BM125" s="605">
        <f t="shared" si="605"/>
        <v>1316.3486410319426</v>
      </c>
    </row>
    <row r="126" spans="1:65">
      <c r="B126" s="40"/>
      <c r="C126" s="40"/>
      <c r="D126" s="40"/>
      <c r="E126" s="40"/>
      <c r="F126" s="40"/>
      <c r="G126" s="40"/>
      <c r="H126" s="40"/>
      <c r="I126" s="40"/>
      <c r="J126" s="40"/>
      <c r="K126" s="40"/>
      <c r="L126" s="40"/>
      <c r="M126" s="40"/>
      <c r="N126" s="40"/>
      <c r="O126" s="40"/>
      <c r="P126" s="40"/>
      <c r="Q126" s="40"/>
      <c r="R126" s="40"/>
      <c r="S126" s="630"/>
      <c r="T126" s="653"/>
      <c r="U126" s="40"/>
      <c r="V126" s="630"/>
      <c r="W126" s="653"/>
      <c r="X126" s="40"/>
      <c r="Y126" s="630"/>
      <c r="Z126" s="653"/>
      <c r="AA126" s="40"/>
      <c r="AB126" s="630"/>
      <c r="AC126" s="653"/>
      <c r="AD126" s="40"/>
      <c r="AE126" s="630"/>
      <c r="AF126" s="653"/>
      <c r="AG126" s="40"/>
      <c r="AH126" s="630"/>
      <c r="AI126" s="653"/>
      <c r="AJ126" s="40"/>
      <c r="AK126" s="630"/>
      <c r="AL126" s="653"/>
      <c r="AM126" s="40"/>
      <c r="AN126" s="630"/>
      <c r="AO126" s="653"/>
      <c r="AP126" s="40"/>
      <c r="AQ126" s="539"/>
      <c r="AR126" s="550"/>
      <c r="AS126"/>
      <c r="AT126" s="539"/>
      <c r="AU126" s="550"/>
      <c r="AV126"/>
      <c r="AW126" s="539"/>
      <c r="AX126" s="550"/>
      <c r="AY126"/>
      <c r="AZ126" s="539"/>
      <c r="BA126" s="550"/>
      <c r="BB126"/>
      <c r="BC126" s="539"/>
      <c r="BD126" s="550"/>
      <c r="BE126"/>
      <c r="BF126" s="539"/>
      <c r="BG126" s="550"/>
      <c r="BH126"/>
      <c r="BI126" s="539"/>
      <c r="BJ126" s="550"/>
      <c r="BK126"/>
      <c r="BL126" s="539"/>
      <c r="BM126" s="550"/>
    </row>
    <row r="127" spans="1:65">
      <c r="A127" s="310" t="s">
        <v>4</v>
      </c>
      <c r="B127" s="318"/>
      <c r="C127" s="318"/>
      <c r="D127" s="318"/>
      <c r="E127" s="318"/>
      <c r="F127" s="318"/>
      <c r="G127" s="318"/>
      <c r="H127" s="318"/>
      <c r="I127" s="318"/>
      <c r="J127" s="318"/>
      <c r="K127" s="318"/>
      <c r="L127" s="318"/>
      <c r="M127" s="318"/>
      <c r="N127" s="318"/>
      <c r="O127" s="318"/>
      <c r="P127" s="318"/>
      <c r="Q127" s="318"/>
      <c r="R127" s="527"/>
      <c r="S127" s="320"/>
      <c r="T127" s="678"/>
      <c r="U127" s="527"/>
      <c r="V127" s="320"/>
      <c r="W127" s="678"/>
      <c r="X127" s="527"/>
      <c r="Y127" s="320"/>
      <c r="Z127" s="678"/>
      <c r="AA127" s="527"/>
      <c r="AB127" s="320"/>
      <c r="AC127" s="664"/>
      <c r="AD127" s="527"/>
      <c r="AE127" s="320"/>
      <c r="AF127" s="664"/>
      <c r="AG127" s="527"/>
      <c r="AH127" s="320"/>
      <c r="AI127" s="664"/>
      <c r="AJ127" s="527"/>
      <c r="AK127" s="320"/>
      <c r="AL127" s="664"/>
      <c r="AM127" s="527"/>
      <c r="AN127" s="320"/>
      <c r="AO127" s="664"/>
      <c r="AP127" s="527"/>
      <c r="AQ127" s="320"/>
      <c r="AR127" s="664"/>
      <c r="AS127" s="527"/>
      <c r="AT127" s="320"/>
      <c r="AU127" s="664"/>
      <c r="AV127" s="527"/>
      <c r="AW127" s="320"/>
      <c r="AX127" s="664"/>
      <c r="AY127" s="527"/>
      <c r="AZ127" s="215"/>
      <c r="BA127" s="574"/>
      <c r="BB127" s="179"/>
      <c r="BC127" s="215"/>
      <c r="BD127" s="574"/>
      <c r="BE127" s="179"/>
      <c r="BF127" s="215"/>
      <c r="BG127" s="574"/>
      <c r="BH127" s="179"/>
      <c r="BI127" s="215"/>
      <c r="BJ127" s="574"/>
      <c r="BK127" s="179"/>
      <c r="BL127" s="215"/>
      <c r="BM127" s="574"/>
    </row>
    <row r="128" spans="1:65">
      <c r="B128" s="40"/>
      <c r="C128" s="40"/>
      <c r="D128" s="40"/>
      <c r="E128" s="40"/>
      <c r="F128" s="40"/>
      <c r="G128" s="40"/>
      <c r="H128" s="40"/>
      <c r="I128" s="40"/>
      <c r="J128" s="40"/>
      <c r="K128" s="40"/>
      <c r="L128" s="40"/>
      <c r="M128" s="40"/>
      <c r="N128" s="40"/>
      <c r="O128" s="40"/>
      <c r="P128" s="40"/>
      <c r="Q128" s="40"/>
      <c r="R128" s="271"/>
      <c r="S128" s="645"/>
      <c r="T128" s="653"/>
      <c r="U128" s="271"/>
      <c r="V128" s="645"/>
      <c r="W128" s="653"/>
      <c r="X128" s="271"/>
      <c r="Y128" s="645"/>
      <c r="Z128" s="669" t="s">
        <v>732</v>
      </c>
      <c r="AA128" s="271"/>
      <c r="AB128" s="645"/>
      <c r="AC128" s="669" t="s">
        <v>732</v>
      </c>
      <c r="AD128" s="271"/>
      <c r="AE128" s="645"/>
      <c r="AF128" s="669"/>
      <c r="AG128" s="271"/>
      <c r="AH128" s="645"/>
      <c r="AI128" s="669"/>
      <c r="AJ128" s="271"/>
      <c r="AK128" s="645"/>
      <c r="AL128" s="669"/>
      <c r="AM128" s="271"/>
      <c r="AN128" s="645"/>
      <c r="AO128" s="669"/>
      <c r="AP128" s="271"/>
      <c r="AQ128" s="539"/>
      <c r="AR128" s="550"/>
      <c r="AS128"/>
      <c r="AT128" s="539"/>
      <c r="AU128" s="550"/>
      <c r="AV128"/>
      <c r="AW128" s="539"/>
      <c r="AX128" s="550"/>
      <c r="AY128"/>
      <c r="AZ128" s="539"/>
      <c r="BA128" s="550"/>
      <c r="BB128"/>
      <c r="BC128" s="539"/>
      <c r="BD128" s="550"/>
      <c r="BE128"/>
      <c r="BF128" s="539"/>
      <c r="BG128" s="550"/>
      <c r="BH128"/>
      <c r="BI128" s="539"/>
      <c r="BJ128" s="550"/>
      <c r="BK128"/>
      <c r="BL128" s="539"/>
      <c r="BM128" s="550"/>
    </row>
    <row r="129" spans="1:65">
      <c r="A129" s="31" t="s">
        <v>731</v>
      </c>
      <c r="B129" s="51">
        <v>-371</v>
      </c>
      <c r="C129" s="51">
        <v>-358</v>
      </c>
      <c r="D129" s="51">
        <v>-297</v>
      </c>
      <c r="E129" s="51">
        <v>-281</v>
      </c>
      <c r="F129" s="51">
        <v>-282</v>
      </c>
      <c r="G129" s="51">
        <v>-339</v>
      </c>
      <c r="H129" s="51">
        <v>-395</v>
      </c>
      <c r="I129" s="51">
        <v>-454</v>
      </c>
      <c r="J129" s="51">
        <v>-490</v>
      </c>
      <c r="K129" s="51">
        <v>-471</v>
      </c>
      <c r="L129" s="51">
        <v>-506</v>
      </c>
      <c r="M129" s="51">
        <v>-520</v>
      </c>
      <c r="N129" s="51">
        <v>-572</v>
      </c>
      <c r="O129" s="51">
        <v>-725</v>
      </c>
      <c r="P129" s="51">
        <v>-818</v>
      </c>
      <c r="Q129" s="51">
        <v>-831</v>
      </c>
      <c r="R129" s="51">
        <v>-433</v>
      </c>
      <c r="S129" s="629">
        <f>T129-R129</f>
        <v>-504</v>
      </c>
      <c r="T129" s="652">
        <v>-937</v>
      </c>
      <c r="U129" s="51">
        <v>-465</v>
      </c>
      <c r="V129" s="629">
        <f>W129-U129</f>
        <v>-570</v>
      </c>
      <c r="W129" s="652">
        <v>-1035</v>
      </c>
      <c r="X129" s="51">
        <v>-442</v>
      </c>
      <c r="Y129" s="629">
        <f>Z129-X129</f>
        <v>-547</v>
      </c>
      <c r="Z129" s="652">
        <v>-989</v>
      </c>
      <c r="AA129" s="51">
        <v>-518</v>
      </c>
      <c r="AB129" s="629">
        <f>AC129-AA129</f>
        <v>-588</v>
      </c>
      <c r="AC129" s="652">
        <v>-1106</v>
      </c>
      <c r="AD129" s="51">
        <v>-518</v>
      </c>
      <c r="AE129" s="629">
        <f>AF129-AD129</f>
        <v>-592</v>
      </c>
      <c r="AF129" s="652">
        <f>-1118+8</f>
        <v>-1110</v>
      </c>
      <c r="AG129" s="51">
        <v>-442</v>
      </c>
      <c r="AH129" s="629">
        <f>AI129-AG129</f>
        <v>-430</v>
      </c>
      <c r="AI129" s="652">
        <v>-872</v>
      </c>
      <c r="AJ129" s="51">
        <v>-396</v>
      </c>
      <c r="AK129" s="629">
        <f>AL129-AJ129</f>
        <v>-417</v>
      </c>
      <c r="AL129" s="652">
        <v>-813</v>
      </c>
      <c r="AM129" s="51">
        <v>-381</v>
      </c>
      <c r="AN129" s="629">
        <f>AO129-AM129</f>
        <v>-547</v>
      </c>
      <c r="AO129" s="652">
        <v>-928</v>
      </c>
      <c r="AP129" s="51">
        <v>-430</v>
      </c>
      <c r="AQ129" s="629">
        <f>AR129-AP129</f>
        <v>-412</v>
      </c>
      <c r="AR129" s="652">
        <v>-842</v>
      </c>
      <c r="AS129" s="51">
        <v>-390</v>
      </c>
      <c r="AT129" s="629">
        <f>AU129-AS129</f>
        <v>-385</v>
      </c>
      <c r="AU129" s="652">
        <v>-775</v>
      </c>
      <c r="AV129" s="51">
        <v>-300</v>
      </c>
      <c r="AW129" s="541">
        <f>AX129-AV129</f>
        <v>-303</v>
      </c>
      <c r="AX129" s="652">
        <v>-603</v>
      </c>
      <c r="AY129" s="51">
        <v>-259</v>
      </c>
      <c r="AZ129" s="237">
        <f>BA129-AY129</f>
        <v>-331.34993554478501</v>
      </c>
      <c r="BA129" s="576">
        <f t="shared" ref="BA129:BM129" si="606">-BA130*BA5</f>
        <v>-590.34993554478501</v>
      </c>
      <c r="BB129" s="48">
        <f t="shared" si="606"/>
        <v>-322.85498078542184</v>
      </c>
      <c r="BC129" s="237">
        <f>BD129-BB129</f>
        <v>-344.09325016526884</v>
      </c>
      <c r="BD129" s="576">
        <f t="shared" si="606"/>
        <v>-666.94823095069069</v>
      </c>
      <c r="BE129" s="48">
        <f t="shared" si="606"/>
        <v>-354.02377105092341</v>
      </c>
      <c r="BF129" s="237">
        <f>BG129-BE129</f>
        <v>-384.38357764658588</v>
      </c>
      <c r="BG129" s="576">
        <f t="shared" si="606"/>
        <v>-738.40734869750929</v>
      </c>
      <c r="BH129" s="48">
        <f t="shared" si="606"/>
        <v>-396.75206215315961</v>
      </c>
      <c r="BI129" s="237">
        <f>BJ129-BH129</f>
        <v>-430.66280251290425</v>
      </c>
      <c r="BJ129" s="576">
        <f t="shared" si="606"/>
        <v>-827.41486466606386</v>
      </c>
      <c r="BK129" s="48">
        <f t="shared" si="606"/>
        <v>-444.8045243715344</v>
      </c>
      <c r="BL129" s="237">
        <f>BM129-BK129</f>
        <v>-481.93265652881291</v>
      </c>
      <c r="BM129" s="576">
        <f t="shared" si="606"/>
        <v>-926.73718090034731</v>
      </c>
    </row>
    <row r="130" spans="1:65">
      <c r="A130" s="72" t="s">
        <v>306</v>
      </c>
      <c r="B130" s="132">
        <f t="shared" ref="B130:AO130" si="607">-B129/B5</f>
        <v>6.326739427012279E-2</v>
      </c>
      <c r="C130" s="132">
        <f t="shared" si="607"/>
        <v>5.6573957016434889E-2</v>
      </c>
      <c r="D130" s="132">
        <f t="shared" si="607"/>
        <v>5.1313061506565311E-2</v>
      </c>
      <c r="E130" s="132">
        <f t="shared" si="607"/>
        <v>4.9778565101860052E-2</v>
      </c>
      <c r="F130" s="132">
        <f t="shared" si="607"/>
        <v>4.7418866655456533E-2</v>
      </c>
      <c r="G130" s="132">
        <f t="shared" si="607"/>
        <v>5.2493031898420563E-2</v>
      </c>
      <c r="H130" s="132">
        <f t="shared" si="607"/>
        <v>5.3719570243438056E-2</v>
      </c>
      <c r="I130" s="132">
        <f t="shared" si="607"/>
        <v>5.8078546757067931E-2</v>
      </c>
      <c r="J130" s="132">
        <f t="shared" si="607"/>
        <v>5.3569476331037501E-2</v>
      </c>
      <c r="K130" s="132">
        <f t="shared" si="607"/>
        <v>4.659675504550851E-2</v>
      </c>
      <c r="L130" s="132">
        <f t="shared" si="607"/>
        <v>4.6567274065893616E-2</v>
      </c>
      <c r="M130" s="132">
        <f t="shared" si="607"/>
        <v>4.6111554491442761E-2</v>
      </c>
      <c r="N130" s="132">
        <f t="shared" si="607"/>
        <v>4.6850683921697112E-2</v>
      </c>
      <c r="O130" s="132">
        <f t="shared" si="607"/>
        <v>4.6759109964527569E-2</v>
      </c>
      <c r="P130" s="132">
        <f t="shared" si="607"/>
        <v>5.9001731102135024E-2</v>
      </c>
      <c r="Q130" s="132">
        <f t="shared" si="607"/>
        <v>6.2228545754081176E-2</v>
      </c>
      <c r="R130" s="345">
        <f t="shared" si="607"/>
        <v>7.0486732866677518E-2</v>
      </c>
      <c r="S130" s="646">
        <f t="shared" si="607"/>
        <v>6.5968586387434552E-2</v>
      </c>
      <c r="T130" s="670">
        <f t="shared" si="607"/>
        <v>6.7982297032576355E-2</v>
      </c>
      <c r="U130" s="345">
        <f t="shared" ref="U130:V130" si="608">-U129/U5</f>
        <v>6.7734887108521491E-2</v>
      </c>
      <c r="V130" s="646">
        <f t="shared" si="608"/>
        <v>6.930091185410335E-2</v>
      </c>
      <c r="W130" s="670">
        <f t="shared" si="607"/>
        <v>6.8588469184890657E-2</v>
      </c>
      <c r="X130" s="345">
        <f t="shared" si="607"/>
        <v>7.3166694255917888E-2</v>
      </c>
      <c r="Y130" s="646">
        <f t="shared" si="607"/>
        <v>7.1690694626474441E-2</v>
      </c>
      <c r="Z130" s="670">
        <f t="shared" si="607"/>
        <v>7.2342915660888005E-2</v>
      </c>
      <c r="AA130" s="345">
        <f t="shared" ref="AA130:AB130" si="609">-AA129/AA5</f>
        <v>7.3579545454545453E-2</v>
      </c>
      <c r="AB130" s="646">
        <f t="shared" si="609"/>
        <v>7.3252771894854865E-2</v>
      </c>
      <c r="AC130" s="670">
        <f t="shared" si="607"/>
        <v>7.3405455631512573E-2</v>
      </c>
      <c r="AD130" s="345">
        <f t="shared" si="607"/>
        <v>7.044743642050863E-2</v>
      </c>
      <c r="AE130" s="646">
        <f t="shared" si="607"/>
        <v>7.3113498826725951E-2</v>
      </c>
      <c r="AF130" s="670">
        <f t="shared" si="607"/>
        <v>7.184466019417475E-2</v>
      </c>
      <c r="AG130" s="345">
        <f t="shared" ref="AG130:AH130" si="610">-AG129/AG5</f>
        <v>7.948210753461607E-2</v>
      </c>
      <c r="AH130" s="646">
        <f t="shared" si="610"/>
        <v>7.3266314533992169E-2</v>
      </c>
      <c r="AI130" s="670">
        <f t="shared" si="607"/>
        <v>7.6290463692038499E-2</v>
      </c>
      <c r="AJ130" s="345">
        <f t="shared" si="607"/>
        <v>7.5760474459537014E-2</v>
      </c>
      <c r="AK130" s="646">
        <f t="shared" si="607"/>
        <v>7.2902097902097895E-2</v>
      </c>
      <c r="AL130" s="670">
        <v>6.5000000000000002E-2</v>
      </c>
      <c r="AM130" s="345">
        <f t="shared" ref="AM130:AN130" si="611">-AM129/AM5</f>
        <v>7.1778447626224567E-2</v>
      </c>
      <c r="AN130" s="646">
        <f t="shared" si="611"/>
        <v>7.4089123662467837E-2</v>
      </c>
      <c r="AO130" s="670">
        <f t="shared" si="607"/>
        <v>7.3122685367583332E-2</v>
      </c>
      <c r="AP130" s="345">
        <f t="shared" ref="AP130:AR130" si="612">-AP129/AP5</f>
        <v>6.1870503597122303E-2</v>
      </c>
      <c r="AQ130" s="646">
        <f t="shared" si="612"/>
        <v>4.8705520747133232E-2</v>
      </c>
      <c r="AR130" s="670">
        <f t="shared" si="612"/>
        <v>5.4643390226491013E-2</v>
      </c>
      <c r="AS130" s="345">
        <f t="shared" ref="AS130:AU130" si="613">-AS129/AS5</f>
        <v>4.7665607430945979E-2</v>
      </c>
      <c r="AT130" s="646">
        <f t="shared" si="613"/>
        <v>3.9830333126422514E-2</v>
      </c>
      <c r="AU130" s="670">
        <f t="shared" si="613"/>
        <v>4.3422232182877635E-2</v>
      </c>
      <c r="AV130" s="345">
        <f t="shared" ref="AV130:AW130" si="614">-AV129/AV5</f>
        <v>3.3123550844650546E-2</v>
      </c>
      <c r="AW130" s="1100">
        <f t="shared" si="614"/>
        <v>2.754044719141974E-2</v>
      </c>
      <c r="AX130" s="670">
        <f t="shared" ref="AX130:AY130" si="615">-AX129/AX5</f>
        <v>3.0061319108629542E-2</v>
      </c>
      <c r="AY130" s="345">
        <f t="shared" si="615"/>
        <v>2.296302863729054E-2</v>
      </c>
      <c r="AZ130" s="958">
        <f t="shared" ref="AZ130" si="616">-AZ129/AZ5</f>
        <v>2.6862586526318333E-2</v>
      </c>
      <c r="BA130" s="616">
        <v>2.5000000000000001E-2</v>
      </c>
      <c r="BB130" s="205">
        <f>BD130</f>
        <v>2.5000000000000001E-2</v>
      </c>
      <c r="BC130" s="958">
        <f t="shared" ref="BC130" si="617">-BC129/BC5</f>
        <v>2.4999999999999994E-2</v>
      </c>
      <c r="BD130" s="582">
        <f>BA130</f>
        <v>2.5000000000000001E-2</v>
      </c>
      <c r="BE130" s="205">
        <f>BG130</f>
        <v>2.5000000000000001E-2</v>
      </c>
      <c r="BF130" s="958">
        <f t="shared" ref="BF130" si="618">-BF129/BF5</f>
        <v>2.5000000000000001E-2</v>
      </c>
      <c r="BG130" s="582">
        <f>BD130</f>
        <v>2.5000000000000001E-2</v>
      </c>
      <c r="BH130" s="205">
        <f>BJ130</f>
        <v>2.5000000000000001E-2</v>
      </c>
      <c r="BI130" s="958">
        <f t="shared" ref="BI130" si="619">-BI129/BI5</f>
        <v>2.4999999999999994E-2</v>
      </c>
      <c r="BJ130" s="582">
        <f>BG130</f>
        <v>2.5000000000000001E-2</v>
      </c>
      <c r="BK130" s="205">
        <f>BM130</f>
        <v>2.5000000000000001E-2</v>
      </c>
      <c r="BL130" s="958">
        <f t="shared" ref="BL130" si="620">-BL129/BL5</f>
        <v>2.5000000000000001E-2</v>
      </c>
      <c r="BM130" s="582">
        <f>BJ130</f>
        <v>2.5000000000000001E-2</v>
      </c>
    </row>
    <row r="131" spans="1:65">
      <c r="A131" s="25" t="s">
        <v>305</v>
      </c>
      <c r="B131" s="40"/>
      <c r="C131" s="40"/>
      <c r="D131" s="40"/>
      <c r="E131" s="40"/>
      <c r="F131" s="40"/>
      <c r="G131" s="40"/>
      <c r="H131" s="40"/>
      <c r="I131" s="40"/>
      <c r="J131" s="40"/>
      <c r="K131" s="40"/>
      <c r="L131" s="40">
        <v>111</v>
      </c>
      <c r="M131" s="40">
        <v>93</v>
      </c>
      <c r="N131" s="40">
        <v>38</v>
      </c>
      <c r="O131" s="40">
        <v>110</v>
      </c>
      <c r="P131" s="40">
        <v>83</v>
      </c>
      <c r="Q131" s="40">
        <v>51</v>
      </c>
      <c r="R131" s="40">
        <v>54</v>
      </c>
      <c r="S131" s="630">
        <f>T131-R131</f>
        <v>45</v>
      </c>
      <c r="T131" s="653">
        <v>99</v>
      </c>
      <c r="U131" s="40">
        <v>84</v>
      </c>
      <c r="V131" s="630">
        <f>W131-U131</f>
        <v>258</v>
      </c>
      <c r="W131" s="653">
        <v>342</v>
      </c>
      <c r="X131" s="40">
        <v>84</v>
      </c>
      <c r="Y131" s="630">
        <f>Z131-X131</f>
        <v>263</v>
      </c>
      <c r="Z131" s="653">
        <v>347</v>
      </c>
      <c r="AA131" s="40">
        <v>239</v>
      </c>
      <c r="AB131" s="630">
        <f>AC131-AA131</f>
        <v>259</v>
      </c>
      <c r="AC131" s="653">
        <v>498</v>
      </c>
      <c r="AD131" s="40">
        <v>224</v>
      </c>
      <c r="AE131" s="630">
        <f>AF131-AD131</f>
        <v>257</v>
      </c>
      <c r="AF131" s="653">
        <v>481</v>
      </c>
      <c r="AG131" s="40">
        <v>150</v>
      </c>
      <c r="AH131" s="630">
        <f>AI131-AG131</f>
        <v>78</v>
      </c>
      <c r="AI131" s="653">
        <v>228</v>
      </c>
      <c r="AJ131" s="40">
        <v>41</v>
      </c>
      <c r="AK131" s="630">
        <f>AL131-AJ131</f>
        <v>64</v>
      </c>
      <c r="AL131" s="653">
        <v>105</v>
      </c>
      <c r="AM131" s="40">
        <v>48</v>
      </c>
      <c r="AN131" s="630">
        <f>AO131-AM131</f>
        <v>83</v>
      </c>
      <c r="AO131" s="653">
        <v>131</v>
      </c>
      <c r="AP131" s="40">
        <v>84</v>
      </c>
      <c r="AQ131" s="630">
        <f>AR131-AP131</f>
        <v>108</v>
      </c>
      <c r="AR131" s="653">
        <v>192</v>
      </c>
      <c r="AS131" s="40">
        <v>126</v>
      </c>
      <c r="AT131" s="630">
        <f>AU131-AS131</f>
        <v>137</v>
      </c>
      <c r="AU131" s="653">
        <v>263</v>
      </c>
      <c r="AV131" s="40">
        <v>104</v>
      </c>
      <c r="AW131" s="539">
        <f>AX131-AV131</f>
        <v>107</v>
      </c>
      <c r="AX131" s="653">
        <v>211</v>
      </c>
      <c r="AY131" s="40">
        <v>86</v>
      </c>
      <c r="AZ131" s="236">
        <f>BA131-AY131</f>
        <v>120.5735263680757</v>
      </c>
      <c r="BA131" s="605">
        <f>(AX131/AX129)*BA129</f>
        <v>206.5735263680757</v>
      </c>
      <c r="BB131" s="56">
        <f>BD131/2</f>
        <v>116.68828916301472</v>
      </c>
      <c r="BC131" s="236">
        <f>BD131-BB131</f>
        <v>116.68828916301472</v>
      </c>
      <c r="BD131" s="605">
        <f>(BA131/BA129)*BD129</f>
        <v>233.37657832602943</v>
      </c>
      <c r="BE131" s="56">
        <f>BG131/2</f>
        <v>129.19067211871845</v>
      </c>
      <c r="BF131" s="236">
        <f>BG131-BE131</f>
        <v>129.19067211871845</v>
      </c>
      <c r="BG131" s="605">
        <f>(BD131/BD129)*BG129</f>
        <v>258.38134423743691</v>
      </c>
      <c r="BH131" s="56">
        <f>BJ131/2</f>
        <v>144.7632972176944</v>
      </c>
      <c r="BI131" s="236">
        <f>BJ131-BH131</f>
        <v>144.7632972176944</v>
      </c>
      <c r="BJ131" s="605">
        <f>(BG131/BG129)*BJ129</f>
        <v>289.5265944353888</v>
      </c>
      <c r="BK131" s="56">
        <f>BM131/2</f>
        <v>162.1405847180541</v>
      </c>
      <c r="BL131" s="236">
        <f>BM131-BK131</f>
        <v>162.1405847180541</v>
      </c>
      <c r="BM131" s="605">
        <f t="shared" ref="BM131" si="621">(BJ131/BJ129)*BM129</f>
        <v>324.2811694361082</v>
      </c>
    </row>
    <row r="132" spans="1:65">
      <c r="A132" s="25" t="s">
        <v>299</v>
      </c>
      <c r="B132" s="40"/>
      <c r="C132" s="40"/>
      <c r="D132" s="40"/>
      <c r="E132" s="40"/>
      <c r="F132" s="40"/>
      <c r="G132" s="40"/>
      <c r="H132" s="40"/>
      <c r="I132" s="40"/>
      <c r="J132" s="40"/>
      <c r="K132" s="40"/>
      <c r="L132" s="40">
        <v>-27</v>
      </c>
      <c r="M132" s="40">
        <v>-36</v>
      </c>
      <c r="N132" s="40">
        <v>-55</v>
      </c>
      <c r="O132" s="40">
        <v>-130</v>
      </c>
      <c r="P132" s="40">
        <v>-125</v>
      </c>
      <c r="Q132" s="40">
        <v>-136</v>
      </c>
      <c r="R132" s="40">
        <v>-71</v>
      </c>
      <c r="S132" s="630">
        <f>T132-R132</f>
        <v>-76</v>
      </c>
      <c r="T132" s="653">
        <v>-147</v>
      </c>
      <c r="U132" s="40">
        <v>-76</v>
      </c>
      <c r="V132" s="630">
        <f>W132-U132</f>
        <v>-74</v>
      </c>
      <c r="W132" s="653">
        <v>-150</v>
      </c>
      <c r="X132" s="40">
        <f>-396-X131-X129</f>
        <v>-38</v>
      </c>
      <c r="Y132" s="630">
        <f>Z132-X132</f>
        <v>-44</v>
      </c>
      <c r="Z132" s="653">
        <v>-82</v>
      </c>
      <c r="AA132" s="40">
        <f>-296-AA131-AA129</f>
        <v>-17</v>
      </c>
      <c r="AB132" s="630">
        <f>AC132-AA132</f>
        <v>-25</v>
      </c>
      <c r="AC132" s="653">
        <v>-42</v>
      </c>
      <c r="AD132" s="40">
        <v>-55</v>
      </c>
      <c r="AE132" s="630">
        <f>AF132-AD132</f>
        <v>-58</v>
      </c>
      <c r="AF132" s="653">
        <f>-133-AF133</f>
        <v>-113</v>
      </c>
      <c r="AG132" s="40">
        <v>-386</v>
      </c>
      <c r="AH132" s="630">
        <f>AI132-AG132</f>
        <v>-174</v>
      </c>
      <c r="AI132" s="653">
        <v>-560</v>
      </c>
      <c r="AJ132" s="40">
        <v>-35</v>
      </c>
      <c r="AK132" s="630">
        <f>AL132-AJ132</f>
        <v>-35</v>
      </c>
      <c r="AL132" s="653">
        <v>-70</v>
      </c>
      <c r="AM132" s="40">
        <v>-40</v>
      </c>
      <c r="AN132" s="630">
        <f>AO132-AM132</f>
        <v>-54</v>
      </c>
      <c r="AO132" s="653">
        <v>-94</v>
      </c>
      <c r="AP132" s="40">
        <v>-43</v>
      </c>
      <c r="AQ132" s="630">
        <f>AR132-AP132</f>
        <v>-46</v>
      </c>
      <c r="AR132" s="653">
        <v>-89</v>
      </c>
      <c r="AS132" s="40">
        <v>365</v>
      </c>
      <c r="AT132" s="630">
        <f>AU132-AS132</f>
        <v>-56</v>
      </c>
      <c r="AU132" s="653">
        <v>309</v>
      </c>
      <c r="AV132" s="40">
        <v>-50</v>
      </c>
      <c r="AW132" s="539">
        <f>AX132-AV132</f>
        <v>-53</v>
      </c>
      <c r="AX132" s="653">
        <v>-103</v>
      </c>
      <c r="AY132" s="40">
        <v>-55</v>
      </c>
      <c r="AZ132" s="236">
        <f>BA132-AY132</f>
        <v>-45.839209554084348</v>
      </c>
      <c r="BA132" s="605">
        <f>(AX132/AX131)*BA131</f>
        <v>-100.83920955408435</v>
      </c>
      <c r="BB132" s="56">
        <f>BD132/2</f>
        <v>-56.961581913699128</v>
      </c>
      <c r="BC132" s="236">
        <f>BD132-BB132</f>
        <v>-56.961581913699128</v>
      </c>
      <c r="BD132" s="605">
        <f>(BA132/BA131)*BD131</f>
        <v>-113.92316382739826</v>
      </c>
      <c r="BE132" s="56">
        <f>BG132/2</f>
        <v>-63.064640892075829</v>
      </c>
      <c r="BF132" s="236">
        <f>BG132-BE132</f>
        <v>-63.064640892075829</v>
      </c>
      <c r="BG132" s="605">
        <f>(BD132/BD131)*BG131</f>
        <v>-126.12928178415166</v>
      </c>
      <c r="BH132" s="56">
        <f>BJ132/2</f>
        <v>-70.66644366550959</v>
      </c>
      <c r="BI132" s="236">
        <f>BJ132-BH132</f>
        <v>-70.66644366550959</v>
      </c>
      <c r="BJ132" s="605">
        <f>(BG132/BG131)*BJ131</f>
        <v>-141.33288733101918</v>
      </c>
      <c r="BK132" s="56">
        <f>BM132/2</f>
        <v>-79.149195383694661</v>
      </c>
      <c r="BL132" s="236">
        <f>BM132-BK132</f>
        <v>-79.149195383694661</v>
      </c>
      <c r="BM132" s="605">
        <f t="shared" ref="BM132" si="622">(BJ132/BJ131)*BM131</f>
        <v>-158.29839076738932</v>
      </c>
    </row>
    <row r="133" spans="1:65">
      <c r="A133" s="25" t="s">
        <v>300</v>
      </c>
      <c r="B133" s="40"/>
      <c r="C133" s="40"/>
      <c r="D133" s="40"/>
      <c r="E133" s="40"/>
      <c r="F133" s="40"/>
      <c r="G133" s="40"/>
      <c r="H133" s="40"/>
      <c r="I133" s="40"/>
      <c r="J133" s="40"/>
      <c r="K133" s="40"/>
      <c r="L133" s="40">
        <v>0</v>
      </c>
      <c r="M133" s="40">
        <v>0</v>
      </c>
      <c r="N133" s="40">
        <v>0</v>
      </c>
      <c r="O133" s="40">
        <v>0</v>
      </c>
      <c r="P133" s="40">
        <v>0</v>
      </c>
      <c r="Q133" s="40">
        <v>0</v>
      </c>
      <c r="R133" s="40">
        <v>0</v>
      </c>
      <c r="S133" s="630">
        <f>T133-R133</f>
        <v>-2</v>
      </c>
      <c r="T133" s="653">
        <v>-2</v>
      </c>
      <c r="U133" s="40">
        <v>0</v>
      </c>
      <c r="V133" s="630">
        <f>W133-U133</f>
        <v>0</v>
      </c>
      <c r="W133" s="653">
        <v>0</v>
      </c>
      <c r="X133" s="40">
        <v>0</v>
      </c>
      <c r="Y133" s="630">
        <f>Z133-X133</f>
        <v>0</v>
      </c>
      <c r="Z133" s="653">
        <v>0</v>
      </c>
      <c r="AA133" s="40">
        <v>0</v>
      </c>
      <c r="AB133" s="630">
        <f>AC133-AA133</f>
        <v>0</v>
      </c>
      <c r="AC133" s="653">
        <v>0</v>
      </c>
      <c r="AD133" s="40">
        <v>0</v>
      </c>
      <c r="AE133" s="630">
        <f>AF133-AD133</f>
        <v>-20</v>
      </c>
      <c r="AF133" s="653">
        <v>-20</v>
      </c>
      <c r="AG133" s="40">
        <v>0</v>
      </c>
      <c r="AH133" s="630">
        <f>AI133-AG133</f>
        <v>0</v>
      </c>
      <c r="AI133" s="653">
        <v>0</v>
      </c>
      <c r="AJ133" s="40">
        <v>0</v>
      </c>
      <c r="AK133" s="630">
        <f>AL133-AJ133</f>
        <v>0</v>
      </c>
      <c r="AL133" s="653">
        <v>0</v>
      </c>
      <c r="AM133" s="40">
        <v>0</v>
      </c>
      <c r="AN133" s="630">
        <f>AO133-AM133</f>
        <v>0</v>
      </c>
      <c r="AO133" s="653">
        <v>0</v>
      </c>
      <c r="AP133" s="40">
        <v>0</v>
      </c>
      <c r="AQ133" s="630">
        <f>AR133-AP133</f>
        <v>0</v>
      </c>
      <c r="AR133" s="653">
        <v>0</v>
      </c>
      <c r="AS133" s="40">
        <v>0</v>
      </c>
      <c r="AT133" s="630">
        <f>AU133-AS133</f>
        <v>0</v>
      </c>
      <c r="AU133" s="653">
        <v>0</v>
      </c>
      <c r="AV133" s="40">
        <v>0</v>
      </c>
      <c r="AW133" s="539">
        <f>AX133-AV133</f>
        <v>0</v>
      </c>
      <c r="AX133" s="653">
        <v>0</v>
      </c>
      <c r="AY133" s="40">
        <v>0</v>
      </c>
      <c r="AZ133" s="236">
        <f>BA133-AY133</f>
        <v>0</v>
      </c>
      <c r="BA133" s="617">
        <v>0</v>
      </c>
      <c r="BB133" s="56">
        <f>BD133/2</f>
        <v>0</v>
      </c>
      <c r="BC133" s="236">
        <f>BD133-BB133</f>
        <v>0</v>
      </c>
      <c r="BD133" s="617">
        <v>0</v>
      </c>
      <c r="BE133" s="56">
        <f>BG133/2</f>
        <v>0</v>
      </c>
      <c r="BF133" s="236">
        <f>BG133-BE133</f>
        <v>0</v>
      </c>
      <c r="BG133" s="617">
        <v>0</v>
      </c>
      <c r="BH133" s="56">
        <f>BJ133/2</f>
        <v>0</v>
      </c>
      <c r="BI133" s="236">
        <f>BJ133-BH133</f>
        <v>0</v>
      </c>
      <c r="BJ133" s="617">
        <v>0</v>
      </c>
      <c r="BK133" s="56">
        <f>BM133/2</f>
        <v>0</v>
      </c>
      <c r="BL133" s="236">
        <f>BM133-BK133</f>
        <v>0</v>
      </c>
      <c r="BM133" s="617">
        <v>0</v>
      </c>
    </row>
    <row r="134" spans="1:65">
      <c r="A134" s="31" t="s">
        <v>301</v>
      </c>
      <c r="B134" s="40"/>
      <c r="C134" s="40"/>
      <c r="D134" s="40"/>
      <c r="E134" s="40"/>
      <c r="F134" s="40"/>
      <c r="G134" s="40"/>
      <c r="H134" s="40"/>
      <c r="I134" s="40"/>
      <c r="J134" s="40"/>
      <c r="K134" s="40"/>
      <c r="L134" s="51">
        <f t="shared" ref="L134:BM134" si="623">L129+L131+L132+L133</f>
        <v>-422</v>
      </c>
      <c r="M134" s="51">
        <f t="shared" si="623"/>
        <v>-463</v>
      </c>
      <c r="N134" s="51">
        <f t="shared" si="623"/>
        <v>-589</v>
      </c>
      <c r="O134" s="51">
        <f t="shared" si="623"/>
        <v>-745</v>
      </c>
      <c r="P134" s="51">
        <f t="shared" si="623"/>
        <v>-860</v>
      </c>
      <c r="Q134" s="51">
        <f t="shared" si="623"/>
        <v>-916</v>
      </c>
      <c r="R134" s="51">
        <f t="shared" ref="R134:S134" si="624">R129+R131+R132+R133</f>
        <v>-450</v>
      </c>
      <c r="S134" s="629">
        <f t="shared" si="624"/>
        <v>-537</v>
      </c>
      <c r="T134" s="652">
        <f t="shared" si="623"/>
        <v>-987</v>
      </c>
      <c r="U134" s="51">
        <f t="shared" si="623"/>
        <v>-457</v>
      </c>
      <c r="V134" s="629">
        <f t="shared" si="623"/>
        <v>-386</v>
      </c>
      <c r="W134" s="652">
        <f>W129+W131+W132+W133</f>
        <v>-843</v>
      </c>
      <c r="X134" s="51">
        <f t="shared" ref="X134:Y134" si="625">X129+X131+X132+X133</f>
        <v>-396</v>
      </c>
      <c r="Y134" s="629">
        <f t="shared" si="625"/>
        <v>-328</v>
      </c>
      <c r="Z134" s="652">
        <f>Z129+Z131+Z132+Z133</f>
        <v>-724</v>
      </c>
      <c r="AA134" s="51">
        <f t="shared" ref="AA134:AB134" si="626">AA129+AA131+AA132+AA133</f>
        <v>-296</v>
      </c>
      <c r="AB134" s="629">
        <f t="shared" si="626"/>
        <v>-354</v>
      </c>
      <c r="AC134" s="652">
        <f>AC129+AC131+AC132+AC133</f>
        <v>-650</v>
      </c>
      <c r="AD134" s="51">
        <f t="shared" ref="AD134:AE134" si="627">AD129+AD131+AD132+AD133</f>
        <v>-349</v>
      </c>
      <c r="AE134" s="629">
        <f t="shared" si="627"/>
        <v>-413</v>
      </c>
      <c r="AF134" s="652">
        <f t="shared" si="623"/>
        <v>-762</v>
      </c>
      <c r="AG134" s="51">
        <f t="shared" si="623"/>
        <v>-678</v>
      </c>
      <c r="AH134" s="629">
        <f t="shared" si="623"/>
        <v>-526</v>
      </c>
      <c r="AI134" s="652">
        <f>AI129+AI131+AI132+AI133</f>
        <v>-1204</v>
      </c>
      <c r="AJ134" s="51">
        <f t="shared" ref="AJ134:AK134" si="628">AJ129+AJ131+AJ132+AJ133</f>
        <v>-390</v>
      </c>
      <c r="AK134" s="629">
        <f t="shared" si="628"/>
        <v>-388</v>
      </c>
      <c r="AL134" s="652">
        <f t="shared" si="623"/>
        <v>-778</v>
      </c>
      <c r="AM134" s="51">
        <f t="shared" si="623"/>
        <v>-373</v>
      </c>
      <c r="AN134" s="629">
        <f t="shared" ref="AN134" si="629">AN129+AN131+AN132+AN133</f>
        <v>-518</v>
      </c>
      <c r="AO134" s="652">
        <f t="shared" si="623"/>
        <v>-891</v>
      </c>
      <c r="AP134" s="51">
        <f t="shared" ref="AP134:AR134" si="630">AP129+AP131+AP132+AP133</f>
        <v>-389</v>
      </c>
      <c r="AQ134" s="629">
        <f t="shared" si="630"/>
        <v>-350</v>
      </c>
      <c r="AR134" s="652">
        <f t="shared" si="630"/>
        <v>-739</v>
      </c>
      <c r="AS134" s="51">
        <f t="shared" ref="AS134:AU134" si="631">AS129+AS131+AS132+AS133</f>
        <v>101</v>
      </c>
      <c r="AT134" s="629">
        <f t="shared" si="631"/>
        <v>-304</v>
      </c>
      <c r="AU134" s="652">
        <f t="shared" si="631"/>
        <v>-203</v>
      </c>
      <c r="AV134" s="51">
        <f t="shared" ref="AV134:AW134" si="632">AV129+AV131+AV132+AV133</f>
        <v>-246</v>
      </c>
      <c r="AW134" s="541">
        <f t="shared" si="632"/>
        <v>-249</v>
      </c>
      <c r="AX134" s="652">
        <f t="shared" ref="AX134:AY134" si="633">AX129+AX131+AX132+AX133</f>
        <v>-495</v>
      </c>
      <c r="AY134" s="51">
        <f t="shared" si="633"/>
        <v>-228</v>
      </c>
      <c r="AZ134" s="237">
        <f t="shared" ref="AZ134" si="634">AZ129+AZ131+AZ132+AZ133</f>
        <v>-256.61561873079364</v>
      </c>
      <c r="BA134" s="576">
        <f t="shared" si="623"/>
        <v>-484.61561873079364</v>
      </c>
      <c r="BB134" s="48">
        <f t="shared" si="623"/>
        <v>-263.12827353610629</v>
      </c>
      <c r="BC134" s="237">
        <f t="shared" ref="BC134" si="635">BC129+BC131+BC132+BC133</f>
        <v>-284.36654291595329</v>
      </c>
      <c r="BD134" s="576">
        <f t="shared" si="623"/>
        <v>-547.49481645205958</v>
      </c>
      <c r="BE134" s="48">
        <f t="shared" si="623"/>
        <v>-287.89773982428079</v>
      </c>
      <c r="BF134" s="237">
        <f t="shared" ref="BF134" si="636">BF129+BF131+BF132+BF133</f>
        <v>-318.25754641994325</v>
      </c>
      <c r="BG134" s="576">
        <f t="shared" si="623"/>
        <v>-606.15528624422404</v>
      </c>
      <c r="BH134" s="48">
        <f t="shared" si="623"/>
        <v>-322.65520860097479</v>
      </c>
      <c r="BI134" s="237">
        <f t="shared" ref="BI134" si="637">BI129+BI131+BI132+BI133</f>
        <v>-356.56594896071942</v>
      </c>
      <c r="BJ134" s="576">
        <f t="shared" si="623"/>
        <v>-679.22115756169421</v>
      </c>
      <c r="BK134" s="48">
        <f t="shared" si="623"/>
        <v>-361.8131350371749</v>
      </c>
      <c r="BL134" s="237">
        <f t="shared" ref="BL134" si="638">BL129+BL131+BL132+BL133</f>
        <v>-398.94126719445342</v>
      </c>
      <c r="BM134" s="576">
        <f t="shared" si="623"/>
        <v>-760.75440223162832</v>
      </c>
    </row>
    <row r="135" spans="1:65">
      <c r="A135" s="25" t="s">
        <v>302</v>
      </c>
      <c r="B135" s="40"/>
      <c r="C135" s="40"/>
      <c r="D135" s="40"/>
      <c r="E135" s="40"/>
      <c r="F135" s="40"/>
      <c r="G135" s="40"/>
      <c r="H135" s="40"/>
      <c r="I135" s="40"/>
      <c r="J135" s="40"/>
      <c r="K135" s="40"/>
      <c r="L135" s="40"/>
      <c r="M135" s="40"/>
      <c r="N135" s="40">
        <v>33</v>
      </c>
      <c r="O135" s="40">
        <v>126</v>
      </c>
      <c r="P135" s="40">
        <v>51</v>
      </c>
      <c r="Q135" s="40">
        <v>83</v>
      </c>
      <c r="R135" s="40">
        <v>59</v>
      </c>
      <c r="S135" s="630">
        <f>T135-R135</f>
        <v>14</v>
      </c>
      <c r="T135" s="653">
        <v>73</v>
      </c>
      <c r="U135" s="40">
        <v>40</v>
      </c>
      <c r="V135" s="630">
        <f>W135-U135</f>
        <v>24</v>
      </c>
      <c r="W135" s="653">
        <v>64</v>
      </c>
      <c r="X135" s="40"/>
      <c r="Y135" s="630"/>
      <c r="Z135" s="653"/>
      <c r="AA135" s="40"/>
      <c r="AB135" s="630"/>
      <c r="AC135" s="653"/>
      <c r="AD135" s="40"/>
      <c r="AE135" s="630"/>
      <c r="AF135" s="653"/>
      <c r="AG135" s="40"/>
      <c r="AH135" s="630"/>
      <c r="AI135" s="653"/>
      <c r="AJ135" s="40"/>
      <c r="AK135" s="630"/>
      <c r="AL135" s="653"/>
      <c r="AM135" s="40"/>
      <c r="AN135" s="630"/>
      <c r="AO135" s="653"/>
      <c r="AP135" s="40"/>
      <c r="AQ135" s="539"/>
      <c r="AR135" s="550"/>
      <c r="AS135"/>
      <c r="AT135" s="539"/>
      <c r="AU135" s="550"/>
      <c r="AV135"/>
      <c r="AW135" s="539"/>
      <c r="AX135" s="550"/>
      <c r="AY135"/>
      <c r="AZ135" s="539"/>
      <c r="BA135" s="550"/>
      <c r="BB135"/>
      <c r="BC135" s="539"/>
      <c r="BD135" s="550"/>
      <c r="BE135"/>
      <c r="BF135" s="539"/>
      <c r="BG135" s="550"/>
      <c r="BH135"/>
      <c r="BI135" s="539"/>
      <c r="BJ135" s="550"/>
      <c r="BK135"/>
      <c r="BL135" s="539"/>
      <c r="BM135" s="550"/>
    </row>
    <row r="136" spans="1:65">
      <c r="A136" s="25" t="s">
        <v>303</v>
      </c>
      <c r="B136" s="40"/>
      <c r="C136" s="40"/>
      <c r="D136" s="40"/>
      <c r="E136" s="40"/>
      <c r="F136" s="40"/>
      <c r="G136" s="40"/>
      <c r="H136" s="40"/>
      <c r="I136" s="40"/>
      <c r="J136" s="40"/>
      <c r="K136" s="40"/>
      <c r="L136" s="40"/>
      <c r="M136" s="40"/>
      <c r="N136" s="40">
        <v>-5</v>
      </c>
      <c r="O136" s="40">
        <v>-50</v>
      </c>
      <c r="P136" s="40">
        <v>-38</v>
      </c>
      <c r="Q136" s="40">
        <v>-28</v>
      </c>
      <c r="R136" s="40">
        <v>-27</v>
      </c>
      <c r="S136" s="630">
        <f>T136-R136</f>
        <v>-13</v>
      </c>
      <c r="T136" s="653">
        <v>-40</v>
      </c>
      <c r="U136" s="40">
        <v>-30</v>
      </c>
      <c r="V136" s="630">
        <f>W136-U136</f>
        <v>-14</v>
      </c>
      <c r="W136" s="653">
        <v>-44</v>
      </c>
      <c r="X136" s="40"/>
      <c r="Y136" s="630"/>
      <c r="Z136" s="653"/>
      <c r="AA136" s="40"/>
      <c r="AB136" s="630"/>
      <c r="AC136" s="653"/>
      <c r="AD136" s="40"/>
      <c r="AE136" s="630"/>
      <c r="AF136" s="653"/>
      <c r="AG136" s="40"/>
      <c r="AH136" s="630"/>
      <c r="AI136" s="653"/>
      <c r="AJ136" s="40"/>
      <c r="AK136" s="630"/>
      <c r="AL136" s="653"/>
      <c r="AM136" s="40"/>
      <c r="AN136" s="630"/>
      <c r="AO136" s="653"/>
      <c r="AP136" s="40"/>
      <c r="AQ136" s="539"/>
      <c r="AR136" s="550"/>
      <c r="AS136"/>
      <c r="AT136" s="539"/>
      <c r="AU136" s="550"/>
      <c r="AV136"/>
      <c r="AW136" s="539"/>
      <c r="AX136" s="550"/>
      <c r="AY136"/>
      <c r="AZ136" s="539"/>
      <c r="BA136" s="550"/>
      <c r="BB136"/>
      <c r="BC136" s="539"/>
      <c r="BD136" s="550"/>
      <c r="BE136"/>
      <c r="BF136" s="539"/>
      <c r="BG136" s="550"/>
      <c r="BH136"/>
      <c r="BI136" s="539"/>
      <c r="BJ136" s="550"/>
      <c r="BK136"/>
      <c r="BL136" s="539"/>
      <c r="BM136" s="550"/>
    </row>
    <row r="137" spans="1:65">
      <c r="A137" s="25" t="s">
        <v>304</v>
      </c>
      <c r="B137" s="40"/>
      <c r="C137" s="40"/>
      <c r="D137" s="40"/>
      <c r="E137" s="40"/>
      <c r="F137" s="40"/>
      <c r="G137" s="40"/>
      <c r="H137" s="40"/>
      <c r="I137" s="40"/>
      <c r="J137" s="40"/>
      <c r="K137" s="40"/>
      <c r="L137" s="40"/>
      <c r="M137" s="40"/>
      <c r="N137" s="40">
        <v>30</v>
      </c>
      <c r="O137" s="40">
        <v>11</v>
      </c>
      <c r="P137" s="40">
        <v>54</v>
      </c>
      <c r="Q137" s="40">
        <v>43</v>
      </c>
      <c r="R137" s="40">
        <v>14</v>
      </c>
      <c r="S137" s="630">
        <f>T137-R137</f>
        <v>22</v>
      </c>
      <c r="T137" s="653">
        <v>36</v>
      </c>
      <c r="U137" s="40">
        <v>11</v>
      </c>
      <c r="V137" s="630">
        <f>W137-U137</f>
        <v>17</v>
      </c>
      <c r="W137" s="653">
        <v>28</v>
      </c>
      <c r="X137" s="40"/>
      <c r="Y137" s="630"/>
      <c r="Z137" s="653"/>
      <c r="AA137" s="40"/>
      <c r="AB137" s="630"/>
      <c r="AC137" s="653"/>
      <c r="AD137" s="40"/>
      <c r="AE137" s="630"/>
      <c r="AF137" s="653"/>
      <c r="AG137" s="40"/>
      <c r="AH137" s="630"/>
      <c r="AI137" s="653"/>
      <c r="AJ137" s="40"/>
      <c r="AK137" s="630"/>
      <c r="AL137" s="653"/>
      <c r="AM137" s="40"/>
      <c r="AN137" s="630"/>
      <c r="AO137" s="653"/>
      <c r="AP137" s="40"/>
      <c r="AQ137" s="539"/>
      <c r="AR137" s="550"/>
      <c r="AS137"/>
      <c r="AT137" s="539"/>
      <c r="AU137" s="550"/>
      <c r="AV137"/>
      <c r="AW137" s="539"/>
      <c r="AX137" s="550"/>
      <c r="AY137"/>
      <c r="AZ137" s="539"/>
      <c r="BA137" s="550"/>
      <c r="BB137"/>
      <c r="BC137" s="539"/>
      <c r="BD137" s="550"/>
      <c r="BE137"/>
      <c r="BF137" s="539"/>
      <c r="BG137" s="550"/>
      <c r="BH137"/>
      <c r="BI137" s="539"/>
      <c r="BJ137" s="550"/>
      <c r="BK137"/>
      <c r="BL137" s="539"/>
      <c r="BM137" s="550"/>
    </row>
    <row r="138" spans="1:65">
      <c r="A138" s="31" t="s">
        <v>307</v>
      </c>
      <c r="B138" s="40"/>
      <c r="C138" s="40"/>
      <c r="D138" s="40"/>
      <c r="E138" s="40"/>
      <c r="F138" s="40"/>
      <c r="G138" s="40"/>
      <c r="H138" s="40"/>
      <c r="I138" s="40"/>
      <c r="J138" s="40"/>
      <c r="K138" s="40"/>
      <c r="L138" s="51">
        <f t="shared" ref="L138:BM138" si="639">L134+L135+L136+L137</f>
        <v>-422</v>
      </c>
      <c r="M138" s="51">
        <f t="shared" si="639"/>
        <v>-463</v>
      </c>
      <c r="N138" s="51">
        <f t="shared" si="639"/>
        <v>-531</v>
      </c>
      <c r="O138" s="51">
        <f t="shared" si="639"/>
        <v>-658</v>
      </c>
      <c r="P138" s="51">
        <f t="shared" si="639"/>
        <v>-793</v>
      </c>
      <c r="Q138" s="51">
        <f t="shared" si="639"/>
        <v>-818</v>
      </c>
      <c r="R138" s="51">
        <f t="shared" si="639"/>
        <v>-404</v>
      </c>
      <c r="S138" s="629">
        <f t="shared" si="639"/>
        <v>-514</v>
      </c>
      <c r="T138" s="652">
        <f t="shared" si="639"/>
        <v>-918</v>
      </c>
      <c r="U138" s="51">
        <f t="shared" ref="U138:V138" si="640">U134+U135+U136+U137</f>
        <v>-436</v>
      </c>
      <c r="V138" s="629">
        <f t="shared" si="640"/>
        <v>-359</v>
      </c>
      <c r="W138" s="652">
        <f t="shared" si="639"/>
        <v>-795</v>
      </c>
      <c r="X138" s="51">
        <f t="shared" si="639"/>
        <v>-396</v>
      </c>
      <c r="Y138" s="629">
        <f t="shared" si="639"/>
        <v>-328</v>
      </c>
      <c r="Z138" s="652"/>
      <c r="AA138" s="51">
        <f t="shared" ref="AA138:AB138" si="641">AA134+AA135+AA136+AA137</f>
        <v>-296</v>
      </c>
      <c r="AB138" s="629">
        <f t="shared" si="641"/>
        <v>-354</v>
      </c>
      <c r="AC138" s="652"/>
      <c r="AD138" s="51">
        <f t="shared" ref="AD138:AE138" si="642">AD134+AD135+AD136+AD137</f>
        <v>-349</v>
      </c>
      <c r="AE138" s="629">
        <f t="shared" si="642"/>
        <v>-413</v>
      </c>
      <c r="AF138" s="652">
        <f>AF134+AF135+AF136+AF137</f>
        <v>-762</v>
      </c>
      <c r="AG138" s="51">
        <f t="shared" ref="AG138:AH138" si="643">AG134+AG135+AG136+AG137</f>
        <v>-678</v>
      </c>
      <c r="AH138" s="629">
        <f t="shared" si="643"/>
        <v>-526</v>
      </c>
      <c r="AI138" s="652">
        <f t="shared" si="639"/>
        <v>-1204</v>
      </c>
      <c r="AJ138" s="51">
        <f t="shared" ref="AJ138:AK138" si="644">AJ134+AJ135+AJ136+AJ137</f>
        <v>-390</v>
      </c>
      <c r="AK138" s="629">
        <f t="shared" si="644"/>
        <v>-388</v>
      </c>
      <c r="AL138" s="652">
        <f t="shared" si="639"/>
        <v>-778</v>
      </c>
      <c r="AM138" s="51">
        <f t="shared" si="639"/>
        <v>-373</v>
      </c>
      <c r="AN138" s="629">
        <f t="shared" ref="AN138" si="645">AN134+AN135+AN136+AN137</f>
        <v>-518</v>
      </c>
      <c r="AO138" s="652">
        <f t="shared" si="639"/>
        <v>-891</v>
      </c>
      <c r="AP138" s="51">
        <f t="shared" ref="AP138:AR138" si="646">AP134+AP135+AP136+AP137</f>
        <v>-389</v>
      </c>
      <c r="AQ138" s="629">
        <f t="shared" si="646"/>
        <v>-350</v>
      </c>
      <c r="AR138" s="652">
        <f t="shared" si="646"/>
        <v>-739</v>
      </c>
      <c r="AS138" s="51">
        <f t="shared" ref="AS138:AT138" si="647">AS134+AS135+AS136+AS137</f>
        <v>101</v>
      </c>
      <c r="AT138" s="629">
        <f t="shared" si="647"/>
        <v>-304</v>
      </c>
      <c r="AU138" s="652">
        <f t="shared" ref="AU138:AW138" si="648">AU134+AU135+AU136+AU137</f>
        <v>-203</v>
      </c>
      <c r="AV138" s="51">
        <f t="shared" si="648"/>
        <v>-246</v>
      </c>
      <c r="AW138" s="541">
        <f t="shared" si="648"/>
        <v>-249</v>
      </c>
      <c r="AX138" s="652">
        <f t="shared" ref="AX138:AY138" si="649">AX134+AX135+AX136+AX137</f>
        <v>-495</v>
      </c>
      <c r="AY138" s="51">
        <f t="shared" si="649"/>
        <v>-228</v>
      </c>
      <c r="AZ138" s="237">
        <f t="shared" ref="AZ138" si="650">AZ134+AZ135+AZ136+AZ137</f>
        <v>-256.61561873079364</v>
      </c>
      <c r="BA138" s="576">
        <f t="shared" si="639"/>
        <v>-484.61561873079364</v>
      </c>
      <c r="BB138" s="48">
        <f t="shared" si="639"/>
        <v>-263.12827353610629</v>
      </c>
      <c r="BC138" s="237">
        <f t="shared" ref="BC138" si="651">BC134+BC135+BC136+BC137</f>
        <v>-284.36654291595329</v>
      </c>
      <c r="BD138" s="576">
        <f t="shared" si="639"/>
        <v>-547.49481645205958</v>
      </c>
      <c r="BE138" s="48">
        <f t="shared" si="639"/>
        <v>-287.89773982428079</v>
      </c>
      <c r="BF138" s="237">
        <f t="shared" ref="BF138" si="652">BF134+BF135+BF136+BF137</f>
        <v>-318.25754641994325</v>
      </c>
      <c r="BG138" s="576">
        <f t="shared" si="639"/>
        <v>-606.15528624422404</v>
      </c>
      <c r="BH138" s="48">
        <f t="shared" si="639"/>
        <v>-322.65520860097479</v>
      </c>
      <c r="BI138" s="237">
        <f t="shared" ref="BI138" si="653">BI134+BI135+BI136+BI137</f>
        <v>-356.56594896071942</v>
      </c>
      <c r="BJ138" s="576">
        <f t="shared" si="639"/>
        <v>-679.22115756169421</v>
      </c>
      <c r="BK138" s="48">
        <f t="shared" si="639"/>
        <v>-361.8131350371749</v>
      </c>
      <c r="BL138" s="237">
        <f t="shared" ref="BL138" si="654">BL134+BL135+BL136+BL137</f>
        <v>-398.94126719445342</v>
      </c>
      <c r="BM138" s="576">
        <f t="shared" si="639"/>
        <v>-760.75440223162832</v>
      </c>
    </row>
    <row r="139" spans="1:65">
      <c r="A139" s="25" t="s">
        <v>309</v>
      </c>
      <c r="B139" s="40"/>
      <c r="C139" s="40"/>
      <c r="D139" s="40"/>
      <c r="E139" s="40"/>
      <c r="F139" s="40"/>
      <c r="G139" s="40"/>
      <c r="H139" s="40"/>
      <c r="I139" s="40"/>
      <c r="J139" s="40"/>
      <c r="K139" s="40"/>
      <c r="L139" s="40">
        <v>0</v>
      </c>
      <c r="M139" s="40">
        <v>0</v>
      </c>
      <c r="N139" s="40">
        <v>0</v>
      </c>
      <c r="O139" s="40">
        <v>59</v>
      </c>
      <c r="P139" s="40">
        <v>63</v>
      </c>
      <c r="Q139" s="40">
        <v>53</v>
      </c>
      <c r="R139" s="40">
        <v>26</v>
      </c>
      <c r="S139" s="630">
        <f>T139-R139</f>
        <v>30</v>
      </c>
      <c r="T139" s="653">
        <v>56</v>
      </c>
      <c r="U139" s="40">
        <v>25</v>
      </c>
      <c r="V139" s="630">
        <f>W139-U139</f>
        <v>33</v>
      </c>
      <c r="W139" s="653">
        <v>58</v>
      </c>
      <c r="X139" s="40">
        <v>0</v>
      </c>
      <c r="Y139" s="630">
        <f>Z139-X139</f>
        <v>0</v>
      </c>
      <c r="Z139" s="653"/>
      <c r="AA139" s="40">
        <v>0</v>
      </c>
      <c r="AB139" s="630">
        <f>AC139-AA139</f>
        <v>0</v>
      </c>
      <c r="AC139" s="653"/>
      <c r="AD139" s="40">
        <v>28</v>
      </c>
      <c r="AE139" s="630">
        <f>AF139-AD139</f>
        <v>46</v>
      </c>
      <c r="AF139" s="653">
        <v>74</v>
      </c>
      <c r="AG139" s="40">
        <v>376</v>
      </c>
      <c r="AH139" s="630">
        <f>AI139-AG139</f>
        <v>120</v>
      </c>
      <c r="AI139" s="653">
        <v>496</v>
      </c>
      <c r="AJ139" s="40">
        <v>4</v>
      </c>
      <c r="AK139" s="630">
        <f>AL139-AJ139</f>
        <v>-3</v>
      </c>
      <c r="AL139" s="653">
        <v>1</v>
      </c>
      <c r="AM139" s="40">
        <v>2</v>
      </c>
      <c r="AN139" s="630">
        <f>AO139-AM139</f>
        <v>3</v>
      </c>
      <c r="AO139" s="653">
        <v>5</v>
      </c>
      <c r="AP139" s="40">
        <v>0</v>
      </c>
      <c r="AQ139" s="630">
        <f>AR139-AP139</f>
        <v>0</v>
      </c>
      <c r="AR139" s="653">
        <v>0</v>
      </c>
      <c r="AS139" s="40">
        <v>-416</v>
      </c>
      <c r="AT139" s="630">
        <f>AU139-AS139</f>
        <v>14</v>
      </c>
      <c r="AU139" s="653">
        <v>-402</v>
      </c>
      <c r="AV139" s="40">
        <v>-10</v>
      </c>
      <c r="AW139" s="539">
        <f>AX139-AV139</f>
        <v>8</v>
      </c>
      <c r="AX139" s="653">
        <v>-2</v>
      </c>
      <c r="AY139" s="40">
        <v>4</v>
      </c>
      <c r="AZ139" s="236">
        <f>BA139-AY139</f>
        <v>0</v>
      </c>
      <c r="BA139" s="580">
        <v>4</v>
      </c>
      <c r="BB139" s="56">
        <f>BD139/2</f>
        <v>0</v>
      </c>
      <c r="BC139" s="236">
        <f>BD139-BB139</f>
        <v>0</v>
      </c>
      <c r="BD139" s="580">
        <v>0</v>
      </c>
      <c r="BE139" s="56">
        <f>BG139/2</f>
        <v>0</v>
      </c>
      <c r="BF139" s="236">
        <f>BG139-BE139</f>
        <v>0</v>
      </c>
      <c r="BG139" s="580">
        <v>0</v>
      </c>
      <c r="BH139" s="56">
        <f>BJ139/2</f>
        <v>0</v>
      </c>
      <c r="BI139" s="236">
        <f>BJ139-BH139</f>
        <v>0</v>
      </c>
      <c r="BJ139" s="580">
        <v>0</v>
      </c>
      <c r="BK139" s="56">
        <f>BM139/2</f>
        <v>0</v>
      </c>
      <c r="BL139" s="236">
        <f>BM139-BK139</f>
        <v>0</v>
      </c>
      <c r="BM139" s="580">
        <v>0</v>
      </c>
    </row>
    <row r="140" spans="1:65">
      <c r="A140" s="25" t="s">
        <v>118</v>
      </c>
      <c r="B140" s="40"/>
      <c r="C140" s="40"/>
      <c r="D140" s="40"/>
      <c r="E140" s="40"/>
      <c r="F140" s="40"/>
      <c r="G140" s="40"/>
      <c r="H140" s="40"/>
      <c r="I140" s="40"/>
      <c r="J140" s="40"/>
      <c r="K140" s="40"/>
      <c r="L140" s="40">
        <v>0</v>
      </c>
      <c r="M140" s="40">
        <v>0</v>
      </c>
      <c r="N140" s="40">
        <v>0</v>
      </c>
      <c r="O140" s="40">
        <v>-25</v>
      </c>
      <c r="P140" s="40">
        <v>0</v>
      </c>
      <c r="Q140" s="40">
        <v>0</v>
      </c>
      <c r="R140" s="40">
        <v>0</v>
      </c>
      <c r="S140" s="630">
        <f>T140-R140</f>
        <v>0</v>
      </c>
      <c r="T140" s="653">
        <v>0</v>
      </c>
      <c r="U140" s="40">
        <v>0</v>
      </c>
      <c r="V140" s="630">
        <f>W140-U140</f>
        <v>0</v>
      </c>
      <c r="W140" s="653">
        <v>0</v>
      </c>
      <c r="X140" s="40">
        <v>0</v>
      </c>
      <c r="Y140" s="630">
        <f>Z140-X140</f>
        <v>0</v>
      </c>
      <c r="Z140" s="653"/>
      <c r="AA140" s="40">
        <v>0</v>
      </c>
      <c r="AB140" s="630">
        <f>AC140-AA140</f>
        <v>0</v>
      </c>
      <c r="AC140" s="653"/>
      <c r="AD140" s="40">
        <v>0</v>
      </c>
      <c r="AE140" s="630">
        <f>AF140-AD140</f>
        <v>0</v>
      </c>
      <c r="AF140" s="653"/>
      <c r="AG140" s="40">
        <v>-34</v>
      </c>
      <c r="AH140" s="630">
        <f>AI140-AG140</f>
        <v>34</v>
      </c>
      <c r="AI140" s="653"/>
      <c r="AJ140" s="40"/>
      <c r="AK140" s="630"/>
      <c r="AL140" s="653"/>
      <c r="AM140" s="40"/>
      <c r="AN140" s="630"/>
      <c r="AO140" s="653"/>
      <c r="AP140" s="40"/>
      <c r="AQ140" s="630"/>
      <c r="AR140" s="653"/>
      <c r="AS140"/>
      <c r="AT140" s="539"/>
      <c r="AU140" s="550"/>
      <c r="AV140"/>
      <c r="AW140" s="539"/>
      <c r="AX140" s="550"/>
      <c r="AY140"/>
      <c r="AZ140" s="539"/>
      <c r="BA140" s="550"/>
      <c r="BB140"/>
      <c r="BC140" s="539"/>
      <c r="BD140" s="550"/>
      <c r="BE140"/>
      <c r="BF140" s="539"/>
      <c r="BG140" s="550"/>
      <c r="BH140"/>
      <c r="BI140" s="539"/>
      <c r="BJ140" s="550"/>
      <c r="BK140"/>
      <c r="BL140" s="539"/>
      <c r="BM140" s="550"/>
    </row>
    <row r="141" spans="1:65" ht="10.8" thickBot="1">
      <c r="A141" s="37" t="s">
        <v>308</v>
      </c>
      <c r="B141" s="301"/>
      <c r="C141" s="301"/>
      <c r="D141" s="301"/>
      <c r="E141" s="301"/>
      <c r="F141" s="301"/>
      <c r="G141" s="301"/>
      <c r="H141" s="301"/>
      <c r="I141" s="301"/>
      <c r="J141" s="301"/>
      <c r="K141" s="301"/>
      <c r="L141" s="84">
        <f>L138+L139+L140</f>
        <v>-422</v>
      </c>
      <c r="M141" s="84">
        <f>M138+M139+M140</f>
        <v>-463</v>
      </c>
      <c r="N141" s="84">
        <f>N138+N139+N140</f>
        <v>-531</v>
      </c>
      <c r="O141" s="84">
        <f>O138+O139+O140</f>
        <v>-624</v>
      </c>
      <c r="P141" s="84">
        <f t="shared" ref="P141:BM141" si="655">P138+P139+P140</f>
        <v>-730</v>
      </c>
      <c r="Q141" s="84">
        <f t="shared" si="655"/>
        <v>-765</v>
      </c>
      <c r="R141" s="84">
        <f t="shared" ref="R141:S141" si="656">R138+R139+R140</f>
        <v>-378</v>
      </c>
      <c r="S141" s="632">
        <f t="shared" si="656"/>
        <v>-484</v>
      </c>
      <c r="T141" s="655">
        <f t="shared" si="655"/>
        <v>-862</v>
      </c>
      <c r="U141" s="84">
        <f t="shared" si="655"/>
        <v>-411</v>
      </c>
      <c r="V141" s="632">
        <f t="shared" si="655"/>
        <v>-326</v>
      </c>
      <c r="W141" s="655">
        <f>W138+W139+W140</f>
        <v>-737</v>
      </c>
      <c r="X141" s="84">
        <f t="shared" ref="X141:Y141" si="657">X138+X139+X140</f>
        <v>-396</v>
      </c>
      <c r="Y141" s="632">
        <f t="shared" si="657"/>
        <v>-328</v>
      </c>
      <c r="Z141" s="655">
        <v>-724</v>
      </c>
      <c r="AA141" s="84">
        <f t="shared" ref="AA141:AB141" si="658">AA138+AA139+AA140</f>
        <v>-296</v>
      </c>
      <c r="AB141" s="632">
        <f t="shared" si="658"/>
        <v>-354</v>
      </c>
      <c r="AC141" s="655">
        <v>-650</v>
      </c>
      <c r="AD141" s="84">
        <f t="shared" ref="AD141:AE141" si="659">AD138+AD139+AD140</f>
        <v>-321</v>
      </c>
      <c r="AE141" s="632">
        <f t="shared" si="659"/>
        <v>-367</v>
      </c>
      <c r="AF141" s="655">
        <f>AF138+AF139+AF140</f>
        <v>-688</v>
      </c>
      <c r="AG141" s="84">
        <f t="shared" ref="AG141:AH141" si="660">AG138+AG139+AG140</f>
        <v>-336</v>
      </c>
      <c r="AH141" s="632">
        <f t="shared" si="660"/>
        <v>-372</v>
      </c>
      <c r="AI141" s="655">
        <f t="shared" si="655"/>
        <v>-708</v>
      </c>
      <c r="AJ141" s="84">
        <f t="shared" ref="AJ141:AK141" si="661">AJ138+AJ139+AJ140</f>
        <v>-386</v>
      </c>
      <c r="AK141" s="632">
        <f t="shared" si="661"/>
        <v>-391</v>
      </c>
      <c r="AL141" s="655">
        <f t="shared" si="655"/>
        <v>-777</v>
      </c>
      <c r="AM141" s="84">
        <f t="shared" si="655"/>
        <v>-371</v>
      </c>
      <c r="AN141" s="632">
        <f t="shared" si="655"/>
        <v>-515</v>
      </c>
      <c r="AO141" s="655">
        <f t="shared" si="655"/>
        <v>-886</v>
      </c>
      <c r="AP141" s="84">
        <f t="shared" ref="AP141:AS141" si="662">AP138+AP139+AP140</f>
        <v>-389</v>
      </c>
      <c r="AQ141" s="632">
        <f t="shared" si="662"/>
        <v>-350</v>
      </c>
      <c r="AR141" s="655">
        <f t="shared" si="662"/>
        <v>-739</v>
      </c>
      <c r="AS141" s="84">
        <f t="shared" si="662"/>
        <v>-315</v>
      </c>
      <c r="AT141" s="632">
        <f t="shared" ref="AT141:AV141" si="663">AT138+AT139+AT140</f>
        <v>-290</v>
      </c>
      <c r="AU141" s="655">
        <f t="shared" si="663"/>
        <v>-605</v>
      </c>
      <c r="AV141" s="84">
        <f t="shared" si="663"/>
        <v>-256</v>
      </c>
      <c r="AW141" s="718">
        <f t="shared" ref="AW141" si="664">AW138+AW139+AW140</f>
        <v>-241</v>
      </c>
      <c r="AX141" s="655">
        <f t="shared" si="655"/>
        <v>-497</v>
      </c>
      <c r="AY141" s="84">
        <f t="shared" si="655"/>
        <v>-224</v>
      </c>
      <c r="AZ141" s="244">
        <f t="shared" si="655"/>
        <v>-256.61561873079364</v>
      </c>
      <c r="BA141" s="581">
        <f t="shared" si="655"/>
        <v>-480.61561873079364</v>
      </c>
      <c r="BB141" s="181">
        <f t="shared" si="655"/>
        <v>-263.12827353610629</v>
      </c>
      <c r="BC141" s="244">
        <f t="shared" si="655"/>
        <v>-284.36654291595329</v>
      </c>
      <c r="BD141" s="581">
        <f t="shared" si="655"/>
        <v>-547.49481645205958</v>
      </c>
      <c r="BE141" s="181">
        <f t="shared" si="655"/>
        <v>-287.89773982428079</v>
      </c>
      <c r="BF141" s="244">
        <f t="shared" si="655"/>
        <v>-318.25754641994325</v>
      </c>
      <c r="BG141" s="581">
        <f t="shared" si="655"/>
        <v>-606.15528624422404</v>
      </c>
      <c r="BH141" s="181">
        <f t="shared" si="655"/>
        <v>-322.65520860097479</v>
      </c>
      <c r="BI141" s="244">
        <f t="shared" si="655"/>
        <v>-356.56594896071942</v>
      </c>
      <c r="BJ141" s="581">
        <f t="shared" si="655"/>
        <v>-679.22115756169421</v>
      </c>
      <c r="BK141" s="181">
        <f t="shared" si="655"/>
        <v>-361.8131350371749</v>
      </c>
      <c r="BL141" s="244">
        <f t="shared" si="655"/>
        <v>-398.94126719445342</v>
      </c>
      <c r="BM141" s="581">
        <f t="shared" si="655"/>
        <v>-760.75440223162832</v>
      </c>
    </row>
    <row r="142" spans="1:65">
      <c r="A142" s="72" t="s">
        <v>306</v>
      </c>
      <c r="B142" s="51"/>
      <c r="C142" s="51"/>
      <c r="D142" s="51"/>
      <c r="E142" s="51"/>
      <c r="F142" s="51"/>
      <c r="G142" s="51"/>
      <c r="H142" s="51"/>
      <c r="I142" s="51"/>
      <c r="J142" s="51"/>
      <c r="K142" s="51"/>
      <c r="L142" s="132">
        <f t="shared" ref="L142:BM142" si="665">-L141/L5</f>
        <v>3.8836738450211669E-2</v>
      </c>
      <c r="M142" s="132">
        <f t="shared" si="665"/>
        <v>4.1057018710649998E-2</v>
      </c>
      <c r="N142" s="132">
        <f t="shared" si="665"/>
        <v>4.3492505528708328E-2</v>
      </c>
      <c r="O142" s="132">
        <f t="shared" si="665"/>
        <v>4.0245082231538214E-2</v>
      </c>
      <c r="P142" s="132">
        <f t="shared" si="665"/>
        <v>5.2654356607039814E-2</v>
      </c>
      <c r="Q142" s="132">
        <f t="shared" si="665"/>
        <v>5.7286206380110831E-2</v>
      </c>
      <c r="R142" s="345">
        <f t="shared" ref="R142:S142" si="666">-R141/R5</f>
        <v>6.1533452710402087E-2</v>
      </c>
      <c r="S142" s="646">
        <f t="shared" si="666"/>
        <v>6.3350785340314131E-2</v>
      </c>
      <c r="T142" s="670">
        <f t="shared" si="665"/>
        <v>6.25408111441631E-2</v>
      </c>
      <c r="U142" s="345">
        <f t="shared" si="665"/>
        <v>5.9868900218499638E-2</v>
      </c>
      <c r="V142" s="646">
        <f t="shared" si="665"/>
        <v>3.9635258358662613E-2</v>
      </c>
      <c r="W142" s="670">
        <f t="shared" si="665"/>
        <v>4.8840291583830353E-2</v>
      </c>
      <c r="X142" s="345">
        <f t="shared" ref="X142:Y142" si="667">-X141/X5</f>
        <v>6.555206091706671E-2</v>
      </c>
      <c r="Y142" s="646">
        <f t="shared" si="667"/>
        <v>4.2988204456094366E-2</v>
      </c>
      <c r="Z142" s="670">
        <f t="shared" si="665"/>
        <v>5.2958817935776462E-2</v>
      </c>
      <c r="AA142" s="345">
        <f t="shared" si="665"/>
        <v>4.2045454545454546E-2</v>
      </c>
      <c r="AB142" s="646">
        <f t="shared" si="665"/>
        <v>4.4101158589759562E-2</v>
      </c>
      <c r="AC142" s="670">
        <f t="shared" si="665"/>
        <v>4.3140638481449528E-2</v>
      </c>
      <c r="AD142" s="345">
        <f t="shared" ref="AD142:AE142" si="668">-AD141/AD5</f>
        <v>4.3655650754793961E-2</v>
      </c>
      <c r="AE142" s="646">
        <f t="shared" si="668"/>
        <v>4.5325429171298011E-2</v>
      </c>
      <c r="AF142" s="670">
        <f t="shared" si="665"/>
        <v>4.4530744336569582E-2</v>
      </c>
      <c r="AG142" s="345">
        <f t="shared" si="665"/>
        <v>6.0420787628124438E-2</v>
      </c>
      <c r="AH142" s="646">
        <f t="shared" si="665"/>
        <v>6.338388141080252E-2</v>
      </c>
      <c r="AI142" s="670">
        <f t="shared" si="665"/>
        <v>6.1942257217847768E-2</v>
      </c>
      <c r="AJ142" s="345">
        <f t="shared" ref="AJ142:AK142" si="669">-AJ141/AJ5</f>
        <v>7.3847331165104266E-2</v>
      </c>
      <c r="AK142" s="646">
        <f t="shared" si="669"/>
        <v>6.8356643356643362E-2</v>
      </c>
      <c r="AL142" s="670">
        <f t="shared" si="665"/>
        <v>7.0978350232940537E-2</v>
      </c>
      <c r="AM142" s="345">
        <f t="shared" si="665"/>
        <v>6.9894498869630742E-2</v>
      </c>
      <c r="AN142" s="646">
        <f t="shared" si="665"/>
        <v>6.9754842205065698E-2</v>
      </c>
      <c r="AO142" s="670">
        <f t="shared" si="665"/>
        <v>6.9813253486722876E-2</v>
      </c>
      <c r="AP142" s="345">
        <f t="shared" ref="AP142:AS142" si="670">-AP141/AP5</f>
        <v>5.5971223021582736E-2</v>
      </c>
      <c r="AQ142" s="646">
        <f t="shared" si="670"/>
        <v>4.1376049178389877E-2</v>
      </c>
      <c r="AR142" s="670">
        <f t="shared" si="670"/>
        <v>4.7958985008761112E-2</v>
      </c>
      <c r="AS142" s="345">
        <f t="shared" si="670"/>
        <v>3.849914446345637E-2</v>
      </c>
      <c r="AT142" s="646">
        <f t="shared" ref="AT142:AV142" si="671">-AT141/AT5</f>
        <v>3.000206910821436E-2</v>
      </c>
      <c r="AU142" s="670">
        <f t="shared" si="671"/>
        <v>3.3897355445988347E-2</v>
      </c>
      <c r="AV142" s="345">
        <f t="shared" si="671"/>
        <v>2.8265430054101801E-2</v>
      </c>
      <c r="AW142" s="1099">
        <f t="shared" ref="AW142" si="672">-AW141/AW5</f>
        <v>2.1905108162152336E-2</v>
      </c>
      <c r="AX142" s="670">
        <f t="shared" si="665"/>
        <v>2.4776908121042922E-2</v>
      </c>
      <c r="AY142" s="345">
        <f t="shared" si="665"/>
        <v>1.9859916659278304E-2</v>
      </c>
      <c r="AZ142" s="482">
        <f t="shared" si="665"/>
        <v>2.0803864804823415E-2</v>
      </c>
      <c r="BA142" s="582">
        <f t="shared" si="665"/>
        <v>2.0352997001993122E-2</v>
      </c>
      <c r="BB142" s="205">
        <f t="shared" si="665"/>
        <v>2.0375113378767143E-2</v>
      </c>
      <c r="BC142" s="482">
        <f t="shared" si="665"/>
        <v>2.0660572590378574E-2</v>
      </c>
      <c r="BD142" s="582">
        <f t="shared" si="665"/>
        <v>2.0522388059701496E-2</v>
      </c>
      <c r="BE142" s="205">
        <f t="shared" si="665"/>
        <v>2.0330396103745606E-2</v>
      </c>
      <c r="BF142" s="482">
        <f t="shared" si="665"/>
        <v>2.0699215895778923E-2</v>
      </c>
      <c r="BG142" s="582">
        <f t="shared" si="665"/>
        <v>2.0522388059701493E-2</v>
      </c>
      <c r="BH142" s="205">
        <f t="shared" si="665"/>
        <v>2.0331035385798391E-2</v>
      </c>
      <c r="BI142" s="482">
        <f t="shared" si="665"/>
        <v>2.0698673467975871E-2</v>
      </c>
      <c r="BJ142" s="582">
        <f t="shared" si="665"/>
        <v>2.0522388059701493E-2</v>
      </c>
      <c r="BK142" s="205">
        <f t="shared" si="665"/>
        <v>2.0335513422912108E-2</v>
      </c>
      <c r="BL142" s="482">
        <f t="shared" si="665"/>
        <v>2.0694865858846518E-2</v>
      </c>
      <c r="BM142" s="582">
        <f t="shared" si="665"/>
        <v>2.0522388059701493E-2</v>
      </c>
    </row>
    <row r="143" spans="1:65">
      <c r="A143" s="93" t="s">
        <v>8</v>
      </c>
      <c r="B143" s="51"/>
      <c r="C143" s="51"/>
      <c r="D143" s="51"/>
      <c r="E143" s="51"/>
      <c r="F143" s="51"/>
      <c r="G143" s="51"/>
      <c r="H143" s="51"/>
      <c r="I143" s="51"/>
      <c r="J143" s="51"/>
      <c r="K143" s="51"/>
      <c r="L143" s="132"/>
      <c r="M143" s="132"/>
      <c r="N143" s="132"/>
      <c r="O143" s="132"/>
      <c r="P143" s="40"/>
      <c r="Q143" s="40"/>
      <c r="R143" s="40"/>
      <c r="S143" s="630"/>
      <c r="T143" s="653"/>
      <c r="U143" s="40"/>
      <c r="V143" s="630"/>
      <c r="W143" s="653"/>
      <c r="X143" s="40"/>
      <c r="Y143" s="630"/>
      <c r="Z143" s="653"/>
      <c r="AA143" s="40">
        <f>Civil!AA11</f>
        <v>-152</v>
      </c>
      <c r="AB143" s="630">
        <f>Civil!AB11</f>
        <v>-180</v>
      </c>
      <c r="AC143" s="653">
        <f>Civil!AC11</f>
        <v>-332</v>
      </c>
      <c r="AD143" s="40">
        <f>Civil!AD11</f>
        <v>-157</v>
      </c>
      <c r="AE143" s="630">
        <f>Civil!AE11</f>
        <v>-217</v>
      </c>
      <c r="AF143" s="653">
        <f>Civil!AF11</f>
        <v>-374</v>
      </c>
      <c r="AG143" s="40">
        <f>Civil!AG11</f>
        <v>-180</v>
      </c>
      <c r="AH143" s="630">
        <f>Civil!AH11</f>
        <v>-227</v>
      </c>
      <c r="AI143" s="653">
        <f>Civil!AI11</f>
        <v>-407</v>
      </c>
      <c r="AJ143" s="40">
        <f>Civil!AJ11</f>
        <v>-237</v>
      </c>
      <c r="AK143" s="630">
        <f>Civil!AK11</f>
        <v>-197</v>
      </c>
      <c r="AL143" s="653">
        <f>Civil!AL11</f>
        <v>-434</v>
      </c>
      <c r="AM143" s="40">
        <f>Civil!AM11</f>
        <v>-202</v>
      </c>
      <c r="AN143" s="630">
        <f>Civil!AN11</f>
        <v>-250</v>
      </c>
      <c r="AO143" s="653">
        <f>Civil!AO11</f>
        <v>-452</v>
      </c>
      <c r="AP143" s="40">
        <f>Civil!AP11</f>
        <v>-195</v>
      </c>
      <c r="AQ143" s="630">
        <f>Civil!AQ11</f>
        <v>-148</v>
      </c>
      <c r="AR143" s="653">
        <f>Civil!AR11</f>
        <v>-343</v>
      </c>
      <c r="AS143" s="40">
        <f>Civil!AS11</f>
        <v>-135</v>
      </c>
      <c r="AT143" s="630">
        <f>Civil!AT11</f>
        <v>-117</v>
      </c>
      <c r="AU143" s="653">
        <f>Civil!AU11</f>
        <v>-252</v>
      </c>
      <c r="AV143" s="40">
        <f>Civil!AV11</f>
        <v>-138</v>
      </c>
      <c r="AW143" s="539">
        <f>Civil!AW11</f>
        <v>-129</v>
      </c>
      <c r="AX143" s="653">
        <f>Civil!AX11</f>
        <v>-267</v>
      </c>
      <c r="AY143" s="40">
        <f>Civil!AY11</f>
        <v>-128</v>
      </c>
      <c r="AZ143" s="236">
        <f>Civil!AZ11</f>
        <v>-155.68856668774777</v>
      </c>
      <c r="BA143" s="605">
        <f>Civil!BA11</f>
        <v>-283.68856668774777</v>
      </c>
      <c r="BB143" s="56">
        <f>Civil!BB11</f>
        <v>-142.88408062833747</v>
      </c>
      <c r="BC143" s="236">
        <f>Civil!BC11</f>
        <v>-140.67464172994067</v>
      </c>
      <c r="BD143" s="605">
        <f>Civil!BD11</f>
        <v>-283.55872235827815</v>
      </c>
      <c r="BE143" s="56">
        <f>Civil!BE11</f>
        <v>-189.47499525092343</v>
      </c>
      <c r="BF143" s="236">
        <f>Civil!BF11</f>
        <v>-191.61485403374286</v>
      </c>
      <c r="BG143" s="605">
        <f>Civil!BG11</f>
        <v>-381.08984928466629</v>
      </c>
      <c r="BH143" s="56">
        <f>Civil!BH11</f>
        <v>-207.90743261115961</v>
      </c>
      <c r="BI143" s="236">
        <f>Civil!BI11</f>
        <v>-208.53791145276125</v>
      </c>
      <c r="BJ143" s="605">
        <f>Civil!BJ11</f>
        <v>-416.44534406392086</v>
      </c>
      <c r="BK143" s="56">
        <f>Civil!BK11</f>
        <v>-226.6951816870743</v>
      </c>
      <c r="BL143" s="236">
        <f>Civil!BL11</f>
        <v>-224.42108137713683</v>
      </c>
      <c r="BM143" s="605">
        <f>Civil!BM11</f>
        <v>-451.11626306421113</v>
      </c>
    </row>
    <row r="144" spans="1:65">
      <c r="A144" s="93" t="s">
        <v>670</v>
      </c>
      <c r="B144" s="51"/>
      <c r="C144" s="51"/>
      <c r="D144" s="51"/>
      <c r="E144" s="51"/>
      <c r="F144" s="51"/>
      <c r="G144" s="51"/>
      <c r="H144" s="51"/>
      <c r="I144" s="51"/>
      <c r="J144" s="51"/>
      <c r="K144" s="51"/>
      <c r="L144" s="132"/>
      <c r="M144" s="132"/>
      <c r="N144" s="132"/>
      <c r="O144" s="132"/>
      <c r="P144" s="40"/>
      <c r="Q144" s="40"/>
      <c r="R144" s="40"/>
      <c r="S144" s="630"/>
      <c r="T144" s="653"/>
      <c r="U144" s="40"/>
      <c r="V144" s="630"/>
      <c r="W144" s="653"/>
      <c r="X144" s="40"/>
      <c r="Y144" s="630"/>
      <c r="Z144" s="653"/>
      <c r="AA144" s="40">
        <f>Defence!AA11</f>
        <v>-44</v>
      </c>
      <c r="AB144" s="630">
        <f>Defence!AB11</f>
        <v>-56</v>
      </c>
      <c r="AC144" s="653">
        <f>Defence!AC11</f>
        <v>-100</v>
      </c>
      <c r="AD144" s="40">
        <f>Defence!AD11</f>
        <v>-48</v>
      </c>
      <c r="AE144" s="630">
        <f>Defence!AE11</f>
        <v>-57</v>
      </c>
      <c r="AF144" s="653">
        <f>Defence!AF11</f>
        <v>-105</v>
      </c>
      <c r="AG144" s="40">
        <f>Defence!AG11</f>
        <v>-49</v>
      </c>
      <c r="AH144" s="630">
        <f>Defence!AH11</f>
        <v>-37</v>
      </c>
      <c r="AI144" s="653">
        <f>Defence!AI11</f>
        <v>-86</v>
      </c>
      <c r="AJ144" s="40">
        <f>Defence!AJ11</f>
        <v>-47</v>
      </c>
      <c r="AK144" s="630">
        <f>Defence!AK11</f>
        <v>-58</v>
      </c>
      <c r="AL144" s="653">
        <f>Defence!AL11</f>
        <v>-105</v>
      </c>
      <c r="AM144" s="40">
        <f>Defence!AM11</f>
        <v>-53</v>
      </c>
      <c r="AN144" s="630">
        <f>Defence!AN11</f>
        <v>-69</v>
      </c>
      <c r="AO144" s="653">
        <f>Defence!AO11</f>
        <v>-122</v>
      </c>
      <c r="AP144" s="40">
        <f>Defence!AP11</f>
        <v>-34</v>
      </c>
      <c r="AQ144" s="630">
        <f>Defence!AQ11</f>
        <v>-38</v>
      </c>
      <c r="AR144" s="653">
        <f>Defence!AR11</f>
        <v>-72</v>
      </c>
      <c r="AS144" s="40">
        <f>Defence!AS11</f>
        <v>-24</v>
      </c>
      <c r="AT144" s="630">
        <f>Defence!AT11</f>
        <v>-31</v>
      </c>
      <c r="AU144" s="653">
        <f>Defence!AU11</f>
        <v>-55</v>
      </c>
      <c r="AV144" s="40">
        <f>Defence!AV11</f>
        <v>-18</v>
      </c>
      <c r="AW144" s="539">
        <f>Defence!AW11</f>
        <v>-27</v>
      </c>
      <c r="AX144" s="653">
        <f>Defence!AX11</f>
        <v>-45</v>
      </c>
      <c r="AY144" s="40">
        <f>Defence!AY11</f>
        <v>-12</v>
      </c>
      <c r="AZ144" s="236">
        <f>Defence!AZ11</f>
        <v>-39.579573424195246</v>
      </c>
      <c r="BA144" s="605">
        <f>Defence!BA11</f>
        <v>-51.579573424195246</v>
      </c>
      <c r="BB144" s="56">
        <f>Defence!BB11</f>
        <v>-26.380080000000003</v>
      </c>
      <c r="BC144" s="236">
        <f>Defence!BC11</f>
        <v>-28.456860624195247</v>
      </c>
      <c r="BD144" s="605">
        <f>Defence!BD11</f>
        <v>-54.83694062419525</v>
      </c>
      <c r="BE144" s="56">
        <f>Defence!BE11</f>
        <v>-28.022500800000003</v>
      </c>
      <c r="BF144" s="236">
        <f>Defence!BF11</f>
        <v>-30.288627616195249</v>
      </c>
      <c r="BG144" s="605">
        <f>Defence!BG11</f>
        <v>-58.311128416195253</v>
      </c>
      <c r="BH144" s="56">
        <f>Defence!BH11</f>
        <v>-29.774245420800003</v>
      </c>
      <c r="BI144" s="236">
        <f>Defence!BI11</f>
        <v>-32.242717792515265</v>
      </c>
      <c r="BJ144" s="605">
        <f>Defence!BJ11</f>
        <v>-62.016963213315265</v>
      </c>
      <c r="BK144" s="56">
        <f>Defence!BK11</f>
        <v>-31.642785177984006</v>
      </c>
      <c r="BL144" s="236">
        <f>Defence!BL11</f>
        <v>-34.327525485398468</v>
      </c>
      <c r="BM144" s="605">
        <f>Defence!BM11</f>
        <v>-65.970310663382477</v>
      </c>
    </row>
    <row r="145" spans="1:66">
      <c r="A145" s="93" t="s">
        <v>10</v>
      </c>
      <c r="B145" s="51"/>
      <c r="C145" s="51"/>
      <c r="D145" s="51"/>
      <c r="E145" s="51"/>
      <c r="F145" s="51"/>
      <c r="G145" s="51"/>
      <c r="H145" s="51"/>
      <c r="I145" s="51"/>
      <c r="J145" s="51"/>
      <c r="K145" s="51"/>
      <c r="L145" s="132"/>
      <c r="M145" s="132"/>
      <c r="N145" s="132"/>
      <c r="O145" s="132"/>
      <c r="P145" s="40"/>
      <c r="Q145" s="40"/>
      <c r="R145" s="40"/>
      <c r="S145" s="630"/>
      <c r="T145" s="653"/>
      <c r="U145" s="40"/>
      <c r="V145" s="630"/>
      <c r="W145" s="653"/>
      <c r="X145" s="40"/>
      <c r="Y145" s="630"/>
      <c r="Z145" s="653"/>
      <c r="AA145" s="40">
        <f>'Power Systems'!AA11</f>
        <v>-86</v>
      </c>
      <c r="AB145" s="630">
        <f>'Power Systems'!AB11</f>
        <v>-102</v>
      </c>
      <c r="AC145" s="653">
        <f>'Power Systems'!AC11</f>
        <v>-188</v>
      </c>
      <c r="AD145" s="40">
        <f>'Power Systems'!AD11</f>
        <v>-94</v>
      </c>
      <c r="AE145" s="630">
        <f>'Power Systems'!AE11</f>
        <v>-82</v>
      </c>
      <c r="AF145" s="653">
        <f>'Power Systems'!AF11</f>
        <v>-176</v>
      </c>
      <c r="AG145" s="40">
        <f>'Power Systems'!AG11</f>
        <v>-82</v>
      </c>
      <c r="AH145" s="630">
        <f>'Power Systems'!AH11</f>
        <v>-78</v>
      </c>
      <c r="AI145" s="653">
        <f>'Power Systems'!AI11</f>
        <v>-160</v>
      </c>
      <c r="AJ145" s="40">
        <f>'Power Systems'!AJ11</f>
        <v>-69</v>
      </c>
      <c r="AK145" s="630">
        <f>'Power Systems'!AK11</f>
        <v>-88</v>
      </c>
      <c r="AL145" s="653">
        <f>'Power Systems'!AL11</f>
        <v>-157</v>
      </c>
      <c r="AM145" s="40">
        <f>'Power Systems'!AM11</f>
        <v>-79</v>
      </c>
      <c r="AN145" s="630">
        <f>'Power Systems'!AN11</f>
        <v>-125</v>
      </c>
      <c r="AO145" s="653">
        <f>'Power Systems'!AO11</f>
        <v>-204</v>
      </c>
      <c r="AP145" s="40">
        <f>'Power Systems'!AP11</f>
        <v>-96</v>
      </c>
      <c r="AQ145" s="630">
        <f>'Power Systems'!AQ11</f>
        <v>-91</v>
      </c>
      <c r="AR145" s="653">
        <f>'Power Systems'!AR11</f>
        <v>-187</v>
      </c>
      <c r="AS145" s="40">
        <f>'Power Systems'!AS11</f>
        <v>-83</v>
      </c>
      <c r="AT145" s="630">
        <f>'Power Systems'!AT11</f>
        <v>-82</v>
      </c>
      <c r="AU145" s="653">
        <f>'Power Systems'!AU11</f>
        <v>-165</v>
      </c>
      <c r="AV145" s="40">
        <f>'Power Systems'!AV11</f>
        <v>-79</v>
      </c>
      <c r="AW145" s="539">
        <f>'Power Systems'!AW11</f>
        <v>-85</v>
      </c>
      <c r="AX145" s="653">
        <f>'Power Systems'!AX11</f>
        <v>-164</v>
      </c>
      <c r="AY145" s="40">
        <f>'Power Systems'!AY11</f>
        <v>-84</v>
      </c>
      <c r="AZ145" s="236">
        <f>'Power Systems'!AZ11</f>
        <v>-91.279780130825856</v>
      </c>
      <c r="BA145" s="605">
        <f>'Power Systems'!BA11</f>
        <v>-175.27978013082586</v>
      </c>
      <c r="BB145" s="56">
        <f>'Power Systems'!BB11</f>
        <v>-86.060897999999995</v>
      </c>
      <c r="BC145" s="236">
        <f>'Power Systems'!BC11</f>
        <v>-106.88732608659036</v>
      </c>
      <c r="BD145" s="605">
        <f>'Power Systems'!BD11</f>
        <v>-192.94822408659036</v>
      </c>
      <c r="BE145" s="56">
        <f>'Power Systems'!BE11</f>
        <v>-94.430023800000001</v>
      </c>
      <c r="BF145" s="236">
        <f>'Power Systems'!BF11</f>
        <v>-117.10965457235493</v>
      </c>
      <c r="BG145" s="605">
        <f>'Power Systems'!BG11</f>
        <v>-211.53967837235493</v>
      </c>
      <c r="BH145" s="56">
        <f>'Power Systems'!BH11</f>
        <v>-102.91186439100001</v>
      </c>
      <c r="BI145" s="236">
        <f>'Power Systems'!BI11</f>
        <v>-127.42253692096936</v>
      </c>
      <c r="BJ145" s="605">
        <f>'Power Systems'!BJ11</f>
        <v>-230.33440131196937</v>
      </c>
      <c r="BK145" s="56">
        <f>'Power Systems'!BK11</f>
        <v>-111.15190379160002</v>
      </c>
      <c r="BL145" s="236">
        <f>'Power Systems'!BL11</f>
        <v>-137.40420915054392</v>
      </c>
      <c r="BM145" s="605">
        <f>'Power Systems'!BM11</f>
        <v>-248.55611294214393</v>
      </c>
    </row>
    <row r="146" spans="1:66">
      <c r="A146" s="93" t="s">
        <v>1042</v>
      </c>
      <c r="B146" s="51"/>
      <c r="C146" s="51"/>
      <c r="D146" s="51"/>
      <c r="E146" s="51"/>
      <c r="F146" s="51"/>
      <c r="G146" s="51"/>
      <c r="H146" s="51"/>
      <c r="I146" s="51"/>
      <c r="J146" s="51"/>
      <c r="K146" s="51"/>
      <c r="L146" s="132"/>
      <c r="M146" s="132"/>
      <c r="N146" s="132"/>
      <c r="O146" s="132"/>
      <c r="P146" s="40"/>
      <c r="Q146" s="40"/>
      <c r="R146" s="40"/>
      <c r="S146" s="630"/>
      <c r="T146" s="653"/>
      <c r="U146" s="40"/>
      <c r="V146" s="630"/>
      <c r="W146" s="653"/>
      <c r="X146" s="40"/>
      <c r="Y146" s="630"/>
      <c r="Z146" s="653"/>
      <c r="AA146" s="40"/>
      <c r="AB146" s="630"/>
      <c r="AC146" s="653"/>
      <c r="AD146" s="40"/>
      <c r="AE146" s="630"/>
      <c r="AF146" s="653"/>
      <c r="AG146" s="40"/>
      <c r="AH146" s="630"/>
      <c r="AI146" s="653">
        <v>-46</v>
      </c>
      <c r="AJ146" s="40">
        <v>-28</v>
      </c>
      <c r="AK146" s="630">
        <v>-40</v>
      </c>
      <c r="AL146" s="653">
        <v>-68</v>
      </c>
      <c r="AM146" s="40">
        <v>-37</v>
      </c>
      <c r="AN146" s="630">
        <v>-71</v>
      </c>
      <c r="AO146" s="653">
        <v>-108</v>
      </c>
      <c r="AP146" s="40">
        <v>-64</v>
      </c>
      <c r="AQ146" s="630">
        <v>-73</v>
      </c>
      <c r="AR146" s="653">
        <v>-137</v>
      </c>
      <c r="AS146" s="40">
        <v>-73</v>
      </c>
      <c r="AT146" s="630">
        <v>-60</v>
      </c>
      <c r="AU146" s="653">
        <v>-133</v>
      </c>
      <c r="AV146" s="40">
        <v>-21</v>
      </c>
      <c r="AW146" s="539">
        <v>0</v>
      </c>
      <c r="AX146" s="653">
        <v>-21</v>
      </c>
      <c r="AY146" s="40">
        <v>0</v>
      </c>
      <c r="AZ146" s="236">
        <v>0</v>
      </c>
      <c r="BA146" s="605">
        <v>0</v>
      </c>
      <c r="BB146" s="56">
        <v>0</v>
      </c>
      <c r="BC146" s="236">
        <v>0</v>
      </c>
      <c r="BD146" s="605">
        <v>0</v>
      </c>
      <c r="BE146" s="56">
        <v>0</v>
      </c>
      <c r="BF146" s="236">
        <v>0</v>
      </c>
      <c r="BG146" s="605">
        <v>0</v>
      </c>
      <c r="BH146" s="56">
        <v>0</v>
      </c>
      <c r="BI146" s="236">
        <v>0</v>
      </c>
      <c r="BJ146" s="605">
        <v>0</v>
      </c>
      <c r="BK146" s="56">
        <v>0</v>
      </c>
      <c r="BL146" s="236">
        <v>0</v>
      </c>
      <c r="BM146" s="605">
        <v>0</v>
      </c>
    </row>
    <row r="147" spans="1:66" hidden="1" outlineLevel="1">
      <c r="A147" s="93" t="s">
        <v>671</v>
      </c>
      <c r="B147" s="51"/>
      <c r="C147" s="51"/>
      <c r="D147" s="51"/>
      <c r="E147" s="51"/>
      <c r="F147" s="51"/>
      <c r="G147" s="51"/>
      <c r="H147" s="51"/>
      <c r="I147" s="51"/>
      <c r="J147" s="51"/>
      <c r="K147" s="51"/>
      <c r="L147" s="132"/>
      <c r="M147" s="132"/>
      <c r="N147" s="132"/>
      <c r="O147" s="132"/>
      <c r="P147" s="40"/>
      <c r="Q147" s="40"/>
      <c r="R147" s="40"/>
      <c r="S147" s="630"/>
      <c r="T147" s="653"/>
      <c r="U147" s="40"/>
      <c r="V147" s="630"/>
      <c r="W147" s="653"/>
      <c r="X147" s="40"/>
      <c r="Y147" s="630"/>
      <c r="Z147" s="653"/>
      <c r="AA147" s="40">
        <v>0</v>
      </c>
      <c r="AB147" s="630">
        <f>AC147-AA147</f>
        <v>-30</v>
      </c>
      <c r="AC147" s="653">
        <v>-30</v>
      </c>
      <c r="AD147" s="40">
        <v>0</v>
      </c>
      <c r="AE147" s="630">
        <f>AF147-AD147</f>
        <v>-30.6</v>
      </c>
      <c r="AF147" s="653">
        <f>AC147*1.02</f>
        <v>-30.6</v>
      </c>
      <c r="AG147" s="40">
        <v>0</v>
      </c>
      <c r="AH147" s="630">
        <f>AI147-AG147</f>
        <v>0</v>
      </c>
      <c r="AI147" s="653">
        <v>0</v>
      </c>
      <c r="AJ147" s="40">
        <v>0</v>
      </c>
      <c r="AK147" s="630">
        <f>AL147-AJ147</f>
        <v>0</v>
      </c>
      <c r="AL147" s="653">
        <v>0</v>
      </c>
      <c r="AM147" s="40">
        <v>0</v>
      </c>
      <c r="AN147" s="630">
        <f>AO147-AM147</f>
        <v>0</v>
      </c>
      <c r="AO147" s="653">
        <v>0</v>
      </c>
      <c r="AP147" s="40">
        <v>0</v>
      </c>
      <c r="AQ147" s="630">
        <f>AR147-AP147</f>
        <v>0</v>
      </c>
      <c r="AR147" s="653">
        <v>0</v>
      </c>
      <c r="AS147" s="40">
        <v>0</v>
      </c>
      <c r="AT147" s="630">
        <f>AU147-AS147</f>
        <v>0</v>
      </c>
      <c r="AU147" s="653">
        <v>0</v>
      </c>
      <c r="AV147" s="40">
        <v>0</v>
      </c>
      <c r="AW147" s="539">
        <f>AX147-AV147</f>
        <v>0</v>
      </c>
      <c r="AX147" s="1098"/>
      <c r="AY147" s="1121"/>
      <c r="AZ147" s="236"/>
      <c r="BA147" s="605"/>
      <c r="BB147" s="56"/>
      <c r="BC147" s="236"/>
      <c r="BD147" s="605"/>
      <c r="BE147" s="56"/>
      <c r="BF147" s="236"/>
      <c r="BG147" s="605"/>
      <c r="BH147" s="56"/>
      <c r="BI147" s="236"/>
      <c r="BJ147" s="605"/>
      <c r="BK147" s="56"/>
      <c r="BL147" s="236"/>
      <c r="BM147" s="605"/>
    </row>
    <row r="148" spans="1:66" collapsed="1">
      <c r="A148" s="93" t="s">
        <v>247</v>
      </c>
      <c r="B148" s="51"/>
      <c r="C148" s="51"/>
      <c r="D148" s="51"/>
      <c r="E148" s="51"/>
      <c r="F148" s="51"/>
      <c r="G148" s="51"/>
      <c r="H148" s="51"/>
      <c r="I148" s="51"/>
      <c r="J148" s="51"/>
      <c r="K148" s="51"/>
      <c r="L148" s="132"/>
      <c r="M148" s="132"/>
      <c r="N148" s="132"/>
      <c r="O148" s="132"/>
      <c r="P148" s="40"/>
      <c r="Q148" s="40"/>
      <c r="R148" s="40"/>
      <c r="S148" s="630"/>
      <c r="T148" s="653"/>
      <c r="U148" s="40"/>
      <c r="V148" s="630"/>
      <c r="W148" s="653"/>
      <c r="X148" s="40"/>
      <c r="Y148" s="630"/>
      <c r="Z148" s="653"/>
      <c r="AA148" s="40">
        <f t="shared" ref="AA148" si="673">AA141-SUM(AA143:AA147)</f>
        <v>-14</v>
      </c>
      <c r="AB148" s="630">
        <f t="shared" ref="AB148" si="674">AB141-SUM(AB143:AB147)</f>
        <v>14</v>
      </c>
      <c r="AC148" s="653">
        <f t="shared" ref="AC148:AY148" si="675">AC141-SUM(AC143:AC147)</f>
        <v>0</v>
      </c>
      <c r="AD148" s="40">
        <f t="shared" ref="AD148" si="676">AD141-SUM(AD143:AD147)</f>
        <v>-22</v>
      </c>
      <c r="AE148" s="630">
        <f t="shared" ref="AE148" si="677">AE141-SUM(AE143:AE147)</f>
        <v>19.600000000000023</v>
      </c>
      <c r="AF148" s="653">
        <f t="shared" si="675"/>
        <v>-2.3999999999999773</v>
      </c>
      <c r="AG148" s="40">
        <f t="shared" ref="AG148" si="678">AG141-SUM(AG143:AG147)</f>
        <v>-25</v>
      </c>
      <c r="AH148" s="630">
        <f t="shared" ref="AH148" si="679">AH141-SUM(AH143:AH147)</f>
        <v>-30</v>
      </c>
      <c r="AI148" s="653">
        <f t="shared" si="675"/>
        <v>-9</v>
      </c>
      <c r="AJ148" s="40">
        <f t="shared" ref="AJ148" si="680">AJ141-SUM(AJ143:AJ147)</f>
        <v>-5</v>
      </c>
      <c r="AK148" s="630">
        <f t="shared" ref="AK148" si="681">AK141-SUM(AK143:AK147)</f>
        <v>-8</v>
      </c>
      <c r="AL148" s="653">
        <f t="shared" si="675"/>
        <v>-13</v>
      </c>
      <c r="AM148" s="40">
        <f t="shared" ref="AM148" si="682">AM141-SUM(AM143:AM147)</f>
        <v>0</v>
      </c>
      <c r="AN148" s="630">
        <f t="shared" ref="AN148" si="683">AN141-SUM(AN143:AN147)</f>
        <v>0</v>
      </c>
      <c r="AO148" s="653">
        <f t="shared" si="675"/>
        <v>0</v>
      </c>
      <c r="AP148" s="40">
        <f t="shared" ref="AP148:AR148" si="684">AP141-SUM(AP143:AP147)</f>
        <v>0</v>
      </c>
      <c r="AQ148" s="630">
        <f t="shared" si="684"/>
        <v>0</v>
      </c>
      <c r="AR148" s="653">
        <f t="shared" si="684"/>
        <v>0</v>
      </c>
      <c r="AS148" s="40">
        <f t="shared" ref="AS148:AU148" si="685">AS141-SUM(AS143:AS147)</f>
        <v>0</v>
      </c>
      <c r="AT148" s="630">
        <f t="shared" si="685"/>
        <v>0</v>
      </c>
      <c r="AU148" s="653">
        <f t="shared" si="685"/>
        <v>0</v>
      </c>
      <c r="AV148" s="40">
        <f t="shared" ref="AV148:AW148" si="686">AV141-SUM(AV143:AV147)</f>
        <v>0</v>
      </c>
      <c r="AW148" s="539">
        <f t="shared" si="686"/>
        <v>0</v>
      </c>
      <c r="AX148" s="653">
        <f t="shared" si="675"/>
        <v>0</v>
      </c>
      <c r="AY148" s="40">
        <f t="shared" si="675"/>
        <v>0</v>
      </c>
      <c r="AZ148" s="236">
        <f t="shared" ref="AZ148" si="687">AZ141-SUM(AZ143:AZ147)</f>
        <v>29.932301511975254</v>
      </c>
      <c r="BA148" s="605">
        <f t="shared" ref="BA148:BM148" si="688">BA141-SUM(BA143:BA147)</f>
        <v>29.932301511975254</v>
      </c>
      <c r="BB148" s="56">
        <f t="shared" ref="BB148:BC148" si="689">BB141-SUM(BB143:BB147)</f>
        <v>-7.8032149077688473</v>
      </c>
      <c r="BC148" s="236">
        <f t="shared" si="689"/>
        <v>-8.3477144752270078</v>
      </c>
      <c r="BD148" s="605">
        <f t="shared" si="688"/>
        <v>-16.150929382995855</v>
      </c>
      <c r="BE148" s="56">
        <f t="shared" ref="BE148:BF148" si="690">BE141-SUM(BE143:BE147)</f>
        <v>24.029780026642641</v>
      </c>
      <c r="BF148" s="236">
        <f t="shared" si="690"/>
        <v>20.755589802349789</v>
      </c>
      <c r="BG148" s="605">
        <f t="shared" si="688"/>
        <v>44.78536982899243</v>
      </c>
      <c r="BH148" s="56">
        <f t="shared" ref="BH148:BI148" si="691">BH141-SUM(BH143:BH147)</f>
        <v>17.938333821984827</v>
      </c>
      <c r="BI148" s="236">
        <f t="shared" si="691"/>
        <v>11.63721720552644</v>
      </c>
      <c r="BJ148" s="605">
        <f t="shared" si="688"/>
        <v>29.575551027511324</v>
      </c>
      <c r="BK148" s="56">
        <f t="shared" ref="BK148:BL148" si="692">BK141-SUM(BK143:BK147)</f>
        <v>7.676735619483452</v>
      </c>
      <c r="BL148" s="236">
        <f t="shared" si="692"/>
        <v>-2.788451181374171</v>
      </c>
      <c r="BM148" s="605">
        <f t="shared" si="688"/>
        <v>4.8882844381092809</v>
      </c>
    </row>
    <row r="149" spans="1:66">
      <c r="A149" s="72"/>
      <c r="B149" s="51"/>
      <c r="C149" s="51"/>
      <c r="D149" s="51"/>
      <c r="E149" s="51"/>
      <c r="F149" s="51"/>
      <c r="G149" s="51"/>
      <c r="H149" s="51"/>
      <c r="I149" s="51"/>
      <c r="J149" s="51"/>
      <c r="K149" s="51"/>
      <c r="L149" s="132"/>
      <c r="M149" s="132"/>
      <c r="N149" s="132"/>
      <c r="O149" s="132"/>
      <c r="P149" s="132"/>
      <c r="Q149" s="132"/>
      <c r="R149" s="40"/>
      <c r="S149" s="630"/>
      <c r="T149" s="670"/>
      <c r="U149" s="40"/>
      <c r="V149" s="630"/>
      <c r="W149" s="670"/>
      <c r="X149" s="40"/>
      <c r="Y149" s="630"/>
      <c r="Z149" s="670"/>
      <c r="AA149" s="40"/>
      <c r="AB149" s="630"/>
      <c r="AC149" s="653"/>
      <c r="AD149" s="40"/>
      <c r="AE149" s="630"/>
      <c r="AF149" s="653"/>
      <c r="AG149" s="40"/>
      <c r="AH149" s="630"/>
      <c r="AI149" s="653"/>
      <c r="AJ149" s="40"/>
      <c r="AK149" s="630"/>
      <c r="AL149" s="653"/>
      <c r="AM149" s="40"/>
      <c r="AN149" s="630"/>
      <c r="AO149" s="653"/>
      <c r="AP149" s="40"/>
      <c r="AQ149" s="539"/>
      <c r="AR149" s="550"/>
      <c r="AS149"/>
      <c r="AT149" s="539"/>
      <c r="AU149" s="550"/>
      <c r="AV149"/>
      <c r="AW149" s="539"/>
      <c r="AX149" s="550"/>
      <c r="AY149"/>
      <c r="AZ149" s="539"/>
      <c r="BA149" s="550"/>
      <c r="BB149"/>
      <c r="BC149" s="539"/>
      <c r="BD149" s="550"/>
      <c r="BE149"/>
      <c r="BF149" s="539"/>
      <c r="BG149" s="550"/>
      <c r="BH149"/>
      <c r="BI149" s="539"/>
      <c r="BJ149" s="550"/>
      <c r="BK149"/>
      <c r="BL149" s="539"/>
      <c r="BM149" s="550"/>
    </row>
    <row r="150" spans="1:66">
      <c r="A150" s="72" t="s">
        <v>988</v>
      </c>
      <c r="B150" s="51"/>
      <c r="C150" s="51"/>
      <c r="D150" s="51"/>
      <c r="E150" s="51"/>
      <c r="F150" s="51"/>
      <c r="G150" s="51"/>
      <c r="H150" s="51"/>
      <c r="I150" s="51"/>
      <c r="J150" s="51"/>
      <c r="K150" s="51"/>
      <c r="L150" s="132"/>
      <c r="M150" s="132"/>
      <c r="N150" s="132"/>
      <c r="O150" s="132"/>
      <c r="P150" s="132"/>
      <c r="Q150" s="132"/>
      <c r="R150" s="40"/>
      <c r="S150" s="630"/>
      <c r="T150" s="670"/>
      <c r="U150" s="40"/>
      <c r="V150" s="630"/>
      <c r="W150" s="670"/>
      <c r="X150" s="40"/>
      <c r="Y150" s="630"/>
      <c r="Z150" s="670"/>
      <c r="AA150" s="40"/>
      <c r="AB150" s="630"/>
      <c r="AC150" s="609">
        <f>((AC129+CFS!AC105)/-AC112)-1</f>
        <v>1.4642857142857144</v>
      </c>
      <c r="AD150" s="40"/>
      <c r="AE150" s="630"/>
      <c r="AF150" s="609">
        <f>((AF129+CFS!AF105)/-AF112)-1</f>
        <v>0.86018237082066862</v>
      </c>
      <c r="AG150" s="40"/>
      <c r="AH150" s="630"/>
      <c r="AI150" s="609">
        <f>((AI129+CFS!AI105)/-AI112)-1</f>
        <v>-0.25662599915860329</v>
      </c>
      <c r="AJ150" s="40"/>
      <c r="AK150" s="630"/>
      <c r="AL150" s="609">
        <f>((AL129+CFS!AL105)/-AL112)-1</f>
        <v>0.29347826086956519</v>
      </c>
      <c r="AM150" s="40"/>
      <c r="AN150" s="630"/>
      <c r="AO150" s="609">
        <f>((AO129+CFS!AO105)/-AO112)-1</f>
        <v>0.30483271375464693</v>
      </c>
      <c r="AP150" s="40"/>
      <c r="AQ150" s="539"/>
      <c r="AR150" s="609">
        <f>((AR129+CFS!AR105)/-AR112)-1</f>
        <v>0.44062806673209032</v>
      </c>
      <c r="AS150" s="56"/>
      <c r="AT150" s="539"/>
      <c r="AU150" s="609">
        <f>((AU129+CFS!AU105)/-AU112)-1</f>
        <v>2.0110497237569063</v>
      </c>
      <c r="AV150" s="56"/>
      <c r="AW150" s="539"/>
      <c r="AX150" s="609">
        <f>((AX129+CFS!AX105)/-AX112)-1</f>
        <v>1.1044776119402986</v>
      </c>
      <c r="AY150" s="56"/>
      <c r="AZ150" s="236"/>
      <c r="BA150" s="577">
        <f>((BA129+CFS!BA105)/-BA112)-1</f>
        <v>0.72927519463734525</v>
      </c>
      <c r="BB150" s="56"/>
      <c r="BC150" s="236"/>
      <c r="BD150" s="577">
        <f>((BD129+CFS!BD105)/-BD112)-1</f>
        <v>0.82081161524735236</v>
      </c>
      <c r="BE150" s="56"/>
      <c r="BF150" s="236"/>
      <c r="BG150" s="577">
        <f>((BG129+CFS!BG105)/-BG112)-1</f>
        <v>0.87032870630358694</v>
      </c>
      <c r="BH150" s="56"/>
      <c r="BI150" s="236"/>
      <c r="BJ150" s="577">
        <f>((BJ129+CFS!BJ105)/-BJ112)-1</f>
        <v>0.9228298545563276</v>
      </c>
      <c r="BK150" s="56"/>
      <c r="BL150" s="236"/>
      <c r="BM150" s="577">
        <f>((BM129+CFS!BM105)/-BM112)-1</f>
        <v>0.97204831143598192</v>
      </c>
    </row>
    <row r="151" spans="1:66">
      <c r="A151" s="72"/>
      <c r="B151" s="51"/>
      <c r="C151" s="51"/>
      <c r="D151" s="51"/>
      <c r="E151" s="51"/>
      <c r="F151" s="51"/>
      <c r="G151" s="51"/>
      <c r="H151" s="51"/>
      <c r="I151" s="51"/>
      <c r="J151" s="51"/>
      <c r="K151" s="51"/>
      <c r="L151" s="132"/>
      <c r="M151" s="132"/>
      <c r="N151" s="132"/>
      <c r="O151" s="132"/>
      <c r="P151" s="132"/>
      <c r="Q151" s="132"/>
      <c r="R151" s="40"/>
      <c r="S151" s="630"/>
      <c r="T151" s="670"/>
      <c r="U151" s="40"/>
      <c r="V151" s="630"/>
      <c r="W151" s="670"/>
      <c r="X151" s="40"/>
      <c r="Y151" s="630"/>
      <c r="Z151" s="670"/>
      <c r="AA151" s="40"/>
      <c r="AB151" s="630"/>
      <c r="AC151" s="653"/>
      <c r="AD151" s="40"/>
      <c r="AE151" s="630"/>
      <c r="AF151" s="653"/>
      <c r="AG151" s="40"/>
      <c r="AH151" s="630"/>
      <c r="AI151" s="653"/>
      <c r="AJ151" s="40"/>
      <c r="AK151" s="630"/>
      <c r="AL151" s="653"/>
      <c r="AM151" s="40"/>
      <c r="AN151" s="630"/>
      <c r="AO151" s="653"/>
      <c r="AP151" s="40"/>
      <c r="AQ151" s="539"/>
      <c r="AR151" s="550"/>
      <c r="AS151"/>
      <c r="AT151" s="539"/>
      <c r="AU151" s="550"/>
      <c r="AV151"/>
      <c r="AW151" s="539"/>
      <c r="AX151" s="550"/>
      <c r="AY151"/>
      <c r="AZ151" s="539"/>
      <c r="BA151" s="550"/>
      <c r="BB151"/>
      <c r="BC151" s="539"/>
      <c r="BD151" s="550"/>
      <c r="BE151"/>
      <c r="BF151" s="539"/>
      <c r="BG151" s="550"/>
      <c r="BH151"/>
      <c r="BI151" s="539"/>
      <c r="BJ151" s="550"/>
      <c r="BK151"/>
      <c r="BL151" s="539"/>
      <c r="BM151" s="550"/>
    </row>
    <row r="152" spans="1:66">
      <c r="A152" s="310" t="s">
        <v>191</v>
      </c>
      <c r="B152" s="318"/>
      <c r="C152" s="318"/>
      <c r="D152" s="318"/>
      <c r="E152" s="318"/>
      <c r="F152" s="318"/>
      <c r="G152" s="318"/>
      <c r="H152" s="318"/>
      <c r="I152" s="318"/>
      <c r="J152" s="318"/>
      <c r="K152" s="318"/>
      <c r="L152" s="318"/>
      <c r="M152" s="318"/>
      <c r="N152" s="318"/>
      <c r="O152" s="318"/>
      <c r="P152" s="318"/>
      <c r="Q152" s="318"/>
      <c r="R152" s="527"/>
      <c r="S152" s="320"/>
      <c r="T152" s="678"/>
      <c r="U152" s="527"/>
      <c r="V152" s="320"/>
      <c r="W152" s="678"/>
      <c r="X152" s="527"/>
      <c r="Y152" s="320"/>
      <c r="Z152" s="678"/>
      <c r="AA152" s="527"/>
      <c r="AB152" s="320"/>
      <c r="AC152" s="664"/>
      <c r="AD152" s="527"/>
      <c r="AE152" s="320"/>
      <c r="AF152" s="664"/>
      <c r="AG152" s="527"/>
      <c r="AH152" s="320"/>
      <c r="AI152" s="664"/>
      <c r="AJ152" s="527"/>
      <c r="AK152" s="320"/>
      <c r="AL152" s="664"/>
      <c r="AM152" s="527"/>
      <c r="AN152" s="320"/>
      <c r="AO152" s="664"/>
      <c r="AP152" s="527"/>
      <c r="AQ152" s="320"/>
      <c r="AR152" s="664"/>
      <c r="AS152" s="527"/>
      <c r="AT152" s="320"/>
      <c r="AU152" s="664"/>
      <c r="AV152" s="527"/>
      <c r="AW152" s="320"/>
      <c r="AX152" s="664"/>
      <c r="AY152" s="527"/>
      <c r="AZ152" s="215"/>
      <c r="BA152" s="574"/>
      <c r="BB152" s="179"/>
      <c r="BC152" s="215"/>
      <c r="BD152" s="574"/>
      <c r="BE152" s="179"/>
      <c r="BF152" s="215"/>
      <c r="BG152" s="574"/>
      <c r="BH152" s="179"/>
      <c r="BI152" s="215"/>
      <c r="BJ152" s="574"/>
      <c r="BK152" s="179"/>
      <c r="BL152" s="215"/>
      <c r="BM152" s="574"/>
    </row>
    <row r="153" spans="1:66">
      <c r="A153" s="25" t="s">
        <v>192</v>
      </c>
      <c r="B153" s="40">
        <f t="shared" ref="B153:Q153" si="693">B34</f>
        <v>-87</v>
      </c>
      <c r="C153" s="40">
        <f t="shared" si="693"/>
        <v>-86</v>
      </c>
      <c r="D153" s="40">
        <f t="shared" si="693"/>
        <v>-52</v>
      </c>
      <c r="E153" s="40">
        <f t="shared" si="693"/>
        <v>-64</v>
      </c>
      <c r="F153" s="40">
        <f t="shared" si="693"/>
        <v>-100</v>
      </c>
      <c r="G153" s="40">
        <f t="shared" si="693"/>
        <v>-130</v>
      </c>
      <c r="H153" s="40">
        <f t="shared" si="693"/>
        <v>-397</v>
      </c>
      <c r="I153" s="40">
        <f t="shared" si="693"/>
        <v>-133</v>
      </c>
      <c r="J153" s="40">
        <f t="shared" si="693"/>
        <v>547</v>
      </c>
      <c r="K153" s="40">
        <f t="shared" si="693"/>
        <v>-740</v>
      </c>
      <c r="L153" s="40">
        <f t="shared" si="693"/>
        <v>-159</v>
      </c>
      <c r="M153" s="40">
        <f t="shared" si="693"/>
        <v>-257</v>
      </c>
      <c r="N153" s="40">
        <f t="shared" si="693"/>
        <v>-431</v>
      </c>
      <c r="O153" s="40">
        <f t="shared" si="693"/>
        <v>-377</v>
      </c>
      <c r="P153" s="40">
        <f t="shared" si="693"/>
        <v>-151</v>
      </c>
      <c r="Q153" s="40">
        <f t="shared" si="693"/>
        <v>-76</v>
      </c>
      <c r="R153" s="40">
        <f t="shared" ref="R153:S153" si="694">R34</f>
        <v>378</v>
      </c>
      <c r="S153" s="630">
        <f t="shared" si="694"/>
        <v>226</v>
      </c>
      <c r="T153" s="653">
        <f>T34</f>
        <v>604</v>
      </c>
      <c r="U153" s="40">
        <f>U34</f>
        <v>-360</v>
      </c>
      <c r="V153" s="630">
        <f>V34</f>
        <v>-329</v>
      </c>
      <c r="W153" s="653">
        <f>W34</f>
        <v>-689</v>
      </c>
      <c r="X153" s="40">
        <f t="shared" ref="X153:Y153" si="695">X34</f>
        <v>-272</v>
      </c>
      <c r="Y153" s="630">
        <f t="shared" si="695"/>
        <v>-243</v>
      </c>
      <c r="Z153" s="653">
        <f>Z34</f>
        <v>-515</v>
      </c>
      <c r="AA153" s="40">
        <f>AA34</f>
        <v>302</v>
      </c>
      <c r="AB153" s="630">
        <f>AB34</f>
        <v>252</v>
      </c>
      <c r="AC153" s="653">
        <f>AC34</f>
        <v>554</v>
      </c>
      <c r="AD153" s="40">
        <f t="shared" ref="AD153:AE153" si="696">AD34</f>
        <v>-116</v>
      </c>
      <c r="AE153" s="630">
        <f t="shared" si="696"/>
        <v>-304</v>
      </c>
      <c r="AF153" s="653">
        <f>AF34</f>
        <v>-420</v>
      </c>
      <c r="AG153" s="40">
        <f>AG34</f>
        <v>-48</v>
      </c>
      <c r="AH153" s="630">
        <f>AH34</f>
        <v>-254</v>
      </c>
      <c r="AI153" s="653">
        <f>AI34</f>
        <v>-302</v>
      </c>
      <c r="AJ153" s="40">
        <f t="shared" ref="AJ153:AK153" si="697">AJ34</f>
        <v>280</v>
      </c>
      <c r="AK153" s="630">
        <f t="shared" si="697"/>
        <v>138</v>
      </c>
      <c r="AL153" s="653">
        <f>AL34</f>
        <v>418</v>
      </c>
      <c r="AM153" s="40">
        <f>AM34</f>
        <v>143</v>
      </c>
      <c r="AN153" s="630">
        <f>AN34</f>
        <v>164.99999999999997</v>
      </c>
      <c r="AO153" s="653">
        <f>AO34</f>
        <v>308</v>
      </c>
      <c r="AP153" s="40">
        <f t="shared" ref="AP153" si="698">AP34</f>
        <v>-196</v>
      </c>
      <c r="AQ153" s="630">
        <f>AQ34</f>
        <v>173</v>
      </c>
      <c r="AR153" s="653">
        <f>AR34</f>
        <v>-23</v>
      </c>
      <c r="AS153" s="40">
        <f t="shared" ref="AS153" si="699">AS34</f>
        <v>-280</v>
      </c>
      <c r="AT153" s="630">
        <f>AT34</f>
        <v>530</v>
      </c>
      <c r="AU153" s="653">
        <f>AU34</f>
        <v>250</v>
      </c>
      <c r="AV153" s="40">
        <f t="shared" ref="AV153" si="700">AV34</f>
        <v>-433</v>
      </c>
      <c r="AW153" s="539">
        <f>AW34</f>
        <v>-666</v>
      </c>
      <c r="AX153" s="653">
        <f>AX34</f>
        <v>-1099</v>
      </c>
      <c r="AY153" s="40">
        <f t="shared" ref="AY153" si="701">AY34</f>
        <v>-316</v>
      </c>
      <c r="AZ153" s="236">
        <f t="shared" ref="AZ153:BM153" si="702">AZ34</f>
        <v>-751.064162898669</v>
      </c>
      <c r="BA153" s="605">
        <f t="shared" si="702"/>
        <v>-1067.0641628986691</v>
      </c>
      <c r="BB153" s="56">
        <f t="shared" si="702"/>
        <v>-678.92972247838247</v>
      </c>
      <c r="BC153" s="236">
        <f t="shared" si="702"/>
        <v>-710.4594513951705</v>
      </c>
      <c r="BD153" s="605">
        <f t="shared" si="702"/>
        <v>-1389.3891738735529</v>
      </c>
      <c r="BE153" s="56">
        <f t="shared" si="702"/>
        <v>-784.06185470499543</v>
      </c>
      <c r="BF153" s="236">
        <f t="shared" si="702"/>
        <v>-838.24628015623557</v>
      </c>
      <c r="BG153" s="605">
        <f t="shared" si="702"/>
        <v>-1622.3081348612311</v>
      </c>
      <c r="BH153" s="56">
        <f t="shared" si="702"/>
        <v>-929.28653736871149</v>
      </c>
      <c r="BI153" s="236">
        <f t="shared" si="702"/>
        <v>-995.50296963751589</v>
      </c>
      <c r="BJ153" s="605">
        <f t="shared" si="702"/>
        <v>-1924.7895070062275</v>
      </c>
      <c r="BK153" s="56">
        <f t="shared" si="702"/>
        <v>-1111.7211682478676</v>
      </c>
      <c r="BL153" s="236">
        <f t="shared" si="702"/>
        <v>-1189.9085790126808</v>
      </c>
      <c r="BM153" s="605">
        <f t="shared" si="702"/>
        <v>-2301.6297472605484</v>
      </c>
    </row>
    <row r="154" spans="1:66">
      <c r="A154" s="25" t="s">
        <v>193</v>
      </c>
      <c r="B154" s="40">
        <f t="shared" ref="B154:BM154" si="703">B35</f>
        <v>-134</v>
      </c>
      <c r="C154" s="40">
        <f t="shared" si="703"/>
        <v>-154</v>
      </c>
      <c r="D154" s="40">
        <f t="shared" si="703"/>
        <v>-76</v>
      </c>
      <c r="E154" s="40">
        <f t="shared" si="703"/>
        <v>-84</v>
      </c>
      <c r="F154" s="40">
        <f t="shared" si="703"/>
        <v>-100</v>
      </c>
      <c r="G154" s="40">
        <f t="shared" si="703"/>
        <v>-170</v>
      </c>
      <c r="H154" s="40">
        <f t="shared" si="703"/>
        <v>-190</v>
      </c>
      <c r="I154" s="40">
        <f t="shared" si="703"/>
        <v>-193</v>
      </c>
      <c r="J154" s="40">
        <f t="shared" si="703"/>
        <v>-217</v>
      </c>
      <c r="K154" s="40">
        <f t="shared" si="703"/>
        <v>-187</v>
      </c>
      <c r="L154" s="40">
        <f t="shared" si="703"/>
        <v>-236</v>
      </c>
      <c r="M154" s="40">
        <f t="shared" si="703"/>
        <v>-261</v>
      </c>
      <c r="N154" s="40">
        <f t="shared" si="703"/>
        <v>-317</v>
      </c>
      <c r="O154" s="40">
        <f t="shared" si="703"/>
        <v>-434</v>
      </c>
      <c r="P154" s="40">
        <f t="shared" si="703"/>
        <v>-388</v>
      </c>
      <c r="Q154" s="40">
        <f t="shared" si="703"/>
        <v>-351</v>
      </c>
      <c r="R154" s="40">
        <f t="shared" ref="R154:S154" si="704">R35</f>
        <v>-27</v>
      </c>
      <c r="S154" s="630">
        <f t="shared" si="704"/>
        <v>-234</v>
      </c>
      <c r="T154" s="653">
        <f t="shared" si="703"/>
        <v>-261</v>
      </c>
      <c r="U154" s="40">
        <f t="shared" si="703"/>
        <v>-81</v>
      </c>
      <c r="V154" s="630">
        <f t="shared" si="703"/>
        <v>-247</v>
      </c>
      <c r="W154" s="653">
        <f t="shared" si="703"/>
        <v>-328</v>
      </c>
      <c r="X154" s="40">
        <f t="shared" ref="X154:Y154" si="705">X35</f>
        <v>-5</v>
      </c>
      <c r="Y154" s="630">
        <f t="shared" si="705"/>
        <v>-150</v>
      </c>
      <c r="Z154" s="653">
        <f t="shared" si="703"/>
        <v>-155</v>
      </c>
      <c r="AA154" s="40">
        <f t="shared" si="703"/>
        <v>-25</v>
      </c>
      <c r="AB154" s="630">
        <f t="shared" si="703"/>
        <v>-136</v>
      </c>
      <c r="AC154" s="653">
        <f t="shared" si="703"/>
        <v>-161</v>
      </c>
      <c r="AD154" s="40">
        <f t="shared" ref="AD154:AE154" si="706">AD35</f>
        <v>-121</v>
      </c>
      <c r="AE154" s="630">
        <f t="shared" si="706"/>
        <v>-156</v>
      </c>
      <c r="AF154" s="653">
        <f t="shared" si="703"/>
        <v>-277</v>
      </c>
      <c r="AG154" s="40">
        <f t="shared" si="703"/>
        <v>-90</v>
      </c>
      <c r="AH154" s="630">
        <f t="shared" si="703"/>
        <v>44</v>
      </c>
      <c r="AI154" s="653">
        <f t="shared" si="703"/>
        <v>-46</v>
      </c>
      <c r="AJ154" s="40">
        <f t="shared" ref="AJ154:AK154" si="707">AJ35</f>
        <v>-29</v>
      </c>
      <c r="AK154" s="630">
        <f t="shared" si="707"/>
        <v>3</v>
      </c>
      <c r="AL154" s="653">
        <f t="shared" si="703"/>
        <v>-26</v>
      </c>
      <c r="AM154" s="40">
        <f t="shared" si="703"/>
        <v>-77</v>
      </c>
      <c r="AN154" s="630">
        <f t="shared" si="703"/>
        <v>28.999999999999972</v>
      </c>
      <c r="AO154" s="653">
        <f t="shared" si="703"/>
        <v>-48.000000000000028</v>
      </c>
      <c r="AP154" s="40">
        <f t="shared" ref="AP154:AR154" si="708">AP35</f>
        <v>-120</v>
      </c>
      <c r="AQ154" s="630">
        <f t="shared" si="708"/>
        <v>0</v>
      </c>
      <c r="AR154" s="653">
        <f t="shared" si="708"/>
        <v>-120</v>
      </c>
      <c r="AS154" s="40">
        <f t="shared" ref="AS154:AU154" si="709">AS35</f>
        <v>-298</v>
      </c>
      <c r="AT154" s="630">
        <f t="shared" si="709"/>
        <v>-330</v>
      </c>
      <c r="AU154" s="653">
        <f t="shared" si="709"/>
        <v>-628</v>
      </c>
      <c r="AV154" s="40">
        <f t="shared" ref="AV154:AW154" si="710">AV35</f>
        <v>-370</v>
      </c>
      <c r="AW154" s="539">
        <f t="shared" si="710"/>
        <v>-500</v>
      </c>
      <c r="AX154" s="653">
        <f t="shared" ref="AX154:AY154" si="711">AX35</f>
        <v>-870</v>
      </c>
      <c r="AY154" s="40">
        <f t="shared" si="711"/>
        <v>-642</v>
      </c>
      <c r="AZ154" s="236">
        <f>AZ35</f>
        <v>-570.77307110382208</v>
      </c>
      <c r="BA154" s="605">
        <f t="shared" si="703"/>
        <v>-1212.7730711038221</v>
      </c>
      <c r="BB154" s="56">
        <f>BB35</f>
        <v>-682.50496535817047</v>
      </c>
      <c r="BC154" s="236">
        <f>BC35</f>
        <v>-714.20410068109913</v>
      </c>
      <c r="BD154" s="605">
        <f t="shared" si="703"/>
        <v>-1396.7090660392696</v>
      </c>
      <c r="BE154" s="56">
        <f>BE35</f>
        <v>-787.88571448704579</v>
      </c>
      <c r="BF154" s="236">
        <f>BF35</f>
        <v>-842.3123040070484</v>
      </c>
      <c r="BG154" s="605">
        <f t="shared" si="703"/>
        <v>-1630.1980184940942</v>
      </c>
      <c r="BH154" s="56">
        <f>BH35</f>
        <v>-933.4512180579037</v>
      </c>
      <c r="BI154" s="236">
        <f>BI35</f>
        <v>-999.93813831003524</v>
      </c>
      <c r="BJ154" s="605">
        <f t="shared" si="703"/>
        <v>-1933.3893563679389</v>
      </c>
      <c r="BK154" s="56">
        <f>BK35</f>
        <v>-1116.269137932271</v>
      </c>
      <c r="BL154" s="236">
        <f>BL35</f>
        <v>-1194.752700107681</v>
      </c>
      <c r="BM154" s="605">
        <f t="shared" si="703"/>
        <v>-2311.0218380399519</v>
      </c>
    </row>
    <row r="155" spans="1:66">
      <c r="A155" s="25" t="s">
        <v>187</v>
      </c>
      <c r="B155" s="40">
        <f>CFS!B30</f>
        <v>-25</v>
      </c>
      <c r="C155" s="40">
        <f>CFS!C30</f>
        <v>-24</v>
      </c>
      <c r="D155" s="40">
        <f>CFS!D30</f>
        <v>-41</v>
      </c>
      <c r="E155" s="40">
        <f>CFS!E30</f>
        <v>-43</v>
      </c>
      <c r="F155" s="40">
        <f>CFS!F30</f>
        <v>-84</v>
      </c>
      <c r="G155" s="40">
        <f>CFS!G30</f>
        <v>-60</v>
      </c>
      <c r="H155" s="40">
        <f>CFS!H30</f>
        <v>-25</v>
      </c>
      <c r="I155" s="40">
        <f>CFS!I30</f>
        <v>-71</v>
      </c>
      <c r="J155" s="40">
        <f>CFS!J30</f>
        <v>-117</v>
      </c>
      <c r="K155" s="40">
        <f>CFS!K30</f>
        <v>-119</v>
      </c>
      <c r="L155" s="40">
        <f>CFS!L30</f>
        <v>-168</v>
      </c>
      <c r="M155" s="40">
        <f>CFS!M30</f>
        <v>-208</v>
      </c>
      <c r="N155" s="40">
        <f>CFS!N30</f>
        <v>-219</v>
      </c>
      <c r="O155" s="40">
        <f>CFS!O30</f>
        <v>-238</v>
      </c>
      <c r="P155" s="40">
        <f>CFS!P30</f>
        <v>-276</v>
      </c>
      <c r="Q155" s="40">
        <f>CFS!Q30</f>
        <v>-160</v>
      </c>
      <c r="R155" s="40">
        <f>CFS!R30</f>
        <v>-62</v>
      </c>
      <c r="S155" s="630">
        <f>T155-R155</f>
        <v>-95</v>
      </c>
      <c r="T155" s="653">
        <f>CFS!T30</f>
        <v>-157</v>
      </c>
      <c r="U155" s="40">
        <f>CFS!U30</f>
        <v>-71</v>
      </c>
      <c r="V155" s="630">
        <f>W155-U155</f>
        <v>-109</v>
      </c>
      <c r="W155" s="653">
        <f>CFS!W30</f>
        <v>-180</v>
      </c>
      <c r="X155" s="40">
        <f>CFS!X30</f>
        <v>-71</v>
      </c>
      <c r="Y155" s="630">
        <f>Z155-X155</f>
        <v>-109</v>
      </c>
      <c r="Z155" s="653">
        <f>CFS!Z30</f>
        <v>-180</v>
      </c>
      <c r="AA155" s="40">
        <f>CFS!AA30</f>
        <v>-77</v>
      </c>
      <c r="AB155" s="630">
        <f>AC155-AA155</f>
        <v>-171</v>
      </c>
      <c r="AC155" s="653">
        <f>CFS!AC30</f>
        <v>-248</v>
      </c>
      <c r="AD155" s="40">
        <f>CFS!AD30</f>
        <v>-100</v>
      </c>
      <c r="AE155" s="630">
        <f>AF155-AD155</f>
        <v>-75</v>
      </c>
      <c r="AF155" s="653">
        <f>CFS!AF30</f>
        <v>-175</v>
      </c>
      <c r="AG155" s="40">
        <f>CFS!AG30</f>
        <v>-34</v>
      </c>
      <c r="AH155" s="630">
        <f>AI155-AG155</f>
        <v>-197</v>
      </c>
      <c r="AI155" s="653">
        <f>CFS!AI30</f>
        <v>-231</v>
      </c>
      <c r="AJ155" s="40">
        <f>CFS!AJ30</f>
        <v>-102</v>
      </c>
      <c r="AK155" s="630">
        <f>AL155-AJ155</f>
        <v>-83</v>
      </c>
      <c r="AL155" s="653">
        <f>CFS!AL30</f>
        <v>-185</v>
      </c>
      <c r="AM155" s="40">
        <f>CFS!AM30</f>
        <v>-88</v>
      </c>
      <c r="AN155" s="630">
        <f>AO155-AM155</f>
        <v>-86</v>
      </c>
      <c r="AO155" s="653">
        <f>CFS!AO30</f>
        <v>-174</v>
      </c>
      <c r="AP155" s="40">
        <f>CFS!AP30</f>
        <v>-59</v>
      </c>
      <c r="AQ155" s="630">
        <f>AR155-AP155</f>
        <v>-113</v>
      </c>
      <c r="AR155" s="653">
        <f>CFS!AR30</f>
        <v>-172</v>
      </c>
      <c r="AS155" s="40">
        <f>CFS!AS30</f>
        <v>-113</v>
      </c>
      <c r="AT155" s="630">
        <f>AU155-AS155</f>
        <v>-268</v>
      </c>
      <c r="AU155" s="653">
        <f>CFS!AU30</f>
        <v>-381</v>
      </c>
      <c r="AV155" s="40">
        <f>CFS!AV30</f>
        <v>-290</v>
      </c>
      <c r="AW155" s="539">
        <f>AX155-AV155</f>
        <v>-300</v>
      </c>
      <c r="AX155" s="653">
        <f>CFS!AX30</f>
        <v>-590</v>
      </c>
      <c r="AY155" s="40">
        <f>CFS!AY30</f>
        <v>-525</v>
      </c>
      <c r="AZ155" s="236">
        <f>BA155-AY155</f>
        <v>-384.57980332786656</v>
      </c>
      <c r="BA155" s="605">
        <f t="shared" ref="BA155:BM155" si="712">BA154*BA156</f>
        <v>-909.57980332786656</v>
      </c>
      <c r="BB155" s="56">
        <f>BB154*BB156</f>
        <v>-511.87872401862785</v>
      </c>
      <c r="BC155" s="236">
        <f>BD155-BB155</f>
        <v>-535.65307551082435</v>
      </c>
      <c r="BD155" s="605">
        <f t="shared" si="712"/>
        <v>-1047.5317995294522</v>
      </c>
      <c r="BE155" s="56">
        <f>BE154*BE156</f>
        <v>-590.91428586528434</v>
      </c>
      <c r="BF155" s="236">
        <f>BG155-BE155</f>
        <v>-631.73422800528635</v>
      </c>
      <c r="BG155" s="605">
        <f t="shared" si="712"/>
        <v>-1222.6485138705707</v>
      </c>
      <c r="BH155" s="56">
        <f>BH154*BH156</f>
        <v>-700.08841354342781</v>
      </c>
      <c r="BI155" s="236">
        <f>BJ155-BH155</f>
        <v>-749.95360373252629</v>
      </c>
      <c r="BJ155" s="605">
        <f t="shared" si="712"/>
        <v>-1450.0420172759541</v>
      </c>
      <c r="BK155" s="56">
        <f>BK154*BK156</f>
        <v>-837.20185344920321</v>
      </c>
      <c r="BL155" s="236">
        <f>BM155-BK155</f>
        <v>-896.06452508076075</v>
      </c>
      <c r="BM155" s="605">
        <f t="shared" si="712"/>
        <v>-1733.266378529964</v>
      </c>
    </row>
    <row r="156" spans="1:66">
      <c r="A156" s="25" t="s">
        <v>196</v>
      </c>
      <c r="B156" s="50">
        <f t="shared" ref="B156:AO156" si="713">B155/B154</f>
        <v>0.18656716417910449</v>
      </c>
      <c r="C156" s="50">
        <f t="shared" si="713"/>
        <v>0.15584415584415584</v>
      </c>
      <c r="D156" s="50">
        <f t="shared" si="713"/>
        <v>0.53947368421052633</v>
      </c>
      <c r="E156" s="50">
        <f t="shared" si="713"/>
        <v>0.51190476190476186</v>
      </c>
      <c r="F156" s="50">
        <f t="shared" si="713"/>
        <v>0.84</v>
      </c>
      <c r="G156" s="50">
        <f t="shared" si="713"/>
        <v>0.35294117647058826</v>
      </c>
      <c r="H156" s="50">
        <f t="shared" si="713"/>
        <v>0.13157894736842105</v>
      </c>
      <c r="I156" s="50">
        <f t="shared" si="713"/>
        <v>0.36787564766839376</v>
      </c>
      <c r="J156" s="50">
        <f t="shared" si="713"/>
        <v>0.53917050691244239</v>
      </c>
      <c r="K156" s="50">
        <f t="shared" si="713"/>
        <v>0.63636363636363635</v>
      </c>
      <c r="L156" s="50">
        <f t="shared" si="713"/>
        <v>0.71186440677966101</v>
      </c>
      <c r="M156" s="50">
        <f t="shared" si="713"/>
        <v>0.79693486590038309</v>
      </c>
      <c r="N156" s="50">
        <f t="shared" si="713"/>
        <v>0.69085173501577291</v>
      </c>
      <c r="O156" s="50">
        <f t="shared" si="713"/>
        <v>0.54838709677419351</v>
      </c>
      <c r="P156" s="50">
        <f t="shared" si="713"/>
        <v>0.71134020618556704</v>
      </c>
      <c r="Q156" s="50">
        <f t="shared" si="713"/>
        <v>0.45584045584045585</v>
      </c>
      <c r="R156" s="952">
        <f t="shared" ref="R156:S156" si="714">R155/R154</f>
        <v>2.2962962962962963</v>
      </c>
      <c r="S156" s="647">
        <f t="shared" si="714"/>
        <v>0.40598290598290598</v>
      </c>
      <c r="T156" s="671">
        <f t="shared" si="713"/>
        <v>0.6015325670498084</v>
      </c>
      <c r="U156" s="952">
        <f t="shared" si="713"/>
        <v>0.87654320987654322</v>
      </c>
      <c r="V156" s="647">
        <f t="shared" si="713"/>
        <v>0.44129554655870445</v>
      </c>
      <c r="W156" s="671">
        <f t="shared" si="713"/>
        <v>0.54878048780487809</v>
      </c>
      <c r="X156" s="952">
        <f t="shared" ref="X156:Y156" si="715">X155/X154</f>
        <v>14.2</v>
      </c>
      <c r="Y156" s="647">
        <f t="shared" si="715"/>
        <v>0.72666666666666668</v>
      </c>
      <c r="Z156" s="671">
        <f t="shared" si="713"/>
        <v>1.1612903225806452</v>
      </c>
      <c r="AA156" s="952">
        <f t="shared" si="713"/>
        <v>3.08</v>
      </c>
      <c r="AB156" s="647">
        <f t="shared" si="713"/>
        <v>1.2573529411764706</v>
      </c>
      <c r="AC156" s="671">
        <f t="shared" si="713"/>
        <v>1.5403726708074534</v>
      </c>
      <c r="AD156" s="952">
        <f t="shared" ref="AD156:AE156" si="716">AD155/AD154</f>
        <v>0.82644628099173556</v>
      </c>
      <c r="AE156" s="647">
        <f t="shared" si="716"/>
        <v>0.48076923076923078</v>
      </c>
      <c r="AF156" s="671">
        <f t="shared" si="713"/>
        <v>0.63176895306859204</v>
      </c>
      <c r="AG156" s="952">
        <f t="shared" si="713"/>
        <v>0.37777777777777777</v>
      </c>
      <c r="AH156" s="647">
        <f t="shared" si="713"/>
        <v>-4.4772727272727275</v>
      </c>
      <c r="AI156" s="671">
        <f>AI155/AI154</f>
        <v>5.0217391304347823</v>
      </c>
      <c r="AJ156" s="952">
        <f t="shared" ref="AJ156:AK156" si="717">AJ155/AJ154</f>
        <v>3.5172413793103448</v>
      </c>
      <c r="AK156" s="647">
        <f t="shared" si="717"/>
        <v>-27.666666666666668</v>
      </c>
      <c r="AL156" s="671">
        <f>AL155/AL154</f>
        <v>7.115384615384615</v>
      </c>
      <c r="AM156" s="952">
        <f t="shared" ref="AM156:AN156" si="718">AM155/AM154</f>
        <v>1.1428571428571428</v>
      </c>
      <c r="AN156" s="647">
        <f t="shared" si="718"/>
        <v>-2.9655172413793132</v>
      </c>
      <c r="AO156" s="671">
        <f t="shared" si="713"/>
        <v>3.6249999999999978</v>
      </c>
      <c r="AP156" s="952">
        <f t="shared" ref="AP156:AR156" si="719">AP155/AP154</f>
        <v>0.49166666666666664</v>
      </c>
      <c r="AQ156" s="638" t="str">
        <f>IFERROR(AQ155/AQ154,"NM")</f>
        <v>NM</v>
      </c>
      <c r="AR156" s="671">
        <f t="shared" si="719"/>
        <v>1.4333333333333333</v>
      </c>
      <c r="AS156" s="952">
        <f t="shared" ref="AS156" si="720">AS155/AS154</f>
        <v>0.37919463087248323</v>
      </c>
      <c r="AT156" s="638">
        <f>IFERROR(AT155/AT154,"NM")</f>
        <v>0.81212121212121213</v>
      </c>
      <c r="AU156" s="671">
        <f t="shared" ref="AU156:AV156" si="721">AU155/AU154</f>
        <v>0.60668789808917201</v>
      </c>
      <c r="AV156" s="952">
        <f t="shared" si="721"/>
        <v>0.78378378378378377</v>
      </c>
      <c r="AW156" s="736">
        <f>IFERROR(AW155/AW154,"NM")</f>
        <v>0.6</v>
      </c>
      <c r="AX156" s="671">
        <f t="shared" ref="AX156:AY156" si="722">AX155/AX154</f>
        <v>0.67816091954022983</v>
      </c>
      <c r="AY156" s="952">
        <f t="shared" si="722"/>
        <v>0.81775700934579443</v>
      </c>
      <c r="AZ156" s="599">
        <f t="shared" ref="AZ156" si="723">AZ155/AZ154</f>
        <v>0.67378757477840534</v>
      </c>
      <c r="BA156" s="618">
        <v>0.75</v>
      </c>
      <c r="BB156" s="251">
        <f>BD156</f>
        <v>0.75</v>
      </c>
      <c r="BC156" s="599">
        <f t="shared" ref="BC156" si="724">BC155/BC154</f>
        <v>0.75</v>
      </c>
      <c r="BD156" s="577">
        <f>+BA156</f>
        <v>0.75</v>
      </c>
      <c r="BE156" s="251">
        <f>BG156</f>
        <v>0.75</v>
      </c>
      <c r="BF156" s="599">
        <f t="shared" ref="BF156" si="725">BF155/BF154</f>
        <v>0.75000000000000011</v>
      </c>
      <c r="BG156" s="577">
        <f>+BD156</f>
        <v>0.75</v>
      </c>
      <c r="BH156" s="251">
        <f>BJ156</f>
        <v>0.75</v>
      </c>
      <c r="BI156" s="599">
        <f t="shared" ref="BI156" si="726">BI155/BI154</f>
        <v>0.74999999999999989</v>
      </c>
      <c r="BJ156" s="577">
        <f>+BG156</f>
        <v>0.75</v>
      </c>
      <c r="BK156" s="251">
        <f>BM156</f>
        <v>0.75</v>
      </c>
      <c r="BL156" s="599">
        <f t="shared" ref="BL156" si="727">BL155/BL154</f>
        <v>0.75</v>
      </c>
      <c r="BM156" s="577">
        <f t="shared" ref="BM156" si="728">+BJ156</f>
        <v>0.75</v>
      </c>
    </row>
    <row r="157" spans="1:66">
      <c r="A157" s="25" t="s">
        <v>233</v>
      </c>
      <c r="B157" s="58">
        <f t="shared" ref="B157:BM157" si="729">B37</f>
        <v>0.30733944954128439</v>
      </c>
      <c r="C157" s="58">
        <f t="shared" si="729"/>
        <v>0.32421052631578945</v>
      </c>
      <c r="D157" s="58">
        <f t="shared" si="729"/>
        <v>0.29803921568627451</v>
      </c>
      <c r="E157" s="58">
        <f t="shared" si="729"/>
        <v>0.29473684210526313</v>
      </c>
      <c r="F157" s="58">
        <f t="shared" si="729"/>
        <v>0.27472527472527475</v>
      </c>
      <c r="G157" s="58">
        <f t="shared" si="729"/>
        <v>0.28667790893760542</v>
      </c>
      <c r="H157" s="58">
        <f t="shared" si="729"/>
        <v>0.26950354609929078</v>
      </c>
      <c r="I157" s="58">
        <f t="shared" si="729"/>
        <v>0.22840236686390533</v>
      </c>
      <c r="J157" s="58">
        <f t="shared" si="729"/>
        <v>0.24659090909090908</v>
      </c>
      <c r="K157" s="58">
        <f t="shared" si="729"/>
        <v>0.20437158469945355</v>
      </c>
      <c r="L157" s="58">
        <f t="shared" si="729"/>
        <v>0.24712041884816754</v>
      </c>
      <c r="M157" s="58">
        <f t="shared" si="729"/>
        <v>0.22558340535868626</v>
      </c>
      <c r="N157" s="58">
        <f t="shared" si="729"/>
        <v>0.2210599721059972</v>
      </c>
      <c r="O157" s="58">
        <f t="shared" si="729"/>
        <v>0.24673109721432632</v>
      </c>
      <c r="P157" s="58">
        <f t="shared" si="729"/>
        <v>0.23950617283950618</v>
      </c>
      <c r="Q157" s="58">
        <f t="shared" si="729"/>
        <v>0.24511173184357543</v>
      </c>
      <c r="R157" s="87">
        <f t="shared" ref="R157:S157" si="730">R37</f>
        <v>0.25961538461538464</v>
      </c>
      <c r="S157" s="644">
        <f t="shared" si="730"/>
        <v>0.33004231311706628</v>
      </c>
      <c r="T157" s="668">
        <f t="shared" si="729"/>
        <v>0.3210332103321033</v>
      </c>
      <c r="U157" s="87">
        <f t="shared" si="729"/>
        <v>0.28222996515679444</v>
      </c>
      <c r="V157" s="644">
        <f t="shared" si="729"/>
        <v>0.31505102040816324</v>
      </c>
      <c r="W157" s="668">
        <f t="shared" si="729"/>
        <v>0.3062558356676004</v>
      </c>
      <c r="X157" s="87">
        <f t="shared" ref="X157:Y157" si="731">X37</f>
        <v>-3.4965034965034968E-2</v>
      </c>
      <c r="Y157" s="644">
        <f t="shared" si="731"/>
        <v>0.43859649122807015</v>
      </c>
      <c r="Z157" s="668">
        <f t="shared" si="729"/>
        <v>0.77889447236180909</v>
      </c>
      <c r="AA157" s="87">
        <f t="shared" si="729"/>
        <v>0.34246575342465752</v>
      </c>
      <c r="AB157" s="644">
        <f t="shared" si="729"/>
        <v>0.34605597964376589</v>
      </c>
      <c r="AC157" s="668">
        <f t="shared" si="729"/>
        <v>0.34549356223175964</v>
      </c>
      <c r="AD157" s="87">
        <f t="shared" ref="AD157:AE157" si="732">AD37</f>
        <v>1.3010752688172043</v>
      </c>
      <c r="AE157" s="644">
        <f t="shared" si="732"/>
        <v>0.3183673469387755</v>
      </c>
      <c r="AF157" s="668">
        <f t="shared" si="729"/>
        <v>0.47512864493996571</v>
      </c>
      <c r="AG157" s="87">
        <f t="shared" si="729"/>
        <v>-2.80986575085857E-2</v>
      </c>
      <c r="AH157" s="644">
        <f t="shared" si="729"/>
        <v>5.5696202531645568E-2</v>
      </c>
      <c r="AI157" s="668">
        <f>AI37</f>
        <v>-1.1520160280490859E-2</v>
      </c>
      <c r="AJ157" s="87">
        <f t="shared" ref="AJ157:AK157" si="733">AJ37</f>
        <v>0.21804511278195488</v>
      </c>
      <c r="AK157" s="644">
        <f t="shared" si="733"/>
        <v>3.0927835051546393E-2</v>
      </c>
      <c r="AL157" s="668">
        <f>AL37</f>
        <v>0.72222222222222221</v>
      </c>
      <c r="AM157" s="87">
        <f t="shared" ref="AM157:AN157" si="734">AM37</f>
        <v>-0.69369369369369371</v>
      </c>
      <c r="AN157" s="644">
        <f t="shared" si="734"/>
        <v>-9.148264984227121E-2</v>
      </c>
      <c r="AO157" s="668">
        <f t="shared" si="729"/>
        <v>0.23300970873786422</v>
      </c>
      <c r="AP157" s="87">
        <f t="shared" ref="AP157:AR157" si="735">AP37</f>
        <v>0.22900763358778625</v>
      </c>
      <c r="AQ157" s="644">
        <f t="shared" si="735"/>
        <v>0</v>
      </c>
      <c r="AR157" s="668">
        <f t="shared" si="735"/>
        <v>9.5087163232963554E-2</v>
      </c>
      <c r="AS157" s="87">
        <f t="shared" ref="AS157:AU157" si="736">AS37</f>
        <v>0.28792270531400965</v>
      </c>
      <c r="AT157" s="644">
        <f t="shared" si="736"/>
        <v>0.26232114467408585</v>
      </c>
      <c r="AU157" s="668">
        <f t="shared" si="736"/>
        <v>0.27387701700828609</v>
      </c>
      <c r="AV157" s="87">
        <f t="shared" ref="AV157:AW157" si="737">AV37</f>
        <v>0.21906453522794553</v>
      </c>
      <c r="AW157" s="214">
        <f t="shared" si="737"/>
        <v>0.30066145520144316</v>
      </c>
      <c r="AX157" s="668">
        <f t="shared" si="729"/>
        <v>0.25954653937947492</v>
      </c>
      <c r="AY157" s="87">
        <f t="shared" si="729"/>
        <v>0.25731462925851706</v>
      </c>
      <c r="AZ157" s="247">
        <f t="shared" si="729"/>
        <v>0.24225412343959632</v>
      </c>
      <c r="BA157" s="583">
        <f t="shared" si="729"/>
        <v>0.25</v>
      </c>
      <c r="BB157" s="245">
        <f t="shared" si="729"/>
        <v>0.25</v>
      </c>
      <c r="BC157" s="247">
        <f t="shared" si="729"/>
        <v>0.24999999999999997</v>
      </c>
      <c r="BD157" s="583">
        <f t="shared" si="729"/>
        <v>0.25</v>
      </c>
      <c r="BE157" s="245">
        <f t="shared" si="729"/>
        <v>0.25</v>
      </c>
      <c r="BF157" s="247">
        <f t="shared" si="729"/>
        <v>0.25000000000000006</v>
      </c>
      <c r="BG157" s="583">
        <f t="shared" si="729"/>
        <v>0.25</v>
      </c>
      <c r="BH157" s="245">
        <f t="shared" si="729"/>
        <v>0.25</v>
      </c>
      <c r="BI157" s="247">
        <f t="shared" si="729"/>
        <v>0.24999999999999997</v>
      </c>
      <c r="BJ157" s="583">
        <f t="shared" si="729"/>
        <v>0.25</v>
      </c>
      <c r="BK157" s="245">
        <f t="shared" si="729"/>
        <v>0.25</v>
      </c>
      <c r="BL157" s="247">
        <f t="shared" si="729"/>
        <v>0.25000000000000011</v>
      </c>
      <c r="BM157" s="583">
        <f t="shared" si="729"/>
        <v>0.25</v>
      </c>
    </row>
    <row r="158" spans="1:66">
      <c r="A158" s="25" t="s">
        <v>234</v>
      </c>
      <c r="B158" s="271">
        <f t="shared" ref="B158:AF158" si="738">IFERROR(-B36/(B100+B109),"nm")</f>
        <v>0.17407407407407408</v>
      </c>
      <c r="C158" s="271">
        <f t="shared" si="738"/>
        <v>0.24028268551236748</v>
      </c>
      <c r="D158" s="271">
        <f t="shared" si="738"/>
        <v>0.16</v>
      </c>
      <c r="E158" s="271">
        <f t="shared" si="738"/>
        <v>0.19047619047619047</v>
      </c>
      <c r="F158" s="271" t="str">
        <f t="shared" si="738"/>
        <v>nm</v>
      </c>
      <c r="G158" s="271">
        <f t="shared" si="738"/>
        <v>0.34482758620689657</v>
      </c>
      <c r="H158" s="271">
        <f t="shared" si="738"/>
        <v>0.30174927113702626</v>
      </c>
      <c r="I158" s="271">
        <f t="shared" si="738"/>
        <v>0.89552238805970152</v>
      </c>
      <c r="J158" s="271">
        <f t="shared" si="738"/>
        <v>0.27561327561327559</v>
      </c>
      <c r="K158" s="271">
        <f t="shared" si="738"/>
        <v>0.27081292850146915</v>
      </c>
      <c r="L158" s="271">
        <f t="shared" si="738"/>
        <v>0.30434782608695654</v>
      </c>
      <c r="M158" s="271">
        <f t="shared" si="738"/>
        <v>7.6923076923076927E-2</v>
      </c>
      <c r="N158" s="271">
        <f t="shared" si="738"/>
        <v>8.5585585585585586E-2</v>
      </c>
      <c r="O158" s="271">
        <f t="shared" si="738"/>
        <v>0.96610169491525422</v>
      </c>
      <c r="P158" s="271">
        <f t="shared" si="738"/>
        <v>0.15260785576303929</v>
      </c>
      <c r="Q158" s="271">
        <f t="shared" si="738"/>
        <v>0.21619496855345913</v>
      </c>
      <c r="R158" s="959">
        <f t="shared" si="738"/>
        <v>0.17968056787932565</v>
      </c>
      <c r="S158" s="645">
        <f t="shared" si="738"/>
        <v>0.14397496087636932</v>
      </c>
      <c r="T158" s="669">
        <f t="shared" si="738"/>
        <v>0.15874472380253257</v>
      </c>
      <c r="U158" s="959">
        <f t="shared" ref="U158:V158" si="739">IFERROR(-U36/(U100+U109),"nm")</f>
        <v>0.16868198307134219</v>
      </c>
      <c r="V158" s="645">
        <f t="shared" si="739"/>
        <v>3.7753222836095765E-2</v>
      </c>
      <c r="W158" s="669">
        <f t="shared" si="738"/>
        <v>9.4354417145844222E-2</v>
      </c>
      <c r="X158" s="959">
        <f t="shared" si="738"/>
        <v>0.16824196597353497</v>
      </c>
      <c r="Y158" s="645">
        <f t="shared" si="738"/>
        <v>4.4034090909090912E-2</v>
      </c>
      <c r="Z158" s="669">
        <f t="shared" si="738"/>
        <v>9.7323600973236016E-2</v>
      </c>
      <c r="AA158" s="959">
        <f t="shared" ref="AA158:AB158" si="740">IFERROR(-AA36/(AA100+AA109),"nm")</f>
        <v>0.24494382022471911</v>
      </c>
      <c r="AB158" s="645">
        <f t="shared" si="740"/>
        <v>0.18671799807507219</v>
      </c>
      <c r="AC158" s="669">
        <f t="shared" si="738"/>
        <v>0.20949311456196895</v>
      </c>
      <c r="AD158" s="959">
        <f t="shared" si="738"/>
        <v>5.6561085972850677E-3</v>
      </c>
      <c r="AE158" s="645">
        <f t="shared" si="738"/>
        <v>-0.20136054421768707</v>
      </c>
      <c r="AF158" s="669">
        <f t="shared" si="738"/>
        <v>-9.7014925373134331E-2</v>
      </c>
      <c r="AG158" s="959">
        <f t="shared" ref="AG158:AP158" si="741">IFERROR(-AG36/(AG100+AG109),"nm")</f>
        <v>1.9764705882352941E-2</v>
      </c>
      <c r="AH158" s="645">
        <f t="shared" si="741"/>
        <v>0.12822719449225473</v>
      </c>
      <c r="AI158" s="669">
        <f t="shared" si="741"/>
        <v>0.21440536013400335</v>
      </c>
      <c r="AJ158" s="959">
        <f t="shared" si="741"/>
        <v>25.75</v>
      </c>
      <c r="AK158" s="645">
        <f t="shared" si="741"/>
        <v>0.42452830188679247</v>
      </c>
      <c r="AL158" s="669">
        <f t="shared" si="741"/>
        <v>1.3454545454545455</v>
      </c>
      <c r="AM158" s="959">
        <f t="shared" si="741"/>
        <v>0.13390139987827146</v>
      </c>
      <c r="AN158" s="645">
        <f t="shared" si="741"/>
        <v>2.0923076923076924</v>
      </c>
      <c r="AO158" s="669">
        <f t="shared" si="741"/>
        <v>0.20843091334894615</v>
      </c>
      <c r="AP158" s="959">
        <f t="shared" si="741"/>
        <v>8.4916201117318429E-2</v>
      </c>
      <c r="AQ158" s="645">
        <f t="shared" ref="AQ158:AS158" si="742">IFERROR(-AQ36/(AQ100+AQ109),"nm")</f>
        <v>-0.64074074074074072</v>
      </c>
      <c r="AR158" s="669">
        <f t="shared" si="742"/>
        <v>-8.3261802575107291E-2</v>
      </c>
      <c r="AS158" s="959">
        <f t="shared" si="742"/>
        <v>-4.7244094488188976E-2</v>
      </c>
      <c r="AT158" s="645">
        <f t="shared" ref="AT158:AV158" si="743">IFERROR(-AT36/(AT100+AT109),"nm")</f>
        <v>1.9545454545454546</v>
      </c>
      <c r="AU158" s="669">
        <f t="shared" si="743"/>
        <v>14.881355932203389</v>
      </c>
      <c r="AV158" s="959">
        <f t="shared" si="743"/>
        <v>1.9987309644670052E-2</v>
      </c>
      <c r="AW158" s="214">
        <f t="shared" ref="AW158" si="744">IFERROR(-AW36/(AW100+AW109),"nm")</f>
        <v>0.38515081206496521</v>
      </c>
      <c r="AX158" s="669">
        <f t="shared" ref="AX158:AY158" si="745">IFERROR(-AX36/(AX100+AX109),"nm")</f>
        <v>6.3912922132291369E-2</v>
      </c>
      <c r="AY158" s="959">
        <f t="shared" si="745"/>
        <v>0.57801418439716312</v>
      </c>
      <c r="AZ158" s="247">
        <f t="shared" ref="AZ158" si="746">IFERROR(-AZ36/(AZ100+AZ109),"nm")</f>
        <v>-9.5718096393103291</v>
      </c>
      <c r="BA158" s="585">
        <v>0.25</v>
      </c>
      <c r="BB158" s="245">
        <f>BD158</f>
        <v>0.25</v>
      </c>
      <c r="BC158" s="247">
        <f t="shared" ref="BC158" si="747">IFERROR(-BC36/(BC100+BC109),"nm")</f>
        <v>0.25</v>
      </c>
      <c r="BD158" s="583">
        <f>BA158</f>
        <v>0.25</v>
      </c>
      <c r="BE158" s="245">
        <f>BG158</f>
        <v>0.25</v>
      </c>
      <c r="BF158" s="247">
        <f t="shared" ref="BF158" si="748">IFERROR(-BF36/(BF100+BF109),"nm")</f>
        <v>0.25</v>
      </c>
      <c r="BG158" s="583">
        <f>BD158</f>
        <v>0.25</v>
      </c>
      <c r="BH158" s="245">
        <f>BJ158</f>
        <v>0.25</v>
      </c>
      <c r="BI158" s="247">
        <f t="shared" ref="BI158" si="749">IFERROR(-BI36/(BI100+BI109),"nm")</f>
        <v>0.25</v>
      </c>
      <c r="BJ158" s="583">
        <f>BG158</f>
        <v>0.25</v>
      </c>
      <c r="BK158" s="245">
        <f>BM158</f>
        <v>0.25</v>
      </c>
      <c r="BL158" s="247">
        <f t="shared" ref="BL158" si="750">IFERROR(-BL36/(BL100+BL109),"nm")</f>
        <v>0.25</v>
      </c>
      <c r="BM158" s="583">
        <f t="shared" ref="BM158" si="751">BJ158</f>
        <v>0.25</v>
      </c>
      <c r="BN158"/>
    </row>
    <row r="159" spans="1:66">
      <c r="B159" s="40"/>
      <c r="C159" s="40"/>
      <c r="D159" s="40"/>
      <c r="E159" s="40"/>
      <c r="F159" s="40"/>
      <c r="G159" s="40"/>
      <c r="H159" s="40"/>
      <c r="I159" s="40"/>
      <c r="J159" s="40"/>
      <c r="K159" s="40"/>
      <c r="L159" s="40"/>
      <c r="M159" s="40"/>
      <c r="N159" s="40"/>
      <c r="O159" s="40"/>
      <c r="P159" s="40"/>
      <c r="Q159" s="40"/>
      <c r="R159" s="40"/>
      <c r="S159" s="630"/>
      <c r="T159" s="653"/>
      <c r="U159" s="40"/>
      <c r="V159" s="630"/>
      <c r="W159" s="653"/>
      <c r="X159" s="40"/>
      <c r="Y159" s="630"/>
      <c r="Z159" s="653"/>
      <c r="AA159" s="40"/>
      <c r="AB159" s="630"/>
      <c r="AC159" s="653"/>
      <c r="AD159" s="40"/>
      <c r="AE159" s="630"/>
      <c r="AF159" s="653"/>
      <c r="AG159" s="40"/>
      <c r="AH159" s="630"/>
      <c r="AI159" s="653"/>
      <c r="AJ159" s="40"/>
      <c r="AK159" s="630"/>
      <c r="AL159" s="653"/>
      <c r="AM159" s="40"/>
      <c r="AN159" s="630"/>
      <c r="AO159" s="653"/>
      <c r="AP159" s="40"/>
      <c r="AQ159" s="595"/>
      <c r="AR159" s="619"/>
      <c r="AT159" s="595"/>
      <c r="AU159" s="619"/>
      <c r="AW159" s="595"/>
      <c r="AX159" s="619"/>
      <c r="AZ159" s="595"/>
      <c r="BA159" s="619"/>
      <c r="BC159" s="595"/>
      <c r="BD159" s="619"/>
      <c r="BF159" s="595"/>
      <c r="BG159" s="619"/>
      <c r="BI159" s="595"/>
      <c r="BJ159" s="619"/>
      <c r="BL159" s="595"/>
      <c r="BM159" s="619"/>
    </row>
    <row r="160" spans="1:66">
      <c r="B160" s="40"/>
      <c r="C160" s="40"/>
      <c r="D160" s="40"/>
      <c r="E160" s="40"/>
      <c r="F160" s="40"/>
      <c r="G160" s="40"/>
      <c r="H160" s="40"/>
      <c r="I160" s="40"/>
      <c r="J160" s="40"/>
      <c r="K160" s="40"/>
      <c r="L160" s="40"/>
      <c r="M160" s="40"/>
      <c r="N160" s="40"/>
      <c r="O160" s="40"/>
      <c r="P160" s="40"/>
      <c r="Q160" s="40"/>
      <c r="R160" s="40"/>
      <c r="S160" s="630"/>
      <c r="T160" s="653"/>
      <c r="U160" s="40"/>
      <c r="V160" s="630"/>
      <c r="W160" s="653"/>
      <c r="X160" s="40"/>
      <c r="Y160" s="630"/>
      <c r="Z160" s="653"/>
      <c r="AA160" s="40"/>
      <c r="AB160" s="630"/>
      <c r="AC160" s="653"/>
      <c r="AD160" s="40"/>
      <c r="AE160" s="630"/>
      <c r="AF160" s="653"/>
      <c r="AG160" s="40"/>
      <c r="AH160" s="630"/>
      <c r="AI160" s="653"/>
      <c r="AJ160" s="40"/>
      <c r="AK160" s="630"/>
      <c r="AL160" s="653"/>
      <c r="AM160" s="40"/>
      <c r="AN160" s="630"/>
      <c r="AO160" s="653"/>
      <c r="AP160" s="40"/>
      <c r="AQ160" s="595"/>
      <c r="AR160" s="619"/>
      <c r="AT160" s="595"/>
      <c r="AU160" s="619"/>
      <c r="AW160" s="595"/>
      <c r="AX160" s="619"/>
      <c r="AZ160" s="595"/>
      <c r="BA160" s="619"/>
      <c r="BC160" s="595"/>
      <c r="BD160" s="619"/>
      <c r="BF160" s="595"/>
      <c r="BG160" s="619"/>
      <c r="BI160" s="595"/>
      <c r="BJ160" s="619"/>
      <c r="BL160" s="595"/>
      <c r="BM160" s="619"/>
    </row>
    <row r="161" spans="1:16262">
      <c r="B161" s="40"/>
      <c r="C161" s="40"/>
      <c r="D161" s="40"/>
      <c r="E161" s="40"/>
      <c r="F161" s="40"/>
      <c r="G161" s="40"/>
      <c r="H161" s="40"/>
      <c r="I161" s="40"/>
      <c r="J161" s="40"/>
      <c r="K161" s="40"/>
      <c r="L161" s="40"/>
      <c r="M161" s="40"/>
      <c r="N161" s="40"/>
      <c r="O161" s="40"/>
      <c r="P161" s="40"/>
      <c r="Q161" s="40"/>
      <c r="R161" s="40"/>
      <c r="S161" s="630"/>
      <c r="T161" s="653"/>
      <c r="U161" s="40"/>
      <c r="V161" s="630"/>
      <c r="W161" s="653"/>
      <c r="X161" s="40"/>
      <c r="Y161" s="630"/>
      <c r="Z161" s="653"/>
      <c r="AA161" s="40"/>
      <c r="AB161" s="630"/>
      <c r="AC161" s="653"/>
      <c r="AD161" s="40"/>
      <c r="AE161" s="630"/>
      <c r="AF161" s="653"/>
      <c r="AG161" s="40"/>
      <c r="AH161" s="630"/>
      <c r="AI161" s="653"/>
      <c r="AJ161" s="40"/>
      <c r="AK161" s="630"/>
      <c r="AL161" s="653"/>
      <c r="AM161" s="40"/>
      <c r="AN161" s="630"/>
      <c r="AO161" s="653"/>
      <c r="AP161" s="40"/>
      <c r="AQ161" s="595"/>
      <c r="AR161" s="619"/>
      <c r="AT161" s="595"/>
      <c r="AU161" s="619"/>
      <c r="AW161" s="595"/>
      <c r="AX161" s="619"/>
      <c r="AZ161" s="595"/>
      <c r="BA161" s="619"/>
      <c r="BC161" s="595"/>
      <c r="BD161" s="619"/>
      <c r="BF161" s="595"/>
      <c r="BG161" s="619"/>
      <c r="BI161" s="595"/>
      <c r="BJ161" s="619"/>
      <c r="BL161" s="595"/>
      <c r="BM161" s="619"/>
    </row>
    <row r="162" spans="1:16262">
      <c r="A162" s="149" t="s">
        <v>659</v>
      </c>
      <c r="B162" s="40"/>
      <c r="C162" s="40"/>
      <c r="D162" s="40"/>
      <c r="E162" s="40"/>
      <c r="F162" s="40"/>
      <c r="G162" s="40"/>
      <c r="H162" s="40"/>
      <c r="I162" s="40"/>
      <c r="J162" s="40"/>
      <c r="K162" s="40"/>
      <c r="L162" s="40"/>
      <c r="M162" s="40"/>
      <c r="N162" s="40"/>
      <c r="O162" s="40"/>
      <c r="P162" s="40"/>
      <c r="Q162" s="40"/>
      <c r="R162" s="40"/>
      <c r="S162" s="630"/>
      <c r="T162" s="653"/>
      <c r="U162" s="40"/>
      <c r="V162" s="630"/>
      <c r="W162" s="653"/>
      <c r="X162" s="40"/>
      <c r="Y162" s="630"/>
      <c r="Z162" s="653"/>
      <c r="AA162" s="40"/>
      <c r="AB162" s="630"/>
      <c r="AC162" s="653"/>
      <c r="AD162" s="40"/>
      <c r="AE162" s="630"/>
      <c r="AF162" s="653"/>
      <c r="AG162" s="40"/>
      <c r="AH162" s="630"/>
      <c r="AI162" s="653"/>
      <c r="AJ162" s="40"/>
      <c r="AK162" s="630"/>
      <c r="AL162" s="653"/>
      <c r="AM162" s="40"/>
      <c r="AN162" s="630"/>
      <c r="AO162" s="653"/>
      <c r="AP162" s="40"/>
      <c r="AQ162" s="595"/>
      <c r="AR162" s="619"/>
      <c r="AT162" s="595"/>
      <c r="AU162" s="619"/>
      <c r="AW162" s="595"/>
      <c r="AX162" s="619"/>
      <c r="AZ162" s="595"/>
      <c r="BA162" s="619"/>
      <c r="BC162" s="595"/>
      <c r="BD162" s="619"/>
      <c r="BF162" s="595"/>
      <c r="BG162" s="619"/>
      <c r="BI162" s="595"/>
      <c r="BJ162" s="619"/>
      <c r="BL162" s="595"/>
      <c r="BM162" s="619"/>
    </row>
    <row r="163" spans="1:16262" hidden="1" outlineLevel="1">
      <c r="A163" s="25" t="s">
        <v>660</v>
      </c>
      <c r="B163" s="40"/>
      <c r="C163" s="40"/>
      <c r="D163" s="40"/>
      <c r="E163" s="302"/>
      <c r="F163" s="302">
        <f t="shared" ref="F163:BM163" si="752">+F38+F39+F164</f>
        <v>264</v>
      </c>
      <c r="G163" s="302">
        <f t="shared" si="752"/>
        <v>347</v>
      </c>
      <c r="H163" s="302">
        <f t="shared" si="752"/>
        <v>994</v>
      </c>
      <c r="I163" s="302">
        <f t="shared" si="752"/>
        <v>645</v>
      </c>
      <c r="J163" s="302">
        <f t="shared" si="752"/>
        <v>-1345</v>
      </c>
      <c r="K163" s="302">
        <f t="shared" si="752"/>
        <v>2217</v>
      </c>
      <c r="L163" s="302">
        <f t="shared" si="752"/>
        <v>543</v>
      </c>
      <c r="M163" s="302">
        <f t="shared" si="752"/>
        <v>848</v>
      </c>
      <c r="N163" s="302">
        <f t="shared" si="752"/>
        <v>2335</v>
      </c>
      <c r="O163" s="302">
        <f t="shared" si="752"/>
        <v>1468</v>
      </c>
      <c r="P163" s="302">
        <f t="shared" si="752"/>
        <v>75</v>
      </c>
      <c r="Q163" s="302">
        <f t="shared" si="752"/>
        <v>84</v>
      </c>
      <c r="R163" s="302"/>
      <c r="S163" s="648"/>
      <c r="T163" s="672">
        <f t="shared" si="752"/>
        <v>-4032</v>
      </c>
      <c r="U163" s="302"/>
      <c r="V163" s="648"/>
      <c r="W163" s="672">
        <f t="shared" si="752"/>
        <v>4208</v>
      </c>
      <c r="X163" s="302"/>
      <c r="Y163" s="648"/>
      <c r="Z163" s="672">
        <f t="shared" si="752"/>
        <v>3383</v>
      </c>
      <c r="AA163" s="302"/>
      <c r="AB163" s="648"/>
      <c r="AC163" s="672">
        <f t="shared" si="752"/>
        <v>-2393</v>
      </c>
      <c r="AD163" s="302"/>
      <c r="AE163" s="648"/>
      <c r="AF163" s="672">
        <f t="shared" si="752"/>
        <v>-1311</v>
      </c>
      <c r="AG163" s="302"/>
      <c r="AH163" s="648"/>
      <c r="AI163" s="672">
        <f t="shared" si="752"/>
        <v>-3170</v>
      </c>
      <c r="AJ163" s="302"/>
      <c r="AK163" s="648"/>
      <c r="AL163" s="672">
        <f t="shared" si="752"/>
        <v>121</v>
      </c>
      <c r="AM163" s="302"/>
      <c r="AN163" s="648"/>
      <c r="AO163" s="672">
        <f t="shared" si="752"/>
        <v>-1264</v>
      </c>
      <c r="AP163" s="302"/>
      <c r="AQ163" s="596"/>
      <c r="AR163" s="672">
        <f t="shared" si="752"/>
        <v>2404</v>
      </c>
      <c r="AS163" s="327"/>
      <c r="AT163" s="596"/>
      <c r="AU163" s="672">
        <f t="shared" si="752"/>
        <v>2484</v>
      </c>
      <c r="AV163" s="327"/>
      <c r="AW163" s="596"/>
      <c r="AX163" s="620">
        <f t="shared" si="752"/>
        <v>5836</v>
      </c>
      <c r="AY163" s="327"/>
      <c r="AZ163" s="596"/>
      <c r="BA163" s="620">
        <f t="shared" si="752"/>
        <v>3649.1924886960073</v>
      </c>
      <c r="BB163" s="327"/>
      <c r="BC163" s="596"/>
      <c r="BD163" s="620">
        <f t="shared" si="752"/>
        <v>4168.1675216206586</v>
      </c>
      <c r="BE163" s="327"/>
      <c r="BF163" s="596"/>
      <c r="BG163" s="620">
        <f t="shared" si="752"/>
        <v>4866.9244045836931</v>
      </c>
      <c r="BH163" s="327"/>
      <c r="BI163" s="596"/>
      <c r="BJ163" s="620">
        <f t="shared" si="752"/>
        <v>5774.3685210186823</v>
      </c>
      <c r="BK163" s="327"/>
      <c r="BL163" s="596"/>
      <c r="BM163" s="620">
        <f t="shared" si="752"/>
        <v>6904.8892417816451</v>
      </c>
    </row>
    <row r="164" spans="1:16262" hidden="1" outlineLevel="1">
      <c r="A164" s="25" t="s">
        <v>661</v>
      </c>
      <c r="B164" s="40"/>
      <c r="C164" s="40"/>
      <c r="D164" s="40"/>
      <c r="E164" s="302"/>
      <c r="F164" s="302">
        <f t="shared" ref="F164:BM164" si="753">F40-F41</f>
        <v>0</v>
      </c>
      <c r="G164" s="302">
        <f t="shared" si="753"/>
        <v>0</v>
      </c>
      <c r="H164" s="302">
        <f t="shared" si="753"/>
        <v>0</v>
      </c>
      <c r="I164" s="302">
        <f t="shared" si="753"/>
        <v>0</v>
      </c>
      <c r="J164" s="302">
        <f t="shared" si="753"/>
        <v>0</v>
      </c>
      <c r="K164" s="302">
        <f t="shared" si="753"/>
        <v>0</v>
      </c>
      <c r="L164" s="302">
        <f t="shared" si="753"/>
        <v>0</v>
      </c>
      <c r="M164" s="302">
        <f t="shared" si="753"/>
        <v>0</v>
      </c>
      <c r="N164" s="302">
        <f t="shared" si="753"/>
        <v>0</v>
      </c>
      <c r="O164" s="302">
        <f t="shared" si="753"/>
        <v>89</v>
      </c>
      <c r="P164" s="302">
        <f t="shared" si="753"/>
        <v>17</v>
      </c>
      <c r="Q164" s="302">
        <f t="shared" si="753"/>
        <v>0</v>
      </c>
      <c r="R164" s="302"/>
      <c r="S164" s="648"/>
      <c r="T164" s="672">
        <f t="shared" si="753"/>
        <v>0</v>
      </c>
      <c r="U164" s="302"/>
      <c r="V164" s="648"/>
      <c r="W164" s="672">
        <f t="shared" si="753"/>
        <v>0</v>
      </c>
      <c r="X164" s="302"/>
      <c r="Y164" s="648"/>
      <c r="Z164" s="672">
        <f t="shared" si="753"/>
        <v>0</v>
      </c>
      <c r="AA164" s="302"/>
      <c r="AB164" s="648"/>
      <c r="AC164" s="672">
        <f t="shared" si="753"/>
        <v>0</v>
      </c>
      <c r="AD164" s="302"/>
      <c r="AE164" s="648"/>
      <c r="AF164" s="672">
        <f t="shared" si="753"/>
        <v>0</v>
      </c>
      <c r="AG164" s="302"/>
      <c r="AH164" s="648"/>
      <c r="AI164" s="672">
        <f t="shared" si="753"/>
        <v>-1</v>
      </c>
      <c r="AJ164" s="302"/>
      <c r="AK164" s="648"/>
      <c r="AL164" s="672">
        <f t="shared" si="753"/>
        <v>0</v>
      </c>
      <c r="AM164" s="302"/>
      <c r="AN164" s="648"/>
      <c r="AO164" s="672">
        <f t="shared" si="753"/>
        <v>10</v>
      </c>
      <c r="AP164" s="302"/>
      <c r="AQ164" s="596"/>
      <c r="AR164" s="672">
        <f t="shared" si="753"/>
        <v>0</v>
      </c>
      <c r="AS164" s="327"/>
      <c r="AT164" s="596"/>
      <c r="AU164" s="672">
        <f t="shared" si="753"/>
        <v>0</v>
      </c>
      <c r="AV164" s="327"/>
      <c r="AW164" s="596"/>
      <c r="AX164" s="620">
        <f t="shared" si="753"/>
        <v>0</v>
      </c>
      <c r="AY164" s="327"/>
      <c r="AZ164" s="596"/>
      <c r="BA164" s="620">
        <f t="shared" si="753"/>
        <v>0</v>
      </c>
      <c r="BB164" s="327"/>
      <c r="BC164" s="596"/>
      <c r="BD164" s="620">
        <f t="shared" si="753"/>
        <v>0</v>
      </c>
      <c r="BE164" s="327"/>
      <c r="BF164" s="596"/>
      <c r="BG164" s="620">
        <f t="shared" si="753"/>
        <v>0</v>
      </c>
      <c r="BH164" s="327"/>
      <c r="BI164" s="596"/>
      <c r="BJ164" s="620">
        <f t="shared" si="753"/>
        <v>0</v>
      </c>
      <c r="BK164" s="327"/>
      <c r="BL164" s="596"/>
      <c r="BM164" s="620">
        <f t="shared" si="753"/>
        <v>0</v>
      </c>
    </row>
    <row r="165" spans="1:16262" ht="11.4" hidden="1" outlineLevel="1">
      <c r="A165" s="25" t="s">
        <v>662</v>
      </c>
      <c r="B165" s="40"/>
      <c r="C165" s="40"/>
      <c r="D165" s="40"/>
      <c r="E165" s="303"/>
      <c r="F165" s="302">
        <f t="shared" ref="F165:BM165" si="754">F15-F24</f>
        <v>-599</v>
      </c>
      <c r="G165" s="302">
        <f t="shared" si="754"/>
        <v>-822</v>
      </c>
      <c r="H165" s="302">
        <f t="shared" si="754"/>
        <v>-577</v>
      </c>
      <c r="I165" s="302">
        <f t="shared" si="754"/>
        <v>-333</v>
      </c>
      <c r="J165" s="302">
        <f t="shared" si="754"/>
        <v>-642</v>
      </c>
      <c r="K165" s="302">
        <f t="shared" si="754"/>
        <v>-929</v>
      </c>
      <c r="L165" s="302">
        <f t="shared" si="754"/>
        <v>-960</v>
      </c>
      <c r="M165" s="302">
        <f t="shared" si="754"/>
        <v>-967</v>
      </c>
      <c r="N165" s="302">
        <f t="shared" si="754"/>
        <v>-1575</v>
      </c>
      <c r="O165" s="302">
        <f t="shared" si="754"/>
        <v>-1220</v>
      </c>
      <c r="P165" s="302">
        <f t="shared" si="754"/>
        <v>-841</v>
      </c>
      <c r="Q165" s="302">
        <f t="shared" si="754"/>
        <v>-1079</v>
      </c>
      <c r="R165" s="302"/>
      <c r="S165" s="648"/>
      <c r="T165" s="672">
        <f t="shared" si="754"/>
        <v>-1334</v>
      </c>
      <c r="U165" s="302"/>
      <c r="V165" s="648"/>
      <c r="W165" s="672">
        <f t="shared" si="754"/>
        <v>-2132</v>
      </c>
      <c r="X165" s="302"/>
      <c r="Y165" s="648"/>
      <c r="Z165" s="672">
        <f t="shared" si="754"/>
        <v>-2067</v>
      </c>
      <c r="AA165" s="302"/>
      <c r="AB165" s="648"/>
      <c r="AC165" s="672">
        <f t="shared" si="754"/>
        <v>-176</v>
      </c>
      <c r="AD165" s="302"/>
      <c r="AE165" s="648"/>
      <c r="AF165" s="672">
        <f>AF15-AF24</f>
        <v>393</v>
      </c>
      <c r="AG165" s="302"/>
      <c r="AH165" s="648"/>
      <c r="AI165" s="672">
        <f t="shared" si="754"/>
        <v>-793</v>
      </c>
      <c r="AJ165" s="302"/>
      <c r="AK165" s="648"/>
      <c r="AL165" s="672">
        <f>AL15-AL24</f>
        <v>-1045</v>
      </c>
      <c r="AM165" s="302"/>
      <c r="AN165" s="648"/>
      <c r="AO165" s="672">
        <f t="shared" si="754"/>
        <v>-1343</v>
      </c>
      <c r="AP165" s="302"/>
      <c r="AQ165" s="596"/>
      <c r="AR165" s="672">
        <f t="shared" si="754"/>
        <v>-1465</v>
      </c>
      <c r="AS165" s="327"/>
      <c r="AT165" s="596"/>
      <c r="AU165" s="672">
        <f t="shared" si="754"/>
        <v>-1742</v>
      </c>
      <c r="AV165" s="327"/>
      <c r="AW165" s="596"/>
      <c r="AX165" s="620">
        <f t="shared" si="754"/>
        <v>-3083</v>
      </c>
      <c r="AY165" s="327"/>
      <c r="AZ165" s="596"/>
      <c r="BA165" s="620">
        <f t="shared" si="754"/>
        <v>-1225.002888655174</v>
      </c>
      <c r="BB165" s="327"/>
      <c r="BC165" s="596"/>
      <c r="BD165" s="620">
        <f t="shared" si="754"/>
        <v>-1421.8382339111524</v>
      </c>
      <c r="BE165" s="327"/>
      <c r="BF165" s="596"/>
      <c r="BG165" s="620">
        <f t="shared" si="754"/>
        <v>-1618.3643742602305</v>
      </c>
      <c r="BH165" s="327"/>
      <c r="BI165" s="596"/>
      <c r="BJ165" s="620">
        <f t="shared" si="754"/>
        <v>-1778.9580866691786</v>
      </c>
      <c r="BK165" s="327"/>
      <c r="BL165" s="596"/>
      <c r="BM165" s="620">
        <f t="shared" si="754"/>
        <v>-1966.0833251936658</v>
      </c>
    </row>
    <row r="166" spans="1:16262" hidden="1" outlineLevel="1">
      <c r="A166" s="25" t="s">
        <v>668</v>
      </c>
      <c r="B166" s="40"/>
      <c r="C166" s="40"/>
      <c r="D166" s="40"/>
      <c r="E166" s="40"/>
      <c r="F166" s="304">
        <f>F49/100</f>
        <v>8.1799999999999998E-2</v>
      </c>
      <c r="G166" s="304">
        <f t="shared" ref="G166:BM166" si="755">G49/100</f>
        <v>8.72E-2</v>
      </c>
      <c r="H166" s="304">
        <f t="shared" si="755"/>
        <v>9.5899999999999999E-2</v>
      </c>
      <c r="I166" s="304">
        <f t="shared" si="755"/>
        <v>0.13</v>
      </c>
      <c r="J166" s="304">
        <f t="shared" si="755"/>
        <v>0.14300000000000002</v>
      </c>
      <c r="K166" s="304">
        <f t="shared" si="755"/>
        <v>0.15</v>
      </c>
      <c r="L166" s="304">
        <f t="shared" si="755"/>
        <v>0.16</v>
      </c>
      <c r="M166" s="304">
        <f t="shared" si="755"/>
        <v>0.17499999999999999</v>
      </c>
      <c r="N166" s="304">
        <f t="shared" si="755"/>
        <v>0.19500000000000001</v>
      </c>
      <c r="O166" s="304">
        <f t="shared" si="755"/>
        <v>0.22</v>
      </c>
      <c r="P166" s="304">
        <f t="shared" si="755"/>
        <v>0.23100000000000001</v>
      </c>
      <c r="Q166" s="304">
        <f t="shared" si="755"/>
        <v>0.16370000000000001</v>
      </c>
      <c r="R166" s="304"/>
      <c r="S166" s="649"/>
      <c r="T166" s="673">
        <f t="shared" si="755"/>
        <v>0.11699999999999999</v>
      </c>
      <c r="U166" s="304"/>
      <c r="V166" s="649"/>
      <c r="W166" s="673">
        <f t="shared" si="755"/>
        <v>0.11699999999999999</v>
      </c>
      <c r="X166" s="304"/>
      <c r="Y166" s="649"/>
      <c r="Z166" s="673">
        <f t="shared" si="755"/>
        <v>0.11699999999999999</v>
      </c>
      <c r="AA166" s="304"/>
      <c r="AB166" s="649"/>
      <c r="AC166" s="673">
        <f t="shared" si="755"/>
        <v>0.11699999999999999</v>
      </c>
      <c r="AD166" s="304"/>
      <c r="AE166" s="649"/>
      <c r="AF166" s="673">
        <f t="shared" si="755"/>
        <v>4.5999999999999999E-2</v>
      </c>
      <c r="AG166" s="304"/>
      <c r="AH166" s="649"/>
      <c r="AI166" s="673">
        <f t="shared" si="755"/>
        <v>0</v>
      </c>
      <c r="AJ166" s="304"/>
      <c r="AK166" s="649"/>
      <c r="AL166" s="673">
        <f t="shared" si="755"/>
        <v>0</v>
      </c>
      <c r="AM166" s="304"/>
      <c r="AN166" s="649"/>
      <c r="AO166" s="673">
        <f t="shared" si="755"/>
        <v>0</v>
      </c>
      <c r="AP166" s="304"/>
      <c r="AQ166" s="597"/>
      <c r="AR166" s="673">
        <f t="shared" si="755"/>
        <v>0</v>
      </c>
      <c r="AS166" s="328"/>
      <c r="AT166" s="597"/>
      <c r="AU166" s="673">
        <f t="shared" si="755"/>
        <v>0.06</v>
      </c>
      <c r="AV166" s="328"/>
      <c r="AW166" s="597"/>
      <c r="AX166" s="621">
        <f t="shared" si="755"/>
        <v>9.2499999999999999E-2</v>
      </c>
      <c r="AY166" s="328"/>
      <c r="AZ166" s="597"/>
      <c r="BA166" s="621">
        <f t="shared" si="755"/>
        <v>0.15565508730543806</v>
      </c>
      <c r="BB166" s="328"/>
      <c r="BC166" s="597"/>
      <c r="BD166" s="621">
        <f t="shared" si="755"/>
        <v>0.18317741677804317</v>
      </c>
      <c r="BE166" s="328"/>
      <c r="BF166" s="597"/>
      <c r="BG166" s="621">
        <f t="shared" si="755"/>
        <v>0.21867352497619755</v>
      </c>
      <c r="BH166" s="328"/>
      <c r="BI166" s="597"/>
      <c r="BJ166" s="621">
        <f t="shared" si="755"/>
        <v>0.26233372200921645</v>
      </c>
      <c r="BK166" s="328"/>
      <c r="BL166" s="597"/>
      <c r="BM166" s="621">
        <f t="shared" si="755"/>
        <v>0.31357313436157425</v>
      </c>
    </row>
    <row r="167" spans="1:16262" hidden="1" outlineLevel="1">
      <c r="A167" s="25" t="s">
        <v>669</v>
      </c>
      <c r="B167" s="40"/>
      <c r="C167" s="40"/>
      <c r="D167" s="40"/>
      <c r="E167" s="40"/>
      <c r="F167" s="304">
        <v>1</v>
      </c>
      <c r="G167" s="304">
        <v>1</v>
      </c>
      <c r="H167" s="304">
        <v>1</v>
      </c>
      <c r="I167" s="304">
        <v>1</v>
      </c>
      <c r="J167" s="304">
        <v>1</v>
      </c>
      <c r="K167" s="304">
        <v>1</v>
      </c>
      <c r="L167" s="304">
        <v>1</v>
      </c>
      <c r="M167" s="304">
        <v>1</v>
      </c>
      <c r="N167" s="304">
        <v>1</v>
      </c>
      <c r="O167" s="304">
        <v>1</v>
      </c>
      <c r="P167" s="304">
        <v>1</v>
      </c>
      <c r="Q167" s="304">
        <v>1</v>
      </c>
      <c r="R167" s="304"/>
      <c r="S167" s="649"/>
      <c r="T167" s="673">
        <v>1</v>
      </c>
      <c r="U167" s="304"/>
      <c r="V167" s="649"/>
      <c r="W167" s="673">
        <v>1</v>
      </c>
      <c r="X167" s="304"/>
      <c r="Y167" s="649"/>
      <c r="Z167" s="673">
        <v>1</v>
      </c>
      <c r="AA167" s="304"/>
      <c r="AB167" s="649"/>
      <c r="AC167" s="673">
        <v>1</v>
      </c>
      <c r="AD167" s="304"/>
      <c r="AE167" s="649"/>
      <c r="AF167" s="673">
        <v>1</v>
      </c>
      <c r="AG167" s="304"/>
      <c r="AH167" s="649"/>
      <c r="AI167" s="673">
        <v>1</v>
      </c>
      <c r="AJ167" s="304"/>
      <c r="AK167" s="649"/>
      <c r="AL167" s="673">
        <v>1</v>
      </c>
      <c r="AM167" s="304"/>
      <c r="AN167" s="649"/>
      <c r="AO167" s="673">
        <v>1</v>
      </c>
      <c r="AP167" s="304"/>
      <c r="AQ167" s="598"/>
      <c r="AR167" s="673">
        <v>1</v>
      </c>
      <c r="AS167" s="329"/>
      <c r="AT167" s="598"/>
      <c r="AU167" s="673">
        <v>1</v>
      </c>
      <c r="AV167" s="329"/>
      <c r="AW167" s="598"/>
      <c r="AX167" s="622">
        <v>1</v>
      </c>
      <c r="AY167" s="329"/>
      <c r="AZ167" s="598"/>
      <c r="BA167" s="622">
        <v>1</v>
      </c>
      <c r="BB167" s="329"/>
      <c r="BC167" s="598"/>
      <c r="BD167" s="622">
        <v>1</v>
      </c>
      <c r="BE167" s="329"/>
      <c r="BF167" s="598"/>
      <c r="BG167" s="622">
        <v>1</v>
      </c>
      <c r="BH167" s="329"/>
      <c r="BI167" s="598"/>
      <c r="BJ167" s="622">
        <v>1</v>
      </c>
      <c r="BK167" s="329"/>
      <c r="BL167" s="598"/>
      <c r="BM167" s="622">
        <v>1</v>
      </c>
    </row>
    <row r="168" spans="1:16262" hidden="1" outlineLevel="1">
      <c r="A168" s="25" t="s">
        <v>669</v>
      </c>
      <c r="B168" s="40"/>
      <c r="C168" s="40"/>
      <c r="D168" s="40"/>
      <c r="E168" s="40"/>
      <c r="F168" s="304">
        <v>1</v>
      </c>
      <c r="G168" s="304">
        <v>1</v>
      </c>
      <c r="H168" s="304">
        <v>1</v>
      </c>
      <c r="I168" s="304">
        <v>1</v>
      </c>
      <c r="J168" s="304">
        <v>1</v>
      </c>
      <c r="K168" s="304">
        <v>1</v>
      </c>
      <c r="L168" s="304">
        <v>1</v>
      </c>
      <c r="M168" s="304">
        <v>1</v>
      </c>
      <c r="N168" s="304">
        <v>1</v>
      </c>
      <c r="O168" s="304">
        <v>1</v>
      </c>
      <c r="P168" s="304">
        <v>1</v>
      </c>
      <c r="Q168" s="304">
        <v>1</v>
      </c>
      <c r="R168" s="304"/>
      <c r="S168" s="649"/>
      <c r="T168" s="673">
        <v>1</v>
      </c>
      <c r="U168" s="304"/>
      <c r="V168" s="649"/>
      <c r="W168" s="673">
        <v>1</v>
      </c>
      <c r="X168" s="304"/>
      <c r="Y168" s="649"/>
      <c r="Z168" s="673">
        <v>1</v>
      </c>
      <c r="AA168" s="304"/>
      <c r="AB168" s="649"/>
      <c r="AC168" s="673">
        <v>1</v>
      </c>
      <c r="AD168" s="304"/>
      <c r="AE168" s="649"/>
      <c r="AF168" s="673">
        <v>1</v>
      </c>
      <c r="AG168" s="304"/>
      <c r="AH168" s="649"/>
      <c r="AI168" s="673">
        <v>1</v>
      </c>
      <c r="AJ168" s="304"/>
      <c r="AK168" s="649"/>
      <c r="AL168" s="673">
        <v>1</v>
      </c>
      <c r="AM168" s="304"/>
      <c r="AN168" s="649"/>
      <c r="AO168" s="673">
        <v>1</v>
      </c>
      <c r="AP168" s="304"/>
      <c r="AQ168" s="598"/>
      <c r="AR168" s="673">
        <v>1</v>
      </c>
      <c r="AS168" s="329"/>
      <c r="AT168" s="598"/>
      <c r="AU168" s="673">
        <v>1</v>
      </c>
      <c r="AV168" s="329"/>
      <c r="AW168" s="598"/>
      <c r="AX168" s="622">
        <v>1</v>
      </c>
      <c r="AY168" s="329"/>
      <c r="AZ168" s="598"/>
      <c r="BA168" s="622">
        <v>1</v>
      </c>
      <c r="BB168" s="329"/>
      <c r="BC168" s="598"/>
      <c r="BD168" s="622">
        <v>1</v>
      </c>
      <c r="BE168" s="329"/>
      <c r="BF168" s="598"/>
      <c r="BG168" s="622">
        <v>1</v>
      </c>
      <c r="BH168" s="329"/>
      <c r="BI168" s="598"/>
      <c r="BJ168" s="622">
        <v>1</v>
      </c>
      <c r="BK168" s="329"/>
      <c r="BL168" s="598"/>
      <c r="BM168" s="622">
        <v>1</v>
      </c>
    </row>
    <row r="169" spans="1:16262" hidden="1" outlineLevel="1">
      <c r="A169" s="25" t="s">
        <v>805</v>
      </c>
      <c r="B169" s="40"/>
      <c r="C169" s="40"/>
      <c r="D169" s="40"/>
      <c r="E169" s="40"/>
      <c r="F169" s="50">
        <f t="shared" ref="F169:W169" si="756">F157</f>
        <v>0.27472527472527475</v>
      </c>
      <c r="G169" s="50">
        <f t="shared" si="756"/>
        <v>0.28667790893760542</v>
      </c>
      <c r="H169" s="50">
        <f t="shared" si="756"/>
        <v>0.26950354609929078</v>
      </c>
      <c r="I169" s="50">
        <f t="shared" si="756"/>
        <v>0.22840236686390533</v>
      </c>
      <c r="J169" s="50">
        <f t="shared" si="756"/>
        <v>0.24659090909090908</v>
      </c>
      <c r="K169" s="50">
        <f t="shared" si="756"/>
        <v>0.20437158469945355</v>
      </c>
      <c r="L169" s="50">
        <f t="shared" si="756"/>
        <v>0.24712041884816754</v>
      </c>
      <c r="M169" s="50">
        <f t="shared" si="756"/>
        <v>0.22558340535868626</v>
      </c>
      <c r="N169" s="50">
        <f t="shared" si="756"/>
        <v>0.2210599721059972</v>
      </c>
      <c r="O169" s="50">
        <f t="shared" si="756"/>
        <v>0.24673109721432632</v>
      </c>
      <c r="P169" s="50">
        <f t="shared" si="756"/>
        <v>0.23950617283950618</v>
      </c>
      <c r="Q169" s="50">
        <f t="shared" si="756"/>
        <v>0.24511173184357543</v>
      </c>
      <c r="R169" s="50"/>
      <c r="S169" s="647"/>
      <c r="T169" s="671">
        <f t="shared" si="756"/>
        <v>0.3210332103321033</v>
      </c>
      <c r="U169" s="50"/>
      <c r="V169" s="647"/>
      <c r="W169" s="671">
        <f t="shared" si="756"/>
        <v>0.3062558356676004</v>
      </c>
      <c r="X169" s="50"/>
      <c r="Y169" s="647"/>
      <c r="Z169" s="671">
        <f>Z157</f>
        <v>0.77889447236180909</v>
      </c>
      <c r="AA169" s="50"/>
      <c r="AB169" s="647"/>
      <c r="AC169" s="671">
        <f t="shared" ref="AC169:BM169" si="757">AC157</f>
        <v>0.34549356223175964</v>
      </c>
      <c r="AD169" s="50"/>
      <c r="AE169" s="647"/>
      <c r="AF169" s="671">
        <f t="shared" si="757"/>
        <v>0.47512864493996571</v>
      </c>
      <c r="AG169" s="50"/>
      <c r="AH169" s="647"/>
      <c r="AI169" s="671">
        <f>AF169</f>
        <v>0.47512864493996571</v>
      </c>
      <c r="AJ169" s="50"/>
      <c r="AK169" s="647"/>
      <c r="AL169" s="671">
        <f t="shared" si="757"/>
        <v>0.72222222222222221</v>
      </c>
      <c r="AM169" s="50"/>
      <c r="AN169" s="647"/>
      <c r="AO169" s="671">
        <f t="shared" si="757"/>
        <v>0.23300970873786422</v>
      </c>
      <c r="AP169" s="50"/>
      <c r="AQ169" s="599"/>
      <c r="AR169" s="671">
        <f t="shared" si="757"/>
        <v>9.5087163232963554E-2</v>
      </c>
      <c r="AS169" s="74"/>
      <c r="AT169" s="599"/>
      <c r="AU169" s="671">
        <f t="shared" si="757"/>
        <v>0.27387701700828609</v>
      </c>
      <c r="AV169" s="74"/>
      <c r="AW169" s="599"/>
      <c r="AX169" s="623">
        <f t="shared" si="757"/>
        <v>0.25954653937947492</v>
      </c>
      <c r="AY169" s="74"/>
      <c r="AZ169" s="599"/>
      <c r="BA169" s="623">
        <f t="shared" si="757"/>
        <v>0.25</v>
      </c>
      <c r="BB169" s="74"/>
      <c r="BC169" s="599"/>
      <c r="BD169" s="623">
        <f t="shared" si="757"/>
        <v>0.25</v>
      </c>
      <c r="BE169" s="74"/>
      <c r="BF169" s="599"/>
      <c r="BG169" s="623">
        <f t="shared" si="757"/>
        <v>0.25</v>
      </c>
      <c r="BH169" s="74"/>
      <c r="BI169" s="599"/>
      <c r="BJ169" s="623">
        <f t="shared" si="757"/>
        <v>0.25</v>
      </c>
      <c r="BK169" s="74"/>
      <c r="BL169" s="599"/>
      <c r="BM169" s="623">
        <f t="shared" si="757"/>
        <v>0.25</v>
      </c>
    </row>
    <row r="170" spans="1:16262" hidden="1" outlineLevel="1">
      <c r="A170" s="25" t="s">
        <v>326</v>
      </c>
      <c r="B170" s="40"/>
      <c r="C170" s="40"/>
      <c r="D170" s="40"/>
      <c r="E170" s="40"/>
      <c r="F170" s="302">
        <f>'Valuation Summary'!F14</f>
        <v>717</v>
      </c>
      <c r="G170" s="302">
        <f>'Valuation Summary'!G14</f>
        <v>933</v>
      </c>
      <c r="H170" s="302">
        <f>'Valuation Summary'!H14</f>
        <v>969</v>
      </c>
      <c r="I170" s="302">
        <f>'Valuation Summary'!I14</f>
        <v>1065</v>
      </c>
      <c r="J170" s="302">
        <f>'Valuation Summary'!J14</f>
        <v>1234</v>
      </c>
      <c r="K170" s="302">
        <f>'Valuation Summary'!K14</f>
        <v>1298</v>
      </c>
      <c r="L170" s="302">
        <f>'Valuation Summary'!L14</f>
        <v>1380</v>
      </c>
      <c r="M170" s="302">
        <f>'Valuation Summary'!M14</f>
        <v>1552</v>
      </c>
      <c r="N170" s="302">
        <f>'Valuation Summary'!N14</f>
        <v>1915</v>
      </c>
      <c r="O170" s="302">
        <f>'Valuation Summary'!O14</f>
        <v>2439</v>
      </c>
      <c r="P170" s="302">
        <f>'Valuation Summary'!P14</f>
        <v>2263</v>
      </c>
      <c r="Q170" s="302">
        <f>'Valuation Summary'!Q14</f>
        <v>2105</v>
      </c>
      <c r="R170" s="302"/>
      <c r="S170" s="648"/>
      <c r="T170" s="672">
        <f>'Valuation Summary'!R14</f>
        <v>1635</v>
      </c>
      <c r="U170" s="302"/>
      <c r="V170" s="648"/>
      <c r="W170" s="672">
        <f>'Valuation Summary'!S14</f>
        <v>1920</v>
      </c>
      <c r="X170" s="302"/>
      <c r="Y170" s="648"/>
      <c r="Z170" s="672">
        <f>'Valuation Summary'!T14</f>
        <v>958</v>
      </c>
      <c r="AA170" s="302"/>
      <c r="AB170" s="648"/>
      <c r="AC170" s="672">
        <f>'Valuation Summary'!U14</f>
        <v>1372</v>
      </c>
      <c r="AD170" s="302"/>
      <c r="AE170" s="648"/>
      <c r="AF170" s="672">
        <f>'Valuation Summary'!V14</f>
        <v>1876</v>
      </c>
      <c r="AG170" s="302"/>
      <c r="AH170" s="648"/>
      <c r="AI170" s="672">
        <f>'Valuation Summary'!W14</f>
        <v>-960</v>
      </c>
      <c r="AJ170" s="302"/>
      <c r="AK170" s="648"/>
      <c r="AL170" s="672">
        <f>'Valuation Summary'!X14</f>
        <v>1385</v>
      </c>
      <c r="AM170" s="302"/>
      <c r="AN170" s="648"/>
      <c r="AO170" s="672">
        <f>'Valuation Summary'!Y14</f>
        <v>1605</v>
      </c>
      <c r="AP170" s="302"/>
      <c r="AQ170" s="596"/>
      <c r="AR170" s="672">
        <f>'Valuation Summary'!Z14</f>
        <v>2568</v>
      </c>
      <c r="AS170" s="327"/>
      <c r="AT170" s="596"/>
      <c r="AU170" s="672">
        <f>'Valuation Summary'!AA14</f>
        <v>3317</v>
      </c>
      <c r="AV170" s="327"/>
      <c r="AW170" s="596"/>
      <c r="AX170" s="620">
        <f>'Valuation Summary'!AB14</f>
        <v>4362</v>
      </c>
      <c r="AY170" s="327"/>
      <c r="AZ170" s="596"/>
      <c r="BA170" s="620">
        <f>'Valuation Summary'!AC14</f>
        <v>5877.0152519828553</v>
      </c>
      <c r="BB170" s="327"/>
      <c r="BC170" s="596"/>
      <c r="BD170" s="620">
        <f>'Valuation Summary'!AD14</f>
        <v>6664.6652991484425</v>
      </c>
      <c r="BE170" s="327"/>
      <c r="BF170" s="596"/>
      <c r="BG170" s="620">
        <f>'Valuation Summary'!AE14</f>
        <v>7633.5777005217496</v>
      </c>
      <c r="BH170" s="327"/>
      <c r="BI170" s="596"/>
      <c r="BJ170" s="620">
        <f>'Valuation Summary'!AF14</f>
        <v>8853.9076723423968</v>
      </c>
      <c r="BK170" s="327"/>
      <c r="BL170" s="596"/>
      <c r="BM170" s="620">
        <f>'Valuation Summary'!AG14</f>
        <v>10220.453872705051</v>
      </c>
    </row>
    <row r="171" spans="1:16262" hidden="1" outlineLevel="1">
      <c r="A171" s="25" t="s">
        <v>934</v>
      </c>
      <c r="B171" s="40"/>
      <c r="C171" s="40"/>
      <c r="D171" s="40"/>
      <c r="E171" s="40"/>
      <c r="F171" s="302">
        <f>'Valuation Summary'!F8-BS!F59</f>
        <v>1409</v>
      </c>
      <c r="G171" s="302">
        <f>'Valuation Summary'!G8-BS!G59</f>
        <v>1585</v>
      </c>
      <c r="H171" s="302">
        <f>'Valuation Summary'!H8-BS!H59</f>
        <v>998</v>
      </c>
      <c r="I171" s="302">
        <f>'Valuation Summary'!I8-BS!I59</f>
        <v>108</v>
      </c>
      <c r="J171" s="302">
        <f>'Valuation Summary'!J8-BS!J59</f>
        <v>233</v>
      </c>
      <c r="K171" s="302">
        <f>'Valuation Summary'!K8-BS!K59</f>
        <v>631</v>
      </c>
      <c r="L171" s="302">
        <f>'Valuation Summary'!L8-BS!L59</f>
        <v>658</v>
      </c>
      <c r="M171" s="302">
        <f>'Valuation Summary'!M8-BS!M59</f>
        <v>291</v>
      </c>
      <c r="N171" s="302">
        <f>'Valuation Summary'!N8-BS!N59</f>
        <v>341</v>
      </c>
      <c r="O171" s="302">
        <f>'Valuation Summary'!O8-BS!O59</f>
        <v>794</v>
      </c>
      <c r="P171" s="302">
        <f>'Valuation Summary'!P8-BS!P59</f>
        <v>-613</v>
      </c>
      <c r="Q171" s="302">
        <f>'Valuation Summary'!Q8-BS!Q59</f>
        <v>64</v>
      </c>
      <c r="R171" s="302"/>
      <c r="S171" s="648"/>
      <c r="T171" s="672">
        <f>'Valuation Summary'!R8-BS!T59</f>
        <v>-329</v>
      </c>
      <c r="U171" s="302"/>
      <c r="V171" s="648"/>
      <c r="W171" s="672">
        <f>'Valuation Summary'!S8-BS!W59</f>
        <v>-965</v>
      </c>
      <c r="X171" s="302"/>
      <c r="Y171" s="648"/>
      <c r="Z171" s="672">
        <f>'Valuation Summary'!T8-BS!Z59</f>
        <v>-965</v>
      </c>
      <c r="AA171" s="302"/>
      <c r="AB171" s="648"/>
      <c r="AC171" s="672">
        <f>'Valuation Summary'!U8-BS!AC59</f>
        <v>-934</v>
      </c>
      <c r="AD171" s="302"/>
      <c r="AE171" s="648"/>
      <c r="AF171" s="672">
        <f>'Valuation Summary'!V8-BS!AF59</f>
        <v>-35</v>
      </c>
      <c r="AG171" s="302"/>
      <c r="AH171" s="648"/>
      <c r="AI171" s="672">
        <f>'Valuation Summary'!W8-BS!AI59</f>
        <v>422</v>
      </c>
      <c r="AJ171" s="302"/>
      <c r="AK171" s="648"/>
      <c r="AL171" s="672">
        <f>'Valuation Summary'!X8-BS!AL59</f>
        <v>188</v>
      </c>
      <c r="AM171" s="302"/>
      <c r="AN171" s="648"/>
      <c r="AO171" s="672">
        <f>'Valuation Summary'!Y8-BS!AO59</f>
        <v>334</v>
      </c>
      <c r="AP171" s="302"/>
      <c r="AQ171" s="596"/>
      <c r="AR171" s="672">
        <f>'Valuation Summary'!Z8-BS!AR59</f>
        <v>230</v>
      </c>
      <c r="AS171" s="327"/>
      <c r="AT171" s="596"/>
      <c r="AU171" s="672">
        <f>'Valuation Summary'!AA8-BS!AU59</f>
        <v>159</v>
      </c>
      <c r="AV171" s="327"/>
      <c r="AW171" s="596"/>
      <c r="AX171" s="620">
        <f>'Valuation Summary'!AB8-BS!AX59</f>
        <v>683</v>
      </c>
      <c r="AY171" s="327"/>
      <c r="AZ171" s="596"/>
      <c r="BA171" s="620">
        <f>'Valuation Summary'!AC8-BS!BA59</f>
        <v>641</v>
      </c>
      <c r="BB171" s="327"/>
      <c r="BC171" s="596"/>
      <c r="BD171" s="620">
        <f>'Valuation Summary'!AD8-BS!BD59</f>
        <v>599</v>
      </c>
      <c r="BE171" s="327"/>
      <c r="BF171" s="596"/>
      <c r="BG171" s="620">
        <f>'Valuation Summary'!AE8-BS!BG59</f>
        <v>557</v>
      </c>
      <c r="BH171" s="327"/>
      <c r="BI171" s="596"/>
      <c r="BJ171" s="620">
        <f>'Valuation Summary'!AF8-BS!BJ59</f>
        <v>515</v>
      </c>
      <c r="BK171" s="327"/>
      <c r="BL171" s="596"/>
      <c r="BM171" s="620">
        <f>'Valuation Summary'!AG8-BS!BM59</f>
        <v>473</v>
      </c>
    </row>
    <row r="172" spans="1:16262" hidden="1" outlineLevel="1">
      <c r="B172" s="40"/>
      <c r="C172" s="40"/>
      <c r="D172" s="40"/>
      <c r="E172" s="40"/>
      <c r="F172" s="302"/>
      <c r="G172" s="302"/>
      <c r="H172" s="302"/>
      <c r="I172" s="302"/>
      <c r="J172" s="302"/>
      <c r="K172" s="302"/>
      <c r="L172" s="302"/>
      <c r="M172" s="302"/>
      <c r="N172" s="302"/>
      <c r="O172" s="302"/>
      <c r="P172" s="302"/>
      <c r="Q172" s="302"/>
      <c r="R172" s="302"/>
      <c r="S172" s="648"/>
      <c r="T172" s="672"/>
      <c r="U172" s="302"/>
      <c r="V172" s="648"/>
      <c r="W172" s="672"/>
      <c r="X172" s="302"/>
      <c r="Y172" s="648"/>
      <c r="Z172" s="672"/>
      <c r="AA172" s="302"/>
      <c r="AB172" s="648"/>
      <c r="AC172" s="672"/>
      <c r="AD172" s="302"/>
      <c r="AE172" s="648"/>
      <c r="AF172" s="672"/>
      <c r="AG172" s="302"/>
      <c r="AH172" s="648"/>
      <c r="AI172" s="672"/>
      <c r="AJ172" s="302"/>
      <c r="AK172" s="648"/>
      <c r="AL172" s="672"/>
      <c r="AM172" s="302"/>
      <c r="AN172" s="648"/>
      <c r="AO172" s="672"/>
      <c r="AP172" s="302"/>
      <c r="AQ172" s="596"/>
      <c r="AR172" s="672"/>
      <c r="AS172" s="327"/>
      <c r="AT172" s="596"/>
      <c r="AU172" s="672"/>
      <c r="AV172" s="327"/>
      <c r="AW172" s="596"/>
      <c r="AX172" s="620"/>
      <c r="AY172" s="327"/>
      <c r="AZ172" s="596"/>
      <c r="BA172" s="620"/>
      <c r="BB172" s="327"/>
      <c r="BC172" s="596"/>
      <c r="BD172" s="620"/>
      <c r="BE172" s="327"/>
      <c r="BF172" s="596"/>
      <c r="BG172" s="620"/>
      <c r="BH172" s="327"/>
      <c r="BI172" s="596"/>
      <c r="BJ172" s="620"/>
      <c r="BK172" s="327"/>
      <c r="BL172" s="596"/>
      <c r="BM172" s="620"/>
    </row>
    <row r="173" spans="1:16262" hidden="1" outlineLevel="1">
      <c r="A173" s="31" t="s">
        <v>785</v>
      </c>
      <c r="B173" s="51"/>
      <c r="C173" s="51"/>
      <c r="D173" s="51"/>
      <c r="E173" s="51"/>
      <c r="F173" s="51"/>
      <c r="G173" s="51"/>
      <c r="H173" s="51"/>
      <c r="I173" s="51"/>
      <c r="J173" s="51"/>
      <c r="K173" s="51"/>
      <c r="L173" s="51"/>
      <c r="M173" s="51"/>
      <c r="N173" s="51"/>
      <c r="O173" s="51"/>
      <c r="P173" s="51"/>
      <c r="Q173" s="51"/>
      <c r="R173" s="51"/>
      <c r="S173" s="629"/>
      <c r="T173" s="652"/>
      <c r="U173" s="51"/>
      <c r="V173" s="629"/>
      <c r="W173" s="652"/>
      <c r="X173" s="51"/>
      <c r="Y173" s="629"/>
      <c r="Z173" s="652"/>
      <c r="AA173" s="51"/>
      <c r="AB173" s="629"/>
      <c r="AC173" s="652"/>
      <c r="AD173" s="51"/>
      <c r="AE173" s="629"/>
      <c r="AF173" s="652"/>
      <c r="AG173" s="51"/>
      <c r="AH173" s="629"/>
      <c r="AI173" s="652"/>
      <c r="AJ173" s="51"/>
      <c r="AK173" s="629"/>
      <c r="AL173" s="652"/>
      <c r="AM173" s="51"/>
      <c r="AN173" s="629"/>
      <c r="AO173" s="652"/>
      <c r="AP173" s="51"/>
      <c r="AQ173" s="600"/>
      <c r="AR173" s="652"/>
      <c r="AS173" s="52"/>
      <c r="AT173" s="600"/>
      <c r="AU173" s="652"/>
      <c r="AV173" s="52"/>
      <c r="AW173" s="600"/>
      <c r="AX173" s="624"/>
      <c r="AY173" s="52"/>
      <c r="AZ173" s="600"/>
      <c r="BA173" s="624"/>
      <c r="BB173" s="52"/>
      <c r="BC173" s="600"/>
      <c r="BD173" s="624"/>
      <c r="BE173" s="52"/>
      <c r="BF173" s="600"/>
      <c r="BG173" s="624"/>
      <c r="BH173" s="52"/>
      <c r="BI173" s="600"/>
      <c r="BJ173" s="624"/>
      <c r="BK173" s="52"/>
      <c r="BL173" s="600"/>
      <c r="BM173" s="624"/>
      <c r="BN173" s="31"/>
      <c r="BO173" s="31"/>
      <c r="BV173" s="31"/>
      <c r="BW173" s="31"/>
      <c r="BX173" s="31"/>
      <c r="BY173" s="31"/>
      <c r="BZ173" s="31"/>
      <c r="CA173" s="31"/>
      <c r="CB173" s="31"/>
      <c r="CC173" s="31"/>
      <c r="CD173" s="31"/>
      <c r="CE173" s="31"/>
      <c r="CF173" s="31"/>
      <c r="CG173" s="31"/>
      <c r="CH173" s="31"/>
      <c r="CI173" s="31"/>
      <c r="CJ173" s="31"/>
      <c r="CK173" s="31"/>
      <c r="CL173" s="31"/>
      <c r="CM173" s="31"/>
      <c r="CN173" s="31"/>
      <c r="CO173" s="31"/>
      <c r="CP173" s="31"/>
      <c r="CQ173" s="31"/>
      <c r="CR173" s="31"/>
      <c r="CS173" s="31"/>
      <c r="CT173" s="31"/>
      <c r="CU173" s="31"/>
      <c r="CV173" s="31"/>
      <c r="CW173" s="31"/>
      <c r="CX173" s="31"/>
      <c r="CY173" s="31"/>
      <c r="CZ173" s="31"/>
      <c r="DA173" s="31"/>
      <c r="DB173" s="31"/>
      <c r="DC173" s="31"/>
      <c r="DD173" s="31"/>
      <c r="DE173" s="31"/>
      <c r="DF173" s="31"/>
      <c r="DG173" s="31"/>
      <c r="DH173" s="31"/>
      <c r="DI173" s="31"/>
      <c r="DJ173" s="31"/>
      <c r="DK173" s="31"/>
      <c r="DL173" s="31"/>
      <c r="DM173" s="31"/>
      <c r="DN173" s="31"/>
      <c r="DO173" s="31"/>
      <c r="DP173" s="31"/>
      <c r="DQ173" s="31"/>
      <c r="DR173" s="31"/>
      <c r="DS173" s="31"/>
      <c r="DT173" s="31"/>
      <c r="DU173" s="31"/>
      <c r="DV173" s="31"/>
      <c r="DW173" s="31"/>
      <c r="DX173" s="31"/>
      <c r="DY173" s="31"/>
      <c r="DZ173" s="31"/>
      <c r="EA173" s="31"/>
      <c r="EB173" s="31"/>
      <c r="EC173" s="31"/>
      <c r="ED173" s="31"/>
      <c r="EE173" s="31"/>
      <c r="EF173" s="31"/>
      <c r="EG173" s="31"/>
      <c r="EH173" s="31"/>
      <c r="EI173" s="31"/>
      <c r="EJ173" s="31"/>
      <c r="EK173" s="31"/>
      <c r="EL173" s="31"/>
      <c r="EM173" s="31"/>
      <c r="EN173" s="31"/>
      <c r="EO173" s="31"/>
      <c r="EP173" s="31"/>
      <c r="EQ173" s="31"/>
      <c r="ER173" s="31"/>
      <c r="ES173" s="31"/>
      <c r="ET173" s="31"/>
      <c r="EU173" s="31"/>
      <c r="EV173" s="31"/>
      <c r="EW173" s="31"/>
      <c r="EX173" s="31"/>
      <c r="EY173" s="31"/>
      <c r="EZ173" s="31"/>
      <c r="FA173" s="31"/>
      <c r="FB173" s="31"/>
      <c r="FC173" s="31"/>
      <c r="FD173" s="31"/>
      <c r="FE173" s="31"/>
      <c r="FF173" s="31"/>
      <c r="FG173" s="31"/>
      <c r="FH173" s="31"/>
      <c r="FI173" s="31"/>
      <c r="FJ173" s="31"/>
      <c r="FK173" s="31"/>
      <c r="FL173" s="31"/>
      <c r="FM173" s="31"/>
      <c r="FN173" s="31"/>
      <c r="FO173" s="31"/>
      <c r="FP173" s="31"/>
      <c r="FQ173" s="31"/>
      <c r="FR173" s="31"/>
      <c r="FS173" s="31"/>
      <c r="FT173" s="31"/>
      <c r="FU173" s="31"/>
      <c r="FV173" s="31"/>
      <c r="FW173" s="31"/>
      <c r="FX173" s="31"/>
      <c r="FY173" s="31"/>
      <c r="FZ173" s="31"/>
      <c r="GA173" s="31"/>
      <c r="GB173" s="31"/>
      <c r="GC173" s="31"/>
      <c r="GD173" s="31"/>
      <c r="GE173" s="31"/>
      <c r="GF173" s="31"/>
      <c r="GG173" s="31"/>
      <c r="GH173" s="31"/>
      <c r="GI173" s="31"/>
      <c r="GJ173" s="31"/>
      <c r="GK173" s="31"/>
      <c r="GL173" s="31"/>
      <c r="GM173" s="31"/>
      <c r="GN173" s="31"/>
      <c r="GO173" s="31"/>
      <c r="GP173" s="31"/>
      <c r="GQ173" s="31"/>
      <c r="GR173" s="31"/>
      <c r="GS173" s="31"/>
      <c r="GT173" s="31"/>
      <c r="GU173" s="31"/>
      <c r="GV173" s="31"/>
      <c r="GW173" s="31"/>
      <c r="GX173" s="31"/>
      <c r="GY173" s="31"/>
      <c r="GZ173" s="31"/>
      <c r="HA173" s="31"/>
      <c r="HB173" s="31"/>
      <c r="HC173" s="31"/>
      <c r="HD173" s="31"/>
      <c r="HE173" s="31"/>
      <c r="HF173" s="31"/>
      <c r="HG173" s="31"/>
      <c r="HH173" s="31"/>
      <c r="HI173" s="31"/>
      <c r="HJ173" s="31"/>
      <c r="HK173" s="31"/>
      <c r="HL173" s="31"/>
      <c r="HM173" s="31"/>
      <c r="HN173" s="31"/>
      <c r="HO173" s="31"/>
      <c r="HP173" s="31"/>
      <c r="HQ173" s="31"/>
      <c r="HR173" s="31"/>
      <c r="HS173" s="31"/>
      <c r="HT173" s="31"/>
      <c r="HU173" s="31"/>
      <c r="HV173" s="31"/>
      <c r="HW173" s="31"/>
      <c r="HX173" s="31"/>
      <c r="HY173" s="31"/>
      <c r="HZ173" s="31"/>
      <c r="IA173" s="31"/>
      <c r="IB173" s="31"/>
      <c r="IC173" s="31"/>
      <c r="ID173" s="31"/>
      <c r="IE173" s="31"/>
      <c r="IF173" s="31"/>
      <c r="IG173" s="31"/>
      <c r="IH173" s="31"/>
      <c r="II173" s="31"/>
      <c r="IJ173" s="31"/>
      <c r="IK173" s="31"/>
      <c r="IL173" s="31"/>
      <c r="IM173" s="31"/>
      <c r="IN173" s="31"/>
      <c r="IO173" s="31"/>
      <c r="IP173" s="31"/>
      <c r="IQ173" s="31"/>
      <c r="IR173" s="31"/>
      <c r="IS173" s="31"/>
      <c r="IT173" s="31"/>
      <c r="IU173" s="31"/>
      <c r="IV173" s="31"/>
      <c r="IW173" s="31"/>
      <c r="IX173" s="31"/>
      <c r="IY173" s="31"/>
      <c r="IZ173" s="31"/>
      <c r="JA173" s="31"/>
      <c r="JB173" s="31"/>
      <c r="JC173" s="31"/>
      <c r="JD173" s="31"/>
      <c r="JE173" s="31"/>
      <c r="JF173" s="31"/>
      <c r="JG173" s="31"/>
      <c r="JH173" s="31"/>
      <c r="JI173" s="31"/>
      <c r="JJ173" s="31"/>
      <c r="JK173" s="31"/>
      <c r="JL173" s="31"/>
      <c r="JM173" s="31"/>
      <c r="JN173" s="31"/>
      <c r="JO173" s="31"/>
      <c r="JP173" s="31"/>
      <c r="JQ173" s="31"/>
      <c r="JR173" s="31"/>
      <c r="JS173" s="31"/>
      <c r="JT173" s="31"/>
      <c r="JU173" s="31"/>
      <c r="JV173" s="31"/>
      <c r="JW173" s="31"/>
      <c r="JX173" s="31"/>
      <c r="JY173" s="31"/>
      <c r="JZ173" s="31"/>
      <c r="KA173" s="31"/>
      <c r="KB173" s="31"/>
      <c r="KC173" s="31"/>
      <c r="KD173" s="31"/>
      <c r="KE173" s="31"/>
      <c r="KF173" s="31"/>
      <c r="KG173" s="31"/>
      <c r="KH173" s="31"/>
      <c r="KI173" s="31"/>
      <c r="KJ173" s="31"/>
      <c r="KK173" s="31"/>
      <c r="KL173" s="31"/>
      <c r="KM173" s="31"/>
      <c r="KN173" s="31"/>
      <c r="KO173" s="31"/>
      <c r="KP173" s="31"/>
      <c r="KQ173" s="31"/>
      <c r="KR173" s="31"/>
      <c r="KS173" s="31"/>
      <c r="KT173" s="31"/>
      <c r="KU173" s="31"/>
      <c r="KV173" s="31"/>
      <c r="KW173" s="31"/>
      <c r="KX173" s="31"/>
      <c r="KY173" s="31"/>
      <c r="KZ173" s="31"/>
      <c r="LA173" s="31"/>
      <c r="LB173" s="31"/>
      <c r="LC173" s="31"/>
      <c r="LD173" s="31"/>
      <c r="LE173" s="31"/>
      <c r="LF173" s="31"/>
      <c r="LG173" s="31"/>
      <c r="LH173" s="31"/>
      <c r="LI173" s="31"/>
      <c r="LJ173" s="31"/>
      <c r="LK173" s="31"/>
      <c r="LL173" s="31"/>
      <c r="LM173" s="31"/>
      <c r="LN173" s="31"/>
      <c r="LO173" s="31"/>
      <c r="LP173" s="31"/>
      <c r="LQ173" s="31"/>
      <c r="LR173" s="31"/>
      <c r="LS173" s="31"/>
      <c r="LT173" s="31"/>
      <c r="LU173" s="31"/>
      <c r="LV173" s="31"/>
      <c r="LW173" s="31"/>
      <c r="LX173" s="31"/>
      <c r="LY173" s="31"/>
      <c r="LZ173" s="31"/>
      <c r="MA173" s="31"/>
      <c r="MB173" s="31"/>
      <c r="MC173" s="31"/>
      <c r="MD173" s="31"/>
      <c r="ME173" s="31"/>
      <c r="MF173" s="31"/>
      <c r="MG173" s="31"/>
      <c r="MH173" s="31"/>
      <c r="MI173" s="31"/>
      <c r="MJ173" s="31"/>
      <c r="MK173" s="31"/>
      <c r="ML173" s="31"/>
      <c r="MM173" s="31"/>
      <c r="MN173" s="31"/>
      <c r="MO173" s="31"/>
      <c r="MP173" s="31"/>
      <c r="MQ173" s="31"/>
      <c r="MR173" s="31"/>
      <c r="MS173" s="31"/>
      <c r="MT173" s="31"/>
      <c r="MU173" s="31"/>
      <c r="MV173" s="31"/>
      <c r="MW173" s="31"/>
      <c r="MX173" s="31"/>
      <c r="MY173" s="31"/>
      <c r="MZ173" s="31"/>
      <c r="NA173" s="31"/>
      <c r="NB173" s="31"/>
      <c r="NC173" s="31"/>
      <c r="ND173" s="31"/>
      <c r="NE173" s="31"/>
      <c r="NF173" s="31"/>
      <c r="NG173" s="31"/>
      <c r="NH173" s="31"/>
      <c r="NI173" s="31"/>
      <c r="NJ173" s="31"/>
      <c r="NK173" s="31"/>
      <c r="NL173" s="31"/>
      <c r="NM173" s="31"/>
      <c r="NN173" s="31"/>
      <c r="NO173" s="31"/>
      <c r="NP173" s="31"/>
      <c r="NQ173" s="31"/>
      <c r="NR173" s="31"/>
      <c r="NS173" s="31"/>
      <c r="NT173" s="31"/>
      <c r="NU173" s="31"/>
      <c r="NV173" s="31"/>
      <c r="NW173" s="31"/>
      <c r="NX173" s="31"/>
      <c r="NY173" s="31"/>
      <c r="NZ173" s="31"/>
      <c r="OA173" s="31"/>
      <c r="OB173" s="31"/>
      <c r="OC173" s="31"/>
      <c r="OD173" s="31"/>
      <c r="OE173" s="31"/>
      <c r="OF173" s="31"/>
      <c r="OG173" s="31"/>
      <c r="OH173" s="31"/>
      <c r="OI173" s="31"/>
      <c r="OJ173" s="31"/>
      <c r="OK173" s="31"/>
      <c r="OL173" s="31"/>
      <c r="OM173" s="31"/>
      <c r="ON173" s="31"/>
      <c r="OO173" s="31"/>
      <c r="OP173" s="31"/>
      <c r="OQ173" s="31"/>
      <c r="OR173" s="31"/>
      <c r="OS173" s="31"/>
      <c r="OT173" s="31"/>
      <c r="OU173" s="31"/>
      <c r="OV173" s="31"/>
      <c r="OW173" s="31"/>
      <c r="OX173" s="31"/>
      <c r="OY173" s="31"/>
      <c r="OZ173" s="31"/>
      <c r="PA173" s="31"/>
      <c r="PB173" s="31"/>
      <c r="PC173" s="31"/>
      <c r="PD173" s="31"/>
      <c r="PE173" s="31"/>
      <c r="PF173" s="31"/>
      <c r="PG173" s="31"/>
      <c r="PH173" s="31"/>
      <c r="PI173" s="31"/>
      <c r="PJ173" s="31"/>
      <c r="PK173" s="31"/>
      <c r="PL173" s="31"/>
      <c r="PM173" s="31"/>
      <c r="PN173" s="31"/>
      <c r="PO173" s="31"/>
      <c r="PP173" s="31"/>
      <c r="PQ173" s="31"/>
      <c r="PR173" s="31"/>
      <c r="PS173" s="31"/>
      <c r="PT173" s="31"/>
      <c r="PU173" s="31"/>
      <c r="PV173" s="31"/>
      <c r="PW173" s="31"/>
      <c r="PX173" s="31"/>
      <c r="PY173" s="31"/>
      <c r="PZ173" s="31"/>
      <c r="QA173" s="31"/>
      <c r="QB173" s="31"/>
      <c r="QC173" s="31"/>
      <c r="QD173" s="31"/>
      <c r="QE173" s="31"/>
      <c r="QF173" s="31"/>
      <c r="QG173" s="31"/>
      <c r="QH173" s="31"/>
      <c r="QI173" s="31"/>
      <c r="QJ173" s="31"/>
      <c r="QK173" s="31"/>
      <c r="QL173" s="31"/>
      <c r="QM173" s="31"/>
      <c r="QN173" s="31"/>
      <c r="QO173" s="31"/>
      <c r="QP173" s="31"/>
      <c r="QQ173" s="31"/>
      <c r="QR173" s="31"/>
      <c r="QS173" s="31"/>
      <c r="QT173" s="31"/>
      <c r="QU173" s="31"/>
      <c r="QV173" s="31"/>
      <c r="QW173" s="31"/>
      <c r="QX173" s="31"/>
      <c r="QY173" s="31"/>
      <c r="QZ173" s="31"/>
      <c r="RA173" s="31"/>
      <c r="RB173" s="31"/>
      <c r="RC173" s="31"/>
      <c r="RD173" s="31"/>
      <c r="RE173" s="31"/>
      <c r="RF173" s="31"/>
      <c r="RG173" s="31"/>
      <c r="RH173" s="31"/>
      <c r="RI173" s="31"/>
      <c r="RJ173" s="31"/>
      <c r="RK173" s="31"/>
      <c r="RL173" s="31"/>
      <c r="RM173" s="31"/>
      <c r="RN173" s="31"/>
      <c r="RO173" s="31"/>
      <c r="RP173" s="31"/>
      <c r="RQ173" s="31"/>
      <c r="RR173" s="31"/>
      <c r="RS173" s="31"/>
      <c r="RT173" s="31"/>
      <c r="RU173" s="31"/>
      <c r="RV173" s="31"/>
      <c r="RW173" s="31"/>
      <c r="RX173" s="31"/>
      <c r="RY173" s="31"/>
      <c r="RZ173" s="31"/>
      <c r="SA173" s="31"/>
      <c r="SB173" s="31"/>
      <c r="SC173" s="31"/>
      <c r="SD173" s="31"/>
      <c r="SE173" s="31"/>
      <c r="SF173" s="31"/>
      <c r="SG173" s="31"/>
      <c r="SH173" s="31"/>
      <c r="SI173" s="31"/>
      <c r="SJ173" s="31"/>
      <c r="SK173" s="31"/>
      <c r="SL173" s="31"/>
      <c r="SM173" s="31"/>
      <c r="SN173" s="31"/>
      <c r="SO173" s="31"/>
      <c r="SP173" s="31"/>
      <c r="SQ173" s="31"/>
      <c r="SR173" s="31"/>
      <c r="SS173" s="31"/>
      <c r="ST173" s="31"/>
      <c r="SU173" s="31"/>
      <c r="SV173" s="31"/>
      <c r="SW173" s="31"/>
      <c r="SX173" s="31"/>
      <c r="SY173" s="31"/>
      <c r="SZ173" s="31"/>
      <c r="TA173" s="31"/>
      <c r="TB173" s="31"/>
      <c r="TC173" s="31"/>
      <c r="TD173" s="31"/>
      <c r="TE173" s="31"/>
      <c r="TF173" s="31"/>
      <c r="TG173" s="31"/>
      <c r="TH173" s="31"/>
      <c r="TI173" s="31"/>
      <c r="TJ173" s="31"/>
      <c r="TK173" s="31"/>
      <c r="TL173" s="31"/>
      <c r="TM173" s="31"/>
      <c r="TN173" s="31"/>
      <c r="TO173" s="31"/>
      <c r="TP173" s="31"/>
      <c r="TQ173" s="31"/>
      <c r="TR173" s="31"/>
      <c r="TS173" s="31"/>
      <c r="TT173" s="31"/>
      <c r="TU173" s="31"/>
      <c r="TV173" s="31"/>
      <c r="TW173" s="31"/>
      <c r="TX173" s="31"/>
      <c r="TY173" s="31"/>
      <c r="TZ173" s="31"/>
      <c r="UA173" s="31"/>
      <c r="UB173" s="31"/>
      <c r="UC173" s="31"/>
      <c r="UD173" s="31"/>
      <c r="UE173" s="31"/>
      <c r="UF173" s="31"/>
      <c r="UG173" s="31"/>
      <c r="UH173" s="31"/>
      <c r="UI173" s="31"/>
      <c r="UJ173" s="31"/>
      <c r="UK173" s="31"/>
      <c r="UL173" s="31"/>
      <c r="UM173" s="31"/>
      <c r="UN173" s="31"/>
      <c r="UO173" s="31"/>
      <c r="UP173" s="31"/>
      <c r="UQ173" s="31"/>
      <c r="UR173" s="31"/>
      <c r="US173" s="31"/>
      <c r="UT173" s="31"/>
      <c r="UU173" s="31"/>
      <c r="UV173" s="31"/>
      <c r="UW173" s="31"/>
      <c r="UX173" s="31"/>
      <c r="UY173" s="31"/>
      <c r="UZ173" s="31"/>
      <c r="VA173" s="31"/>
      <c r="VB173" s="31"/>
      <c r="VC173" s="31"/>
      <c r="VD173" s="31"/>
      <c r="VE173" s="31"/>
      <c r="VF173" s="31"/>
      <c r="VG173" s="31"/>
      <c r="VH173" s="31"/>
      <c r="VI173" s="31"/>
      <c r="VJ173" s="31"/>
      <c r="VK173" s="31"/>
      <c r="VL173" s="31"/>
      <c r="VM173" s="31"/>
      <c r="VN173" s="31"/>
      <c r="VO173" s="31"/>
      <c r="VP173" s="31"/>
      <c r="VQ173" s="31"/>
      <c r="VR173" s="31"/>
      <c r="VS173" s="31"/>
      <c r="VT173" s="31"/>
      <c r="VU173" s="31"/>
      <c r="VV173" s="31"/>
      <c r="VW173" s="31"/>
      <c r="VX173" s="31"/>
      <c r="VY173" s="31"/>
      <c r="VZ173" s="31"/>
      <c r="WA173" s="31"/>
      <c r="WB173" s="31"/>
      <c r="WC173" s="31"/>
      <c r="WD173" s="31"/>
      <c r="WE173" s="31"/>
      <c r="WF173" s="31"/>
      <c r="WG173" s="31"/>
      <c r="WH173" s="31"/>
      <c r="WI173" s="31"/>
      <c r="WJ173" s="31"/>
      <c r="WK173" s="31"/>
      <c r="WL173" s="31"/>
      <c r="WM173" s="31"/>
      <c r="WN173" s="31"/>
      <c r="WO173" s="31"/>
      <c r="WP173" s="31"/>
      <c r="WQ173" s="31"/>
      <c r="WR173" s="31"/>
      <c r="WS173" s="31"/>
      <c r="WT173" s="31"/>
      <c r="WU173" s="31"/>
      <c r="WV173" s="31"/>
      <c r="WW173" s="31"/>
      <c r="WX173" s="31"/>
      <c r="WY173" s="31"/>
      <c r="WZ173" s="31"/>
      <c r="XA173" s="31"/>
      <c r="XB173" s="31"/>
      <c r="XC173" s="31"/>
      <c r="XD173" s="31"/>
      <c r="XE173" s="31"/>
      <c r="XF173" s="31"/>
      <c r="XG173" s="31"/>
      <c r="XH173" s="31"/>
      <c r="XI173" s="31"/>
      <c r="XJ173" s="31"/>
      <c r="XK173" s="31"/>
      <c r="XL173" s="31"/>
      <c r="XM173" s="31"/>
      <c r="XN173" s="31"/>
      <c r="XO173" s="31"/>
      <c r="XP173" s="31"/>
      <c r="XQ173" s="31"/>
      <c r="XR173" s="31"/>
      <c r="XS173" s="31"/>
      <c r="XT173" s="31"/>
      <c r="XU173" s="31"/>
      <c r="XV173" s="31"/>
      <c r="XW173" s="31"/>
      <c r="XX173" s="31"/>
      <c r="XY173" s="31"/>
      <c r="XZ173" s="31"/>
      <c r="YA173" s="31"/>
      <c r="YB173" s="31"/>
      <c r="YC173" s="31"/>
      <c r="YD173" s="31"/>
      <c r="YE173" s="31"/>
      <c r="YF173" s="31"/>
      <c r="YG173" s="31"/>
      <c r="YH173" s="31"/>
      <c r="YI173" s="31"/>
      <c r="YJ173" s="31"/>
      <c r="YK173" s="31"/>
      <c r="YL173" s="31"/>
      <c r="YM173" s="31"/>
      <c r="YN173" s="31"/>
      <c r="YO173" s="31"/>
      <c r="YP173" s="31"/>
      <c r="YQ173" s="31"/>
      <c r="YR173" s="31"/>
      <c r="YS173" s="31"/>
      <c r="YT173" s="31"/>
      <c r="YU173" s="31"/>
      <c r="YV173" s="31"/>
      <c r="YW173" s="31"/>
      <c r="YX173" s="31"/>
      <c r="YY173" s="31"/>
      <c r="YZ173" s="31"/>
      <c r="ZA173" s="31"/>
      <c r="ZB173" s="31"/>
      <c r="ZC173" s="31"/>
      <c r="ZD173" s="31"/>
      <c r="ZE173" s="31"/>
      <c r="ZF173" s="31"/>
      <c r="ZG173" s="31"/>
      <c r="ZH173" s="31"/>
      <c r="ZI173" s="31"/>
      <c r="ZJ173" s="31"/>
      <c r="ZK173" s="31"/>
      <c r="ZL173" s="31"/>
      <c r="ZM173" s="31"/>
      <c r="ZN173" s="31"/>
      <c r="ZO173" s="31"/>
      <c r="ZP173" s="31"/>
      <c r="ZQ173" s="31"/>
      <c r="ZR173" s="31"/>
      <c r="ZS173" s="31"/>
      <c r="ZT173" s="31"/>
      <c r="ZU173" s="31"/>
      <c r="ZV173" s="31"/>
      <c r="ZW173" s="31"/>
      <c r="ZX173" s="31"/>
      <c r="ZY173" s="31"/>
      <c r="ZZ173" s="31"/>
      <c r="AAA173" s="31"/>
      <c r="AAB173" s="31"/>
      <c r="AAC173" s="31"/>
      <c r="AAD173" s="31"/>
      <c r="AAE173" s="31"/>
      <c r="AAF173" s="31"/>
      <c r="AAG173" s="31"/>
      <c r="AAH173" s="31"/>
      <c r="AAI173" s="31"/>
      <c r="AAJ173" s="31"/>
      <c r="AAK173" s="31"/>
      <c r="AAL173" s="31"/>
      <c r="AAM173" s="31"/>
      <c r="AAN173" s="31"/>
      <c r="AAO173" s="31"/>
      <c r="AAP173" s="31"/>
      <c r="AAQ173" s="31"/>
      <c r="AAR173" s="31"/>
      <c r="AAS173" s="31"/>
      <c r="AAT173" s="31"/>
      <c r="AAU173" s="31"/>
      <c r="AAV173" s="31"/>
      <c r="AAW173" s="31"/>
      <c r="AAX173" s="31"/>
      <c r="AAY173" s="31"/>
      <c r="AAZ173" s="31"/>
      <c r="ABA173" s="31"/>
      <c r="ABB173" s="31"/>
      <c r="ABC173" s="31"/>
      <c r="ABD173" s="31"/>
      <c r="ABE173" s="31"/>
      <c r="ABF173" s="31"/>
      <c r="ABG173" s="31"/>
      <c r="ABH173" s="31"/>
      <c r="ABI173" s="31"/>
      <c r="ABJ173" s="31"/>
      <c r="ABK173" s="31"/>
      <c r="ABL173" s="31"/>
      <c r="ABM173" s="31"/>
      <c r="ABN173" s="31"/>
      <c r="ABO173" s="31"/>
      <c r="ABP173" s="31"/>
      <c r="ABQ173" s="31"/>
      <c r="ABR173" s="31"/>
      <c r="ABS173" s="31"/>
      <c r="ABT173" s="31"/>
      <c r="ABU173" s="31"/>
      <c r="ABV173" s="31"/>
      <c r="ABW173" s="31"/>
      <c r="ABX173" s="31"/>
      <c r="ABY173" s="31"/>
      <c r="ABZ173" s="31"/>
      <c r="ACA173" s="31"/>
      <c r="ACB173" s="31"/>
      <c r="ACC173" s="31"/>
      <c r="ACD173" s="31"/>
      <c r="ACE173" s="31"/>
      <c r="ACF173" s="31"/>
      <c r="ACG173" s="31"/>
      <c r="ACH173" s="31"/>
      <c r="ACI173" s="31"/>
      <c r="ACJ173" s="31"/>
      <c r="ACK173" s="31"/>
      <c r="ACL173" s="31"/>
      <c r="ACM173" s="31"/>
      <c r="ACN173" s="31"/>
      <c r="ACO173" s="31"/>
      <c r="ACP173" s="31"/>
      <c r="ACQ173" s="31"/>
      <c r="ACR173" s="31"/>
      <c r="ACS173" s="31"/>
      <c r="ACT173" s="31"/>
      <c r="ACU173" s="31"/>
      <c r="ACV173" s="31"/>
      <c r="ACW173" s="31"/>
      <c r="ACX173" s="31"/>
      <c r="ACY173" s="31"/>
      <c r="ACZ173" s="31"/>
      <c r="ADA173" s="31"/>
      <c r="ADB173" s="31"/>
      <c r="ADC173" s="31"/>
      <c r="ADD173" s="31"/>
      <c r="ADE173" s="31"/>
      <c r="ADF173" s="31"/>
      <c r="ADG173" s="31"/>
      <c r="ADH173" s="31"/>
      <c r="ADI173" s="31"/>
      <c r="ADJ173" s="31"/>
      <c r="ADK173" s="31"/>
      <c r="ADL173" s="31"/>
      <c r="ADM173" s="31"/>
      <c r="ADN173" s="31"/>
      <c r="ADO173" s="31"/>
      <c r="ADP173" s="31"/>
      <c r="ADQ173" s="31"/>
      <c r="ADR173" s="31"/>
      <c r="ADS173" s="31"/>
      <c r="ADT173" s="31"/>
      <c r="ADU173" s="31"/>
      <c r="ADV173" s="31"/>
      <c r="ADW173" s="31"/>
      <c r="ADX173" s="31"/>
      <c r="ADY173" s="31"/>
      <c r="ADZ173" s="31"/>
      <c r="AEA173" s="31"/>
      <c r="AEB173" s="31"/>
      <c r="AEC173" s="31"/>
      <c r="AED173" s="31"/>
      <c r="AEE173" s="31"/>
      <c r="AEF173" s="31"/>
      <c r="AEG173" s="31"/>
      <c r="AEH173" s="31"/>
      <c r="AEI173" s="31"/>
      <c r="AEJ173" s="31"/>
      <c r="AEK173" s="31"/>
      <c r="AEL173" s="31"/>
      <c r="AEM173" s="31"/>
      <c r="AEN173" s="31"/>
      <c r="AEO173" s="31"/>
      <c r="AEP173" s="31"/>
      <c r="AEQ173" s="31"/>
      <c r="AER173" s="31"/>
      <c r="AES173" s="31"/>
      <c r="AET173" s="31"/>
      <c r="AEU173" s="31"/>
      <c r="AEV173" s="31"/>
      <c r="AEW173" s="31"/>
      <c r="AEX173" s="31"/>
      <c r="AEY173" s="31"/>
      <c r="AEZ173" s="31"/>
      <c r="AFA173" s="31"/>
      <c r="AFB173" s="31"/>
      <c r="AFC173" s="31"/>
      <c r="AFD173" s="31"/>
      <c r="AFE173" s="31"/>
      <c r="AFF173" s="31"/>
      <c r="AFG173" s="31"/>
      <c r="AFH173" s="31"/>
      <c r="AFI173" s="31"/>
      <c r="AFJ173" s="31"/>
      <c r="AFK173" s="31"/>
      <c r="AFL173" s="31"/>
      <c r="AFM173" s="31"/>
      <c r="AFN173" s="31"/>
      <c r="AFO173" s="31"/>
      <c r="AFP173" s="31"/>
      <c r="AFQ173" s="31"/>
      <c r="AFR173" s="31"/>
      <c r="AFS173" s="31"/>
      <c r="AFT173" s="31"/>
      <c r="AFU173" s="31"/>
      <c r="AFV173" s="31"/>
      <c r="AFW173" s="31"/>
      <c r="AFX173" s="31"/>
      <c r="AFY173" s="31"/>
      <c r="AFZ173" s="31"/>
      <c r="AGA173" s="31"/>
      <c r="AGB173" s="31"/>
      <c r="AGC173" s="31"/>
      <c r="AGD173" s="31"/>
      <c r="AGE173" s="31"/>
      <c r="AGF173" s="31"/>
      <c r="AGG173" s="31"/>
      <c r="AGH173" s="31"/>
      <c r="AGI173" s="31"/>
      <c r="AGJ173" s="31"/>
      <c r="AGK173" s="31"/>
      <c r="AGL173" s="31"/>
      <c r="AGM173" s="31"/>
      <c r="AGN173" s="31"/>
      <c r="AGO173" s="31"/>
      <c r="AGP173" s="31"/>
      <c r="AGQ173" s="31"/>
      <c r="AGR173" s="31"/>
      <c r="AGS173" s="31"/>
      <c r="AGT173" s="31"/>
      <c r="AGU173" s="31"/>
      <c r="AGV173" s="31"/>
      <c r="AGW173" s="31"/>
      <c r="AGX173" s="31"/>
      <c r="AGY173" s="31"/>
      <c r="AGZ173" s="31"/>
      <c r="AHA173" s="31"/>
      <c r="AHB173" s="31"/>
      <c r="AHC173" s="31"/>
      <c r="AHD173" s="31"/>
      <c r="AHE173" s="31"/>
      <c r="AHF173" s="31"/>
      <c r="AHG173" s="31"/>
      <c r="AHH173" s="31"/>
      <c r="AHI173" s="31"/>
      <c r="AHJ173" s="31"/>
      <c r="AHK173" s="31"/>
      <c r="AHL173" s="31"/>
      <c r="AHM173" s="31"/>
      <c r="AHN173" s="31"/>
      <c r="AHO173" s="31"/>
      <c r="AHP173" s="31"/>
      <c r="AHQ173" s="31"/>
      <c r="AHR173" s="31"/>
      <c r="AHS173" s="31"/>
      <c r="AHT173" s="31"/>
      <c r="AHU173" s="31"/>
      <c r="AHV173" s="31"/>
      <c r="AHW173" s="31"/>
      <c r="AHX173" s="31"/>
      <c r="AHY173" s="31"/>
      <c r="AHZ173" s="31"/>
      <c r="AIA173" s="31"/>
      <c r="AIB173" s="31"/>
      <c r="AIC173" s="31"/>
      <c r="AID173" s="31"/>
      <c r="AIE173" s="31"/>
      <c r="AIF173" s="31"/>
      <c r="AIG173" s="31"/>
      <c r="AIH173" s="31"/>
      <c r="AII173" s="31"/>
      <c r="AIJ173" s="31"/>
      <c r="AIK173" s="31"/>
      <c r="AIL173" s="31"/>
      <c r="AIM173" s="31"/>
      <c r="AIN173" s="31"/>
      <c r="AIO173" s="31"/>
      <c r="AIP173" s="31"/>
      <c r="AIQ173" s="31"/>
      <c r="AIR173" s="31"/>
      <c r="AIS173" s="31"/>
      <c r="AIT173" s="31"/>
      <c r="AIU173" s="31"/>
      <c r="AIV173" s="31"/>
      <c r="AIW173" s="31"/>
      <c r="AIX173" s="31"/>
      <c r="AIY173" s="31"/>
      <c r="AIZ173" s="31"/>
      <c r="AJA173" s="31"/>
      <c r="AJB173" s="31"/>
      <c r="AJC173" s="31"/>
      <c r="AJD173" s="31"/>
      <c r="AJE173" s="31"/>
      <c r="AJF173" s="31"/>
      <c r="AJG173" s="31"/>
      <c r="AJH173" s="31"/>
      <c r="AJI173" s="31"/>
      <c r="AJJ173" s="31"/>
      <c r="AJK173" s="31"/>
      <c r="AJL173" s="31"/>
      <c r="AJM173" s="31"/>
      <c r="AJN173" s="31"/>
      <c r="AJO173" s="31"/>
      <c r="AJP173" s="31"/>
      <c r="AJQ173" s="31"/>
      <c r="AJR173" s="31"/>
      <c r="AJS173" s="31"/>
      <c r="AJT173" s="31"/>
      <c r="AJU173" s="31"/>
      <c r="AJV173" s="31"/>
      <c r="AJW173" s="31"/>
      <c r="AJX173" s="31"/>
      <c r="AJY173" s="31"/>
      <c r="AJZ173" s="31"/>
      <c r="AKA173" s="31"/>
      <c r="AKB173" s="31"/>
      <c r="AKC173" s="31"/>
      <c r="AKD173" s="31"/>
      <c r="AKE173" s="31"/>
      <c r="AKF173" s="31"/>
      <c r="AKG173" s="31"/>
      <c r="AKH173" s="31"/>
      <c r="AKI173" s="31"/>
      <c r="AKJ173" s="31"/>
      <c r="AKK173" s="31"/>
      <c r="AKL173" s="31"/>
      <c r="AKM173" s="31"/>
      <c r="AKN173" s="31"/>
      <c r="AKO173" s="31"/>
      <c r="AKP173" s="31"/>
      <c r="AKQ173" s="31"/>
      <c r="AKR173" s="31"/>
      <c r="AKS173" s="31"/>
      <c r="AKT173" s="31"/>
      <c r="AKU173" s="31"/>
      <c r="AKV173" s="31"/>
      <c r="AKW173" s="31"/>
      <c r="AKX173" s="31"/>
      <c r="AKY173" s="31"/>
      <c r="AKZ173" s="31"/>
      <c r="ALA173" s="31"/>
      <c r="ALB173" s="31"/>
      <c r="ALC173" s="31"/>
      <c r="ALD173" s="31"/>
      <c r="ALE173" s="31"/>
      <c r="ALF173" s="31"/>
      <c r="ALG173" s="31"/>
      <c r="ALH173" s="31"/>
      <c r="ALI173" s="31"/>
      <c r="ALJ173" s="31"/>
      <c r="ALK173" s="31"/>
      <c r="ALL173" s="31"/>
      <c r="ALM173" s="31"/>
      <c r="ALN173" s="31"/>
      <c r="ALO173" s="31"/>
      <c r="ALP173" s="31"/>
      <c r="ALQ173" s="31"/>
      <c r="ALR173" s="31"/>
      <c r="ALS173" s="31"/>
      <c r="ALT173" s="31"/>
      <c r="ALU173" s="31"/>
      <c r="ALV173" s="31"/>
      <c r="ALW173" s="31"/>
      <c r="ALX173" s="31"/>
      <c r="ALY173" s="31"/>
      <c r="ALZ173" s="31"/>
      <c r="AMA173" s="31"/>
      <c r="AMB173" s="31"/>
      <c r="AMC173" s="31"/>
      <c r="AMD173" s="31"/>
      <c r="AME173" s="31"/>
      <c r="AMF173" s="31"/>
      <c r="AMG173" s="31"/>
      <c r="AMH173" s="31"/>
      <c r="AMI173" s="31"/>
      <c r="AMJ173" s="31"/>
      <c r="AMK173" s="31"/>
      <c r="AML173" s="31"/>
      <c r="AMM173" s="31"/>
      <c r="AMN173" s="31"/>
      <c r="AMO173" s="31"/>
      <c r="AMP173" s="31"/>
      <c r="AMQ173" s="31"/>
      <c r="AMR173" s="31"/>
      <c r="AMS173" s="31"/>
      <c r="AMT173" s="31"/>
      <c r="AMU173" s="31"/>
      <c r="AMV173" s="31"/>
      <c r="AMW173" s="31"/>
      <c r="AMX173" s="31"/>
      <c r="AMY173" s="31"/>
      <c r="AMZ173" s="31"/>
      <c r="ANA173" s="31"/>
      <c r="ANB173" s="31"/>
      <c r="ANC173" s="31"/>
      <c r="AND173" s="31"/>
      <c r="ANE173" s="31"/>
      <c r="ANF173" s="31"/>
      <c r="ANG173" s="31"/>
      <c r="ANH173" s="31"/>
      <c r="ANI173" s="31"/>
      <c r="ANJ173" s="31"/>
      <c r="ANK173" s="31"/>
      <c r="ANL173" s="31"/>
      <c r="ANM173" s="31"/>
      <c r="ANN173" s="31"/>
      <c r="ANO173" s="31"/>
      <c r="ANP173" s="31"/>
      <c r="ANQ173" s="31"/>
      <c r="ANR173" s="31"/>
      <c r="ANS173" s="31"/>
      <c r="ANT173" s="31"/>
      <c r="ANU173" s="31"/>
      <c r="ANV173" s="31"/>
      <c r="ANW173" s="31"/>
      <c r="ANX173" s="31"/>
      <c r="ANY173" s="31"/>
      <c r="ANZ173" s="31"/>
      <c r="AOA173" s="31"/>
      <c r="AOB173" s="31"/>
      <c r="AOC173" s="31"/>
      <c r="AOD173" s="31"/>
      <c r="AOE173" s="31"/>
      <c r="AOF173" s="31"/>
      <c r="AOG173" s="31"/>
      <c r="AOH173" s="31"/>
      <c r="AOI173" s="31"/>
      <c r="AOJ173" s="31"/>
      <c r="AOK173" s="31"/>
      <c r="AOL173" s="31"/>
      <c r="AOM173" s="31"/>
      <c r="AON173" s="31"/>
      <c r="AOO173" s="31"/>
      <c r="AOP173" s="31"/>
      <c r="AOQ173" s="31"/>
      <c r="AOR173" s="31"/>
      <c r="AOS173" s="31"/>
      <c r="AOT173" s="31"/>
      <c r="AOU173" s="31"/>
      <c r="AOV173" s="31"/>
      <c r="AOW173" s="31"/>
      <c r="AOX173" s="31"/>
      <c r="AOY173" s="31"/>
      <c r="AOZ173" s="31"/>
      <c r="APA173" s="31"/>
      <c r="APB173" s="31"/>
      <c r="APC173" s="31"/>
      <c r="APD173" s="31"/>
      <c r="APE173" s="31"/>
      <c r="APF173" s="31"/>
      <c r="APG173" s="31"/>
      <c r="APH173" s="31"/>
      <c r="API173" s="31"/>
      <c r="APJ173" s="31"/>
      <c r="APK173" s="31"/>
      <c r="APL173" s="31"/>
      <c r="APM173" s="31"/>
      <c r="APN173" s="31"/>
      <c r="APO173" s="31"/>
      <c r="APP173" s="31"/>
      <c r="APQ173" s="31"/>
      <c r="APR173" s="31"/>
      <c r="APS173" s="31"/>
      <c r="APT173" s="31"/>
      <c r="APU173" s="31"/>
      <c r="APV173" s="31"/>
      <c r="APW173" s="31"/>
      <c r="APX173" s="31"/>
      <c r="APY173" s="31"/>
      <c r="APZ173" s="31"/>
      <c r="AQA173" s="31"/>
      <c r="AQB173" s="31"/>
      <c r="AQC173" s="31"/>
      <c r="AQD173" s="31"/>
      <c r="AQE173" s="31"/>
      <c r="AQF173" s="31"/>
      <c r="AQG173" s="31"/>
      <c r="AQH173" s="31"/>
      <c r="AQI173" s="31"/>
      <c r="AQJ173" s="31"/>
      <c r="AQK173" s="31"/>
      <c r="AQL173" s="31"/>
      <c r="AQM173" s="31"/>
      <c r="AQN173" s="31"/>
      <c r="AQO173" s="31"/>
      <c r="AQP173" s="31"/>
      <c r="AQQ173" s="31"/>
      <c r="AQR173" s="31"/>
      <c r="AQS173" s="31"/>
      <c r="AQT173" s="31"/>
      <c r="AQU173" s="31"/>
      <c r="AQV173" s="31"/>
      <c r="AQW173" s="31"/>
      <c r="AQX173" s="31"/>
      <c r="AQY173" s="31"/>
      <c r="AQZ173" s="31"/>
      <c r="ARA173" s="31"/>
      <c r="ARB173" s="31"/>
      <c r="ARC173" s="31"/>
      <c r="ARD173" s="31"/>
      <c r="ARE173" s="31"/>
      <c r="ARF173" s="31"/>
      <c r="ARG173" s="31"/>
      <c r="ARH173" s="31"/>
      <c r="ARI173" s="31"/>
      <c r="ARJ173" s="31"/>
      <c r="ARK173" s="31"/>
      <c r="ARL173" s="31"/>
      <c r="ARM173" s="31"/>
      <c r="ARN173" s="31"/>
      <c r="ARO173" s="31"/>
      <c r="ARP173" s="31"/>
      <c r="ARQ173" s="31"/>
      <c r="ARR173" s="31"/>
      <c r="ARS173" s="31"/>
      <c r="ART173" s="31"/>
      <c r="ARU173" s="31"/>
      <c r="ARV173" s="31"/>
      <c r="ARW173" s="31"/>
      <c r="ARX173" s="31"/>
      <c r="ARY173" s="31"/>
      <c r="ARZ173" s="31"/>
      <c r="ASA173" s="31"/>
      <c r="ASB173" s="31"/>
      <c r="ASC173" s="31"/>
      <c r="ASD173" s="31"/>
      <c r="ASE173" s="31"/>
      <c r="ASF173" s="31"/>
      <c r="ASG173" s="31"/>
      <c r="ASH173" s="31"/>
      <c r="ASI173" s="31"/>
      <c r="ASJ173" s="31"/>
      <c r="ASK173" s="31"/>
      <c r="ASL173" s="31"/>
      <c r="ASM173" s="31"/>
      <c r="ASN173" s="31"/>
      <c r="ASO173" s="31"/>
      <c r="ASP173" s="31"/>
      <c r="ASQ173" s="31"/>
      <c r="ASR173" s="31"/>
      <c r="ASS173" s="31"/>
      <c r="AST173" s="31"/>
      <c r="ASU173" s="31"/>
      <c r="ASV173" s="31"/>
      <c r="ASW173" s="31"/>
      <c r="ASX173" s="31"/>
      <c r="ASY173" s="31"/>
      <c r="ASZ173" s="31"/>
      <c r="ATA173" s="31"/>
      <c r="ATB173" s="31"/>
      <c r="ATC173" s="31"/>
      <c r="ATD173" s="31"/>
      <c r="ATE173" s="31"/>
      <c r="ATF173" s="31"/>
      <c r="ATG173" s="31"/>
      <c r="ATH173" s="31"/>
      <c r="ATI173" s="31"/>
      <c r="ATJ173" s="31"/>
      <c r="ATK173" s="31"/>
      <c r="ATL173" s="31"/>
      <c r="ATM173" s="31"/>
      <c r="ATN173" s="31"/>
      <c r="ATO173" s="31"/>
      <c r="ATP173" s="31"/>
      <c r="ATQ173" s="31"/>
      <c r="ATR173" s="31"/>
      <c r="ATS173" s="31"/>
      <c r="ATT173" s="31"/>
      <c r="ATU173" s="31"/>
      <c r="ATV173" s="31"/>
      <c r="ATW173" s="31"/>
      <c r="ATX173" s="31"/>
      <c r="ATY173" s="31"/>
      <c r="ATZ173" s="31"/>
      <c r="AUA173" s="31"/>
      <c r="AUB173" s="31"/>
      <c r="AUC173" s="31"/>
      <c r="AUD173" s="31"/>
      <c r="AUE173" s="31"/>
      <c r="AUF173" s="31"/>
      <c r="AUG173" s="31"/>
      <c r="AUH173" s="31"/>
      <c r="AUI173" s="31"/>
      <c r="AUJ173" s="31"/>
      <c r="AUK173" s="31"/>
      <c r="AUL173" s="31"/>
      <c r="AUM173" s="31"/>
      <c r="AUN173" s="31"/>
      <c r="AUO173" s="31"/>
      <c r="AUP173" s="31"/>
      <c r="AUQ173" s="31"/>
      <c r="AUR173" s="31"/>
      <c r="AUS173" s="31"/>
      <c r="AUT173" s="31"/>
      <c r="AUU173" s="31"/>
      <c r="AUV173" s="31"/>
      <c r="AUW173" s="31"/>
      <c r="AUX173" s="31"/>
      <c r="AUY173" s="31"/>
      <c r="AUZ173" s="31"/>
      <c r="AVA173" s="31"/>
      <c r="AVB173" s="31"/>
      <c r="AVC173" s="31"/>
      <c r="AVD173" s="31"/>
      <c r="AVE173" s="31"/>
      <c r="AVF173" s="31"/>
      <c r="AVG173" s="31"/>
      <c r="AVH173" s="31"/>
      <c r="AVI173" s="31"/>
      <c r="AVJ173" s="31"/>
      <c r="AVK173" s="31"/>
      <c r="AVL173" s="31"/>
      <c r="AVM173" s="31"/>
      <c r="AVN173" s="31"/>
      <c r="AVO173" s="31"/>
      <c r="AVP173" s="31"/>
      <c r="AVQ173" s="31"/>
      <c r="AVR173" s="31"/>
      <c r="AVS173" s="31"/>
      <c r="AVT173" s="31"/>
      <c r="AVU173" s="31"/>
      <c r="AVV173" s="31"/>
      <c r="AVW173" s="31"/>
      <c r="AVX173" s="31"/>
      <c r="AVY173" s="31"/>
      <c r="AVZ173" s="31"/>
      <c r="AWA173" s="31"/>
      <c r="AWB173" s="31"/>
      <c r="AWC173" s="31"/>
      <c r="AWD173" s="31"/>
      <c r="AWE173" s="31"/>
      <c r="AWF173" s="31"/>
      <c r="AWG173" s="31"/>
      <c r="AWH173" s="31"/>
      <c r="AWI173" s="31"/>
      <c r="AWJ173" s="31"/>
      <c r="AWK173" s="31"/>
      <c r="AWL173" s="31"/>
      <c r="AWM173" s="31"/>
      <c r="AWN173" s="31"/>
      <c r="AWO173" s="31"/>
      <c r="AWP173" s="31"/>
      <c r="AWQ173" s="31"/>
      <c r="AWR173" s="31"/>
      <c r="AWS173" s="31"/>
      <c r="AWT173" s="31"/>
      <c r="AWU173" s="31"/>
      <c r="AWV173" s="31"/>
      <c r="AWW173" s="31"/>
      <c r="AWX173" s="31"/>
      <c r="AWY173" s="31"/>
      <c r="AWZ173" s="31"/>
      <c r="AXA173" s="31"/>
      <c r="AXB173" s="31"/>
      <c r="AXC173" s="31"/>
      <c r="AXD173" s="31"/>
      <c r="AXE173" s="31"/>
      <c r="AXF173" s="31"/>
      <c r="AXG173" s="31"/>
      <c r="AXH173" s="31"/>
      <c r="AXI173" s="31"/>
      <c r="AXJ173" s="31"/>
      <c r="AXK173" s="31"/>
      <c r="AXL173" s="31"/>
      <c r="AXM173" s="31"/>
      <c r="AXN173" s="31"/>
      <c r="AXO173" s="31"/>
      <c r="AXP173" s="31"/>
      <c r="AXQ173" s="31"/>
      <c r="AXR173" s="31"/>
      <c r="AXS173" s="31"/>
      <c r="AXT173" s="31"/>
      <c r="AXU173" s="31"/>
      <c r="AXV173" s="31"/>
      <c r="AXW173" s="31"/>
      <c r="AXX173" s="31"/>
      <c r="AXY173" s="31"/>
      <c r="AXZ173" s="31"/>
      <c r="AYA173" s="31"/>
      <c r="AYB173" s="31"/>
      <c r="AYC173" s="31"/>
      <c r="AYD173" s="31"/>
      <c r="AYE173" s="31"/>
      <c r="AYF173" s="31"/>
      <c r="AYG173" s="31"/>
      <c r="AYH173" s="31"/>
      <c r="AYI173" s="31"/>
      <c r="AYJ173" s="31"/>
      <c r="AYK173" s="31"/>
      <c r="AYL173" s="31"/>
      <c r="AYM173" s="31"/>
      <c r="AYN173" s="31"/>
      <c r="AYO173" s="31"/>
      <c r="AYP173" s="31"/>
      <c r="AYQ173" s="31"/>
      <c r="AYR173" s="31"/>
      <c r="AYS173" s="31"/>
      <c r="AYT173" s="31"/>
      <c r="AYU173" s="31"/>
      <c r="AYV173" s="31"/>
      <c r="AYW173" s="31"/>
      <c r="AYX173" s="31"/>
      <c r="AYY173" s="31"/>
      <c r="AYZ173" s="31"/>
      <c r="AZA173" s="31"/>
      <c r="AZB173" s="31"/>
      <c r="AZC173" s="31"/>
      <c r="AZD173" s="31"/>
      <c r="AZE173" s="31"/>
      <c r="AZF173" s="31"/>
      <c r="AZG173" s="31"/>
      <c r="AZH173" s="31"/>
      <c r="AZI173" s="31"/>
      <c r="AZJ173" s="31"/>
      <c r="AZK173" s="31"/>
      <c r="AZL173" s="31"/>
      <c r="AZM173" s="31"/>
      <c r="AZN173" s="31"/>
      <c r="AZO173" s="31"/>
      <c r="AZP173" s="31"/>
      <c r="AZQ173" s="31"/>
      <c r="AZR173" s="31"/>
      <c r="AZS173" s="31"/>
      <c r="AZT173" s="31"/>
      <c r="AZU173" s="31"/>
      <c r="AZV173" s="31"/>
      <c r="AZW173" s="31"/>
      <c r="AZX173" s="31"/>
      <c r="AZY173" s="31"/>
      <c r="AZZ173" s="31"/>
      <c r="BAA173" s="31"/>
      <c r="BAB173" s="31"/>
      <c r="BAC173" s="31"/>
      <c r="BAD173" s="31"/>
      <c r="BAE173" s="31"/>
      <c r="BAF173" s="31"/>
      <c r="BAG173" s="31"/>
      <c r="BAH173" s="31"/>
      <c r="BAI173" s="31"/>
      <c r="BAJ173" s="31"/>
      <c r="BAK173" s="31"/>
      <c r="BAL173" s="31"/>
      <c r="BAM173" s="31"/>
      <c r="BAN173" s="31"/>
      <c r="BAO173" s="31"/>
      <c r="BAP173" s="31"/>
      <c r="BAQ173" s="31"/>
      <c r="BAR173" s="31"/>
      <c r="BAS173" s="31"/>
      <c r="BAT173" s="31"/>
      <c r="BAU173" s="31"/>
      <c r="BAV173" s="31"/>
      <c r="BAW173" s="31"/>
      <c r="BAX173" s="31"/>
      <c r="BAY173" s="31"/>
      <c r="BAZ173" s="31"/>
      <c r="BBA173" s="31"/>
      <c r="BBB173" s="31"/>
      <c r="BBC173" s="31"/>
      <c r="BBD173" s="31"/>
      <c r="BBE173" s="31"/>
      <c r="BBF173" s="31"/>
      <c r="BBG173" s="31"/>
      <c r="BBH173" s="31"/>
      <c r="BBI173" s="31"/>
      <c r="BBJ173" s="31"/>
      <c r="BBK173" s="31"/>
      <c r="BBL173" s="31"/>
      <c r="BBM173" s="31"/>
      <c r="BBN173" s="31"/>
      <c r="BBO173" s="31"/>
      <c r="BBP173" s="31"/>
      <c r="BBQ173" s="31"/>
      <c r="BBR173" s="31"/>
      <c r="BBS173" s="31"/>
      <c r="BBT173" s="31"/>
      <c r="BBU173" s="31"/>
      <c r="BBV173" s="31"/>
      <c r="BBW173" s="31"/>
      <c r="BBX173" s="31"/>
      <c r="BBY173" s="31"/>
      <c r="BBZ173" s="31"/>
      <c r="BCA173" s="31"/>
      <c r="BCB173" s="31"/>
      <c r="BCC173" s="31"/>
      <c r="BCD173" s="31"/>
      <c r="BCE173" s="31"/>
      <c r="BCF173" s="31"/>
      <c r="BCG173" s="31"/>
      <c r="BCH173" s="31"/>
      <c r="BCI173" s="31"/>
      <c r="BCJ173" s="31"/>
      <c r="BCK173" s="31"/>
      <c r="BCL173" s="31"/>
      <c r="BCM173" s="31"/>
      <c r="BCN173" s="31"/>
      <c r="BCO173" s="31"/>
      <c r="BCP173" s="31"/>
      <c r="BCQ173" s="31"/>
      <c r="BCR173" s="31"/>
      <c r="BCS173" s="31"/>
      <c r="BCT173" s="31"/>
      <c r="BCU173" s="31"/>
      <c r="BCV173" s="31"/>
      <c r="BCW173" s="31"/>
      <c r="BCX173" s="31"/>
      <c r="BCY173" s="31"/>
      <c r="BCZ173" s="31"/>
      <c r="BDA173" s="31"/>
      <c r="BDB173" s="31"/>
      <c r="BDC173" s="31"/>
      <c r="BDD173" s="31"/>
      <c r="BDE173" s="31"/>
      <c r="BDF173" s="31"/>
      <c r="BDG173" s="31"/>
      <c r="BDH173" s="31"/>
      <c r="BDI173" s="31"/>
      <c r="BDJ173" s="31"/>
      <c r="BDK173" s="31"/>
      <c r="BDL173" s="31"/>
      <c r="BDM173" s="31"/>
      <c r="BDN173" s="31"/>
      <c r="BDO173" s="31"/>
      <c r="BDP173" s="31"/>
      <c r="BDQ173" s="31"/>
      <c r="BDR173" s="31"/>
      <c r="BDS173" s="31"/>
      <c r="BDT173" s="31"/>
      <c r="BDU173" s="31"/>
      <c r="BDV173" s="31"/>
      <c r="BDW173" s="31"/>
      <c r="BDX173" s="31"/>
      <c r="BDY173" s="31"/>
      <c r="BDZ173" s="31"/>
      <c r="BEA173" s="31"/>
      <c r="BEB173" s="31"/>
      <c r="BEC173" s="31"/>
      <c r="BED173" s="31"/>
      <c r="BEE173" s="31"/>
      <c r="BEF173" s="31"/>
      <c r="BEG173" s="31"/>
      <c r="BEH173" s="31"/>
      <c r="BEI173" s="31"/>
      <c r="BEJ173" s="31"/>
      <c r="BEK173" s="31"/>
      <c r="BEL173" s="31"/>
      <c r="BEM173" s="31"/>
      <c r="BEN173" s="31"/>
      <c r="BEO173" s="31"/>
      <c r="BEP173" s="31"/>
      <c r="BEQ173" s="31"/>
      <c r="BER173" s="31"/>
      <c r="BES173" s="31"/>
      <c r="BET173" s="31"/>
      <c r="BEU173" s="31"/>
      <c r="BEV173" s="31"/>
      <c r="BEW173" s="31"/>
      <c r="BEX173" s="31"/>
      <c r="BEY173" s="31"/>
      <c r="BEZ173" s="31"/>
      <c r="BFA173" s="31"/>
      <c r="BFB173" s="31"/>
      <c r="BFC173" s="31"/>
      <c r="BFD173" s="31"/>
      <c r="BFE173" s="31"/>
      <c r="BFF173" s="31"/>
      <c r="BFG173" s="31"/>
      <c r="BFH173" s="31"/>
      <c r="BFI173" s="31"/>
      <c r="BFJ173" s="31"/>
      <c r="BFK173" s="31"/>
      <c r="BFL173" s="31"/>
      <c r="BFM173" s="31"/>
      <c r="BFN173" s="31"/>
      <c r="BFO173" s="31"/>
      <c r="BFP173" s="31"/>
      <c r="BFQ173" s="31"/>
      <c r="BFR173" s="31"/>
      <c r="BFS173" s="31"/>
      <c r="BFT173" s="31"/>
      <c r="BFU173" s="31"/>
      <c r="BFV173" s="31"/>
      <c r="BFW173" s="31"/>
      <c r="BFX173" s="31"/>
      <c r="BFY173" s="31"/>
      <c r="BFZ173" s="31"/>
      <c r="BGA173" s="31"/>
      <c r="BGB173" s="31"/>
      <c r="BGC173" s="31"/>
      <c r="BGD173" s="31"/>
      <c r="BGE173" s="31"/>
      <c r="BGF173" s="31"/>
      <c r="BGG173" s="31"/>
      <c r="BGH173" s="31"/>
      <c r="BGI173" s="31"/>
      <c r="BGJ173" s="31"/>
      <c r="BGK173" s="31"/>
      <c r="BGL173" s="31"/>
      <c r="BGM173" s="31"/>
      <c r="BGN173" s="31"/>
      <c r="BGO173" s="31"/>
      <c r="BGP173" s="31"/>
      <c r="BGQ173" s="31"/>
      <c r="BGR173" s="31"/>
      <c r="BGS173" s="31"/>
      <c r="BGT173" s="31"/>
      <c r="BGU173" s="31"/>
      <c r="BGV173" s="31"/>
      <c r="BGW173" s="31"/>
      <c r="BGX173" s="31"/>
      <c r="BGY173" s="31"/>
      <c r="BGZ173" s="31"/>
      <c r="BHA173" s="31"/>
      <c r="BHB173" s="31"/>
      <c r="BHC173" s="31"/>
      <c r="BHD173" s="31"/>
      <c r="BHE173" s="31"/>
      <c r="BHF173" s="31"/>
      <c r="BHG173" s="31"/>
      <c r="BHH173" s="31"/>
      <c r="BHI173" s="31"/>
      <c r="BHJ173" s="31"/>
      <c r="BHK173" s="31"/>
      <c r="BHL173" s="31"/>
      <c r="BHM173" s="31"/>
      <c r="BHN173" s="31"/>
      <c r="BHO173" s="31"/>
      <c r="BHP173" s="31"/>
      <c r="BHQ173" s="31"/>
      <c r="BHR173" s="31"/>
      <c r="BHS173" s="31"/>
      <c r="BHT173" s="31"/>
      <c r="BHU173" s="31"/>
      <c r="BHV173" s="31"/>
      <c r="BHW173" s="31"/>
      <c r="BHX173" s="31"/>
      <c r="BHY173" s="31"/>
      <c r="BHZ173" s="31"/>
      <c r="BIA173" s="31"/>
      <c r="BIB173" s="31"/>
      <c r="BIC173" s="31"/>
      <c r="BID173" s="31"/>
      <c r="BIE173" s="31"/>
      <c r="BIF173" s="31"/>
      <c r="BIG173" s="31"/>
      <c r="BIH173" s="31"/>
      <c r="BII173" s="31"/>
      <c r="BIJ173" s="31"/>
      <c r="BIK173" s="31"/>
      <c r="BIL173" s="31"/>
      <c r="BIM173" s="31"/>
      <c r="BIN173" s="31"/>
      <c r="BIO173" s="31"/>
      <c r="BIP173" s="31"/>
      <c r="BIQ173" s="31"/>
      <c r="BIR173" s="31"/>
      <c r="BIS173" s="31"/>
      <c r="BIT173" s="31"/>
      <c r="BIU173" s="31"/>
      <c r="BIV173" s="31"/>
      <c r="BIW173" s="31"/>
      <c r="BIX173" s="31"/>
      <c r="BIY173" s="31"/>
      <c r="BIZ173" s="31"/>
      <c r="BJA173" s="31"/>
      <c r="BJB173" s="31"/>
      <c r="BJC173" s="31"/>
      <c r="BJD173" s="31"/>
      <c r="BJE173" s="31"/>
      <c r="BJF173" s="31"/>
      <c r="BJG173" s="31"/>
      <c r="BJH173" s="31"/>
      <c r="BJI173" s="31"/>
      <c r="BJJ173" s="31"/>
      <c r="BJK173" s="31"/>
      <c r="BJL173" s="31"/>
      <c r="BJM173" s="31"/>
      <c r="BJN173" s="31"/>
      <c r="BJO173" s="31"/>
      <c r="BJP173" s="31"/>
      <c r="BJQ173" s="31"/>
      <c r="BJR173" s="31"/>
      <c r="BJS173" s="31"/>
      <c r="BJT173" s="31"/>
      <c r="BJU173" s="31"/>
      <c r="BJV173" s="31"/>
      <c r="BJW173" s="31"/>
      <c r="BJX173" s="31"/>
      <c r="BJY173" s="31"/>
      <c r="BJZ173" s="31"/>
      <c r="BKA173" s="31"/>
      <c r="BKB173" s="31"/>
      <c r="BKC173" s="31"/>
      <c r="BKD173" s="31"/>
      <c r="BKE173" s="31"/>
      <c r="BKF173" s="31"/>
      <c r="BKG173" s="31"/>
      <c r="BKH173" s="31"/>
      <c r="BKI173" s="31"/>
      <c r="BKJ173" s="31"/>
      <c r="BKK173" s="31"/>
      <c r="BKL173" s="31"/>
      <c r="BKM173" s="31"/>
      <c r="BKN173" s="31"/>
      <c r="BKO173" s="31"/>
      <c r="BKP173" s="31"/>
      <c r="BKQ173" s="31"/>
      <c r="BKR173" s="31"/>
      <c r="BKS173" s="31"/>
      <c r="BKT173" s="31"/>
      <c r="BKU173" s="31"/>
      <c r="BKV173" s="31"/>
      <c r="BKW173" s="31"/>
      <c r="BKX173" s="31"/>
      <c r="BKY173" s="31"/>
      <c r="BKZ173" s="31"/>
      <c r="BLA173" s="31"/>
      <c r="BLB173" s="31"/>
      <c r="BLC173" s="31"/>
      <c r="BLD173" s="31"/>
      <c r="BLE173" s="31"/>
      <c r="BLF173" s="31"/>
      <c r="BLG173" s="31"/>
      <c r="BLH173" s="31"/>
      <c r="BLI173" s="31"/>
      <c r="BLJ173" s="31"/>
      <c r="BLK173" s="31"/>
      <c r="BLL173" s="31"/>
      <c r="BLM173" s="31"/>
      <c r="BLN173" s="31"/>
      <c r="BLO173" s="31"/>
      <c r="BLP173" s="31"/>
      <c r="BLQ173" s="31"/>
      <c r="BLR173" s="31"/>
      <c r="BLS173" s="31"/>
      <c r="BLT173" s="31"/>
      <c r="BLU173" s="31"/>
      <c r="BLV173" s="31"/>
      <c r="BLW173" s="31"/>
      <c r="BLX173" s="31"/>
      <c r="BLY173" s="31"/>
      <c r="BLZ173" s="31"/>
      <c r="BMA173" s="31"/>
      <c r="BMB173" s="31"/>
      <c r="BMC173" s="31"/>
      <c r="BMD173" s="31"/>
      <c r="BME173" s="31"/>
      <c r="BMF173" s="31"/>
      <c r="BMG173" s="31"/>
      <c r="BMH173" s="31"/>
      <c r="BMI173" s="31"/>
      <c r="BMJ173" s="31"/>
      <c r="BMK173" s="31"/>
      <c r="BML173" s="31"/>
      <c r="BMM173" s="31"/>
      <c r="BMN173" s="31"/>
      <c r="BMO173" s="31"/>
      <c r="BMP173" s="31"/>
      <c r="BMQ173" s="31"/>
      <c r="BMR173" s="31"/>
      <c r="BMS173" s="31"/>
      <c r="BMT173" s="31"/>
      <c r="BMU173" s="31"/>
      <c r="BMV173" s="31"/>
      <c r="BMW173" s="31"/>
      <c r="BMX173" s="31"/>
      <c r="BMY173" s="31"/>
      <c r="BMZ173" s="31"/>
      <c r="BNA173" s="31"/>
      <c r="BNB173" s="31"/>
      <c r="BNC173" s="31"/>
      <c r="BND173" s="31"/>
      <c r="BNE173" s="31"/>
      <c r="BNF173" s="31"/>
      <c r="BNG173" s="31"/>
      <c r="BNH173" s="31"/>
      <c r="BNI173" s="31"/>
      <c r="BNJ173" s="31"/>
      <c r="BNK173" s="31"/>
      <c r="BNL173" s="31"/>
      <c r="BNM173" s="31"/>
      <c r="BNN173" s="31"/>
      <c r="BNO173" s="31"/>
      <c r="BNP173" s="31"/>
      <c r="BNQ173" s="31"/>
      <c r="BNR173" s="31"/>
      <c r="BNS173" s="31"/>
      <c r="BNT173" s="31"/>
      <c r="BNU173" s="31"/>
      <c r="BNV173" s="31"/>
      <c r="BNW173" s="31"/>
      <c r="BNX173" s="31"/>
      <c r="BNY173" s="31"/>
      <c r="BNZ173" s="31"/>
      <c r="BOA173" s="31"/>
      <c r="BOB173" s="31"/>
      <c r="BOC173" s="31"/>
      <c r="BOD173" s="31"/>
      <c r="BOE173" s="31"/>
      <c r="BOF173" s="31"/>
      <c r="BOG173" s="31"/>
      <c r="BOH173" s="31"/>
      <c r="BOI173" s="31"/>
      <c r="BOJ173" s="31"/>
      <c r="BOK173" s="31"/>
      <c r="BOL173" s="31"/>
      <c r="BOM173" s="31"/>
      <c r="BON173" s="31"/>
      <c r="BOO173" s="31"/>
      <c r="BOP173" s="31"/>
      <c r="BOQ173" s="31"/>
      <c r="BOR173" s="31"/>
      <c r="BOS173" s="31"/>
      <c r="BOT173" s="31"/>
      <c r="BOU173" s="31"/>
      <c r="BOV173" s="31"/>
      <c r="BOW173" s="31"/>
      <c r="BOX173" s="31"/>
      <c r="BOY173" s="31"/>
      <c r="BOZ173" s="31"/>
      <c r="BPA173" s="31"/>
      <c r="BPB173" s="31"/>
      <c r="BPC173" s="31"/>
      <c r="BPD173" s="31"/>
      <c r="BPE173" s="31"/>
      <c r="BPF173" s="31"/>
      <c r="BPG173" s="31"/>
      <c r="BPH173" s="31"/>
      <c r="BPI173" s="31"/>
      <c r="BPJ173" s="31"/>
      <c r="BPK173" s="31"/>
      <c r="BPL173" s="31"/>
      <c r="BPM173" s="31"/>
      <c r="BPN173" s="31"/>
      <c r="BPO173" s="31"/>
      <c r="BPP173" s="31"/>
      <c r="BPQ173" s="31"/>
      <c r="BPR173" s="31"/>
      <c r="BPS173" s="31"/>
      <c r="BPT173" s="31"/>
      <c r="BPU173" s="31"/>
      <c r="BPV173" s="31"/>
      <c r="BPW173" s="31"/>
      <c r="BPX173" s="31"/>
      <c r="BPY173" s="31"/>
      <c r="BPZ173" s="31"/>
      <c r="BQA173" s="31"/>
      <c r="BQB173" s="31"/>
      <c r="BQC173" s="31"/>
      <c r="BQD173" s="31"/>
      <c r="BQE173" s="31"/>
      <c r="BQF173" s="31"/>
      <c r="BQG173" s="31"/>
      <c r="BQH173" s="31"/>
      <c r="BQI173" s="31"/>
      <c r="BQJ173" s="31"/>
      <c r="BQK173" s="31"/>
      <c r="BQL173" s="31"/>
      <c r="BQM173" s="31"/>
      <c r="BQN173" s="31"/>
      <c r="BQO173" s="31"/>
      <c r="BQP173" s="31"/>
      <c r="BQQ173" s="31"/>
      <c r="BQR173" s="31"/>
      <c r="BQS173" s="31"/>
      <c r="BQT173" s="31"/>
      <c r="BQU173" s="31"/>
      <c r="BQV173" s="31"/>
      <c r="BQW173" s="31"/>
      <c r="BQX173" s="31"/>
      <c r="BQY173" s="31"/>
      <c r="BQZ173" s="31"/>
      <c r="BRA173" s="31"/>
      <c r="BRB173" s="31"/>
      <c r="BRC173" s="31"/>
      <c r="BRD173" s="31"/>
      <c r="BRE173" s="31"/>
      <c r="BRF173" s="31"/>
      <c r="BRG173" s="31"/>
      <c r="BRH173" s="31"/>
      <c r="BRI173" s="31"/>
      <c r="BRJ173" s="31"/>
      <c r="BRK173" s="31"/>
      <c r="BRL173" s="31"/>
      <c r="BRM173" s="31"/>
      <c r="BRN173" s="31"/>
      <c r="BRO173" s="31"/>
      <c r="BRP173" s="31"/>
      <c r="BRQ173" s="31"/>
      <c r="BRR173" s="31"/>
      <c r="BRS173" s="31"/>
      <c r="BRT173" s="31"/>
      <c r="BRU173" s="31"/>
      <c r="BRV173" s="31"/>
      <c r="BRW173" s="31"/>
      <c r="BRX173" s="31"/>
      <c r="BRY173" s="31"/>
      <c r="BRZ173" s="31"/>
      <c r="BSA173" s="31"/>
      <c r="BSB173" s="31"/>
      <c r="BSC173" s="31"/>
      <c r="BSD173" s="31"/>
      <c r="BSE173" s="31"/>
      <c r="BSF173" s="31"/>
      <c r="BSG173" s="31"/>
      <c r="BSH173" s="31"/>
      <c r="BSI173" s="31"/>
      <c r="BSJ173" s="31"/>
      <c r="BSK173" s="31"/>
      <c r="BSL173" s="31"/>
      <c r="BSM173" s="31"/>
      <c r="BSN173" s="31"/>
      <c r="BSO173" s="31"/>
      <c r="BSP173" s="31"/>
      <c r="BSQ173" s="31"/>
      <c r="BSR173" s="31"/>
      <c r="BSS173" s="31"/>
      <c r="BST173" s="31"/>
      <c r="BSU173" s="31"/>
      <c r="BSV173" s="31"/>
      <c r="BSW173" s="31"/>
      <c r="BSX173" s="31"/>
      <c r="BSY173" s="31"/>
      <c r="BSZ173" s="31"/>
      <c r="BTA173" s="31"/>
      <c r="BTB173" s="31"/>
      <c r="BTC173" s="31"/>
      <c r="BTD173" s="31"/>
      <c r="BTE173" s="31"/>
      <c r="BTF173" s="31"/>
      <c r="BTG173" s="31"/>
      <c r="BTH173" s="31"/>
      <c r="BTI173" s="31"/>
      <c r="BTJ173" s="31"/>
      <c r="BTK173" s="31"/>
      <c r="BTL173" s="31"/>
      <c r="BTM173" s="31"/>
      <c r="BTN173" s="31"/>
      <c r="BTO173" s="31"/>
      <c r="BTP173" s="31"/>
      <c r="BTQ173" s="31"/>
      <c r="BTR173" s="31"/>
      <c r="BTS173" s="31"/>
      <c r="BTT173" s="31"/>
      <c r="BTU173" s="31"/>
      <c r="BTV173" s="31"/>
      <c r="BTW173" s="31"/>
      <c r="BTX173" s="31"/>
      <c r="BTY173" s="31"/>
      <c r="BTZ173" s="31"/>
      <c r="BUA173" s="31"/>
      <c r="BUB173" s="31"/>
      <c r="BUC173" s="31"/>
      <c r="BUD173" s="31"/>
      <c r="BUE173" s="31"/>
      <c r="BUF173" s="31"/>
      <c r="BUG173" s="31"/>
      <c r="BUH173" s="31"/>
      <c r="BUI173" s="31"/>
      <c r="BUJ173" s="31"/>
      <c r="BUK173" s="31"/>
      <c r="BUL173" s="31"/>
      <c r="BUM173" s="31"/>
      <c r="BUN173" s="31"/>
      <c r="BUO173" s="31"/>
      <c r="BUP173" s="31"/>
      <c r="BUQ173" s="31"/>
      <c r="BUR173" s="31"/>
      <c r="BUS173" s="31"/>
      <c r="BUT173" s="31"/>
      <c r="BUU173" s="31"/>
      <c r="BUV173" s="31"/>
      <c r="BUW173" s="31"/>
      <c r="BUX173" s="31"/>
      <c r="BUY173" s="31"/>
      <c r="BUZ173" s="31"/>
      <c r="BVA173" s="31"/>
      <c r="BVB173" s="31"/>
      <c r="BVC173" s="31"/>
      <c r="BVD173" s="31"/>
      <c r="BVE173" s="31"/>
      <c r="BVF173" s="31"/>
      <c r="BVG173" s="31"/>
      <c r="BVH173" s="31"/>
      <c r="BVI173" s="31"/>
      <c r="BVJ173" s="31"/>
      <c r="BVK173" s="31"/>
      <c r="BVL173" s="31"/>
      <c r="BVM173" s="31"/>
      <c r="BVN173" s="31"/>
      <c r="BVO173" s="31"/>
      <c r="BVP173" s="31"/>
      <c r="BVQ173" s="31"/>
      <c r="BVR173" s="31"/>
      <c r="BVS173" s="31"/>
      <c r="BVT173" s="31"/>
      <c r="BVU173" s="31"/>
      <c r="BVV173" s="31"/>
      <c r="BVW173" s="31"/>
      <c r="BVX173" s="31"/>
      <c r="BVY173" s="31"/>
      <c r="BVZ173" s="31"/>
      <c r="BWA173" s="31"/>
      <c r="BWB173" s="31"/>
      <c r="BWC173" s="31"/>
      <c r="BWD173" s="31"/>
      <c r="BWE173" s="31"/>
      <c r="BWF173" s="31"/>
      <c r="BWG173" s="31"/>
      <c r="BWH173" s="31"/>
      <c r="BWI173" s="31"/>
      <c r="BWJ173" s="31"/>
      <c r="BWK173" s="31"/>
      <c r="BWL173" s="31"/>
      <c r="BWM173" s="31"/>
      <c r="BWN173" s="31"/>
      <c r="BWO173" s="31"/>
      <c r="BWP173" s="31"/>
      <c r="BWQ173" s="31"/>
      <c r="BWR173" s="31"/>
      <c r="BWS173" s="31"/>
      <c r="BWT173" s="31"/>
      <c r="BWU173" s="31"/>
      <c r="BWV173" s="31"/>
      <c r="BWW173" s="31"/>
      <c r="BWX173" s="31"/>
      <c r="BWY173" s="31"/>
      <c r="BWZ173" s="31"/>
      <c r="BXA173" s="31"/>
      <c r="BXB173" s="31"/>
      <c r="BXC173" s="31"/>
      <c r="BXD173" s="31"/>
      <c r="BXE173" s="31"/>
      <c r="BXF173" s="31"/>
      <c r="BXG173" s="31"/>
      <c r="BXH173" s="31"/>
      <c r="BXI173" s="31"/>
      <c r="BXJ173" s="31"/>
      <c r="BXK173" s="31"/>
      <c r="BXL173" s="31"/>
      <c r="BXM173" s="31"/>
      <c r="BXN173" s="31"/>
      <c r="BXO173" s="31"/>
      <c r="BXP173" s="31"/>
      <c r="BXQ173" s="31"/>
      <c r="BXR173" s="31"/>
      <c r="BXS173" s="31"/>
      <c r="BXT173" s="31"/>
      <c r="BXU173" s="31"/>
      <c r="BXV173" s="31"/>
      <c r="BXW173" s="31"/>
      <c r="BXX173" s="31"/>
      <c r="BXY173" s="31"/>
      <c r="BXZ173" s="31"/>
      <c r="BYA173" s="31"/>
      <c r="BYB173" s="31"/>
      <c r="BYC173" s="31"/>
      <c r="BYD173" s="31"/>
      <c r="BYE173" s="31"/>
      <c r="BYF173" s="31"/>
      <c r="BYG173" s="31"/>
      <c r="BYH173" s="31"/>
      <c r="BYI173" s="31"/>
      <c r="BYJ173" s="31"/>
      <c r="BYK173" s="31"/>
      <c r="BYL173" s="31"/>
      <c r="BYM173" s="31"/>
      <c r="BYN173" s="31"/>
      <c r="BYO173" s="31"/>
      <c r="BYP173" s="31"/>
      <c r="BYQ173" s="31"/>
      <c r="BYR173" s="31"/>
      <c r="BYS173" s="31"/>
      <c r="BYT173" s="31"/>
      <c r="BYU173" s="31"/>
      <c r="BYV173" s="31"/>
      <c r="BYW173" s="31"/>
      <c r="BYX173" s="31"/>
      <c r="BYY173" s="31"/>
      <c r="BYZ173" s="31"/>
      <c r="BZA173" s="31"/>
      <c r="BZB173" s="31"/>
      <c r="BZC173" s="31"/>
      <c r="BZD173" s="31"/>
      <c r="BZE173" s="31"/>
      <c r="BZF173" s="31"/>
      <c r="BZG173" s="31"/>
      <c r="BZH173" s="31"/>
      <c r="BZI173" s="31"/>
      <c r="BZJ173" s="31"/>
      <c r="BZK173" s="31"/>
      <c r="BZL173" s="31"/>
      <c r="BZM173" s="31"/>
      <c r="BZN173" s="31"/>
      <c r="BZO173" s="31"/>
      <c r="BZP173" s="31"/>
      <c r="BZQ173" s="31"/>
      <c r="BZR173" s="31"/>
      <c r="BZS173" s="31"/>
      <c r="BZT173" s="31"/>
      <c r="BZU173" s="31"/>
      <c r="BZV173" s="31"/>
      <c r="BZW173" s="31"/>
      <c r="BZX173" s="31"/>
      <c r="BZY173" s="31"/>
      <c r="BZZ173" s="31"/>
      <c r="CAA173" s="31"/>
      <c r="CAB173" s="31"/>
      <c r="CAC173" s="31"/>
      <c r="CAD173" s="31"/>
      <c r="CAE173" s="31"/>
      <c r="CAF173" s="31"/>
      <c r="CAG173" s="31"/>
      <c r="CAH173" s="31"/>
      <c r="CAI173" s="31"/>
      <c r="CAJ173" s="31"/>
      <c r="CAK173" s="31"/>
      <c r="CAL173" s="31"/>
      <c r="CAM173" s="31"/>
      <c r="CAN173" s="31"/>
      <c r="CAO173" s="31"/>
      <c r="CAP173" s="31"/>
      <c r="CAQ173" s="31"/>
      <c r="CAR173" s="31"/>
      <c r="CAS173" s="31"/>
      <c r="CAT173" s="31"/>
      <c r="CAU173" s="31"/>
      <c r="CAV173" s="31"/>
      <c r="CAW173" s="31"/>
      <c r="CAX173" s="31"/>
      <c r="CAY173" s="31"/>
      <c r="CAZ173" s="31"/>
      <c r="CBA173" s="31"/>
      <c r="CBB173" s="31"/>
      <c r="CBC173" s="31"/>
      <c r="CBD173" s="31"/>
      <c r="CBE173" s="31"/>
      <c r="CBF173" s="31"/>
      <c r="CBG173" s="31"/>
      <c r="CBH173" s="31"/>
      <c r="CBI173" s="31"/>
      <c r="CBJ173" s="31"/>
      <c r="CBK173" s="31"/>
      <c r="CBL173" s="31"/>
      <c r="CBM173" s="31"/>
      <c r="CBN173" s="31"/>
      <c r="CBO173" s="31"/>
      <c r="CBP173" s="31"/>
      <c r="CBQ173" s="31"/>
      <c r="CBR173" s="31"/>
      <c r="CBS173" s="31"/>
      <c r="CBT173" s="31"/>
      <c r="CBU173" s="31"/>
      <c r="CBV173" s="31"/>
      <c r="CBW173" s="31"/>
      <c r="CBX173" s="31"/>
      <c r="CBY173" s="31"/>
      <c r="CBZ173" s="31"/>
      <c r="CCA173" s="31"/>
      <c r="CCB173" s="31"/>
      <c r="CCC173" s="31"/>
      <c r="CCD173" s="31"/>
      <c r="CCE173" s="31"/>
      <c r="CCF173" s="31"/>
      <c r="CCG173" s="31"/>
      <c r="CCH173" s="31"/>
      <c r="CCI173" s="31"/>
      <c r="CCJ173" s="31"/>
      <c r="CCK173" s="31"/>
      <c r="CCL173" s="31"/>
      <c r="CCM173" s="31"/>
      <c r="CCN173" s="31"/>
      <c r="CCO173" s="31"/>
      <c r="CCP173" s="31"/>
      <c r="CCQ173" s="31"/>
      <c r="CCR173" s="31"/>
      <c r="CCS173" s="31"/>
      <c r="CCT173" s="31"/>
      <c r="CCU173" s="31"/>
      <c r="CCV173" s="31"/>
      <c r="CCW173" s="31"/>
      <c r="CCX173" s="31"/>
      <c r="CCY173" s="31"/>
      <c r="CCZ173" s="31"/>
      <c r="CDA173" s="31"/>
      <c r="CDB173" s="31"/>
      <c r="CDC173" s="31"/>
      <c r="CDD173" s="31"/>
      <c r="CDE173" s="31"/>
      <c r="CDF173" s="31"/>
      <c r="CDG173" s="31"/>
      <c r="CDH173" s="31"/>
      <c r="CDI173" s="31"/>
      <c r="CDJ173" s="31"/>
      <c r="CDK173" s="31"/>
      <c r="CDL173" s="31"/>
      <c r="CDM173" s="31"/>
      <c r="CDN173" s="31"/>
      <c r="CDO173" s="31"/>
      <c r="CDP173" s="31"/>
      <c r="CDQ173" s="31"/>
      <c r="CDR173" s="31"/>
      <c r="CDS173" s="31"/>
      <c r="CDT173" s="31"/>
      <c r="CDU173" s="31"/>
      <c r="CDV173" s="31"/>
      <c r="CDW173" s="31"/>
      <c r="CDX173" s="31"/>
      <c r="CDY173" s="31"/>
      <c r="CDZ173" s="31"/>
      <c r="CEA173" s="31"/>
      <c r="CEB173" s="31"/>
      <c r="CEC173" s="31"/>
      <c r="CED173" s="31"/>
      <c r="CEE173" s="31"/>
      <c r="CEF173" s="31"/>
      <c r="CEG173" s="31"/>
      <c r="CEH173" s="31"/>
      <c r="CEI173" s="31"/>
      <c r="CEJ173" s="31"/>
      <c r="CEK173" s="31"/>
      <c r="CEL173" s="31"/>
      <c r="CEM173" s="31"/>
      <c r="CEN173" s="31"/>
      <c r="CEO173" s="31"/>
      <c r="CEP173" s="31"/>
      <c r="CEQ173" s="31"/>
      <c r="CER173" s="31"/>
      <c r="CES173" s="31"/>
      <c r="CET173" s="31"/>
      <c r="CEU173" s="31"/>
      <c r="CEV173" s="31"/>
      <c r="CEW173" s="31"/>
      <c r="CEX173" s="31"/>
      <c r="CEY173" s="31"/>
      <c r="CEZ173" s="31"/>
      <c r="CFA173" s="31"/>
      <c r="CFB173" s="31"/>
      <c r="CFC173" s="31"/>
      <c r="CFD173" s="31"/>
      <c r="CFE173" s="31"/>
      <c r="CFF173" s="31"/>
      <c r="CFG173" s="31"/>
      <c r="CFH173" s="31"/>
      <c r="CFI173" s="31"/>
      <c r="CFJ173" s="31"/>
      <c r="CFK173" s="31"/>
      <c r="CFL173" s="31"/>
      <c r="CFM173" s="31"/>
      <c r="CFN173" s="31"/>
      <c r="CFO173" s="31"/>
      <c r="CFP173" s="31"/>
      <c r="CFQ173" s="31"/>
      <c r="CFR173" s="31"/>
      <c r="CFS173" s="31"/>
      <c r="CFT173" s="31"/>
      <c r="CFU173" s="31"/>
      <c r="CFV173" s="31"/>
      <c r="CFW173" s="31"/>
      <c r="CFX173" s="31"/>
      <c r="CFY173" s="31"/>
      <c r="CFZ173" s="31"/>
      <c r="CGA173" s="31"/>
      <c r="CGB173" s="31"/>
      <c r="CGC173" s="31"/>
      <c r="CGD173" s="31"/>
      <c r="CGE173" s="31"/>
      <c r="CGF173" s="31"/>
      <c r="CGG173" s="31"/>
      <c r="CGH173" s="31"/>
      <c r="CGI173" s="31"/>
      <c r="CGJ173" s="31"/>
      <c r="CGK173" s="31"/>
      <c r="CGL173" s="31"/>
      <c r="CGM173" s="31"/>
      <c r="CGN173" s="31"/>
      <c r="CGO173" s="31"/>
      <c r="CGP173" s="31"/>
      <c r="CGQ173" s="31"/>
      <c r="CGR173" s="31"/>
      <c r="CGS173" s="31"/>
      <c r="CGT173" s="31"/>
      <c r="CGU173" s="31"/>
      <c r="CGV173" s="31"/>
      <c r="CGW173" s="31"/>
      <c r="CGX173" s="31"/>
      <c r="CGY173" s="31"/>
      <c r="CGZ173" s="31"/>
      <c r="CHA173" s="31"/>
      <c r="CHB173" s="31"/>
      <c r="CHC173" s="31"/>
      <c r="CHD173" s="31"/>
      <c r="CHE173" s="31"/>
      <c r="CHF173" s="31"/>
      <c r="CHG173" s="31"/>
      <c r="CHH173" s="31"/>
      <c r="CHI173" s="31"/>
      <c r="CHJ173" s="31"/>
      <c r="CHK173" s="31"/>
      <c r="CHL173" s="31"/>
      <c r="CHM173" s="31"/>
      <c r="CHN173" s="31"/>
      <c r="CHO173" s="31"/>
      <c r="CHP173" s="31"/>
      <c r="CHQ173" s="31"/>
      <c r="CHR173" s="31"/>
      <c r="CHS173" s="31"/>
      <c r="CHT173" s="31"/>
      <c r="CHU173" s="31"/>
      <c r="CHV173" s="31"/>
      <c r="CHW173" s="31"/>
      <c r="CHX173" s="31"/>
      <c r="CHY173" s="31"/>
      <c r="CHZ173" s="31"/>
      <c r="CIA173" s="31"/>
      <c r="CIB173" s="31"/>
      <c r="CIC173" s="31"/>
      <c r="CID173" s="31"/>
      <c r="CIE173" s="31"/>
      <c r="CIF173" s="31"/>
      <c r="CIG173" s="31"/>
      <c r="CIH173" s="31"/>
      <c r="CII173" s="31"/>
      <c r="CIJ173" s="31"/>
      <c r="CIK173" s="31"/>
      <c r="CIL173" s="31"/>
      <c r="CIM173" s="31"/>
      <c r="CIN173" s="31"/>
      <c r="CIO173" s="31"/>
      <c r="CIP173" s="31"/>
      <c r="CIQ173" s="31"/>
      <c r="CIR173" s="31"/>
      <c r="CIS173" s="31"/>
      <c r="CIT173" s="31"/>
      <c r="CIU173" s="31"/>
      <c r="CIV173" s="31"/>
      <c r="CIW173" s="31"/>
      <c r="CIX173" s="31"/>
      <c r="CIY173" s="31"/>
      <c r="CIZ173" s="31"/>
      <c r="CJA173" s="31"/>
      <c r="CJB173" s="31"/>
      <c r="CJC173" s="31"/>
      <c r="CJD173" s="31"/>
      <c r="CJE173" s="31"/>
      <c r="CJF173" s="31"/>
      <c r="CJG173" s="31"/>
      <c r="CJH173" s="31"/>
      <c r="CJI173" s="31"/>
      <c r="CJJ173" s="31"/>
      <c r="CJK173" s="31"/>
      <c r="CJL173" s="31"/>
      <c r="CJM173" s="31"/>
      <c r="CJN173" s="31"/>
      <c r="CJO173" s="31"/>
      <c r="CJP173" s="31"/>
      <c r="CJQ173" s="31"/>
      <c r="CJR173" s="31"/>
      <c r="CJS173" s="31"/>
      <c r="CJT173" s="31"/>
      <c r="CJU173" s="31"/>
      <c r="CJV173" s="31"/>
      <c r="CJW173" s="31"/>
      <c r="CJX173" s="31"/>
      <c r="CJY173" s="31"/>
      <c r="CJZ173" s="31"/>
      <c r="CKA173" s="31"/>
      <c r="CKB173" s="31"/>
      <c r="CKC173" s="31"/>
      <c r="CKD173" s="31"/>
      <c r="CKE173" s="31"/>
      <c r="CKF173" s="31"/>
      <c r="CKG173" s="31"/>
      <c r="CKH173" s="31"/>
      <c r="CKI173" s="31"/>
      <c r="CKJ173" s="31"/>
      <c r="CKK173" s="31"/>
      <c r="CKL173" s="31"/>
      <c r="CKM173" s="31"/>
      <c r="CKN173" s="31"/>
      <c r="CKO173" s="31"/>
      <c r="CKP173" s="31"/>
      <c r="CKQ173" s="31"/>
      <c r="CKR173" s="31"/>
      <c r="CKS173" s="31"/>
      <c r="CKT173" s="31"/>
      <c r="CKU173" s="31"/>
      <c r="CKV173" s="31"/>
      <c r="CKW173" s="31"/>
      <c r="CKX173" s="31"/>
      <c r="CKY173" s="31"/>
      <c r="CKZ173" s="31"/>
      <c r="CLA173" s="31"/>
      <c r="CLB173" s="31"/>
      <c r="CLC173" s="31"/>
      <c r="CLD173" s="31"/>
      <c r="CLE173" s="31"/>
      <c r="CLF173" s="31"/>
      <c r="CLG173" s="31"/>
      <c r="CLH173" s="31"/>
      <c r="CLI173" s="31"/>
      <c r="CLJ173" s="31"/>
      <c r="CLK173" s="31"/>
      <c r="CLL173" s="31"/>
      <c r="CLM173" s="31"/>
      <c r="CLN173" s="31"/>
      <c r="CLO173" s="31"/>
      <c r="CLP173" s="31"/>
      <c r="CLQ173" s="31"/>
      <c r="CLR173" s="31"/>
      <c r="CLS173" s="31"/>
      <c r="CLT173" s="31"/>
      <c r="CLU173" s="31"/>
      <c r="CLV173" s="31"/>
      <c r="CLW173" s="31"/>
      <c r="CLX173" s="31"/>
      <c r="CLY173" s="31"/>
      <c r="CLZ173" s="31"/>
      <c r="CMA173" s="31"/>
      <c r="CMB173" s="31"/>
      <c r="CMC173" s="31"/>
      <c r="CMD173" s="31"/>
      <c r="CME173" s="31"/>
      <c r="CMF173" s="31"/>
      <c r="CMG173" s="31"/>
      <c r="CMH173" s="31"/>
      <c r="CMI173" s="31"/>
      <c r="CMJ173" s="31"/>
      <c r="CMK173" s="31"/>
      <c r="CML173" s="31"/>
      <c r="CMM173" s="31"/>
      <c r="CMN173" s="31"/>
      <c r="CMO173" s="31"/>
      <c r="CMP173" s="31"/>
      <c r="CMQ173" s="31"/>
      <c r="CMR173" s="31"/>
      <c r="CMS173" s="31"/>
      <c r="CMT173" s="31"/>
      <c r="CMU173" s="31"/>
      <c r="CMV173" s="31"/>
      <c r="CMW173" s="31"/>
      <c r="CMX173" s="31"/>
      <c r="CMY173" s="31"/>
      <c r="CMZ173" s="31"/>
      <c r="CNA173" s="31"/>
      <c r="CNB173" s="31"/>
      <c r="CNC173" s="31"/>
      <c r="CND173" s="31"/>
      <c r="CNE173" s="31"/>
      <c r="CNF173" s="31"/>
      <c r="CNG173" s="31"/>
      <c r="CNH173" s="31"/>
      <c r="CNI173" s="31"/>
      <c r="CNJ173" s="31"/>
      <c r="CNK173" s="31"/>
      <c r="CNL173" s="31"/>
      <c r="CNM173" s="31"/>
      <c r="CNN173" s="31"/>
      <c r="CNO173" s="31"/>
      <c r="CNP173" s="31"/>
      <c r="CNQ173" s="31"/>
      <c r="CNR173" s="31"/>
      <c r="CNS173" s="31"/>
      <c r="CNT173" s="31"/>
      <c r="CNU173" s="31"/>
      <c r="CNV173" s="31"/>
      <c r="CNW173" s="31"/>
      <c r="CNX173" s="31"/>
      <c r="CNY173" s="31"/>
      <c r="CNZ173" s="31"/>
      <c r="COA173" s="31"/>
      <c r="COB173" s="31"/>
      <c r="COC173" s="31"/>
      <c r="COD173" s="31"/>
      <c r="COE173" s="31"/>
      <c r="COF173" s="31"/>
      <c r="COG173" s="31"/>
      <c r="COH173" s="31"/>
      <c r="COI173" s="31"/>
      <c r="COJ173" s="31"/>
      <c r="COK173" s="31"/>
      <c r="COL173" s="31"/>
      <c r="COM173" s="31"/>
      <c r="CON173" s="31"/>
      <c r="COO173" s="31"/>
      <c r="COP173" s="31"/>
      <c r="COQ173" s="31"/>
      <c r="COR173" s="31"/>
      <c r="COS173" s="31"/>
      <c r="COT173" s="31"/>
      <c r="COU173" s="31"/>
      <c r="COV173" s="31"/>
      <c r="COW173" s="31"/>
      <c r="COX173" s="31"/>
      <c r="COY173" s="31"/>
      <c r="COZ173" s="31"/>
      <c r="CPA173" s="31"/>
      <c r="CPB173" s="31"/>
      <c r="CPC173" s="31"/>
      <c r="CPD173" s="31"/>
      <c r="CPE173" s="31"/>
      <c r="CPF173" s="31"/>
      <c r="CPG173" s="31"/>
      <c r="CPH173" s="31"/>
      <c r="CPI173" s="31"/>
      <c r="CPJ173" s="31"/>
      <c r="CPK173" s="31"/>
      <c r="CPL173" s="31"/>
      <c r="CPM173" s="31"/>
      <c r="CPN173" s="31"/>
      <c r="CPO173" s="31"/>
      <c r="CPP173" s="31"/>
      <c r="CPQ173" s="31"/>
      <c r="CPR173" s="31"/>
      <c r="CPS173" s="31"/>
      <c r="CPT173" s="31"/>
      <c r="CPU173" s="31"/>
      <c r="CPV173" s="31"/>
      <c r="CPW173" s="31"/>
      <c r="CPX173" s="31"/>
      <c r="CPY173" s="31"/>
      <c r="CPZ173" s="31"/>
      <c r="CQA173" s="31"/>
      <c r="CQB173" s="31"/>
      <c r="CQC173" s="31"/>
      <c r="CQD173" s="31"/>
      <c r="CQE173" s="31"/>
      <c r="CQF173" s="31"/>
      <c r="CQG173" s="31"/>
      <c r="CQH173" s="31"/>
      <c r="CQI173" s="31"/>
      <c r="CQJ173" s="31"/>
      <c r="CQK173" s="31"/>
      <c r="CQL173" s="31"/>
      <c r="CQM173" s="31"/>
      <c r="CQN173" s="31"/>
      <c r="CQO173" s="31"/>
      <c r="CQP173" s="31"/>
      <c r="CQQ173" s="31"/>
      <c r="CQR173" s="31"/>
      <c r="CQS173" s="31"/>
      <c r="CQT173" s="31"/>
      <c r="CQU173" s="31"/>
      <c r="CQV173" s="31"/>
      <c r="CQW173" s="31"/>
      <c r="CQX173" s="31"/>
      <c r="CQY173" s="31"/>
      <c r="CQZ173" s="31"/>
      <c r="CRA173" s="31"/>
      <c r="CRB173" s="31"/>
      <c r="CRC173" s="31"/>
      <c r="CRD173" s="31"/>
      <c r="CRE173" s="31"/>
      <c r="CRF173" s="31"/>
      <c r="CRG173" s="31"/>
      <c r="CRH173" s="31"/>
      <c r="CRI173" s="31"/>
      <c r="CRJ173" s="31"/>
      <c r="CRK173" s="31"/>
      <c r="CRL173" s="31"/>
      <c r="CRM173" s="31"/>
      <c r="CRN173" s="31"/>
      <c r="CRO173" s="31"/>
      <c r="CRP173" s="31"/>
      <c r="CRQ173" s="31"/>
      <c r="CRR173" s="31"/>
      <c r="CRS173" s="31"/>
      <c r="CRT173" s="31"/>
      <c r="CRU173" s="31"/>
      <c r="CRV173" s="31"/>
      <c r="CRW173" s="31"/>
      <c r="CRX173" s="31"/>
      <c r="CRY173" s="31"/>
      <c r="CRZ173" s="31"/>
      <c r="CSA173" s="31"/>
      <c r="CSB173" s="31"/>
      <c r="CSC173" s="31"/>
      <c r="CSD173" s="31"/>
      <c r="CSE173" s="31"/>
      <c r="CSF173" s="31"/>
      <c r="CSG173" s="31"/>
      <c r="CSH173" s="31"/>
      <c r="CSI173" s="31"/>
      <c r="CSJ173" s="31"/>
      <c r="CSK173" s="31"/>
      <c r="CSL173" s="31"/>
      <c r="CSM173" s="31"/>
      <c r="CSN173" s="31"/>
      <c r="CSO173" s="31"/>
      <c r="CSP173" s="31"/>
      <c r="CSQ173" s="31"/>
      <c r="CSR173" s="31"/>
      <c r="CSS173" s="31"/>
      <c r="CST173" s="31"/>
      <c r="CSU173" s="31"/>
      <c r="CSV173" s="31"/>
      <c r="CSW173" s="31"/>
      <c r="CSX173" s="31"/>
      <c r="CSY173" s="31"/>
      <c r="CSZ173" s="31"/>
      <c r="CTA173" s="31"/>
      <c r="CTB173" s="31"/>
      <c r="CTC173" s="31"/>
      <c r="CTD173" s="31"/>
      <c r="CTE173" s="31"/>
      <c r="CTF173" s="31"/>
      <c r="CTG173" s="31"/>
      <c r="CTH173" s="31"/>
      <c r="CTI173" s="31"/>
      <c r="CTJ173" s="31"/>
      <c r="CTK173" s="31"/>
      <c r="CTL173" s="31"/>
      <c r="CTM173" s="31"/>
      <c r="CTN173" s="31"/>
      <c r="CTO173" s="31"/>
      <c r="CTP173" s="31"/>
      <c r="CTQ173" s="31"/>
      <c r="CTR173" s="31"/>
      <c r="CTS173" s="31"/>
      <c r="CTT173" s="31"/>
      <c r="CTU173" s="31"/>
      <c r="CTV173" s="31"/>
      <c r="CTW173" s="31"/>
      <c r="CTX173" s="31"/>
      <c r="CTY173" s="31"/>
      <c r="CTZ173" s="31"/>
      <c r="CUA173" s="31"/>
      <c r="CUB173" s="31"/>
      <c r="CUC173" s="31"/>
      <c r="CUD173" s="31"/>
      <c r="CUE173" s="31"/>
      <c r="CUF173" s="31"/>
      <c r="CUG173" s="31"/>
      <c r="CUH173" s="31"/>
      <c r="CUI173" s="31"/>
      <c r="CUJ173" s="31"/>
      <c r="CUK173" s="31"/>
      <c r="CUL173" s="31"/>
      <c r="CUM173" s="31"/>
      <c r="CUN173" s="31"/>
      <c r="CUO173" s="31"/>
      <c r="CUP173" s="31"/>
      <c r="CUQ173" s="31"/>
      <c r="CUR173" s="31"/>
      <c r="CUS173" s="31"/>
      <c r="CUT173" s="31"/>
      <c r="CUU173" s="31"/>
      <c r="CUV173" s="31"/>
      <c r="CUW173" s="31"/>
      <c r="CUX173" s="31"/>
      <c r="CUY173" s="31"/>
      <c r="CUZ173" s="31"/>
      <c r="CVA173" s="31"/>
      <c r="CVB173" s="31"/>
      <c r="CVC173" s="31"/>
      <c r="CVD173" s="31"/>
      <c r="CVE173" s="31"/>
      <c r="CVF173" s="31"/>
      <c r="CVG173" s="31"/>
      <c r="CVH173" s="31"/>
      <c r="CVI173" s="31"/>
      <c r="CVJ173" s="31"/>
      <c r="CVK173" s="31"/>
      <c r="CVL173" s="31"/>
      <c r="CVM173" s="31"/>
      <c r="CVN173" s="31"/>
      <c r="CVO173" s="31"/>
      <c r="CVP173" s="31"/>
      <c r="CVQ173" s="31"/>
      <c r="CVR173" s="31"/>
      <c r="CVS173" s="31"/>
      <c r="CVT173" s="31"/>
      <c r="CVU173" s="31"/>
      <c r="CVV173" s="31"/>
      <c r="CVW173" s="31"/>
      <c r="CVX173" s="31"/>
      <c r="CVY173" s="31"/>
      <c r="CVZ173" s="31"/>
      <c r="CWA173" s="31"/>
      <c r="CWB173" s="31"/>
      <c r="CWC173" s="31"/>
      <c r="CWD173" s="31"/>
      <c r="CWE173" s="31"/>
      <c r="CWF173" s="31"/>
      <c r="CWG173" s="31"/>
      <c r="CWH173" s="31"/>
      <c r="CWI173" s="31"/>
      <c r="CWJ173" s="31"/>
      <c r="CWK173" s="31"/>
      <c r="CWL173" s="31"/>
      <c r="CWM173" s="31"/>
      <c r="CWN173" s="31"/>
      <c r="CWO173" s="31"/>
      <c r="CWP173" s="31"/>
      <c r="CWQ173" s="31"/>
      <c r="CWR173" s="31"/>
      <c r="CWS173" s="31"/>
      <c r="CWT173" s="31"/>
      <c r="CWU173" s="31"/>
      <c r="CWV173" s="31"/>
      <c r="CWW173" s="31"/>
      <c r="CWX173" s="31"/>
      <c r="CWY173" s="31"/>
      <c r="CWZ173" s="31"/>
      <c r="CXA173" s="31"/>
      <c r="CXB173" s="31"/>
      <c r="CXC173" s="31"/>
      <c r="CXD173" s="31"/>
      <c r="CXE173" s="31"/>
      <c r="CXF173" s="31"/>
      <c r="CXG173" s="31"/>
      <c r="CXH173" s="31"/>
      <c r="CXI173" s="31"/>
      <c r="CXJ173" s="31"/>
      <c r="CXK173" s="31"/>
      <c r="CXL173" s="31"/>
      <c r="CXM173" s="31"/>
      <c r="CXN173" s="31"/>
      <c r="CXO173" s="31"/>
      <c r="CXP173" s="31"/>
      <c r="CXQ173" s="31"/>
      <c r="CXR173" s="31"/>
      <c r="CXS173" s="31"/>
      <c r="CXT173" s="31"/>
      <c r="CXU173" s="31"/>
      <c r="CXV173" s="31"/>
      <c r="CXW173" s="31"/>
      <c r="CXX173" s="31"/>
      <c r="CXY173" s="31"/>
      <c r="CXZ173" s="31"/>
      <c r="CYA173" s="31"/>
      <c r="CYB173" s="31"/>
      <c r="CYC173" s="31"/>
      <c r="CYD173" s="31"/>
      <c r="CYE173" s="31"/>
      <c r="CYF173" s="31"/>
      <c r="CYG173" s="31"/>
      <c r="CYH173" s="31"/>
      <c r="CYI173" s="31"/>
      <c r="CYJ173" s="31"/>
      <c r="CYK173" s="31"/>
      <c r="CYL173" s="31"/>
      <c r="CYM173" s="31"/>
      <c r="CYN173" s="31"/>
      <c r="CYO173" s="31"/>
      <c r="CYP173" s="31"/>
      <c r="CYQ173" s="31"/>
      <c r="CYR173" s="31"/>
      <c r="CYS173" s="31"/>
      <c r="CYT173" s="31"/>
      <c r="CYU173" s="31"/>
      <c r="CYV173" s="31"/>
      <c r="CYW173" s="31"/>
      <c r="CYX173" s="31"/>
      <c r="CYY173" s="31"/>
      <c r="CYZ173" s="31"/>
      <c r="CZA173" s="31"/>
      <c r="CZB173" s="31"/>
      <c r="CZC173" s="31"/>
      <c r="CZD173" s="31"/>
      <c r="CZE173" s="31"/>
      <c r="CZF173" s="31"/>
      <c r="CZG173" s="31"/>
      <c r="CZH173" s="31"/>
      <c r="CZI173" s="31"/>
      <c r="CZJ173" s="31"/>
      <c r="CZK173" s="31"/>
      <c r="CZL173" s="31"/>
      <c r="CZM173" s="31"/>
      <c r="CZN173" s="31"/>
      <c r="CZO173" s="31"/>
      <c r="CZP173" s="31"/>
      <c r="CZQ173" s="31"/>
      <c r="CZR173" s="31"/>
      <c r="CZS173" s="31"/>
      <c r="CZT173" s="31"/>
      <c r="CZU173" s="31"/>
      <c r="CZV173" s="31"/>
      <c r="CZW173" s="31"/>
      <c r="CZX173" s="31"/>
      <c r="CZY173" s="31"/>
      <c r="CZZ173" s="31"/>
      <c r="DAA173" s="31"/>
      <c r="DAB173" s="31"/>
      <c r="DAC173" s="31"/>
      <c r="DAD173" s="31"/>
      <c r="DAE173" s="31"/>
      <c r="DAF173" s="31"/>
      <c r="DAG173" s="31"/>
      <c r="DAH173" s="31"/>
      <c r="DAI173" s="31"/>
      <c r="DAJ173" s="31"/>
      <c r="DAK173" s="31"/>
      <c r="DAL173" s="31"/>
      <c r="DAM173" s="31"/>
      <c r="DAN173" s="31"/>
      <c r="DAO173" s="31"/>
      <c r="DAP173" s="31"/>
      <c r="DAQ173" s="31"/>
      <c r="DAR173" s="31"/>
      <c r="DAS173" s="31"/>
      <c r="DAT173" s="31"/>
      <c r="DAU173" s="31"/>
      <c r="DAV173" s="31"/>
      <c r="DAW173" s="31"/>
      <c r="DAX173" s="31"/>
      <c r="DAY173" s="31"/>
      <c r="DAZ173" s="31"/>
      <c r="DBA173" s="31"/>
      <c r="DBB173" s="31"/>
      <c r="DBC173" s="31"/>
      <c r="DBD173" s="31"/>
      <c r="DBE173" s="31"/>
      <c r="DBF173" s="31"/>
      <c r="DBG173" s="31"/>
      <c r="DBH173" s="31"/>
      <c r="DBI173" s="31"/>
      <c r="DBJ173" s="31"/>
      <c r="DBK173" s="31"/>
      <c r="DBL173" s="31"/>
      <c r="DBM173" s="31"/>
      <c r="DBN173" s="31"/>
      <c r="DBO173" s="31"/>
      <c r="DBP173" s="31"/>
      <c r="DBQ173" s="31"/>
      <c r="DBR173" s="31"/>
      <c r="DBS173" s="31"/>
      <c r="DBT173" s="31"/>
      <c r="DBU173" s="31"/>
      <c r="DBV173" s="31"/>
      <c r="DBW173" s="31"/>
      <c r="DBX173" s="31"/>
      <c r="DBY173" s="31"/>
      <c r="DBZ173" s="31"/>
      <c r="DCA173" s="31"/>
      <c r="DCB173" s="31"/>
      <c r="DCC173" s="31"/>
      <c r="DCD173" s="31"/>
      <c r="DCE173" s="31"/>
      <c r="DCF173" s="31"/>
      <c r="DCG173" s="31"/>
      <c r="DCH173" s="31"/>
      <c r="DCI173" s="31"/>
      <c r="DCJ173" s="31"/>
      <c r="DCK173" s="31"/>
      <c r="DCL173" s="31"/>
      <c r="DCM173" s="31"/>
      <c r="DCN173" s="31"/>
      <c r="DCO173" s="31"/>
      <c r="DCP173" s="31"/>
      <c r="DCQ173" s="31"/>
      <c r="DCR173" s="31"/>
      <c r="DCS173" s="31"/>
      <c r="DCT173" s="31"/>
      <c r="DCU173" s="31"/>
      <c r="DCV173" s="31"/>
      <c r="DCW173" s="31"/>
      <c r="DCX173" s="31"/>
      <c r="DCY173" s="31"/>
      <c r="DCZ173" s="31"/>
      <c r="DDA173" s="31"/>
      <c r="DDB173" s="31"/>
      <c r="DDC173" s="31"/>
      <c r="DDD173" s="31"/>
      <c r="DDE173" s="31"/>
      <c r="DDF173" s="31"/>
      <c r="DDG173" s="31"/>
      <c r="DDH173" s="31"/>
      <c r="DDI173" s="31"/>
      <c r="DDJ173" s="31"/>
      <c r="DDK173" s="31"/>
      <c r="DDL173" s="31"/>
      <c r="DDM173" s="31"/>
      <c r="DDN173" s="31"/>
      <c r="DDO173" s="31"/>
      <c r="DDP173" s="31"/>
      <c r="DDQ173" s="31"/>
      <c r="DDR173" s="31"/>
      <c r="DDS173" s="31"/>
      <c r="DDT173" s="31"/>
      <c r="DDU173" s="31"/>
      <c r="DDV173" s="31"/>
      <c r="DDW173" s="31"/>
      <c r="DDX173" s="31"/>
      <c r="DDY173" s="31"/>
      <c r="DDZ173" s="31"/>
      <c r="DEA173" s="31"/>
      <c r="DEB173" s="31"/>
      <c r="DEC173" s="31"/>
      <c r="DED173" s="31"/>
      <c r="DEE173" s="31"/>
      <c r="DEF173" s="31"/>
      <c r="DEG173" s="31"/>
      <c r="DEH173" s="31"/>
      <c r="DEI173" s="31"/>
      <c r="DEJ173" s="31"/>
      <c r="DEK173" s="31"/>
      <c r="DEL173" s="31"/>
      <c r="DEM173" s="31"/>
      <c r="DEN173" s="31"/>
      <c r="DEO173" s="31"/>
      <c r="DEP173" s="31"/>
      <c r="DEQ173" s="31"/>
      <c r="DER173" s="31"/>
      <c r="DES173" s="31"/>
      <c r="DET173" s="31"/>
      <c r="DEU173" s="31"/>
      <c r="DEV173" s="31"/>
      <c r="DEW173" s="31"/>
      <c r="DEX173" s="31"/>
      <c r="DEY173" s="31"/>
      <c r="DEZ173" s="31"/>
      <c r="DFA173" s="31"/>
      <c r="DFB173" s="31"/>
      <c r="DFC173" s="31"/>
      <c r="DFD173" s="31"/>
      <c r="DFE173" s="31"/>
      <c r="DFF173" s="31"/>
      <c r="DFG173" s="31"/>
      <c r="DFH173" s="31"/>
      <c r="DFI173" s="31"/>
      <c r="DFJ173" s="31"/>
      <c r="DFK173" s="31"/>
      <c r="DFL173" s="31"/>
      <c r="DFM173" s="31"/>
      <c r="DFN173" s="31"/>
      <c r="DFO173" s="31"/>
      <c r="DFP173" s="31"/>
      <c r="DFQ173" s="31"/>
      <c r="DFR173" s="31"/>
      <c r="DFS173" s="31"/>
      <c r="DFT173" s="31"/>
      <c r="DFU173" s="31"/>
      <c r="DFV173" s="31"/>
      <c r="DFW173" s="31"/>
      <c r="DFX173" s="31"/>
      <c r="DFY173" s="31"/>
      <c r="DFZ173" s="31"/>
      <c r="DGA173" s="31"/>
      <c r="DGB173" s="31"/>
      <c r="DGC173" s="31"/>
      <c r="DGD173" s="31"/>
      <c r="DGE173" s="31"/>
      <c r="DGF173" s="31"/>
      <c r="DGG173" s="31"/>
      <c r="DGH173" s="31"/>
      <c r="DGI173" s="31"/>
      <c r="DGJ173" s="31"/>
      <c r="DGK173" s="31"/>
      <c r="DGL173" s="31"/>
      <c r="DGM173" s="31"/>
      <c r="DGN173" s="31"/>
      <c r="DGO173" s="31"/>
      <c r="DGP173" s="31"/>
      <c r="DGQ173" s="31"/>
      <c r="DGR173" s="31"/>
      <c r="DGS173" s="31"/>
      <c r="DGT173" s="31"/>
      <c r="DGU173" s="31"/>
      <c r="DGV173" s="31"/>
      <c r="DGW173" s="31"/>
      <c r="DGX173" s="31"/>
      <c r="DGY173" s="31"/>
      <c r="DGZ173" s="31"/>
      <c r="DHA173" s="31"/>
      <c r="DHB173" s="31"/>
      <c r="DHC173" s="31"/>
      <c r="DHD173" s="31"/>
      <c r="DHE173" s="31"/>
      <c r="DHF173" s="31"/>
      <c r="DHG173" s="31"/>
      <c r="DHH173" s="31"/>
      <c r="DHI173" s="31"/>
      <c r="DHJ173" s="31"/>
      <c r="DHK173" s="31"/>
      <c r="DHL173" s="31"/>
      <c r="DHM173" s="31"/>
      <c r="DHN173" s="31"/>
      <c r="DHO173" s="31"/>
      <c r="DHP173" s="31"/>
      <c r="DHQ173" s="31"/>
      <c r="DHR173" s="31"/>
      <c r="DHS173" s="31"/>
      <c r="DHT173" s="31"/>
      <c r="DHU173" s="31"/>
      <c r="DHV173" s="31"/>
      <c r="DHW173" s="31"/>
      <c r="DHX173" s="31"/>
      <c r="DHY173" s="31"/>
      <c r="DHZ173" s="31"/>
      <c r="DIA173" s="31"/>
      <c r="DIB173" s="31"/>
      <c r="DIC173" s="31"/>
      <c r="DID173" s="31"/>
      <c r="DIE173" s="31"/>
      <c r="DIF173" s="31"/>
      <c r="DIG173" s="31"/>
      <c r="DIH173" s="31"/>
      <c r="DII173" s="31"/>
      <c r="DIJ173" s="31"/>
      <c r="DIK173" s="31"/>
      <c r="DIL173" s="31"/>
      <c r="DIM173" s="31"/>
      <c r="DIN173" s="31"/>
      <c r="DIO173" s="31"/>
      <c r="DIP173" s="31"/>
      <c r="DIQ173" s="31"/>
      <c r="DIR173" s="31"/>
      <c r="DIS173" s="31"/>
      <c r="DIT173" s="31"/>
      <c r="DIU173" s="31"/>
      <c r="DIV173" s="31"/>
      <c r="DIW173" s="31"/>
      <c r="DIX173" s="31"/>
      <c r="DIY173" s="31"/>
      <c r="DIZ173" s="31"/>
      <c r="DJA173" s="31"/>
      <c r="DJB173" s="31"/>
      <c r="DJC173" s="31"/>
      <c r="DJD173" s="31"/>
      <c r="DJE173" s="31"/>
      <c r="DJF173" s="31"/>
      <c r="DJG173" s="31"/>
      <c r="DJH173" s="31"/>
      <c r="DJI173" s="31"/>
      <c r="DJJ173" s="31"/>
      <c r="DJK173" s="31"/>
      <c r="DJL173" s="31"/>
      <c r="DJM173" s="31"/>
      <c r="DJN173" s="31"/>
      <c r="DJO173" s="31"/>
      <c r="DJP173" s="31"/>
      <c r="DJQ173" s="31"/>
      <c r="DJR173" s="31"/>
      <c r="DJS173" s="31"/>
      <c r="DJT173" s="31"/>
      <c r="DJU173" s="31"/>
      <c r="DJV173" s="31"/>
      <c r="DJW173" s="31"/>
      <c r="DJX173" s="31"/>
      <c r="DJY173" s="31"/>
      <c r="DJZ173" s="31"/>
      <c r="DKA173" s="31"/>
      <c r="DKB173" s="31"/>
      <c r="DKC173" s="31"/>
      <c r="DKD173" s="31"/>
      <c r="DKE173" s="31"/>
      <c r="DKF173" s="31"/>
      <c r="DKG173" s="31"/>
      <c r="DKH173" s="31"/>
      <c r="DKI173" s="31"/>
      <c r="DKJ173" s="31"/>
      <c r="DKK173" s="31"/>
      <c r="DKL173" s="31"/>
      <c r="DKM173" s="31"/>
      <c r="DKN173" s="31"/>
      <c r="DKO173" s="31"/>
      <c r="DKP173" s="31"/>
      <c r="DKQ173" s="31"/>
      <c r="DKR173" s="31"/>
      <c r="DKS173" s="31"/>
      <c r="DKT173" s="31"/>
      <c r="DKU173" s="31"/>
      <c r="DKV173" s="31"/>
      <c r="DKW173" s="31"/>
      <c r="DKX173" s="31"/>
      <c r="DKY173" s="31"/>
      <c r="DKZ173" s="31"/>
      <c r="DLA173" s="31"/>
      <c r="DLB173" s="31"/>
      <c r="DLC173" s="31"/>
      <c r="DLD173" s="31"/>
      <c r="DLE173" s="31"/>
      <c r="DLF173" s="31"/>
      <c r="DLG173" s="31"/>
      <c r="DLH173" s="31"/>
      <c r="DLI173" s="31"/>
      <c r="DLJ173" s="31"/>
      <c r="DLK173" s="31"/>
      <c r="DLL173" s="31"/>
      <c r="DLM173" s="31"/>
      <c r="DLN173" s="31"/>
      <c r="DLO173" s="31"/>
      <c r="DLP173" s="31"/>
      <c r="DLQ173" s="31"/>
      <c r="DLR173" s="31"/>
      <c r="DLS173" s="31"/>
      <c r="DLT173" s="31"/>
      <c r="DLU173" s="31"/>
      <c r="DLV173" s="31"/>
      <c r="DLW173" s="31"/>
      <c r="DLX173" s="31"/>
      <c r="DLY173" s="31"/>
      <c r="DLZ173" s="31"/>
      <c r="DMA173" s="31"/>
      <c r="DMB173" s="31"/>
      <c r="DMC173" s="31"/>
      <c r="DMD173" s="31"/>
      <c r="DME173" s="31"/>
      <c r="DMF173" s="31"/>
      <c r="DMG173" s="31"/>
      <c r="DMH173" s="31"/>
      <c r="DMI173" s="31"/>
      <c r="DMJ173" s="31"/>
      <c r="DMK173" s="31"/>
      <c r="DML173" s="31"/>
      <c r="DMM173" s="31"/>
      <c r="DMN173" s="31"/>
      <c r="DMO173" s="31"/>
      <c r="DMP173" s="31"/>
      <c r="DMQ173" s="31"/>
      <c r="DMR173" s="31"/>
      <c r="DMS173" s="31"/>
      <c r="DMT173" s="31"/>
      <c r="DMU173" s="31"/>
      <c r="DMV173" s="31"/>
      <c r="DMW173" s="31"/>
      <c r="DMX173" s="31"/>
      <c r="DMY173" s="31"/>
      <c r="DMZ173" s="31"/>
      <c r="DNA173" s="31"/>
      <c r="DNB173" s="31"/>
      <c r="DNC173" s="31"/>
      <c r="DND173" s="31"/>
      <c r="DNE173" s="31"/>
      <c r="DNF173" s="31"/>
      <c r="DNG173" s="31"/>
      <c r="DNH173" s="31"/>
      <c r="DNI173" s="31"/>
      <c r="DNJ173" s="31"/>
      <c r="DNK173" s="31"/>
      <c r="DNL173" s="31"/>
      <c r="DNM173" s="31"/>
      <c r="DNN173" s="31"/>
      <c r="DNO173" s="31"/>
      <c r="DNP173" s="31"/>
      <c r="DNQ173" s="31"/>
      <c r="DNR173" s="31"/>
      <c r="DNS173" s="31"/>
      <c r="DNT173" s="31"/>
      <c r="DNU173" s="31"/>
      <c r="DNV173" s="31"/>
      <c r="DNW173" s="31"/>
      <c r="DNX173" s="31"/>
      <c r="DNY173" s="31"/>
      <c r="DNZ173" s="31"/>
      <c r="DOA173" s="31"/>
      <c r="DOB173" s="31"/>
      <c r="DOC173" s="31"/>
      <c r="DOD173" s="31"/>
      <c r="DOE173" s="31"/>
      <c r="DOF173" s="31"/>
      <c r="DOG173" s="31"/>
      <c r="DOH173" s="31"/>
      <c r="DOI173" s="31"/>
      <c r="DOJ173" s="31"/>
      <c r="DOK173" s="31"/>
      <c r="DOL173" s="31"/>
      <c r="DOM173" s="31"/>
      <c r="DON173" s="31"/>
      <c r="DOO173" s="31"/>
      <c r="DOP173" s="31"/>
      <c r="DOQ173" s="31"/>
      <c r="DOR173" s="31"/>
      <c r="DOS173" s="31"/>
      <c r="DOT173" s="31"/>
      <c r="DOU173" s="31"/>
      <c r="DOV173" s="31"/>
      <c r="DOW173" s="31"/>
      <c r="DOX173" s="31"/>
      <c r="DOY173" s="31"/>
      <c r="DOZ173" s="31"/>
      <c r="DPA173" s="31"/>
      <c r="DPB173" s="31"/>
      <c r="DPC173" s="31"/>
      <c r="DPD173" s="31"/>
      <c r="DPE173" s="31"/>
      <c r="DPF173" s="31"/>
      <c r="DPG173" s="31"/>
      <c r="DPH173" s="31"/>
      <c r="DPI173" s="31"/>
      <c r="DPJ173" s="31"/>
      <c r="DPK173" s="31"/>
      <c r="DPL173" s="31"/>
      <c r="DPM173" s="31"/>
      <c r="DPN173" s="31"/>
      <c r="DPO173" s="31"/>
      <c r="DPP173" s="31"/>
      <c r="DPQ173" s="31"/>
      <c r="DPR173" s="31"/>
      <c r="DPS173" s="31"/>
      <c r="DPT173" s="31"/>
      <c r="DPU173" s="31"/>
      <c r="DPV173" s="31"/>
      <c r="DPW173" s="31"/>
      <c r="DPX173" s="31"/>
      <c r="DPY173" s="31"/>
      <c r="DPZ173" s="31"/>
      <c r="DQA173" s="31"/>
      <c r="DQB173" s="31"/>
      <c r="DQC173" s="31"/>
      <c r="DQD173" s="31"/>
      <c r="DQE173" s="31"/>
      <c r="DQF173" s="31"/>
      <c r="DQG173" s="31"/>
      <c r="DQH173" s="31"/>
      <c r="DQI173" s="31"/>
      <c r="DQJ173" s="31"/>
      <c r="DQK173" s="31"/>
      <c r="DQL173" s="31"/>
      <c r="DQM173" s="31"/>
      <c r="DQN173" s="31"/>
      <c r="DQO173" s="31"/>
      <c r="DQP173" s="31"/>
      <c r="DQQ173" s="31"/>
      <c r="DQR173" s="31"/>
      <c r="DQS173" s="31"/>
      <c r="DQT173" s="31"/>
      <c r="DQU173" s="31"/>
      <c r="DQV173" s="31"/>
      <c r="DQW173" s="31"/>
      <c r="DQX173" s="31"/>
      <c r="DQY173" s="31"/>
      <c r="DQZ173" s="31"/>
      <c r="DRA173" s="31"/>
      <c r="DRB173" s="31"/>
      <c r="DRC173" s="31"/>
      <c r="DRD173" s="31"/>
      <c r="DRE173" s="31"/>
      <c r="DRF173" s="31"/>
      <c r="DRG173" s="31"/>
      <c r="DRH173" s="31"/>
      <c r="DRI173" s="31"/>
      <c r="DRJ173" s="31"/>
      <c r="DRK173" s="31"/>
      <c r="DRL173" s="31"/>
      <c r="DRM173" s="31"/>
      <c r="DRN173" s="31"/>
      <c r="DRO173" s="31"/>
      <c r="DRP173" s="31"/>
      <c r="DRQ173" s="31"/>
      <c r="DRR173" s="31"/>
      <c r="DRS173" s="31"/>
      <c r="DRT173" s="31"/>
      <c r="DRU173" s="31"/>
      <c r="DRV173" s="31"/>
      <c r="DRW173" s="31"/>
      <c r="DRX173" s="31"/>
      <c r="DRY173" s="31"/>
      <c r="DRZ173" s="31"/>
      <c r="DSA173" s="31"/>
      <c r="DSB173" s="31"/>
      <c r="DSC173" s="31"/>
      <c r="DSD173" s="31"/>
      <c r="DSE173" s="31"/>
      <c r="DSF173" s="31"/>
      <c r="DSG173" s="31"/>
      <c r="DSH173" s="31"/>
      <c r="DSI173" s="31"/>
      <c r="DSJ173" s="31"/>
      <c r="DSK173" s="31"/>
      <c r="DSL173" s="31"/>
      <c r="DSM173" s="31"/>
      <c r="DSN173" s="31"/>
      <c r="DSO173" s="31"/>
      <c r="DSP173" s="31"/>
      <c r="DSQ173" s="31"/>
      <c r="DSR173" s="31"/>
      <c r="DSS173" s="31"/>
      <c r="DST173" s="31"/>
      <c r="DSU173" s="31"/>
      <c r="DSV173" s="31"/>
      <c r="DSW173" s="31"/>
      <c r="DSX173" s="31"/>
      <c r="DSY173" s="31"/>
      <c r="DSZ173" s="31"/>
      <c r="DTA173" s="31"/>
      <c r="DTB173" s="31"/>
      <c r="DTC173" s="31"/>
      <c r="DTD173" s="31"/>
      <c r="DTE173" s="31"/>
      <c r="DTF173" s="31"/>
      <c r="DTG173" s="31"/>
      <c r="DTH173" s="31"/>
      <c r="DTI173" s="31"/>
      <c r="DTJ173" s="31"/>
      <c r="DTK173" s="31"/>
      <c r="DTL173" s="31"/>
      <c r="DTM173" s="31"/>
      <c r="DTN173" s="31"/>
      <c r="DTO173" s="31"/>
      <c r="DTP173" s="31"/>
      <c r="DTQ173" s="31"/>
      <c r="DTR173" s="31"/>
      <c r="DTS173" s="31"/>
      <c r="DTT173" s="31"/>
      <c r="DTU173" s="31"/>
      <c r="DTV173" s="31"/>
      <c r="DTW173" s="31"/>
      <c r="DTX173" s="31"/>
      <c r="DTY173" s="31"/>
      <c r="DTZ173" s="31"/>
      <c r="DUA173" s="31"/>
      <c r="DUB173" s="31"/>
      <c r="DUC173" s="31"/>
      <c r="DUD173" s="31"/>
      <c r="DUE173" s="31"/>
      <c r="DUF173" s="31"/>
      <c r="DUG173" s="31"/>
      <c r="DUH173" s="31"/>
      <c r="DUI173" s="31"/>
      <c r="DUJ173" s="31"/>
      <c r="DUK173" s="31"/>
      <c r="DUL173" s="31"/>
      <c r="DUM173" s="31"/>
      <c r="DUN173" s="31"/>
      <c r="DUO173" s="31"/>
      <c r="DUP173" s="31"/>
      <c r="DUQ173" s="31"/>
      <c r="DUR173" s="31"/>
      <c r="DUS173" s="31"/>
      <c r="DUT173" s="31"/>
      <c r="DUU173" s="31"/>
      <c r="DUV173" s="31"/>
      <c r="DUW173" s="31"/>
      <c r="DUX173" s="31"/>
      <c r="DUY173" s="31"/>
      <c r="DUZ173" s="31"/>
      <c r="DVA173" s="31"/>
      <c r="DVB173" s="31"/>
      <c r="DVC173" s="31"/>
      <c r="DVD173" s="31"/>
      <c r="DVE173" s="31"/>
      <c r="DVF173" s="31"/>
      <c r="DVG173" s="31"/>
      <c r="DVH173" s="31"/>
      <c r="DVI173" s="31"/>
      <c r="DVJ173" s="31"/>
      <c r="DVK173" s="31"/>
      <c r="DVL173" s="31"/>
      <c r="DVM173" s="31"/>
      <c r="DVN173" s="31"/>
      <c r="DVO173" s="31"/>
      <c r="DVP173" s="31"/>
      <c r="DVQ173" s="31"/>
      <c r="DVR173" s="31"/>
      <c r="DVS173" s="31"/>
      <c r="DVT173" s="31"/>
      <c r="DVU173" s="31"/>
      <c r="DVV173" s="31"/>
      <c r="DVW173" s="31"/>
      <c r="DVX173" s="31"/>
      <c r="DVY173" s="31"/>
      <c r="DVZ173" s="31"/>
      <c r="DWA173" s="31"/>
      <c r="DWB173" s="31"/>
      <c r="DWC173" s="31"/>
      <c r="DWD173" s="31"/>
      <c r="DWE173" s="31"/>
      <c r="DWF173" s="31"/>
      <c r="DWG173" s="31"/>
      <c r="DWH173" s="31"/>
      <c r="DWI173" s="31"/>
      <c r="DWJ173" s="31"/>
      <c r="DWK173" s="31"/>
      <c r="DWL173" s="31"/>
      <c r="DWM173" s="31"/>
      <c r="DWN173" s="31"/>
      <c r="DWO173" s="31"/>
      <c r="DWP173" s="31"/>
      <c r="DWQ173" s="31"/>
      <c r="DWR173" s="31"/>
      <c r="DWS173" s="31"/>
      <c r="DWT173" s="31"/>
      <c r="DWU173" s="31"/>
      <c r="DWV173" s="31"/>
      <c r="DWW173" s="31"/>
      <c r="DWX173" s="31"/>
      <c r="DWY173" s="31"/>
      <c r="DWZ173" s="31"/>
      <c r="DXA173" s="31"/>
      <c r="DXB173" s="31"/>
      <c r="DXC173" s="31"/>
      <c r="DXD173" s="31"/>
      <c r="DXE173" s="31"/>
      <c r="DXF173" s="31"/>
      <c r="DXG173" s="31"/>
      <c r="DXH173" s="31"/>
      <c r="DXI173" s="31"/>
      <c r="DXJ173" s="31"/>
      <c r="DXK173" s="31"/>
      <c r="DXL173" s="31"/>
      <c r="DXM173" s="31"/>
      <c r="DXN173" s="31"/>
      <c r="DXO173" s="31"/>
      <c r="DXP173" s="31"/>
      <c r="DXQ173" s="31"/>
      <c r="DXR173" s="31"/>
      <c r="DXS173" s="31"/>
      <c r="DXT173" s="31"/>
      <c r="DXU173" s="31"/>
      <c r="DXV173" s="31"/>
      <c r="DXW173" s="31"/>
      <c r="DXX173" s="31"/>
      <c r="DXY173" s="31"/>
      <c r="DXZ173" s="31"/>
      <c r="DYA173" s="31"/>
      <c r="DYB173" s="31"/>
      <c r="DYC173" s="31"/>
      <c r="DYD173" s="31"/>
      <c r="DYE173" s="31"/>
      <c r="DYF173" s="31"/>
      <c r="DYG173" s="31"/>
      <c r="DYH173" s="31"/>
      <c r="DYI173" s="31"/>
      <c r="DYJ173" s="31"/>
      <c r="DYK173" s="31"/>
      <c r="DYL173" s="31"/>
      <c r="DYM173" s="31"/>
      <c r="DYN173" s="31"/>
      <c r="DYO173" s="31"/>
      <c r="DYP173" s="31"/>
      <c r="DYQ173" s="31"/>
      <c r="DYR173" s="31"/>
      <c r="DYS173" s="31"/>
      <c r="DYT173" s="31"/>
      <c r="DYU173" s="31"/>
      <c r="DYV173" s="31"/>
      <c r="DYW173" s="31"/>
      <c r="DYX173" s="31"/>
      <c r="DYY173" s="31"/>
      <c r="DYZ173" s="31"/>
      <c r="DZA173" s="31"/>
      <c r="DZB173" s="31"/>
      <c r="DZC173" s="31"/>
      <c r="DZD173" s="31"/>
      <c r="DZE173" s="31"/>
      <c r="DZF173" s="31"/>
      <c r="DZG173" s="31"/>
      <c r="DZH173" s="31"/>
      <c r="DZI173" s="31"/>
      <c r="DZJ173" s="31"/>
      <c r="DZK173" s="31"/>
      <c r="DZL173" s="31"/>
      <c r="DZM173" s="31"/>
      <c r="DZN173" s="31"/>
      <c r="DZO173" s="31"/>
      <c r="DZP173" s="31"/>
      <c r="DZQ173" s="31"/>
      <c r="DZR173" s="31"/>
      <c r="DZS173" s="31"/>
      <c r="DZT173" s="31"/>
      <c r="DZU173" s="31"/>
      <c r="DZV173" s="31"/>
      <c r="DZW173" s="31"/>
      <c r="DZX173" s="31"/>
      <c r="DZY173" s="31"/>
      <c r="DZZ173" s="31"/>
      <c r="EAA173" s="31"/>
      <c r="EAB173" s="31"/>
      <c r="EAC173" s="31"/>
      <c r="EAD173" s="31"/>
      <c r="EAE173" s="31"/>
      <c r="EAF173" s="31"/>
      <c r="EAG173" s="31"/>
      <c r="EAH173" s="31"/>
      <c r="EAI173" s="31"/>
      <c r="EAJ173" s="31"/>
      <c r="EAK173" s="31"/>
      <c r="EAL173" s="31"/>
      <c r="EAM173" s="31"/>
      <c r="EAN173" s="31"/>
      <c r="EAO173" s="31"/>
      <c r="EAP173" s="31"/>
      <c r="EAQ173" s="31"/>
      <c r="EAR173" s="31"/>
      <c r="EAS173" s="31"/>
      <c r="EAT173" s="31"/>
      <c r="EAU173" s="31"/>
      <c r="EAV173" s="31"/>
      <c r="EAW173" s="31"/>
      <c r="EAX173" s="31"/>
      <c r="EAY173" s="31"/>
      <c r="EAZ173" s="31"/>
      <c r="EBA173" s="31"/>
      <c r="EBB173" s="31"/>
      <c r="EBC173" s="31"/>
      <c r="EBD173" s="31"/>
      <c r="EBE173" s="31"/>
      <c r="EBF173" s="31"/>
      <c r="EBG173" s="31"/>
      <c r="EBH173" s="31"/>
      <c r="EBI173" s="31"/>
      <c r="EBJ173" s="31"/>
      <c r="EBK173" s="31"/>
      <c r="EBL173" s="31"/>
      <c r="EBM173" s="31"/>
      <c r="EBN173" s="31"/>
      <c r="EBO173" s="31"/>
      <c r="EBP173" s="31"/>
      <c r="EBQ173" s="31"/>
      <c r="EBR173" s="31"/>
      <c r="EBS173" s="31"/>
      <c r="EBT173" s="31"/>
      <c r="EBU173" s="31"/>
      <c r="EBV173" s="31"/>
      <c r="EBW173" s="31"/>
      <c r="EBX173" s="31"/>
      <c r="EBY173" s="31"/>
      <c r="EBZ173" s="31"/>
      <c r="ECA173" s="31"/>
      <c r="ECB173" s="31"/>
      <c r="ECC173" s="31"/>
      <c r="ECD173" s="31"/>
      <c r="ECE173" s="31"/>
      <c r="ECF173" s="31"/>
      <c r="ECG173" s="31"/>
      <c r="ECH173" s="31"/>
      <c r="ECI173" s="31"/>
      <c r="ECJ173" s="31"/>
      <c r="ECK173" s="31"/>
      <c r="ECL173" s="31"/>
      <c r="ECM173" s="31"/>
      <c r="ECN173" s="31"/>
      <c r="ECO173" s="31"/>
      <c r="ECP173" s="31"/>
      <c r="ECQ173" s="31"/>
      <c r="ECR173" s="31"/>
      <c r="ECS173" s="31"/>
      <c r="ECT173" s="31"/>
      <c r="ECU173" s="31"/>
      <c r="ECV173" s="31"/>
      <c r="ECW173" s="31"/>
      <c r="ECX173" s="31"/>
      <c r="ECY173" s="31"/>
      <c r="ECZ173" s="31"/>
      <c r="EDA173" s="31"/>
      <c r="EDB173" s="31"/>
      <c r="EDC173" s="31"/>
      <c r="EDD173" s="31"/>
      <c r="EDE173" s="31"/>
      <c r="EDF173" s="31"/>
      <c r="EDG173" s="31"/>
      <c r="EDH173" s="31"/>
      <c r="EDI173" s="31"/>
      <c r="EDJ173" s="31"/>
      <c r="EDK173" s="31"/>
      <c r="EDL173" s="31"/>
      <c r="EDM173" s="31"/>
      <c r="EDN173" s="31"/>
      <c r="EDO173" s="31"/>
      <c r="EDP173" s="31"/>
      <c r="EDQ173" s="31"/>
      <c r="EDR173" s="31"/>
      <c r="EDS173" s="31"/>
      <c r="EDT173" s="31"/>
      <c r="EDU173" s="31"/>
      <c r="EDV173" s="31"/>
      <c r="EDW173" s="31"/>
      <c r="EDX173" s="31"/>
      <c r="EDY173" s="31"/>
      <c r="EDZ173" s="31"/>
      <c r="EEA173" s="31"/>
      <c r="EEB173" s="31"/>
      <c r="EEC173" s="31"/>
      <c r="EED173" s="31"/>
      <c r="EEE173" s="31"/>
      <c r="EEF173" s="31"/>
      <c r="EEG173" s="31"/>
      <c r="EEH173" s="31"/>
      <c r="EEI173" s="31"/>
      <c r="EEJ173" s="31"/>
      <c r="EEK173" s="31"/>
      <c r="EEL173" s="31"/>
      <c r="EEM173" s="31"/>
      <c r="EEN173" s="31"/>
      <c r="EEO173" s="31"/>
      <c r="EEP173" s="31"/>
      <c r="EEQ173" s="31"/>
      <c r="EER173" s="31"/>
      <c r="EES173" s="31"/>
      <c r="EET173" s="31"/>
      <c r="EEU173" s="31"/>
      <c r="EEV173" s="31"/>
      <c r="EEW173" s="31"/>
      <c r="EEX173" s="31"/>
      <c r="EEY173" s="31"/>
      <c r="EEZ173" s="31"/>
      <c r="EFA173" s="31"/>
      <c r="EFB173" s="31"/>
      <c r="EFC173" s="31"/>
      <c r="EFD173" s="31"/>
      <c r="EFE173" s="31"/>
      <c r="EFF173" s="31"/>
      <c r="EFG173" s="31"/>
      <c r="EFH173" s="31"/>
      <c r="EFI173" s="31"/>
      <c r="EFJ173" s="31"/>
      <c r="EFK173" s="31"/>
      <c r="EFL173" s="31"/>
      <c r="EFM173" s="31"/>
      <c r="EFN173" s="31"/>
      <c r="EFO173" s="31"/>
      <c r="EFP173" s="31"/>
      <c r="EFQ173" s="31"/>
      <c r="EFR173" s="31"/>
      <c r="EFS173" s="31"/>
      <c r="EFT173" s="31"/>
      <c r="EFU173" s="31"/>
      <c r="EFV173" s="31"/>
      <c r="EFW173" s="31"/>
      <c r="EFX173" s="31"/>
      <c r="EFY173" s="31"/>
      <c r="EFZ173" s="31"/>
      <c r="EGA173" s="31"/>
      <c r="EGB173" s="31"/>
      <c r="EGC173" s="31"/>
      <c r="EGD173" s="31"/>
      <c r="EGE173" s="31"/>
      <c r="EGF173" s="31"/>
      <c r="EGG173" s="31"/>
      <c r="EGH173" s="31"/>
      <c r="EGI173" s="31"/>
      <c r="EGJ173" s="31"/>
      <c r="EGK173" s="31"/>
      <c r="EGL173" s="31"/>
      <c r="EGM173" s="31"/>
      <c r="EGN173" s="31"/>
      <c r="EGO173" s="31"/>
      <c r="EGP173" s="31"/>
      <c r="EGQ173" s="31"/>
      <c r="EGR173" s="31"/>
      <c r="EGS173" s="31"/>
      <c r="EGT173" s="31"/>
      <c r="EGU173" s="31"/>
      <c r="EGV173" s="31"/>
      <c r="EGW173" s="31"/>
      <c r="EGX173" s="31"/>
      <c r="EGY173" s="31"/>
      <c r="EGZ173" s="31"/>
      <c r="EHA173" s="31"/>
      <c r="EHB173" s="31"/>
      <c r="EHC173" s="31"/>
      <c r="EHD173" s="31"/>
      <c r="EHE173" s="31"/>
      <c r="EHF173" s="31"/>
      <c r="EHG173" s="31"/>
      <c r="EHH173" s="31"/>
      <c r="EHI173" s="31"/>
      <c r="EHJ173" s="31"/>
      <c r="EHK173" s="31"/>
      <c r="EHL173" s="31"/>
      <c r="EHM173" s="31"/>
      <c r="EHN173" s="31"/>
      <c r="EHO173" s="31"/>
      <c r="EHP173" s="31"/>
      <c r="EHQ173" s="31"/>
      <c r="EHR173" s="31"/>
      <c r="EHS173" s="31"/>
      <c r="EHT173" s="31"/>
      <c r="EHU173" s="31"/>
      <c r="EHV173" s="31"/>
      <c r="EHW173" s="31"/>
      <c r="EHX173" s="31"/>
      <c r="EHY173" s="31"/>
      <c r="EHZ173" s="31"/>
      <c r="EIA173" s="31"/>
      <c r="EIB173" s="31"/>
      <c r="EIC173" s="31"/>
      <c r="EID173" s="31"/>
      <c r="EIE173" s="31"/>
      <c r="EIF173" s="31"/>
      <c r="EIG173" s="31"/>
      <c r="EIH173" s="31"/>
      <c r="EII173" s="31"/>
      <c r="EIJ173" s="31"/>
      <c r="EIK173" s="31"/>
      <c r="EIL173" s="31"/>
      <c r="EIM173" s="31"/>
      <c r="EIN173" s="31"/>
      <c r="EIO173" s="31"/>
      <c r="EIP173" s="31"/>
      <c r="EIQ173" s="31"/>
      <c r="EIR173" s="31"/>
      <c r="EIS173" s="31"/>
      <c r="EIT173" s="31"/>
      <c r="EIU173" s="31"/>
      <c r="EIV173" s="31"/>
      <c r="EIW173" s="31"/>
      <c r="EIX173" s="31"/>
      <c r="EIY173" s="31"/>
      <c r="EIZ173" s="31"/>
      <c r="EJA173" s="31"/>
      <c r="EJB173" s="31"/>
      <c r="EJC173" s="31"/>
      <c r="EJD173" s="31"/>
      <c r="EJE173" s="31"/>
      <c r="EJF173" s="31"/>
      <c r="EJG173" s="31"/>
      <c r="EJH173" s="31"/>
      <c r="EJI173" s="31"/>
      <c r="EJJ173" s="31"/>
      <c r="EJK173" s="31"/>
      <c r="EJL173" s="31"/>
      <c r="EJM173" s="31"/>
      <c r="EJN173" s="31"/>
      <c r="EJO173" s="31"/>
      <c r="EJP173" s="31"/>
      <c r="EJQ173" s="31"/>
      <c r="EJR173" s="31"/>
      <c r="EJS173" s="31"/>
      <c r="EJT173" s="31"/>
      <c r="EJU173" s="31"/>
      <c r="EJV173" s="31"/>
      <c r="EJW173" s="31"/>
      <c r="EJX173" s="31"/>
      <c r="EJY173" s="31"/>
      <c r="EJZ173" s="31"/>
      <c r="EKA173" s="31"/>
      <c r="EKB173" s="31"/>
      <c r="EKC173" s="31"/>
      <c r="EKD173" s="31"/>
      <c r="EKE173" s="31"/>
      <c r="EKF173" s="31"/>
      <c r="EKG173" s="31"/>
      <c r="EKH173" s="31"/>
      <c r="EKI173" s="31"/>
      <c r="EKJ173" s="31"/>
      <c r="EKK173" s="31"/>
      <c r="EKL173" s="31"/>
      <c r="EKM173" s="31"/>
      <c r="EKN173" s="31"/>
      <c r="EKO173" s="31"/>
      <c r="EKP173" s="31"/>
      <c r="EKQ173" s="31"/>
      <c r="EKR173" s="31"/>
      <c r="EKS173" s="31"/>
      <c r="EKT173" s="31"/>
      <c r="EKU173" s="31"/>
      <c r="EKV173" s="31"/>
      <c r="EKW173" s="31"/>
      <c r="EKX173" s="31"/>
      <c r="EKY173" s="31"/>
      <c r="EKZ173" s="31"/>
      <c r="ELA173" s="31"/>
      <c r="ELB173" s="31"/>
      <c r="ELC173" s="31"/>
      <c r="ELD173" s="31"/>
      <c r="ELE173" s="31"/>
      <c r="ELF173" s="31"/>
      <c r="ELG173" s="31"/>
      <c r="ELH173" s="31"/>
      <c r="ELI173" s="31"/>
      <c r="ELJ173" s="31"/>
      <c r="ELK173" s="31"/>
      <c r="ELL173" s="31"/>
      <c r="ELM173" s="31"/>
      <c r="ELN173" s="31"/>
      <c r="ELO173" s="31"/>
      <c r="ELP173" s="31"/>
      <c r="ELQ173" s="31"/>
      <c r="ELR173" s="31"/>
      <c r="ELS173" s="31"/>
      <c r="ELT173" s="31"/>
      <c r="ELU173" s="31"/>
      <c r="ELV173" s="31"/>
      <c r="ELW173" s="31"/>
      <c r="ELX173" s="31"/>
      <c r="ELY173" s="31"/>
      <c r="ELZ173" s="31"/>
      <c r="EMA173" s="31"/>
      <c r="EMB173" s="31"/>
      <c r="EMC173" s="31"/>
      <c r="EMD173" s="31"/>
      <c r="EME173" s="31"/>
      <c r="EMF173" s="31"/>
      <c r="EMG173" s="31"/>
      <c r="EMH173" s="31"/>
      <c r="EMI173" s="31"/>
      <c r="EMJ173" s="31"/>
      <c r="EMK173" s="31"/>
      <c r="EML173" s="31"/>
      <c r="EMM173" s="31"/>
      <c r="EMN173" s="31"/>
      <c r="EMO173" s="31"/>
      <c r="EMP173" s="31"/>
      <c r="EMQ173" s="31"/>
      <c r="EMR173" s="31"/>
      <c r="EMS173" s="31"/>
      <c r="EMT173" s="31"/>
      <c r="EMU173" s="31"/>
      <c r="EMV173" s="31"/>
      <c r="EMW173" s="31"/>
      <c r="EMX173" s="31"/>
      <c r="EMY173" s="31"/>
      <c r="EMZ173" s="31"/>
      <c r="ENA173" s="31"/>
      <c r="ENB173" s="31"/>
      <c r="ENC173" s="31"/>
      <c r="END173" s="31"/>
      <c r="ENE173" s="31"/>
      <c r="ENF173" s="31"/>
      <c r="ENG173" s="31"/>
      <c r="ENH173" s="31"/>
      <c r="ENI173" s="31"/>
      <c r="ENJ173" s="31"/>
      <c r="ENK173" s="31"/>
      <c r="ENL173" s="31"/>
      <c r="ENM173" s="31"/>
      <c r="ENN173" s="31"/>
      <c r="ENO173" s="31"/>
      <c r="ENP173" s="31"/>
      <c r="ENQ173" s="31"/>
      <c r="ENR173" s="31"/>
      <c r="ENS173" s="31"/>
      <c r="ENT173" s="31"/>
      <c r="ENU173" s="31"/>
      <c r="ENV173" s="31"/>
      <c r="ENW173" s="31"/>
      <c r="ENX173" s="31"/>
      <c r="ENY173" s="31"/>
      <c r="ENZ173" s="31"/>
      <c r="EOA173" s="31"/>
      <c r="EOB173" s="31"/>
      <c r="EOC173" s="31"/>
      <c r="EOD173" s="31"/>
      <c r="EOE173" s="31"/>
      <c r="EOF173" s="31"/>
      <c r="EOG173" s="31"/>
      <c r="EOH173" s="31"/>
      <c r="EOI173" s="31"/>
      <c r="EOJ173" s="31"/>
      <c r="EOK173" s="31"/>
      <c r="EOL173" s="31"/>
      <c r="EOM173" s="31"/>
      <c r="EON173" s="31"/>
      <c r="EOO173" s="31"/>
      <c r="EOP173" s="31"/>
      <c r="EOQ173" s="31"/>
      <c r="EOR173" s="31"/>
      <c r="EOS173" s="31"/>
      <c r="EOT173" s="31"/>
      <c r="EOU173" s="31"/>
      <c r="EOV173" s="31"/>
      <c r="EOW173" s="31"/>
      <c r="EOX173" s="31"/>
      <c r="EOY173" s="31"/>
      <c r="EOZ173" s="31"/>
      <c r="EPA173" s="31"/>
      <c r="EPB173" s="31"/>
      <c r="EPC173" s="31"/>
      <c r="EPD173" s="31"/>
      <c r="EPE173" s="31"/>
      <c r="EPF173" s="31"/>
      <c r="EPG173" s="31"/>
      <c r="EPH173" s="31"/>
      <c r="EPI173" s="31"/>
      <c r="EPJ173" s="31"/>
      <c r="EPK173" s="31"/>
      <c r="EPL173" s="31"/>
      <c r="EPM173" s="31"/>
      <c r="EPN173" s="31"/>
      <c r="EPO173" s="31"/>
      <c r="EPP173" s="31"/>
      <c r="EPQ173" s="31"/>
      <c r="EPR173" s="31"/>
      <c r="EPS173" s="31"/>
      <c r="EPT173" s="31"/>
      <c r="EPU173" s="31"/>
      <c r="EPV173" s="31"/>
      <c r="EPW173" s="31"/>
      <c r="EPX173" s="31"/>
      <c r="EPY173" s="31"/>
      <c r="EPZ173" s="31"/>
      <c r="EQA173" s="31"/>
      <c r="EQB173" s="31"/>
      <c r="EQC173" s="31"/>
      <c r="EQD173" s="31"/>
      <c r="EQE173" s="31"/>
      <c r="EQF173" s="31"/>
      <c r="EQG173" s="31"/>
      <c r="EQH173" s="31"/>
      <c r="EQI173" s="31"/>
      <c r="EQJ173" s="31"/>
      <c r="EQK173" s="31"/>
      <c r="EQL173" s="31"/>
      <c r="EQM173" s="31"/>
      <c r="EQN173" s="31"/>
      <c r="EQO173" s="31"/>
      <c r="EQP173" s="31"/>
      <c r="EQQ173" s="31"/>
      <c r="EQR173" s="31"/>
      <c r="EQS173" s="31"/>
      <c r="EQT173" s="31"/>
      <c r="EQU173" s="31"/>
      <c r="EQV173" s="31"/>
      <c r="EQW173" s="31"/>
      <c r="EQX173" s="31"/>
      <c r="EQY173" s="31"/>
      <c r="EQZ173" s="31"/>
      <c r="ERA173" s="31"/>
      <c r="ERB173" s="31"/>
      <c r="ERC173" s="31"/>
      <c r="ERD173" s="31"/>
      <c r="ERE173" s="31"/>
      <c r="ERF173" s="31"/>
      <c r="ERG173" s="31"/>
      <c r="ERH173" s="31"/>
      <c r="ERI173" s="31"/>
      <c r="ERJ173" s="31"/>
      <c r="ERK173" s="31"/>
      <c r="ERL173" s="31"/>
      <c r="ERM173" s="31"/>
      <c r="ERN173" s="31"/>
      <c r="ERO173" s="31"/>
      <c r="ERP173" s="31"/>
      <c r="ERQ173" s="31"/>
      <c r="ERR173" s="31"/>
      <c r="ERS173" s="31"/>
      <c r="ERT173" s="31"/>
      <c r="ERU173" s="31"/>
      <c r="ERV173" s="31"/>
      <c r="ERW173" s="31"/>
      <c r="ERX173" s="31"/>
      <c r="ERY173" s="31"/>
      <c r="ERZ173" s="31"/>
      <c r="ESA173" s="31"/>
      <c r="ESB173" s="31"/>
      <c r="ESC173" s="31"/>
      <c r="ESD173" s="31"/>
      <c r="ESE173" s="31"/>
      <c r="ESF173" s="31"/>
      <c r="ESG173" s="31"/>
      <c r="ESH173" s="31"/>
      <c r="ESI173" s="31"/>
      <c r="ESJ173" s="31"/>
      <c r="ESK173" s="31"/>
      <c r="ESL173" s="31"/>
      <c r="ESM173" s="31"/>
      <c r="ESN173" s="31"/>
      <c r="ESO173" s="31"/>
      <c r="ESP173" s="31"/>
      <c r="ESQ173" s="31"/>
      <c r="ESR173" s="31"/>
      <c r="ESS173" s="31"/>
      <c r="EST173" s="31"/>
      <c r="ESU173" s="31"/>
      <c r="ESV173" s="31"/>
      <c r="ESW173" s="31"/>
      <c r="ESX173" s="31"/>
      <c r="ESY173" s="31"/>
      <c r="ESZ173" s="31"/>
      <c r="ETA173" s="31"/>
      <c r="ETB173" s="31"/>
      <c r="ETC173" s="31"/>
      <c r="ETD173" s="31"/>
      <c r="ETE173" s="31"/>
      <c r="ETF173" s="31"/>
      <c r="ETG173" s="31"/>
      <c r="ETH173" s="31"/>
      <c r="ETI173" s="31"/>
      <c r="ETJ173" s="31"/>
      <c r="ETK173" s="31"/>
      <c r="ETL173" s="31"/>
      <c r="ETM173" s="31"/>
      <c r="ETN173" s="31"/>
      <c r="ETO173" s="31"/>
      <c r="ETP173" s="31"/>
      <c r="ETQ173" s="31"/>
      <c r="ETR173" s="31"/>
      <c r="ETS173" s="31"/>
      <c r="ETT173" s="31"/>
      <c r="ETU173" s="31"/>
      <c r="ETV173" s="31"/>
      <c r="ETW173" s="31"/>
      <c r="ETX173" s="31"/>
      <c r="ETY173" s="31"/>
      <c r="ETZ173" s="31"/>
      <c r="EUA173" s="31"/>
      <c r="EUB173" s="31"/>
      <c r="EUC173" s="31"/>
      <c r="EUD173" s="31"/>
      <c r="EUE173" s="31"/>
      <c r="EUF173" s="31"/>
      <c r="EUG173" s="31"/>
      <c r="EUH173" s="31"/>
      <c r="EUI173" s="31"/>
      <c r="EUJ173" s="31"/>
      <c r="EUK173" s="31"/>
      <c r="EUL173" s="31"/>
      <c r="EUM173" s="31"/>
      <c r="EUN173" s="31"/>
      <c r="EUO173" s="31"/>
      <c r="EUP173" s="31"/>
      <c r="EUQ173" s="31"/>
      <c r="EUR173" s="31"/>
      <c r="EUS173" s="31"/>
      <c r="EUT173" s="31"/>
      <c r="EUU173" s="31"/>
      <c r="EUV173" s="31"/>
      <c r="EUW173" s="31"/>
      <c r="EUX173" s="31"/>
      <c r="EUY173" s="31"/>
      <c r="EUZ173" s="31"/>
      <c r="EVA173" s="31"/>
      <c r="EVB173" s="31"/>
      <c r="EVC173" s="31"/>
      <c r="EVD173" s="31"/>
      <c r="EVE173" s="31"/>
      <c r="EVF173" s="31"/>
      <c r="EVG173" s="31"/>
      <c r="EVH173" s="31"/>
      <c r="EVI173" s="31"/>
      <c r="EVJ173" s="31"/>
      <c r="EVK173" s="31"/>
      <c r="EVL173" s="31"/>
      <c r="EVM173" s="31"/>
      <c r="EVN173" s="31"/>
      <c r="EVO173" s="31"/>
      <c r="EVP173" s="31"/>
      <c r="EVQ173" s="31"/>
      <c r="EVR173" s="31"/>
      <c r="EVS173" s="31"/>
      <c r="EVT173" s="31"/>
      <c r="EVU173" s="31"/>
      <c r="EVV173" s="31"/>
      <c r="EVW173" s="31"/>
      <c r="EVX173" s="31"/>
      <c r="EVY173" s="31"/>
      <c r="EVZ173" s="31"/>
      <c r="EWA173" s="31"/>
      <c r="EWB173" s="31"/>
      <c r="EWC173" s="31"/>
      <c r="EWD173" s="31"/>
      <c r="EWE173" s="31"/>
      <c r="EWF173" s="31"/>
      <c r="EWG173" s="31"/>
      <c r="EWH173" s="31"/>
      <c r="EWI173" s="31"/>
      <c r="EWJ173" s="31"/>
      <c r="EWK173" s="31"/>
      <c r="EWL173" s="31"/>
      <c r="EWM173" s="31"/>
      <c r="EWN173" s="31"/>
      <c r="EWO173" s="31"/>
      <c r="EWP173" s="31"/>
      <c r="EWQ173" s="31"/>
      <c r="EWR173" s="31"/>
      <c r="EWS173" s="31"/>
      <c r="EWT173" s="31"/>
      <c r="EWU173" s="31"/>
      <c r="EWV173" s="31"/>
      <c r="EWW173" s="31"/>
      <c r="EWX173" s="31"/>
      <c r="EWY173" s="31"/>
      <c r="EWZ173" s="31"/>
      <c r="EXA173" s="31"/>
      <c r="EXB173" s="31"/>
      <c r="EXC173" s="31"/>
      <c r="EXD173" s="31"/>
      <c r="EXE173" s="31"/>
      <c r="EXF173" s="31"/>
      <c r="EXG173" s="31"/>
      <c r="EXH173" s="31"/>
      <c r="EXI173" s="31"/>
      <c r="EXJ173" s="31"/>
      <c r="EXK173" s="31"/>
      <c r="EXL173" s="31"/>
      <c r="EXM173" s="31"/>
      <c r="EXN173" s="31"/>
      <c r="EXO173" s="31"/>
      <c r="EXP173" s="31"/>
      <c r="EXQ173" s="31"/>
      <c r="EXR173" s="31"/>
      <c r="EXS173" s="31"/>
      <c r="EXT173" s="31"/>
      <c r="EXU173" s="31"/>
      <c r="EXV173" s="31"/>
      <c r="EXW173" s="31"/>
      <c r="EXX173" s="31"/>
      <c r="EXY173" s="31"/>
      <c r="EXZ173" s="31"/>
      <c r="EYA173" s="31"/>
      <c r="EYB173" s="31"/>
      <c r="EYC173" s="31"/>
      <c r="EYD173" s="31"/>
      <c r="EYE173" s="31"/>
      <c r="EYF173" s="31"/>
      <c r="EYG173" s="31"/>
      <c r="EYH173" s="31"/>
      <c r="EYI173" s="31"/>
      <c r="EYJ173" s="31"/>
      <c r="EYK173" s="31"/>
      <c r="EYL173" s="31"/>
      <c r="EYM173" s="31"/>
      <c r="EYN173" s="31"/>
      <c r="EYO173" s="31"/>
      <c r="EYP173" s="31"/>
      <c r="EYQ173" s="31"/>
      <c r="EYR173" s="31"/>
      <c r="EYS173" s="31"/>
      <c r="EYT173" s="31"/>
      <c r="EYU173" s="31"/>
      <c r="EYV173" s="31"/>
      <c r="EYW173" s="31"/>
      <c r="EYX173" s="31"/>
      <c r="EYY173" s="31"/>
      <c r="EYZ173" s="31"/>
      <c r="EZA173" s="31"/>
      <c r="EZB173" s="31"/>
      <c r="EZC173" s="31"/>
      <c r="EZD173" s="31"/>
      <c r="EZE173" s="31"/>
      <c r="EZF173" s="31"/>
      <c r="EZG173" s="31"/>
      <c r="EZH173" s="31"/>
      <c r="EZI173" s="31"/>
      <c r="EZJ173" s="31"/>
      <c r="EZK173" s="31"/>
      <c r="EZL173" s="31"/>
      <c r="EZM173" s="31"/>
      <c r="EZN173" s="31"/>
      <c r="EZO173" s="31"/>
      <c r="EZP173" s="31"/>
      <c r="EZQ173" s="31"/>
      <c r="EZR173" s="31"/>
      <c r="EZS173" s="31"/>
      <c r="EZT173" s="31"/>
      <c r="EZU173" s="31"/>
      <c r="EZV173" s="31"/>
      <c r="EZW173" s="31"/>
      <c r="EZX173" s="31"/>
      <c r="EZY173" s="31"/>
      <c r="EZZ173" s="31"/>
      <c r="FAA173" s="31"/>
      <c r="FAB173" s="31"/>
      <c r="FAC173" s="31"/>
      <c r="FAD173" s="31"/>
      <c r="FAE173" s="31"/>
      <c r="FAF173" s="31"/>
      <c r="FAG173" s="31"/>
      <c r="FAH173" s="31"/>
      <c r="FAI173" s="31"/>
      <c r="FAJ173" s="31"/>
      <c r="FAK173" s="31"/>
      <c r="FAL173" s="31"/>
      <c r="FAM173" s="31"/>
      <c r="FAN173" s="31"/>
      <c r="FAO173" s="31"/>
      <c r="FAP173" s="31"/>
      <c r="FAQ173" s="31"/>
      <c r="FAR173" s="31"/>
      <c r="FAS173" s="31"/>
      <c r="FAT173" s="31"/>
      <c r="FAU173" s="31"/>
      <c r="FAV173" s="31"/>
      <c r="FAW173" s="31"/>
      <c r="FAX173" s="31"/>
      <c r="FAY173" s="31"/>
      <c r="FAZ173" s="31"/>
      <c r="FBA173" s="31"/>
      <c r="FBB173" s="31"/>
      <c r="FBC173" s="31"/>
      <c r="FBD173" s="31"/>
      <c r="FBE173" s="31"/>
      <c r="FBF173" s="31"/>
      <c r="FBG173" s="31"/>
      <c r="FBH173" s="31"/>
      <c r="FBI173" s="31"/>
      <c r="FBJ173" s="31"/>
      <c r="FBK173" s="31"/>
      <c r="FBL173" s="31"/>
      <c r="FBM173" s="31"/>
      <c r="FBN173" s="31"/>
      <c r="FBO173" s="31"/>
      <c r="FBP173" s="31"/>
      <c r="FBQ173" s="31"/>
      <c r="FBR173" s="31"/>
      <c r="FBS173" s="31"/>
      <c r="FBT173" s="31"/>
      <c r="FBU173" s="31"/>
      <c r="FBV173" s="31"/>
      <c r="FBW173" s="31"/>
      <c r="FBX173" s="31"/>
      <c r="FBY173" s="31"/>
      <c r="FBZ173" s="31"/>
      <c r="FCA173" s="31"/>
      <c r="FCB173" s="31"/>
      <c r="FCC173" s="31"/>
      <c r="FCD173" s="31"/>
      <c r="FCE173" s="31"/>
      <c r="FCF173" s="31"/>
      <c r="FCG173" s="31"/>
      <c r="FCH173" s="31"/>
      <c r="FCI173" s="31"/>
      <c r="FCJ173" s="31"/>
      <c r="FCK173" s="31"/>
      <c r="FCL173" s="31"/>
      <c r="FCM173" s="31"/>
      <c r="FCN173" s="31"/>
      <c r="FCO173" s="31"/>
      <c r="FCP173" s="31"/>
      <c r="FCQ173" s="31"/>
      <c r="FCR173" s="31"/>
      <c r="FCS173" s="31"/>
      <c r="FCT173" s="31"/>
      <c r="FCU173" s="31"/>
      <c r="FCV173" s="31"/>
      <c r="FCW173" s="31"/>
      <c r="FCX173" s="31"/>
      <c r="FCY173" s="31"/>
      <c r="FCZ173" s="31"/>
      <c r="FDA173" s="31"/>
      <c r="FDB173" s="31"/>
      <c r="FDC173" s="31"/>
      <c r="FDD173" s="31"/>
      <c r="FDE173" s="31"/>
      <c r="FDF173" s="31"/>
      <c r="FDG173" s="31"/>
      <c r="FDH173" s="31"/>
      <c r="FDI173" s="31"/>
      <c r="FDJ173" s="31"/>
      <c r="FDK173" s="31"/>
      <c r="FDL173" s="31"/>
      <c r="FDM173" s="31"/>
      <c r="FDN173" s="31"/>
      <c r="FDO173" s="31"/>
      <c r="FDP173" s="31"/>
      <c r="FDQ173" s="31"/>
      <c r="FDR173" s="31"/>
      <c r="FDS173" s="31"/>
      <c r="FDT173" s="31"/>
      <c r="FDU173" s="31"/>
      <c r="FDV173" s="31"/>
      <c r="FDW173" s="31"/>
      <c r="FDX173" s="31"/>
      <c r="FDY173" s="31"/>
      <c r="FDZ173" s="31"/>
      <c r="FEA173" s="31"/>
      <c r="FEB173" s="31"/>
      <c r="FEC173" s="31"/>
      <c r="FED173" s="31"/>
      <c r="FEE173" s="31"/>
      <c r="FEF173" s="31"/>
      <c r="FEG173" s="31"/>
      <c r="FEH173" s="31"/>
      <c r="FEI173" s="31"/>
      <c r="FEJ173" s="31"/>
      <c r="FEK173" s="31"/>
      <c r="FEL173" s="31"/>
      <c r="FEM173" s="31"/>
      <c r="FEN173" s="31"/>
      <c r="FEO173" s="31"/>
      <c r="FEP173" s="31"/>
      <c r="FEQ173" s="31"/>
      <c r="FER173" s="31"/>
      <c r="FES173" s="31"/>
      <c r="FET173" s="31"/>
      <c r="FEU173" s="31"/>
      <c r="FEV173" s="31"/>
      <c r="FEW173" s="31"/>
      <c r="FEX173" s="31"/>
      <c r="FEY173" s="31"/>
      <c r="FEZ173" s="31"/>
      <c r="FFA173" s="31"/>
      <c r="FFB173" s="31"/>
      <c r="FFC173" s="31"/>
      <c r="FFD173" s="31"/>
      <c r="FFE173" s="31"/>
      <c r="FFF173" s="31"/>
      <c r="FFG173" s="31"/>
      <c r="FFH173" s="31"/>
      <c r="FFI173" s="31"/>
      <c r="FFJ173" s="31"/>
      <c r="FFK173" s="31"/>
      <c r="FFL173" s="31"/>
      <c r="FFM173" s="31"/>
      <c r="FFN173" s="31"/>
      <c r="FFO173" s="31"/>
      <c r="FFP173" s="31"/>
      <c r="FFQ173" s="31"/>
      <c r="FFR173" s="31"/>
      <c r="FFS173" s="31"/>
      <c r="FFT173" s="31"/>
      <c r="FFU173" s="31"/>
      <c r="FFV173" s="31"/>
      <c r="FFW173" s="31"/>
      <c r="FFX173" s="31"/>
      <c r="FFY173" s="31"/>
      <c r="FFZ173" s="31"/>
      <c r="FGA173" s="31"/>
      <c r="FGB173" s="31"/>
      <c r="FGC173" s="31"/>
      <c r="FGD173" s="31"/>
      <c r="FGE173" s="31"/>
      <c r="FGF173" s="31"/>
      <c r="FGG173" s="31"/>
      <c r="FGH173" s="31"/>
      <c r="FGI173" s="31"/>
      <c r="FGJ173" s="31"/>
      <c r="FGK173" s="31"/>
      <c r="FGL173" s="31"/>
      <c r="FGM173" s="31"/>
      <c r="FGN173" s="31"/>
      <c r="FGO173" s="31"/>
      <c r="FGP173" s="31"/>
      <c r="FGQ173" s="31"/>
      <c r="FGR173" s="31"/>
      <c r="FGS173" s="31"/>
      <c r="FGT173" s="31"/>
      <c r="FGU173" s="31"/>
      <c r="FGV173" s="31"/>
      <c r="FGW173" s="31"/>
      <c r="FGX173" s="31"/>
      <c r="FGY173" s="31"/>
      <c r="FGZ173" s="31"/>
      <c r="FHA173" s="31"/>
      <c r="FHB173" s="31"/>
      <c r="FHC173" s="31"/>
      <c r="FHD173" s="31"/>
      <c r="FHE173" s="31"/>
      <c r="FHF173" s="31"/>
      <c r="FHG173" s="31"/>
      <c r="FHH173" s="31"/>
      <c r="FHI173" s="31"/>
      <c r="FHJ173" s="31"/>
      <c r="FHK173" s="31"/>
      <c r="FHL173" s="31"/>
      <c r="FHM173" s="31"/>
      <c r="FHN173" s="31"/>
      <c r="FHO173" s="31"/>
      <c r="FHP173" s="31"/>
      <c r="FHQ173" s="31"/>
      <c r="FHR173" s="31"/>
      <c r="FHS173" s="31"/>
      <c r="FHT173" s="31"/>
      <c r="FHU173" s="31"/>
      <c r="FHV173" s="31"/>
      <c r="FHW173" s="31"/>
      <c r="FHX173" s="31"/>
      <c r="FHY173" s="31"/>
      <c r="FHZ173" s="31"/>
      <c r="FIA173" s="31"/>
      <c r="FIB173" s="31"/>
      <c r="FIC173" s="31"/>
      <c r="FID173" s="31"/>
      <c r="FIE173" s="31"/>
      <c r="FIF173" s="31"/>
      <c r="FIG173" s="31"/>
      <c r="FIH173" s="31"/>
      <c r="FII173" s="31"/>
      <c r="FIJ173" s="31"/>
      <c r="FIK173" s="31"/>
      <c r="FIL173" s="31"/>
      <c r="FIM173" s="31"/>
      <c r="FIN173" s="31"/>
      <c r="FIO173" s="31"/>
      <c r="FIP173" s="31"/>
      <c r="FIQ173" s="31"/>
      <c r="FIR173" s="31"/>
      <c r="FIS173" s="31"/>
      <c r="FIT173" s="31"/>
      <c r="FIU173" s="31"/>
      <c r="FIV173" s="31"/>
      <c r="FIW173" s="31"/>
      <c r="FIX173" s="31"/>
      <c r="FIY173" s="31"/>
      <c r="FIZ173" s="31"/>
      <c r="FJA173" s="31"/>
      <c r="FJB173" s="31"/>
      <c r="FJC173" s="31"/>
      <c r="FJD173" s="31"/>
      <c r="FJE173" s="31"/>
      <c r="FJF173" s="31"/>
      <c r="FJG173" s="31"/>
      <c r="FJH173" s="31"/>
      <c r="FJI173" s="31"/>
      <c r="FJJ173" s="31"/>
      <c r="FJK173" s="31"/>
      <c r="FJL173" s="31"/>
      <c r="FJM173" s="31"/>
      <c r="FJN173" s="31"/>
      <c r="FJO173" s="31"/>
      <c r="FJP173" s="31"/>
      <c r="FJQ173" s="31"/>
      <c r="FJR173" s="31"/>
      <c r="FJS173" s="31"/>
      <c r="FJT173" s="31"/>
      <c r="FJU173" s="31"/>
      <c r="FJV173" s="31"/>
      <c r="FJW173" s="31"/>
      <c r="FJX173" s="31"/>
      <c r="FJY173" s="31"/>
      <c r="FJZ173" s="31"/>
      <c r="FKA173" s="31"/>
      <c r="FKB173" s="31"/>
      <c r="FKC173" s="31"/>
      <c r="FKD173" s="31"/>
      <c r="FKE173" s="31"/>
      <c r="FKF173" s="31"/>
      <c r="FKG173" s="31"/>
      <c r="FKH173" s="31"/>
      <c r="FKI173" s="31"/>
      <c r="FKJ173" s="31"/>
      <c r="FKK173" s="31"/>
      <c r="FKL173" s="31"/>
      <c r="FKM173" s="31"/>
      <c r="FKN173" s="31"/>
      <c r="FKO173" s="31"/>
      <c r="FKP173" s="31"/>
      <c r="FKQ173" s="31"/>
      <c r="FKR173" s="31"/>
      <c r="FKS173" s="31"/>
      <c r="FKT173" s="31"/>
      <c r="FKU173" s="31"/>
      <c r="FKV173" s="31"/>
      <c r="FKW173" s="31"/>
      <c r="FKX173" s="31"/>
      <c r="FKY173" s="31"/>
      <c r="FKZ173" s="31"/>
      <c r="FLA173" s="31"/>
      <c r="FLB173" s="31"/>
      <c r="FLC173" s="31"/>
      <c r="FLD173" s="31"/>
      <c r="FLE173" s="31"/>
      <c r="FLF173" s="31"/>
      <c r="FLG173" s="31"/>
      <c r="FLH173" s="31"/>
      <c r="FLI173" s="31"/>
      <c r="FLJ173" s="31"/>
      <c r="FLK173" s="31"/>
      <c r="FLL173" s="31"/>
      <c r="FLM173" s="31"/>
      <c r="FLN173" s="31"/>
      <c r="FLO173" s="31"/>
      <c r="FLP173" s="31"/>
      <c r="FLQ173" s="31"/>
      <c r="FLR173" s="31"/>
      <c r="FLS173" s="31"/>
      <c r="FLT173" s="31"/>
      <c r="FLU173" s="31"/>
      <c r="FLV173" s="31"/>
      <c r="FLW173" s="31"/>
      <c r="FLX173" s="31"/>
      <c r="FLY173" s="31"/>
      <c r="FLZ173" s="31"/>
      <c r="FMA173" s="31"/>
      <c r="FMB173" s="31"/>
      <c r="FMC173" s="31"/>
      <c r="FMD173" s="31"/>
      <c r="FME173" s="31"/>
      <c r="FMF173" s="31"/>
      <c r="FMG173" s="31"/>
      <c r="FMH173" s="31"/>
      <c r="FMI173" s="31"/>
      <c r="FMJ173" s="31"/>
      <c r="FMK173" s="31"/>
      <c r="FML173" s="31"/>
      <c r="FMM173" s="31"/>
      <c r="FMN173" s="31"/>
      <c r="FMO173" s="31"/>
      <c r="FMP173" s="31"/>
      <c r="FMQ173" s="31"/>
      <c r="FMR173" s="31"/>
      <c r="FMS173" s="31"/>
      <c r="FMT173" s="31"/>
      <c r="FMU173" s="31"/>
      <c r="FMV173" s="31"/>
      <c r="FMW173" s="31"/>
      <c r="FMX173" s="31"/>
      <c r="FMY173" s="31"/>
      <c r="FMZ173" s="31"/>
      <c r="FNA173" s="31"/>
      <c r="FNB173" s="31"/>
      <c r="FNC173" s="31"/>
      <c r="FND173" s="31"/>
      <c r="FNE173" s="31"/>
      <c r="FNF173" s="31"/>
      <c r="FNG173" s="31"/>
      <c r="FNH173" s="31"/>
      <c r="FNI173" s="31"/>
      <c r="FNJ173" s="31"/>
      <c r="FNK173" s="31"/>
      <c r="FNL173" s="31"/>
      <c r="FNM173" s="31"/>
      <c r="FNN173" s="31"/>
      <c r="FNO173" s="31"/>
      <c r="FNP173" s="31"/>
      <c r="FNQ173" s="31"/>
      <c r="FNR173" s="31"/>
      <c r="FNS173" s="31"/>
      <c r="FNT173" s="31"/>
      <c r="FNU173" s="31"/>
      <c r="FNV173" s="31"/>
      <c r="FNW173" s="31"/>
      <c r="FNX173" s="31"/>
      <c r="FNY173" s="31"/>
      <c r="FNZ173" s="31"/>
      <c r="FOA173" s="31"/>
      <c r="FOB173" s="31"/>
      <c r="FOC173" s="31"/>
      <c r="FOD173" s="31"/>
      <c r="FOE173" s="31"/>
      <c r="FOF173" s="31"/>
      <c r="FOG173" s="31"/>
      <c r="FOH173" s="31"/>
      <c r="FOI173" s="31"/>
      <c r="FOJ173" s="31"/>
      <c r="FOK173" s="31"/>
      <c r="FOL173" s="31"/>
      <c r="FOM173" s="31"/>
      <c r="FON173" s="31"/>
      <c r="FOO173" s="31"/>
      <c r="FOP173" s="31"/>
      <c r="FOQ173" s="31"/>
      <c r="FOR173" s="31"/>
      <c r="FOS173" s="31"/>
      <c r="FOT173" s="31"/>
      <c r="FOU173" s="31"/>
      <c r="FOV173" s="31"/>
      <c r="FOW173" s="31"/>
      <c r="FOX173" s="31"/>
      <c r="FOY173" s="31"/>
      <c r="FOZ173" s="31"/>
      <c r="FPA173" s="31"/>
      <c r="FPB173" s="31"/>
      <c r="FPC173" s="31"/>
      <c r="FPD173" s="31"/>
      <c r="FPE173" s="31"/>
      <c r="FPF173" s="31"/>
      <c r="FPG173" s="31"/>
      <c r="FPH173" s="31"/>
      <c r="FPI173" s="31"/>
      <c r="FPJ173" s="31"/>
      <c r="FPK173" s="31"/>
      <c r="FPL173" s="31"/>
      <c r="FPM173" s="31"/>
      <c r="FPN173" s="31"/>
      <c r="FPO173" s="31"/>
      <c r="FPP173" s="31"/>
      <c r="FPQ173" s="31"/>
      <c r="FPR173" s="31"/>
      <c r="FPS173" s="31"/>
      <c r="FPT173" s="31"/>
      <c r="FPU173" s="31"/>
      <c r="FPV173" s="31"/>
      <c r="FPW173" s="31"/>
      <c r="FPX173" s="31"/>
      <c r="FPY173" s="31"/>
      <c r="FPZ173" s="31"/>
      <c r="FQA173" s="31"/>
      <c r="FQB173" s="31"/>
      <c r="FQC173" s="31"/>
      <c r="FQD173" s="31"/>
      <c r="FQE173" s="31"/>
      <c r="FQF173" s="31"/>
      <c r="FQG173" s="31"/>
      <c r="FQH173" s="31"/>
      <c r="FQI173" s="31"/>
      <c r="FQJ173" s="31"/>
      <c r="FQK173" s="31"/>
      <c r="FQL173" s="31"/>
      <c r="FQM173" s="31"/>
      <c r="FQN173" s="31"/>
      <c r="FQO173" s="31"/>
      <c r="FQP173" s="31"/>
      <c r="FQQ173" s="31"/>
      <c r="FQR173" s="31"/>
      <c r="FQS173" s="31"/>
      <c r="FQT173" s="31"/>
      <c r="FQU173" s="31"/>
      <c r="FQV173" s="31"/>
      <c r="FQW173" s="31"/>
      <c r="FQX173" s="31"/>
      <c r="FQY173" s="31"/>
      <c r="FQZ173" s="31"/>
      <c r="FRA173" s="31"/>
      <c r="FRB173" s="31"/>
      <c r="FRC173" s="31"/>
      <c r="FRD173" s="31"/>
      <c r="FRE173" s="31"/>
      <c r="FRF173" s="31"/>
      <c r="FRG173" s="31"/>
      <c r="FRH173" s="31"/>
      <c r="FRI173" s="31"/>
      <c r="FRJ173" s="31"/>
      <c r="FRK173" s="31"/>
      <c r="FRL173" s="31"/>
      <c r="FRM173" s="31"/>
      <c r="FRN173" s="31"/>
      <c r="FRO173" s="31"/>
      <c r="FRP173" s="31"/>
      <c r="FRQ173" s="31"/>
      <c r="FRR173" s="31"/>
      <c r="FRS173" s="31"/>
      <c r="FRT173" s="31"/>
      <c r="FRU173" s="31"/>
      <c r="FRV173" s="31"/>
      <c r="FRW173" s="31"/>
      <c r="FRX173" s="31"/>
      <c r="FRY173" s="31"/>
      <c r="FRZ173" s="31"/>
      <c r="FSA173" s="31"/>
      <c r="FSB173" s="31"/>
      <c r="FSC173" s="31"/>
      <c r="FSD173" s="31"/>
      <c r="FSE173" s="31"/>
      <c r="FSF173" s="31"/>
      <c r="FSG173" s="31"/>
      <c r="FSH173" s="31"/>
      <c r="FSI173" s="31"/>
      <c r="FSJ173" s="31"/>
      <c r="FSK173" s="31"/>
      <c r="FSL173" s="31"/>
      <c r="FSM173" s="31"/>
      <c r="FSN173" s="31"/>
      <c r="FSO173" s="31"/>
      <c r="FSP173" s="31"/>
      <c r="FSQ173" s="31"/>
      <c r="FSR173" s="31"/>
      <c r="FSS173" s="31"/>
      <c r="FST173" s="31"/>
      <c r="FSU173" s="31"/>
      <c r="FSV173" s="31"/>
      <c r="FSW173" s="31"/>
      <c r="FSX173" s="31"/>
      <c r="FSY173" s="31"/>
      <c r="FSZ173" s="31"/>
      <c r="FTA173" s="31"/>
      <c r="FTB173" s="31"/>
      <c r="FTC173" s="31"/>
      <c r="FTD173" s="31"/>
      <c r="FTE173" s="31"/>
      <c r="FTF173" s="31"/>
      <c r="FTG173" s="31"/>
      <c r="FTH173" s="31"/>
      <c r="FTI173" s="31"/>
      <c r="FTJ173" s="31"/>
      <c r="FTK173" s="31"/>
      <c r="FTL173" s="31"/>
      <c r="FTM173" s="31"/>
      <c r="FTN173" s="31"/>
      <c r="FTO173" s="31"/>
      <c r="FTP173" s="31"/>
      <c r="FTQ173" s="31"/>
      <c r="FTR173" s="31"/>
      <c r="FTS173" s="31"/>
      <c r="FTT173" s="31"/>
      <c r="FTU173" s="31"/>
      <c r="FTV173" s="31"/>
      <c r="FTW173" s="31"/>
      <c r="FTX173" s="31"/>
      <c r="FTY173" s="31"/>
      <c r="FTZ173" s="31"/>
      <c r="FUA173" s="31"/>
      <c r="FUB173" s="31"/>
      <c r="FUC173" s="31"/>
      <c r="FUD173" s="31"/>
      <c r="FUE173" s="31"/>
      <c r="FUF173" s="31"/>
      <c r="FUG173" s="31"/>
      <c r="FUH173" s="31"/>
      <c r="FUI173" s="31"/>
      <c r="FUJ173" s="31"/>
      <c r="FUK173" s="31"/>
      <c r="FUL173" s="31"/>
      <c r="FUM173" s="31"/>
      <c r="FUN173" s="31"/>
      <c r="FUO173" s="31"/>
      <c r="FUP173" s="31"/>
      <c r="FUQ173" s="31"/>
      <c r="FUR173" s="31"/>
      <c r="FUS173" s="31"/>
      <c r="FUT173" s="31"/>
      <c r="FUU173" s="31"/>
      <c r="FUV173" s="31"/>
      <c r="FUW173" s="31"/>
      <c r="FUX173" s="31"/>
      <c r="FUY173" s="31"/>
      <c r="FUZ173" s="31"/>
      <c r="FVA173" s="31"/>
      <c r="FVB173" s="31"/>
      <c r="FVC173" s="31"/>
      <c r="FVD173" s="31"/>
      <c r="FVE173" s="31"/>
      <c r="FVF173" s="31"/>
      <c r="FVG173" s="31"/>
      <c r="FVH173" s="31"/>
      <c r="FVI173" s="31"/>
      <c r="FVJ173" s="31"/>
      <c r="FVK173" s="31"/>
      <c r="FVL173" s="31"/>
      <c r="FVM173" s="31"/>
      <c r="FVN173" s="31"/>
      <c r="FVO173" s="31"/>
      <c r="FVP173" s="31"/>
      <c r="FVQ173" s="31"/>
      <c r="FVR173" s="31"/>
      <c r="FVS173" s="31"/>
      <c r="FVT173" s="31"/>
      <c r="FVU173" s="31"/>
      <c r="FVV173" s="31"/>
      <c r="FVW173" s="31"/>
      <c r="FVX173" s="31"/>
      <c r="FVY173" s="31"/>
      <c r="FVZ173" s="31"/>
      <c r="FWA173" s="31"/>
      <c r="FWB173" s="31"/>
      <c r="FWC173" s="31"/>
      <c r="FWD173" s="31"/>
      <c r="FWE173" s="31"/>
      <c r="FWF173" s="31"/>
      <c r="FWG173" s="31"/>
      <c r="FWH173" s="31"/>
      <c r="FWI173" s="31"/>
      <c r="FWJ173" s="31"/>
      <c r="FWK173" s="31"/>
      <c r="FWL173" s="31"/>
      <c r="FWM173" s="31"/>
      <c r="FWN173" s="31"/>
      <c r="FWO173" s="31"/>
      <c r="FWP173" s="31"/>
      <c r="FWQ173" s="31"/>
      <c r="FWR173" s="31"/>
      <c r="FWS173" s="31"/>
      <c r="FWT173" s="31"/>
      <c r="FWU173" s="31"/>
      <c r="FWV173" s="31"/>
      <c r="FWW173" s="31"/>
      <c r="FWX173" s="31"/>
      <c r="FWY173" s="31"/>
      <c r="FWZ173" s="31"/>
      <c r="FXA173" s="31"/>
      <c r="FXB173" s="31"/>
      <c r="FXC173" s="31"/>
      <c r="FXD173" s="31"/>
      <c r="FXE173" s="31"/>
      <c r="FXF173" s="31"/>
      <c r="FXG173" s="31"/>
      <c r="FXH173" s="31"/>
      <c r="FXI173" s="31"/>
      <c r="FXJ173" s="31"/>
      <c r="FXK173" s="31"/>
      <c r="FXL173" s="31"/>
      <c r="FXM173" s="31"/>
      <c r="FXN173" s="31"/>
      <c r="FXO173" s="31"/>
      <c r="FXP173" s="31"/>
      <c r="FXQ173" s="31"/>
      <c r="FXR173" s="31"/>
      <c r="FXS173" s="31"/>
      <c r="FXT173" s="31"/>
      <c r="FXU173" s="31"/>
      <c r="FXV173" s="31"/>
      <c r="FXW173" s="31"/>
      <c r="FXX173" s="31"/>
      <c r="FXY173" s="31"/>
      <c r="FXZ173" s="31"/>
      <c r="FYA173" s="31"/>
      <c r="FYB173" s="31"/>
      <c r="FYC173" s="31"/>
      <c r="FYD173" s="31"/>
      <c r="FYE173" s="31"/>
      <c r="FYF173" s="31"/>
      <c r="FYG173" s="31"/>
      <c r="FYH173" s="31"/>
      <c r="FYI173" s="31"/>
      <c r="FYJ173" s="31"/>
      <c r="FYK173" s="31"/>
      <c r="FYL173" s="31"/>
      <c r="FYM173" s="31"/>
      <c r="FYN173" s="31"/>
      <c r="FYO173" s="31"/>
      <c r="FYP173" s="31"/>
      <c r="FYQ173" s="31"/>
      <c r="FYR173" s="31"/>
      <c r="FYS173" s="31"/>
      <c r="FYT173" s="31"/>
      <c r="FYU173" s="31"/>
      <c r="FYV173" s="31"/>
      <c r="FYW173" s="31"/>
      <c r="FYX173" s="31"/>
      <c r="FYY173" s="31"/>
      <c r="FYZ173" s="31"/>
      <c r="FZA173" s="31"/>
      <c r="FZB173" s="31"/>
      <c r="FZC173" s="31"/>
      <c r="FZD173" s="31"/>
      <c r="FZE173" s="31"/>
      <c r="FZF173" s="31"/>
      <c r="FZG173" s="31"/>
      <c r="FZH173" s="31"/>
      <c r="FZI173" s="31"/>
      <c r="FZJ173" s="31"/>
      <c r="FZK173" s="31"/>
      <c r="FZL173" s="31"/>
      <c r="FZM173" s="31"/>
      <c r="FZN173" s="31"/>
      <c r="FZO173" s="31"/>
      <c r="FZP173" s="31"/>
      <c r="FZQ173" s="31"/>
      <c r="FZR173" s="31"/>
      <c r="FZS173" s="31"/>
      <c r="FZT173" s="31"/>
      <c r="FZU173" s="31"/>
      <c r="FZV173" s="31"/>
      <c r="FZW173" s="31"/>
      <c r="FZX173" s="31"/>
      <c r="FZY173" s="31"/>
      <c r="FZZ173" s="31"/>
      <c r="GAA173" s="31"/>
      <c r="GAB173" s="31"/>
      <c r="GAC173" s="31"/>
      <c r="GAD173" s="31"/>
      <c r="GAE173" s="31"/>
      <c r="GAF173" s="31"/>
      <c r="GAG173" s="31"/>
      <c r="GAH173" s="31"/>
      <c r="GAI173" s="31"/>
      <c r="GAJ173" s="31"/>
      <c r="GAK173" s="31"/>
      <c r="GAL173" s="31"/>
      <c r="GAM173" s="31"/>
      <c r="GAN173" s="31"/>
      <c r="GAO173" s="31"/>
      <c r="GAP173" s="31"/>
      <c r="GAQ173" s="31"/>
      <c r="GAR173" s="31"/>
      <c r="GAS173" s="31"/>
      <c r="GAT173" s="31"/>
      <c r="GAU173" s="31"/>
      <c r="GAV173" s="31"/>
      <c r="GAW173" s="31"/>
      <c r="GAX173" s="31"/>
      <c r="GAY173" s="31"/>
      <c r="GAZ173" s="31"/>
      <c r="GBA173" s="31"/>
      <c r="GBB173" s="31"/>
      <c r="GBC173" s="31"/>
      <c r="GBD173" s="31"/>
      <c r="GBE173" s="31"/>
      <c r="GBF173" s="31"/>
      <c r="GBG173" s="31"/>
      <c r="GBH173" s="31"/>
      <c r="GBI173" s="31"/>
      <c r="GBJ173" s="31"/>
      <c r="GBK173" s="31"/>
      <c r="GBL173" s="31"/>
      <c r="GBM173" s="31"/>
      <c r="GBN173" s="31"/>
      <c r="GBO173" s="31"/>
      <c r="GBP173" s="31"/>
      <c r="GBQ173" s="31"/>
      <c r="GBR173" s="31"/>
      <c r="GBS173" s="31"/>
      <c r="GBT173" s="31"/>
      <c r="GBU173" s="31"/>
      <c r="GBV173" s="31"/>
      <c r="GBW173" s="31"/>
      <c r="GBX173" s="31"/>
      <c r="GBY173" s="31"/>
      <c r="GBZ173" s="31"/>
      <c r="GCA173" s="31"/>
      <c r="GCB173" s="31"/>
      <c r="GCC173" s="31"/>
      <c r="GCD173" s="31"/>
      <c r="GCE173" s="31"/>
      <c r="GCF173" s="31"/>
      <c r="GCG173" s="31"/>
      <c r="GCH173" s="31"/>
      <c r="GCI173" s="31"/>
      <c r="GCJ173" s="31"/>
      <c r="GCK173" s="31"/>
      <c r="GCL173" s="31"/>
      <c r="GCM173" s="31"/>
      <c r="GCN173" s="31"/>
      <c r="GCO173" s="31"/>
      <c r="GCP173" s="31"/>
      <c r="GCQ173" s="31"/>
      <c r="GCR173" s="31"/>
      <c r="GCS173" s="31"/>
      <c r="GCT173" s="31"/>
      <c r="GCU173" s="31"/>
      <c r="GCV173" s="31"/>
      <c r="GCW173" s="31"/>
      <c r="GCX173" s="31"/>
      <c r="GCY173" s="31"/>
      <c r="GCZ173" s="31"/>
      <c r="GDA173" s="31"/>
      <c r="GDB173" s="31"/>
      <c r="GDC173" s="31"/>
      <c r="GDD173" s="31"/>
      <c r="GDE173" s="31"/>
      <c r="GDF173" s="31"/>
      <c r="GDG173" s="31"/>
      <c r="GDH173" s="31"/>
      <c r="GDI173" s="31"/>
      <c r="GDJ173" s="31"/>
      <c r="GDK173" s="31"/>
      <c r="GDL173" s="31"/>
      <c r="GDM173" s="31"/>
      <c r="GDN173" s="31"/>
      <c r="GDO173" s="31"/>
      <c r="GDP173" s="31"/>
      <c r="GDQ173" s="31"/>
      <c r="GDR173" s="31"/>
      <c r="GDS173" s="31"/>
      <c r="GDT173" s="31"/>
      <c r="GDU173" s="31"/>
      <c r="GDV173" s="31"/>
      <c r="GDW173" s="31"/>
      <c r="GDX173" s="31"/>
      <c r="GDY173" s="31"/>
      <c r="GDZ173" s="31"/>
      <c r="GEA173" s="31"/>
      <c r="GEB173" s="31"/>
      <c r="GEC173" s="31"/>
      <c r="GED173" s="31"/>
      <c r="GEE173" s="31"/>
      <c r="GEF173" s="31"/>
      <c r="GEG173" s="31"/>
      <c r="GEH173" s="31"/>
      <c r="GEI173" s="31"/>
      <c r="GEJ173" s="31"/>
      <c r="GEK173" s="31"/>
      <c r="GEL173" s="31"/>
      <c r="GEM173" s="31"/>
      <c r="GEN173" s="31"/>
      <c r="GEO173" s="31"/>
      <c r="GEP173" s="31"/>
      <c r="GEQ173" s="31"/>
      <c r="GER173" s="31"/>
      <c r="GES173" s="31"/>
      <c r="GET173" s="31"/>
      <c r="GEU173" s="31"/>
      <c r="GEV173" s="31"/>
      <c r="GEW173" s="31"/>
      <c r="GEX173" s="31"/>
      <c r="GEY173" s="31"/>
      <c r="GEZ173" s="31"/>
      <c r="GFA173" s="31"/>
      <c r="GFB173" s="31"/>
      <c r="GFC173" s="31"/>
      <c r="GFD173" s="31"/>
      <c r="GFE173" s="31"/>
      <c r="GFF173" s="31"/>
      <c r="GFG173" s="31"/>
      <c r="GFH173" s="31"/>
      <c r="GFI173" s="31"/>
      <c r="GFJ173" s="31"/>
      <c r="GFK173" s="31"/>
      <c r="GFL173" s="31"/>
      <c r="GFM173" s="31"/>
      <c r="GFN173" s="31"/>
      <c r="GFO173" s="31"/>
      <c r="GFP173" s="31"/>
      <c r="GFQ173" s="31"/>
      <c r="GFR173" s="31"/>
      <c r="GFS173" s="31"/>
      <c r="GFT173" s="31"/>
      <c r="GFU173" s="31"/>
      <c r="GFV173" s="31"/>
      <c r="GFW173" s="31"/>
      <c r="GFX173" s="31"/>
      <c r="GFY173" s="31"/>
      <c r="GFZ173" s="31"/>
      <c r="GGA173" s="31"/>
      <c r="GGB173" s="31"/>
      <c r="GGC173" s="31"/>
      <c r="GGD173" s="31"/>
      <c r="GGE173" s="31"/>
      <c r="GGF173" s="31"/>
      <c r="GGG173" s="31"/>
      <c r="GGH173" s="31"/>
      <c r="GGI173" s="31"/>
      <c r="GGJ173" s="31"/>
      <c r="GGK173" s="31"/>
      <c r="GGL173" s="31"/>
      <c r="GGM173" s="31"/>
      <c r="GGN173" s="31"/>
      <c r="GGO173" s="31"/>
      <c r="GGP173" s="31"/>
      <c r="GGQ173" s="31"/>
      <c r="GGR173" s="31"/>
      <c r="GGS173" s="31"/>
      <c r="GGT173" s="31"/>
      <c r="GGU173" s="31"/>
      <c r="GGV173" s="31"/>
      <c r="GGW173" s="31"/>
      <c r="GGX173" s="31"/>
      <c r="GGY173" s="31"/>
      <c r="GGZ173" s="31"/>
      <c r="GHA173" s="31"/>
      <c r="GHB173" s="31"/>
      <c r="GHC173" s="31"/>
      <c r="GHD173" s="31"/>
      <c r="GHE173" s="31"/>
      <c r="GHF173" s="31"/>
      <c r="GHG173" s="31"/>
      <c r="GHH173" s="31"/>
      <c r="GHI173" s="31"/>
      <c r="GHJ173" s="31"/>
      <c r="GHK173" s="31"/>
      <c r="GHL173" s="31"/>
      <c r="GHM173" s="31"/>
      <c r="GHN173" s="31"/>
      <c r="GHO173" s="31"/>
      <c r="GHP173" s="31"/>
      <c r="GHQ173" s="31"/>
      <c r="GHR173" s="31"/>
      <c r="GHS173" s="31"/>
      <c r="GHT173" s="31"/>
      <c r="GHU173" s="31"/>
      <c r="GHV173" s="31"/>
      <c r="GHW173" s="31"/>
      <c r="GHX173" s="31"/>
      <c r="GHY173" s="31"/>
      <c r="GHZ173" s="31"/>
      <c r="GIA173" s="31"/>
      <c r="GIB173" s="31"/>
      <c r="GIC173" s="31"/>
      <c r="GID173" s="31"/>
      <c r="GIE173" s="31"/>
      <c r="GIF173" s="31"/>
      <c r="GIG173" s="31"/>
      <c r="GIH173" s="31"/>
      <c r="GII173" s="31"/>
      <c r="GIJ173" s="31"/>
      <c r="GIK173" s="31"/>
      <c r="GIL173" s="31"/>
      <c r="GIM173" s="31"/>
      <c r="GIN173" s="31"/>
      <c r="GIO173" s="31"/>
      <c r="GIP173" s="31"/>
      <c r="GIQ173" s="31"/>
      <c r="GIR173" s="31"/>
      <c r="GIS173" s="31"/>
      <c r="GIT173" s="31"/>
      <c r="GIU173" s="31"/>
      <c r="GIV173" s="31"/>
      <c r="GIW173" s="31"/>
      <c r="GIX173" s="31"/>
      <c r="GIY173" s="31"/>
      <c r="GIZ173" s="31"/>
      <c r="GJA173" s="31"/>
      <c r="GJB173" s="31"/>
      <c r="GJC173" s="31"/>
      <c r="GJD173" s="31"/>
      <c r="GJE173" s="31"/>
      <c r="GJF173" s="31"/>
      <c r="GJG173" s="31"/>
      <c r="GJH173" s="31"/>
      <c r="GJI173" s="31"/>
      <c r="GJJ173" s="31"/>
      <c r="GJK173" s="31"/>
      <c r="GJL173" s="31"/>
      <c r="GJM173" s="31"/>
      <c r="GJN173" s="31"/>
      <c r="GJO173" s="31"/>
      <c r="GJP173" s="31"/>
      <c r="GJQ173" s="31"/>
      <c r="GJR173" s="31"/>
      <c r="GJS173" s="31"/>
      <c r="GJT173" s="31"/>
      <c r="GJU173" s="31"/>
      <c r="GJV173" s="31"/>
      <c r="GJW173" s="31"/>
      <c r="GJX173" s="31"/>
      <c r="GJY173" s="31"/>
      <c r="GJZ173" s="31"/>
      <c r="GKA173" s="31"/>
      <c r="GKB173" s="31"/>
      <c r="GKC173" s="31"/>
      <c r="GKD173" s="31"/>
      <c r="GKE173" s="31"/>
      <c r="GKF173" s="31"/>
      <c r="GKG173" s="31"/>
      <c r="GKH173" s="31"/>
      <c r="GKI173" s="31"/>
      <c r="GKJ173" s="31"/>
      <c r="GKK173" s="31"/>
      <c r="GKL173" s="31"/>
      <c r="GKM173" s="31"/>
      <c r="GKN173" s="31"/>
      <c r="GKO173" s="31"/>
      <c r="GKP173" s="31"/>
      <c r="GKQ173" s="31"/>
      <c r="GKR173" s="31"/>
      <c r="GKS173" s="31"/>
      <c r="GKT173" s="31"/>
      <c r="GKU173" s="31"/>
      <c r="GKV173" s="31"/>
      <c r="GKW173" s="31"/>
      <c r="GKX173" s="31"/>
      <c r="GKY173" s="31"/>
      <c r="GKZ173" s="31"/>
      <c r="GLA173" s="31"/>
      <c r="GLB173" s="31"/>
      <c r="GLC173" s="31"/>
      <c r="GLD173" s="31"/>
      <c r="GLE173" s="31"/>
      <c r="GLF173" s="31"/>
      <c r="GLG173" s="31"/>
      <c r="GLH173" s="31"/>
      <c r="GLI173" s="31"/>
      <c r="GLJ173" s="31"/>
      <c r="GLK173" s="31"/>
      <c r="GLL173" s="31"/>
      <c r="GLM173" s="31"/>
      <c r="GLN173" s="31"/>
      <c r="GLO173" s="31"/>
      <c r="GLP173" s="31"/>
      <c r="GLQ173" s="31"/>
      <c r="GLR173" s="31"/>
      <c r="GLS173" s="31"/>
      <c r="GLT173" s="31"/>
      <c r="GLU173" s="31"/>
      <c r="GLV173" s="31"/>
      <c r="GLW173" s="31"/>
      <c r="GLX173" s="31"/>
      <c r="GLY173" s="31"/>
      <c r="GLZ173" s="31"/>
      <c r="GMA173" s="31"/>
      <c r="GMB173" s="31"/>
      <c r="GMC173" s="31"/>
      <c r="GMD173" s="31"/>
      <c r="GME173" s="31"/>
      <c r="GMF173" s="31"/>
      <c r="GMG173" s="31"/>
      <c r="GMH173" s="31"/>
      <c r="GMI173" s="31"/>
      <c r="GMJ173" s="31"/>
      <c r="GMK173" s="31"/>
      <c r="GML173" s="31"/>
      <c r="GMM173" s="31"/>
      <c r="GMN173" s="31"/>
      <c r="GMO173" s="31"/>
      <c r="GMP173" s="31"/>
      <c r="GMQ173" s="31"/>
      <c r="GMR173" s="31"/>
      <c r="GMS173" s="31"/>
      <c r="GMT173" s="31"/>
      <c r="GMU173" s="31"/>
      <c r="GMV173" s="31"/>
      <c r="GMW173" s="31"/>
      <c r="GMX173" s="31"/>
      <c r="GMY173" s="31"/>
      <c r="GMZ173" s="31"/>
      <c r="GNA173" s="31"/>
      <c r="GNB173" s="31"/>
      <c r="GNC173" s="31"/>
      <c r="GND173" s="31"/>
      <c r="GNE173" s="31"/>
      <c r="GNF173" s="31"/>
      <c r="GNG173" s="31"/>
      <c r="GNH173" s="31"/>
      <c r="GNI173" s="31"/>
      <c r="GNJ173" s="31"/>
      <c r="GNK173" s="31"/>
      <c r="GNL173" s="31"/>
      <c r="GNM173" s="31"/>
      <c r="GNN173" s="31"/>
      <c r="GNO173" s="31"/>
      <c r="GNP173" s="31"/>
      <c r="GNQ173" s="31"/>
      <c r="GNR173" s="31"/>
      <c r="GNS173" s="31"/>
      <c r="GNT173" s="31"/>
      <c r="GNU173" s="31"/>
      <c r="GNV173" s="31"/>
      <c r="GNW173" s="31"/>
      <c r="GNX173" s="31"/>
      <c r="GNY173" s="31"/>
      <c r="GNZ173" s="31"/>
      <c r="GOA173" s="31"/>
      <c r="GOB173" s="31"/>
      <c r="GOC173" s="31"/>
      <c r="GOD173" s="31"/>
      <c r="GOE173" s="31"/>
      <c r="GOF173" s="31"/>
      <c r="GOG173" s="31"/>
      <c r="GOH173" s="31"/>
      <c r="GOI173" s="31"/>
      <c r="GOJ173" s="31"/>
      <c r="GOK173" s="31"/>
      <c r="GOL173" s="31"/>
      <c r="GOM173" s="31"/>
      <c r="GON173" s="31"/>
      <c r="GOO173" s="31"/>
      <c r="GOP173" s="31"/>
      <c r="GOQ173" s="31"/>
      <c r="GOR173" s="31"/>
      <c r="GOS173" s="31"/>
      <c r="GOT173" s="31"/>
      <c r="GOU173" s="31"/>
      <c r="GOV173" s="31"/>
      <c r="GOW173" s="31"/>
      <c r="GOX173" s="31"/>
      <c r="GOY173" s="31"/>
      <c r="GOZ173" s="31"/>
      <c r="GPA173" s="31"/>
      <c r="GPB173" s="31"/>
      <c r="GPC173" s="31"/>
      <c r="GPD173" s="31"/>
      <c r="GPE173" s="31"/>
      <c r="GPF173" s="31"/>
      <c r="GPG173" s="31"/>
      <c r="GPH173" s="31"/>
      <c r="GPI173" s="31"/>
      <c r="GPJ173" s="31"/>
      <c r="GPK173" s="31"/>
      <c r="GPL173" s="31"/>
      <c r="GPM173" s="31"/>
      <c r="GPN173" s="31"/>
      <c r="GPO173" s="31"/>
      <c r="GPP173" s="31"/>
      <c r="GPQ173" s="31"/>
      <c r="GPR173" s="31"/>
      <c r="GPS173" s="31"/>
      <c r="GPT173" s="31"/>
      <c r="GPU173" s="31"/>
      <c r="GPV173" s="31"/>
      <c r="GPW173" s="31"/>
      <c r="GPX173" s="31"/>
      <c r="GPY173" s="31"/>
      <c r="GPZ173" s="31"/>
      <c r="GQA173" s="31"/>
      <c r="GQB173" s="31"/>
      <c r="GQC173" s="31"/>
      <c r="GQD173" s="31"/>
      <c r="GQE173" s="31"/>
      <c r="GQF173" s="31"/>
      <c r="GQG173" s="31"/>
      <c r="GQH173" s="31"/>
      <c r="GQI173" s="31"/>
      <c r="GQJ173" s="31"/>
      <c r="GQK173" s="31"/>
      <c r="GQL173" s="31"/>
      <c r="GQM173" s="31"/>
      <c r="GQN173" s="31"/>
      <c r="GQO173" s="31"/>
      <c r="GQP173" s="31"/>
      <c r="GQQ173" s="31"/>
      <c r="GQR173" s="31"/>
      <c r="GQS173" s="31"/>
      <c r="GQT173" s="31"/>
      <c r="GQU173" s="31"/>
      <c r="GQV173" s="31"/>
      <c r="GQW173" s="31"/>
      <c r="GQX173" s="31"/>
      <c r="GQY173" s="31"/>
      <c r="GQZ173" s="31"/>
      <c r="GRA173" s="31"/>
      <c r="GRB173" s="31"/>
      <c r="GRC173" s="31"/>
      <c r="GRD173" s="31"/>
      <c r="GRE173" s="31"/>
      <c r="GRF173" s="31"/>
      <c r="GRG173" s="31"/>
      <c r="GRH173" s="31"/>
      <c r="GRI173" s="31"/>
      <c r="GRJ173" s="31"/>
      <c r="GRK173" s="31"/>
      <c r="GRL173" s="31"/>
      <c r="GRM173" s="31"/>
      <c r="GRN173" s="31"/>
      <c r="GRO173" s="31"/>
      <c r="GRP173" s="31"/>
      <c r="GRQ173" s="31"/>
      <c r="GRR173" s="31"/>
      <c r="GRS173" s="31"/>
      <c r="GRT173" s="31"/>
      <c r="GRU173" s="31"/>
      <c r="GRV173" s="31"/>
      <c r="GRW173" s="31"/>
      <c r="GRX173" s="31"/>
      <c r="GRY173" s="31"/>
      <c r="GRZ173" s="31"/>
      <c r="GSA173" s="31"/>
      <c r="GSB173" s="31"/>
      <c r="GSC173" s="31"/>
      <c r="GSD173" s="31"/>
      <c r="GSE173" s="31"/>
      <c r="GSF173" s="31"/>
      <c r="GSG173" s="31"/>
      <c r="GSH173" s="31"/>
      <c r="GSI173" s="31"/>
      <c r="GSJ173" s="31"/>
      <c r="GSK173" s="31"/>
      <c r="GSL173" s="31"/>
      <c r="GSM173" s="31"/>
      <c r="GSN173" s="31"/>
      <c r="GSO173" s="31"/>
      <c r="GSP173" s="31"/>
      <c r="GSQ173" s="31"/>
      <c r="GSR173" s="31"/>
      <c r="GSS173" s="31"/>
      <c r="GST173" s="31"/>
      <c r="GSU173" s="31"/>
      <c r="GSV173" s="31"/>
      <c r="GSW173" s="31"/>
      <c r="GSX173" s="31"/>
      <c r="GSY173" s="31"/>
      <c r="GSZ173" s="31"/>
      <c r="GTA173" s="31"/>
      <c r="GTB173" s="31"/>
      <c r="GTC173" s="31"/>
      <c r="GTD173" s="31"/>
      <c r="GTE173" s="31"/>
      <c r="GTF173" s="31"/>
      <c r="GTG173" s="31"/>
      <c r="GTH173" s="31"/>
      <c r="GTI173" s="31"/>
      <c r="GTJ173" s="31"/>
      <c r="GTK173" s="31"/>
      <c r="GTL173" s="31"/>
      <c r="GTM173" s="31"/>
      <c r="GTN173" s="31"/>
      <c r="GTO173" s="31"/>
      <c r="GTP173" s="31"/>
      <c r="GTQ173" s="31"/>
      <c r="GTR173" s="31"/>
      <c r="GTS173" s="31"/>
      <c r="GTT173" s="31"/>
      <c r="GTU173" s="31"/>
      <c r="GTV173" s="31"/>
      <c r="GTW173" s="31"/>
      <c r="GTX173" s="31"/>
      <c r="GTY173" s="31"/>
      <c r="GTZ173" s="31"/>
      <c r="GUA173" s="31"/>
      <c r="GUB173" s="31"/>
      <c r="GUC173" s="31"/>
      <c r="GUD173" s="31"/>
      <c r="GUE173" s="31"/>
      <c r="GUF173" s="31"/>
      <c r="GUG173" s="31"/>
      <c r="GUH173" s="31"/>
      <c r="GUI173" s="31"/>
      <c r="GUJ173" s="31"/>
      <c r="GUK173" s="31"/>
      <c r="GUL173" s="31"/>
      <c r="GUM173" s="31"/>
      <c r="GUN173" s="31"/>
      <c r="GUO173" s="31"/>
      <c r="GUP173" s="31"/>
      <c r="GUQ173" s="31"/>
      <c r="GUR173" s="31"/>
      <c r="GUS173" s="31"/>
      <c r="GUT173" s="31"/>
      <c r="GUU173" s="31"/>
      <c r="GUV173" s="31"/>
      <c r="GUW173" s="31"/>
      <c r="GUX173" s="31"/>
      <c r="GUY173" s="31"/>
      <c r="GUZ173" s="31"/>
      <c r="GVA173" s="31"/>
      <c r="GVB173" s="31"/>
      <c r="GVC173" s="31"/>
      <c r="GVD173" s="31"/>
      <c r="GVE173" s="31"/>
      <c r="GVF173" s="31"/>
      <c r="GVG173" s="31"/>
      <c r="GVH173" s="31"/>
      <c r="GVI173" s="31"/>
      <c r="GVJ173" s="31"/>
      <c r="GVK173" s="31"/>
      <c r="GVL173" s="31"/>
      <c r="GVM173" s="31"/>
      <c r="GVN173" s="31"/>
      <c r="GVO173" s="31"/>
      <c r="GVP173" s="31"/>
      <c r="GVQ173" s="31"/>
      <c r="GVR173" s="31"/>
      <c r="GVS173" s="31"/>
      <c r="GVT173" s="31"/>
      <c r="GVU173" s="31"/>
      <c r="GVV173" s="31"/>
      <c r="GVW173" s="31"/>
      <c r="GVX173" s="31"/>
      <c r="GVY173" s="31"/>
      <c r="GVZ173" s="31"/>
      <c r="GWA173" s="31"/>
      <c r="GWB173" s="31"/>
      <c r="GWC173" s="31"/>
      <c r="GWD173" s="31"/>
      <c r="GWE173" s="31"/>
      <c r="GWF173" s="31"/>
      <c r="GWG173" s="31"/>
      <c r="GWH173" s="31"/>
      <c r="GWI173" s="31"/>
      <c r="GWJ173" s="31"/>
      <c r="GWK173" s="31"/>
      <c r="GWL173" s="31"/>
      <c r="GWM173" s="31"/>
      <c r="GWN173" s="31"/>
      <c r="GWO173" s="31"/>
      <c r="GWP173" s="31"/>
      <c r="GWQ173" s="31"/>
      <c r="GWR173" s="31"/>
      <c r="GWS173" s="31"/>
      <c r="GWT173" s="31"/>
      <c r="GWU173" s="31"/>
      <c r="GWV173" s="31"/>
      <c r="GWW173" s="31"/>
      <c r="GWX173" s="31"/>
      <c r="GWY173" s="31"/>
      <c r="GWZ173" s="31"/>
      <c r="GXA173" s="31"/>
      <c r="GXB173" s="31"/>
      <c r="GXC173" s="31"/>
      <c r="GXD173" s="31"/>
      <c r="GXE173" s="31"/>
      <c r="GXF173" s="31"/>
      <c r="GXG173" s="31"/>
      <c r="GXH173" s="31"/>
      <c r="GXI173" s="31"/>
      <c r="GXJ173" s="31"/>
      <c r="GXK173" s="31"/>
      <c r="GXL173" s="31"/>
      <c r="GXM173" s="31"/>
      <c r="GXN173" s="31"/>
      <c r="GXO173" s="31"/>
      <c r="GXP173" s="31"/>
      <c r="GXQ173" s="31"/>
      <c r="GXR173" s="31"/>
      <c r="GXS173" s="31"/>
      <c r="GXT173" s="31"/>
      <c r="GXU173" s="31"/>
      <c r="GXV173" s="31"/>
      <c r="GXW173" s="31"/>
      <c r="GXX173" s="31"/>
      <c r="GXY173" s="31"/>
      <c r="GXZ173" s="31"/>
      <c r="GYA173" s="31"/>
      <c r="GYB173" s="31"/>
      <c r="GYC173" s="31"/>
      <c r="GYD173" s="31"/>
      <c r="GYE173" s="31"/>
      <c r="GYF173" s="31"/>
      <c r="GYG173" s="31"/>
      <c r="GYH173" s="31"/>
      <c r="GYI173" s="31"/>
      <c r="GYJ173" s="31"/>
      <c r="GYK173" s="31"/>
      <c r="GYL173" s="31"/>
      <c r="GYM173" s="31"/>
      <c r="GYN173" s="31"/>
      <c r="GYO173" s="31"/>
      <c r="GYP173" s="31"/>
      <c r="GYQ173" s="31"/>
      <c r="GYR173" s="31"/>
      <c r="GYS173" s="31"/>
      <c r="GYT173" s="31"/>
      <c r="GYU173" s="31"/>
      <c r="GYV173" s="31"/>
      <c r="GYW173" s="31"/>
      <c r="GYX173" s="31"/>
      <c r="GYY173" s="31"/>
      <c r="GYZ173" s="31"/>
      <c r="GZA173" s="31"/>
      <c r="GZB173" s="31"/>
      <c r="GZC173" s="31"/>
      <c r="GZD173" s="31"/>
      <c r="GZE173" s="31"/>
      <c r="GZF173" s="31"/>
      <c r="GZG173" s="31"/>
      <c r="GZH173" s="31"/>
      <c r="GZI173" s="31"/>
      <c r="GZJ173" s="31"/>
      <c r="GZK173" s="31"/>
      <c r="GZL173" s="31"/>
      <c r="GZM173" s="31"/>
      <c r="GZN173" s="31"/>
      <c r="GZO173" s="31"/>
      <c r="GZP173" s="31"/>
      <c r="GZQ173" s="31"/>
      <c r="GZR173" s="31"/>
      <c r="GZS173" s="31"/>
      <c r="GZT173" s="31"/>
      <c r="GZU173" s="31"/>
      <c r="GZV173" s="31"/>
      <c r="GZW173" s="31"/>
      <c r="GZX173" s="31"/>
      <c r="GZY173" s="31"/>
      <c r="GZZ173" s="31"/>
      <c r="HAA173" s="31"/>
      <c r="HAB173" s="31"/>
      <c r="HAC173" s="31"/>
      <c r="HAD173" s="31"/>
      <c r="HAE173" s="31"/>
      <c r="HAF173" s="31"/>
      <c r="HAG173" s="31"/>
      <c r="HAH173" s="31"/>
      <c r="HAI173" s="31"/>
      <c r="HAJ173" s="31"/>
      <c r="HAK173" s="31"/>
      <c r="HAL173" s="31"/>
      <c r="HAM173" s="31"/>
      <c r="HAN173" s="31"/>
      <c r="HAO173" s="31"/>
      <c r="HAP173" s="31"/>
      <c r="HAQ173" s="31"/>
      <c r="HAR173" s="31"/>
      <c r="HAS173" s="31"/>
      <c r="HAT173" s="31"/>
      <c r="HAU173" s="31"/>
      <c r="HAV173" s="31"/>
      <c r="HAW173" s="31"/>
      <c r="HAX173" s="31"/>
      <c r="HAY173" s="31"/>
      <c r="HAZ173" s="31"/>
      <c r="HBA173" s="31"/>
      <c r="HBB173" s="31"/>
      <c r="HBC173" s="31"/>
      <c r="HBD173" s="31"/>
      <c r="HBE173" s="31"/>
      <c r="HBF173" s="31"/>
      <c r="HBG173" s="31"/>
      <c r="HBH173" s="31"/>
      <c r="HBI173" s="31"/>
      <c r="HBJ173" s="31"/>
      <c r="HBK173" s="31"/>
      <c r="HBL173" s="31"/>
      <c r="HBM173" s="31"/>
      <c r="HBN173" s="31"/>
      <c r="HBO173" s="31"/>
      <c r="HBP173" s="31"/>
      <c r="HBQ173" s="31"/>
      <c r="HBR173" s="31"/>
      <c r="HBS173" s="31"/>
      <c r="HBT173" s="31"/>
      <c r="HBU173" s="31"/>
      <c r="HBV173" s="31"/>
      <c r="HBW173" s="31"/>
      <c r="HBX173" s="31"/>
      <c r="HBY173" s="31"/>
      <c r="HBZ173" s="31"/>
      <c r="HCA173" s="31"/>
      <c r="HCB173" s="31"/>
      <c r="HCC173" s="31"/>
      <c r="HCD173" s="31"/>
      <c r="HCE173" s="31"/>
      <c r="HCF173" s="31"/>
      <c r="HCG173" s="31"/>
      <c r="HCH173" s="31"/>
      <c r="HCI173" s="31"/>
      <c r="HCJ173" s="31"/>
      <c r="HCK173" s="31"/>
      <c r="HCL173" s="31"/>
      <c r="HCM173" s="31"/>
      <c r="HCN173" s="31"/>
      <c r="HCO173" s="31"/>
      <c r="HCP173" s="31"/>
      <c r="HCQ173" s="31"/>
      <c r="HCR173" s="31"/>
      <c r="HCS173" s="31"/>
      <c r="HCT173" s="31"/>
      <c r="HCU173" s="31"/>
      <c r="HCV173" s="31"/>
      <c r="HCW173" s="31"/>
      <c r="HCX173" s="31"/>
      <c r="HCY173" s="31"/>
      <c r="HCZ173" s="31"/>
      <c r="HDA173" s="31"/>
      <c r="HDB173" s="31"/>
      <c r="HDC173" s="31"/>
      <c r="HDD173" s="31"/>
      <c r="HDE173" s="31"/>
      <c r="HDF173" s="31"/>
      <c r="HDG173" s="31"/>
      <c r="HDH173" s="31"/>
      <c r="HDI173" s="31"/>
      <c r="HDJ173" s="31"/>
      <c r="HDK173" s="31"/>
      <c r="HDL173" s="31"/>
      <c r="HDM173" s="31"/>
      <c r="HDN173" s="31"/>
      <c r="HDO173" s="31"/>
      <c r="HDP173" s="31"/>
      <c r="HDQ173" s="31"/>
      <c r="HDR173" s="31"/>
      <c r="HDS173" s="31"/>
      <c r="HDT173" s="31"/>
      <c r="HDU173" s="31"/>
      <c r="HDV173" s="31"/>
      <c r="HDW173" s="31"/>
      <c r="HDX173" s="31"/>
      <c r="HDY173" s="31"/>
      <c r="HDZ173" s="31"/>
      <c r="HEA173" s="31"/>
      <c r="HEB173" s="31"/>
      <c r="HEC173" s="31"/>
      <c r="HED173" s="31"/>
      <c r="HEE173" s="31"/>
      <c r="HEF173" s="31"/>
      <c r="HEG173" s="31"/>
      <c r="HEH173" s="31"/>
      <c r="HEI173" s="31"/>
      <c r="HEJ173" s="31"/>
      <c r="HEK173" s="31"/>
      <c r="HEL173" s="31"/>
      <c r="HEM173" s="31"/>
      <c r="HEN173" s="31"/>
      <c r="HEO173" s="31"/>
      <c r="HEP173" s="31"/>
      <c r="HEQ173" s="31"/>
      <c r="HER173" s="31"/>
      <c r="HES173" s="31"/>
      <c r="HET173" s="31"/>
      <c r="HEU173" s="31"/>
      <c r="HEV173" s="31"/>
      <c r="HEW173" s="31"/>
      <c r="HEX173" s="31"/>
      <c r="HEY173" s="31"/>
      <c r="HEZ173" s="31"/>
      <c r="HFA173" s="31"/>
      <c r="HFB173" s="31"/>
      <c r="HFC173" s="31"/>
      <c r="HFD173" s="31"/>
      <c r="HFE173" s="31"/>
      <c r="HFF173" s="31"/>
      <c r="HFG173" s="31"/>
      <c r="HFH173" s="31"/>
      <c r="HFI173" s="31"/>
      <c r="HFJ173" s="31"/>
      <c r="HFK173" s="31"/>
      <c r="HFL173" s="31"/>
      <c r="HFM173" s="31"/>
      <c r="HFN173" s="31"/>
      <c r="HFO173" s="31"/>
      <c r="HFP173" s="31"/>
      <c r="HFQ173" s="31"/>
      <c r="HFR173" s="31"/>
      <c r="HFS173" s="31"/>
      <c r="HFT173" s="31"/>
      <c r="HFU173" s="31"/>
      <c r="HFV173" s="31"/>
      <c r="HFW173" s="31"/>
      <c r="HFX173" s="31"/>
      <c r="HFY173" s="31"/>
      <c r="HFZ173" s="31"/>
      <c r="HGA173" s="31"/>
      <c r="HGB173" s="31"/>
      <c r="HGC173" s="31"/>
      <c r="HGD173" s="31"/>
      <c r="HGE173" s="31"/>
      <c r="HGF173" s="31"/>
      <c r="HGG173" s="31"/>
      <c r="HGH173" s="31"/>
      <c r="HGI173" s="31"/>
      <c r="HGJ173" s="31"/>
      <c r="HGK173" s="31"/>
      <c r="HGL173" s="31"/>
      <c r="HGM173" s="31"/>
      <c r="HGN173" s="31"/>
      <c r="HGO173" s="31"/>
      <c r="HGP173" s="31"/>
      <c r="HGQ173" s="31"/>
      <c r="HGR173" s="31"/>
      <c r="HGS173" s="31"/>
      <c r="HGT173" s="31"/>
      <c r="HGU173" s="31"/>
      <c r="HGV173" s="31"/>
      <c r="HGW173" s="31"/>
      <c r="HGX173" s="31"/>
      <c r="HGY173" s="31"/>
      <c r="HGZ173" s="31"/>
      <c r="HHA173" s="31"/>
      <c r="HHB173" s="31"/>
      <c r="HHC173" s="31"/>
      <c r="HHD173" s="31"/>
      <c r="HHE173" s="31"/>
      <c r="HHF173" s="31"/>
      <c r="HHG173" s="31"/>
      <c r="HHH173" s="31"/>
      <c r="HHI173" s="31"/>
      <c r="HHJ173" s="31"/>
      <c r="HHK173" s="31"/>
      <c r="HHL173" s="31"/>
      <c r="HHM173" s="31"/>
      <c r="HHN173" s="31"/>
      <c r="HHO173" s="31"/>
      <c r="HHP173" s="31"/>
      <c r="HHQ173" s="31"/>
      <c r="HHR173" s="31"/>
      <c r="HHS173" s="31"/>
      <c r="HHT173" s="31"/>
      <c r="HHU173" s="31"/>
      <c r="HHV173" s="31"/>
      <c r="HHW173" s="31"/>
      <c r="HHX173" s="31"/>
      <c r="HHY173" s="31"/>
      <c r="HHZ173" s="31"/>
      <c r="HIA173" s="31"/>
      <c r="HIB173" s="31"/>
      <c r="HIC173" s="31"/>
      <c r="HID173" s="31"/>
      <c r="HIE173" s="31"/>
      <c r="HIF173" s="31"/>
      <c r="HIG173" s="31"/>
      <c r="HIH173" s="31"/>
      <c r="HII173" s="31"/>
      <c r="HIJ173" s="31"/>
      <c r="HIK173" s="31"/>
      <c r="HIL173" s="31"/>
      <c r="HIM173" s="31"/>
      <c r="HIN173" s="31"/>
      <c r="HIO173" s="31"/>
      <c r="HIP173" s="31"/>
      <c r="HIQ173" s="31"/>
      <c r="HIR173" s="31"/>
      <c r="HIS173" s="31"/>
      <c r="HIT173" s="31"/>
      <c r="HIU173" s="31"/>
      <c r="HIV173" s="31"/>
      <c r="HIW173" s="31"/>
      <c r="HIX173" s="31"/>
      <c r="HIY173" s="31"/>
      <c r="HIZ173" s="31"/>
      <c r="HJA173" s="31"/>
      <c r="HJB173" s="31"/>
      <c r="HJC173" s="31"/>
      <c r="HJD173" s="31"/>
      <c r="HJE173" s="31"/>
      <c r="HJF173" s="31"/>
      <c r="HJG173" s="31"/>
      <c r="HJH173" s="31"/>
      <c r="HJI173" s="31"/>
      <c r="HJJ173" s="31"/>
      <c r="HJK173" s="31"/>
      <c r="HJL173" s="31"/>
      <c r="HJM173" s="31"/>
      <c r="HJN173" s="31"/>
      <c r="HJO173" s="31"/>
      <c r="HJP173" s="31"/>
      <c r="HJQ173" s="31"/>
      <c r="HJR173" s="31"/>
      <c r="HJS173" s="31"/>
      <c r="HJT173" s="31"/>
      <c r="HJU173" s="31"/>
      <c r="HJV173" s="31"/>
      <c r="HJW173" s="31"/>
      <c r="HJX173" s="31"/>
      <c r="HJY173" s="31"/>
      <c r="HJZ173" s="31"/>
      <c r="HKA173" s="31"/>
      <c r="HKB173" s="31"/>
      <c r="HKC173" s="31"/>
      <c r="HKD173" s="31"/>
      <c r="HKE173" s="31"/>
      <c r="HKF173" s="31"/>
      <c r="HKG173" s="31"/>
      <c r="HKH173" s="31"/>
      <c r="HKI173" s="31"/>
      <c r="HKJ173" s="31"/>
      <c r="HKK173" s="31"/>
      <c r="HKL173" s="31"/>
      <c r="HKM173" s="31"/>
      <c r="HKN173" s="31"/>
      <c r="HKO173" s="31"/>
      <c r="HKP173" s="31"/>
      <c r="HKQ173" s="31"/>
      <c r="HKR173" s="31"/>
      <c r="HKS173" s="31"/>
      <c r="HKT173" s="31"/>
      <c r="HKU173" s="31"/>
      <c r="HKV173" s="31"/>
      <c r="HKW173" s="31"/>
      <c r="HKX173" s="31"/>
      <c r="HKY173" s="31"/>
      <c r="HKZ173" s="31"/>
      <c r="HLA173" s="31"/>
      <c r="HLB173" s="31"/>
      <c r="HLC173" s="31"/>
      <c r="HLD173" s="31"/>
      <c r="HLE173" s="31"/>
      <c r="HLF173" s="31"/>
      <c r="HLG173" s="31"/>
      <c r="HLH173" s="31"/>
      <c r="HLI173" s="31"/>
      <c r="HLJ173" s="31"/>
      <c r="HLK173" s="31"/>
      <c r="HLL173" s="31"/>
      <c r="HLM173" s="31"/>
      <c r="HLN173" s="31"/>
      <c r="HLO173" s="31"/>
      <c r="HLP173" s="31"/>
      <c r="HLQ173" s="31"/>
      <c r="HLR173" s="31"/>
      <c r="HLS173" s="31"/>
      <c r="HLT173" s="31"/>
      <c r="HLU173" s="31"/>
      <c r="HLV173" s="31"/>
      <c r="HLW173" s="31"/>
      <c r="HLX173" s="31"/>
      <c r="HLY173" s="31"/>
      <c r="HLZ173" s="31"/>
      <c r="HMA173" s="31"/>
      <c r="HMB173" s="31"/>
      <c r="HMC173" s="31"/>
      <c r="HMD173" s="31"/>
      <c r="HME173" s="31"/>
      <c r="HMF173" s="31"/>
      <c r="HMG173" s="31"/>
      <c r="HMH173" s="31"/>
      <c r="HMI173" s="31"/>
      <c r="HMJ173" s="31"/>
      <c r="HMK173" s="31"/>
      <c r="HML173" s="31"/>
      <c r="HMM173" s="31"/>
      <c r="HMN173" s="31"/>
      <c r="HMO173" s="31"/>
      <c r="HMP173" s="31"/>
      <c r="HMQ173" s="31"/>
      <c r="HMR173" s="31"/>
      <c r="HMS173" s="31"/>
      <c r="HMT173" s="31"/>
      <c r="HMU173" s="31"/>
      <c r="HMV173" s="31"/>
      <c r="HMW173" s="31"/>
      <c r="HMX173" s="31"/>
      <c r="HMY173" s="31"/>
      <c r="HMZ173" s="31"/>
      <c r="HNA173" s="31"/>
      <c r="HNB173" s="31"/>
      <c r="HNC173" s="31"/>
      <c r="HND173" s="31"/>
      <c r="HNE173" s="31"/>
      <c r="HNF173" s="31"/>
      <c r="HNG173" s="31"/>
      <c r="HNH173" s="31"/>
      <c r="HNI173" s="31"/>
      <c r="HNJ173" s="31"/>
      <c r="HNK173" s="31"/>
      <c r="HNL173" s="31"/>
      <c r="HNM173" s="31"/>
      <c r="HNN173" s="31"/>
      <c r="HNO173" s="31"/>
      <c r="HNP173" s="31"/>
      <c r="HNQ173" s="31"/>
      <c r="HNR173" s="31"/>
      <c r="HNS173" s="31"/>
      <c r="HNT173" s="31"/>
      <c r="HNU173" s="31"/>
      <c r="HNV173" s="31"/>
      <c r="HNW173" s="31"/>
      <c r="HNX173" s="31"/>
      <c r="HNY173" s="31"/>
      <c r="HNZ173" s="31"/>
      <c r="HOA173" s="31"/>
      <c r="HOB173" s="31"/>
      <c r="HOC173" s="31"/>
      <c r="HOD173" s="31"/>
      <c r="HOE173" s="31"/>
      <c r="HOF173" s="31"/>
      <c r="HOG173" s="31"/>
      <c r="HOH173" s="31"/>
      <c r="HOI173" s="31"/>
      <c r="HOJ173" s="31"/>
      <c r="HOK173" s="31"/>
      <c r="HOL173" s="31"/>
      <c r="HOM173" s="31"/>
      <c r="HON173" s="31"/>
      <c r="HOO173" s="31"/>
      <c r="HOP173" s="31"/>
      <c r="HOQ173" s="31"/>
      <c r="HOR173" s="31"/>
      <c r="HOS173" s="31"/>
      <c r="HOT173" s="31"/>
      <c r="HOU173" s="31"/>
      <c r="HOV173" s="31"/>
      <c r="HOW173" s="31"/>
      <c r="HOX173" s="31"/>
      <c r="HOY173" s="31"/>
      <c r="HOZ173" s="31"/>
      <c r="HPA173" s="31"/>
      <c r="HPB173" s="31"/>
      <c r="HPC173" s="31"/>
      <c r="HPD173" s="31"/>
      <c r="HPE173" s="31"/>
      <c r="HPF173" s="31"/>
      <c r="HPG173" s="31"/>
      <c r="HPH173" s="31"/>
      <c r="HPI173" s="31"/>
      <c r="HPJ173" s="31"/>
      <c r="HPK173" s="31"/>
      <c r="HPL173" s="31"/>
      <c r="HPM173" s="31"/>
      <c r="HPN173" s="31"/>
      <c r="HPO173" s="31"/>
      <c r="HPP173" s="31"/>
      <c r="HPQ173" s="31"/>
      <c r="HPR173" s="31"/>
      <c r="HPS173" s="31"/>
      <c r="HPT173" s="31"/>
      <c r="HPU173" s="31"/>
      <c r="HPV173" s="31"/>
      <c r="HPW173" s="31"/>
      <c r="HPX173" s="31"/>
      <c r="HPY173" s="31"/>
      <c r="HPZ173" s="31"/>
      <c r="HQA173" s="31"/>
      <c r="HQB173" s="31"/>
      <c r="HQC173" s="31"/>
      <c r="HQD173" s="31"/>
      <c r="HQE173" s="31"/>
      <c r="HQF173" s="31"/>
      <c r="HQG173" s="31"/>
      <c r="HQH173" s="31"/>
      <c r="HQI173" s="31"/>
      <c r="HQJ173" s="31"/>
      <c r="HQK173" s="31"/>
      <c r="HQL173" s="31"/>
      <c r="HQM173" s="31"/>
      <c r="HQN173" s="31"/>
      <c r="HQO173" s="31"/>
      <c r="HQP173" s="31"/>
      <c r="HQQ173" s="31"/>
      <c r="HQR173" s="31"/>
      <c r="HQS173" s="31"/>
      <c r="HQT173" s="31"/>
      <c r="HQU173" s="31"/>
      <c r="HQV173" s="31"/>
      <c r="HQW173" s="31"/>
      <c r="HQX173" s="31"/>
      <c r="HQY173" s="31"/>
      <c r="HQZ173" s="31"/>
      <c r="HRA173" s="31"/>
      <c r="HRB173" s="31"/>
      <c r="HRC173" s="31"/>
      <c r="HRD173" s="31"/>
      <c r="HRE173" s="31"/>
      <c r="HRF173" s="31"/>
      <c r="HRG173" s="31"/>
      <c r="HRH173" s="31"/>
      <c r="HRI173" s="31"/>
      <c r="HRJ173" s="31"/>
      <c r="HRK173" s="31"/>
      <c r="HRL173" s="31"/>
      <c r="HRM173" s="31"/>
      <c r="HRN173" s="31"/>
      <c r="HRO173" s="31"/>
      <c r="HRP173" s="31"/>
      <c r="HRQ173" s="31"/>
      <c r="HRR173" s="31"/>
      <c r="HRS173" s="31"/>
      <c r="HRT173" s="31"/>
      <c r="HRU173" s="31"/>
      <c r="HRV173" s="31"/>
      <c r="HRW173" s="31"/>
      <c r="HRX173" s="31"/>
      <c r="HRY173" s="31"/>
      <c r="HRZ173" s="31"/>
      <c r="HSA173" s="31"/>
      <c r="HSB173" s="31"/>
      <c r="HSC173" s="31"/>
      <c r="HSD173" s="31"/>
      <c r="HSE173" s="31"/>
      <c r="HSF173" s="31"/>
      <c r="HSG173" s="31"/>
      <c r="HSH173" s="31"/>
      <c r="HSI173" s="31"/>
      <c r="HSJ173" s="31"/>
      <c r="HSK173" s="31"/>
      <c r="HSL173" s="31"/>
      <c r="HSM173" s="31"/>
      <c r="HSN173" s="31"/>
      <c r="HSO173" s="31"/>
      <c r="HSP173" s="31"/>
      <c r="HSQ173" s="31"/>
      <c r="HSR173" s="31"/>
      <c r="HSS173" s="31"/>
      <c r="HST173" s="31"/>
      <c r="HSU173" s="31"/>
      <c r="HSV173" s="31"/>
      <c r="HSW173" s="31"/>
      <c r="HSX173" s="31"/>
      <c r="HSY173" s="31"/>
      <c r="HSZ173" s="31"/>
      <c r="HTA173" s="31"/>
      <c r="HTB173" s="31"/>
      <c r="HTC173" s="31"/>
      <c r="HTD173" s="31"/>
      <c r="HTE173" s="31"/>
      <c r="HTF173" s="31"/>
      <c r="HTG173" s="31"/>
      <c r="HTH173" s="31"/>
      <c r="HTI173" s="31"/>
      <c r="HTJ173" s="31"/>
      <c r="HTK173" s="31"/>
      <c r="HTL173" s="31"/>
      <c r="HTM173" s="31"/>
      <c r="HTN173" s="31"/>
      <c r="HTO173" s="31"/>
      <c r="HTP173" s="31"/>
      <c r="HTQ173" s="31"/>
      <c r="HTR173" s="31"/>
      <c r="HTS173" s="31"/>
      <c r="HTT173" s="31"/>
      <c r="HTU173" s="31"/>
      <c r="HTV173" s="31"/>
      <c r="HTW173" s="31"/>
      <c r="HTX173" s="31"/>
      <c r="HTY173" s="31"/>
      <c r="HTZ173" s="31"/>
      <c r="HUA173" s="31"/>
      <c r="HUB173" s="31"/>
      <c r="HUC173" s="31"/>
      <c r="HUD173" s="31"/>
      <c r="HUE173" s="31"/>
      <c r="HUF173" s="31"/>
      <c r="HUG173" s="31"/>
      <c r="HUH173" s="31"/>
      <c r="HUI173" s="31"/>
      <c r="HUJ173" s="31"/>
      <c r="HUK173" s="31"/>
      <c r="HUL173" s="31"/>
      <c r="HUM173" s="31"/>
      <c r="HUN173" s="31"/>
      <c r="HUO173" s="31"/>
      <c r="HUP173" s="31"/>
      <c r="HUQ173" s="31"/>
      <c r="HUR173" s="31"/>
      <c r="HUS173" s="31"/>
      <c r="HUT173" s="31"/>
      <c r="HUU173" s="31"/>
      <c r="HUV173" s="31"/>
      <c r="HUW173" s="31"/>
      <c r="HUX173" s="31"/>
      <c r="HUY173" s="31"/>
      <c r="HUZ173" s="31"/>
      <c r="HVA173" s="31"/>
      <c r="HVB173" s="31"/>
      <c r="HVC173" s="31"/>
      <c r="HVD173" s="31"/>
      <c r="HVE173" s="31"/>
      <c r="HVF173" s="31"/>
      <c r="HVG173" s="31"/>
      <c r="HVH173" s="31"/>
      <c r="HVI173" s="31"/>
      <c r="HVJ173" s="31"/>
      <c r="HVK173" s="31"/>
      <c r="HVL173" s="31"/>
      <c r="HVM173" s="31"/>
      <c r="HVN173" s="31"/>
      <c r="HVO173" s="31"/>
      <c r="HVP173" s="31"/>
      <c r="HVQ173" s="31"/>
      <c r="HVR173" s="31"/>
      <c r="HVS173" s="31"/>
      <c r="HVT173" s="31"/>
      <c r="HVU173" s="31"/>
      <c r="HVV173" s="31"/>
      <c r="HVW173" s="31"/>
      <c r="HVX173" s="31"/>
      <c r="HVY173" s="31"/>
      <c r="HVZ173" s="31"/>
      <c r="HWA173" s="31"/>
      <c r="HWB173" s="31"/>
      <c r="HWC173" s="31"/>
      <c r="HWD173" s="31"/>
      <c r="HWE173" s="31"/>
      <c r="HWF173" s="31"/>
      <c r="HWG173" s="31"/>
      <c r="HWH173" s="31"/>
      <c r="HWI173" s="31"/>
      <c r="HWJ173" s="31"/>
      <c r="HWK173" s="31"/>
      <c r="HWL173" s="31"/>
      <c r="HWM173" s="31"/>
      <c r="HWN173" s="31"/>
      <c r="HWO173" s="31"/>
      <c r="HWP173" s="31"/>
      <c r="HWQ173" s="31"/>
      <c r="HWR173" s="31"/>
      <c r="HWS173" s="31"/>
      <c r="HWT173" s="31"/>
      <c r="HWU173" s="31"/>
      <c r="HWV173" s="31"/>
      <c r="HWW173" s="31"/>
      <c r="HWX173" s="31"/>
      <c r="HWY173" s="31"/>
      <c r="HWZ173" s="31"/>
      <c r="HXA173" s="31"/>
      <c r="HXB173" s="31"/>
      <c r="HXC173" s="31"/>
      <c r="HXD173" s="31"/>
      <c r="HXE173" s="31"/>
      <c r="HXF173" s="31"/>
      <c r="HXG173" s="31"/>
      <c r="HXH173" s="31"/>
      <c r="HXI173" s="31"/>
      <c r="HXJ173" s="31"/>
      <c r="HXK173" s="31"/>
      <c r="HXL173" s="31"/>
      <c r="HXM173" s="31"/>
      <c r="HXN173" s="31"/>
      <c r="HXO173" s="31"/>
      <c r="HXP173" s="31"/>
      <c r="HXQ173" s="31"/>
      <c r="HXR173" s="31"/>
      <c r="HXS173" s="31"/>
      <c r="HXT173" s="31"/>
      <c r="HXU173" s="31"/>
      <c r="HXV173" s="31"/>
      <c r="HXW173" s="31"/>
      <c r="HXX173" s="31"/>
      <c r="HXY173" s="31"/>
      <c r="HXZ173" s="31"/>
      <c r="HYA173" s="31"/>
      <c r="HYB173" s="31"/>
      <c r="HYC173" s="31"/>
      <c r="HYD173" s="31"/>
      <c r="HYE173" s="31"/>
      <c r="HYF173" s="31"/>
      <c r="HYG173" s="31"/>
      <c r="HYH173" s="31"/>
      <c r="HYI173" s="31"/>
      <c r="HYJ173" s="31"/>
      <c r="HYK173" s="31"/>
      <c r="HYL173" s="31"/>
      <c r="HYM173" s="31"/>
      <c r="HYN173" s="31"/>
      <c r="HYO173" s="31"/>
      <c r="HYP173" s="31"/>
      <c r="HYQ173" s="31"/>
      <c r="HYR173" s="31"/>
      <c r="HYS173" s="31"/>
      <c r="HYT173" s="31"/>
      <c r="HYU173" s="31"/>
      <c r="HYV173" s="31"/>
      <c r="HYW173" s="31"/>
      <c r="HYX173" s="31"/>
      <c r="HYY173" s="31"/>
      <c r="HYZ173" s="31"/>
      <c r="HZA173" s="31"/>
      <c r="HZB173" s="31"/>
      <c r="HZC173" s="31"/>
      <c r="HZD173" s="31"/>
      <c r="HZE173" s="31"/>
      <c r="HZF173" s="31"/>
      <c r="HZG173" s="31"/>
      <c r="HZH173" s="31"/>
      <c r="HZI173" s="31"/>
      <c r="HZJ173" s="31"/>
      <c r="HZK173" s="31"/>
      <c r="HZL173" s="31"/>
      <c r="HZM173" s="31"/>
      <c r="HZN173" s="31"/>
      <c r="HZO173" s="31"/>
      <c r="HZP173" s="31"/>
      <c r="HZQ173" s="31"/>
      <c r="HZR173" s="31"/>
      <c r="HZS173" s="31"/>
      <c r="HZT173" s="31"/>
      <c r="HZU173" s="31"/>
      <c r="HZV173" s="31"/>
      <c r="HZW173" s="31"/>
      <c r="HZX173" s="31"/>
      <c r="HZY173" s="31"/>
      <c r="HZZ173" s="31"/>
      <c r="IAA173" s="31"/>
      <c r="IAB173" s="31"/>
      <c r="IAC173" s="31"/>
      <c r="IAD173" s="31"/>
      <c r="IAE173" s="31"/>
      <c r="IAF173" s="31"/>
      <c r="IAG173" s="31"/>
      <c r="IAH173" s="31"/>
      <c r="IAI173" s="31"/>
      <c r="IAJ173" s="31"/>
      <c r="IAK173" s="31"/>
      <c r="IAL173" s="31"/>
      <c r="IAM173" s="31"/>
      <c r="IAN173" s="31"/>
      <c r="IAO173" s="31"/>
      <c r="IAP173" s="31"/>
      <c r="IAQ173" s="31"/>
      <c r="IAR173" s="31"/>
      <c r="IAS173" s="31"/>
      <c r="IAT173" s="31"/>
      <c r="IAU173" s="31"/>
      <c r="IAV173" s="31"/>
      <c r="IAW173" s="31"/>
      <c r="IAX173" s="31"/>
      <c r="IAY173" s="31"/>
      <c r="IAZ173" s="31"/>
      <c r="IBA173" s="31"/>
      <c r="IBB173" s="31"/>
      <c r="IBC173" s="31"/>
      <c r="IBD173" s="31"/>
      <c r="IBE173" s="31"/>
      <c r="IBF173" s="31"/>
      <c r="IBG173" s="31"/>
      <c r="IBH173" s="31"/>
      <c r="IBI173" s="31"/>
      <c r="IBJ173" s="31"/>
      <c r="IBK173" s="31"/>
      <c r="IBL173" s="31"/>
      <c r="IBM173" s="31"/>
      <c r="IBN173" s="31"/>
      <c r="IBO173" s="31"/>
      <c r="IBP173" s="31"/>
      <c r="IBQ173" s="31"/>
      <c r="IBR173" s="31"/>
      <c r="IBS173" s="31"/>
      <c r="IBT173" s="31"/>
      <c r="IBU173" s="31"/>
      <c r="IBV173" s="31"/>
      <c r="IBW173" s="31"/>
      <c r="IBX173" s="31"/>
      <c r="IBY173" s="31"/>
      <c r="IBZ173" s="31"/>
      <c r="ICA173" s="31"/>
      <c r="ICB173" s="31"/>
      <c r="ICC173" s="31"/>
      <c r="ICD173" s="31"/>
      <c r="ICE173" s="31"/>
      <c r="ICF173" s="31"/>
      <c r="ICG173" s="31"/>
      <c r="ICH173" s="31"/>
      <c r="ICI173" s="31"/>
      <c r="ICJ173" s="31"/>
      <c r="ICK173" s="31"/>
      <c r="ICL173" s="31"/>
      <c r="ICM173" s="31"/>
      <c r="ICN173" s="31"/>
      <c r="ICO173" s="31"/>
      <c r="ICP173" s="31"/>
      <c r="ICQ173" s="31"/>
      <c r="ICR173" s="31"/>
      <c r="ICS173" s="31"/>
      <c r="ICT173" s="31"/>
      <c r="ICU173" s="31"/>
      <c r="ICV173" s="31"/>
      <c r="ICW173" s="31"/>
      <c r="ICX173" s="31"/>
      <c r="ICY173" s="31"/>
      <c r="ICZ173" s="31"/>
      <c r="IDA173" s="31"/>
      <c r="IDB173" s="31"/>
      <c r="IDC173" s="31"/>
      <c r="IDD173" s="31"/>
      <c r="IDE173" s="31"/>
      <c r="IDF173" s="31"/>
      <c r="IDG173" s="31"/>
      <c r="IDH173" s="31"/>
      <c r="IDI173" s="31"/>
      <c r="IDJ173" s="31"/>
      <c r="IDK173" s="31"/>
      <c r="IDL173" s="31"/>
      <c r="IDM173" s="31"/>
      <c r="IDN173" s="31"/>
      <c r="IDO173" s="31"/>
      <c r="IDP173" s="31"/>
      <c r="IDQ173" s="31"/>
      <c r="IDR173" s="31"/>
      <c r="IDS173" s="31"/>
      <c r="IDT173" s="31"/>
      <c r="IDU173" s="31"/>
      <c r="IDV173" s="31"/>
      <c r="IDW173" s="31"/>
      <c r="IDX173" s="31"/>
      <c r="IDY173" s="31"/>
      <c r="IDZ173" s="31"/>
      <c r="IEA173" s="31"/>
      <c r="IEB173" s="31"/>
      <c r="IEC173" s="31"/>
      <c r="IED173" s="31"/>
      <c r="IEE173" s="31"/>
      <c r="IEF173" s="31"/>
      <c r="IEG173" s="31"/>
      <c r="IEH173" s="31"/>
      <c r="IEI173" s="31"/>
      <c r="IEJ173" s="31"/>
      <c r="IEK173" s="31"/>
      <c r="IEL173" s="31"/>
      <c r="IEM173" s="31"/>
      <c r="IEN173" s="31"/>
      <c r="IEO173" s="31"/>
      <c r="IEP173" s="31"/>
      <c r="IEQ173" s="31"/>
      <c r="IER173" s="31"/>
      <c r="IES173" s="31"/>
      <c r="IET173" s="31"/>
      <c r="IEU173" s="31"/>
      <c r="IEV173" s="31"/>
      <c r="IEW173" s="31"/>
      <c r="IEX173" s="31"/>
      <c r="IEY173" s="31"/>
      <c r="IEZ173" s="31"/>
      <c r="IFA173" s="31"/>
      <c r="IFB173" s="31"/>
      <c r="IFC173" s="31"/>
      <c r="IFD173" s="31"/>
      <c r="IFE173" s="31"/>
      <c r="IFF173" s="31"/>
      <c r="IFG173" s="31"/>
      <c r="IFH173" s="31"/>
      <c r="IFI173" s="31"/>
      <c r="IFJ173" s="31"/>
      <c r="IFK173" s="31"/>
      <c r="IFL173" s="31"/>
      <c r="IFM173" s="31"/>
      <c r="IFN173" s="31"/>
      <c r="IFO173" s="31"/>
      <c r="IFP173" s="31"/>
      <c r="IFQ173" s="31"/>
      <c r="IFR173" s="31"/>
      <c r="IFS173" s="31"/>
      <c r="IFT173" s="31"/>
      <c r="IFU173" s="31"/>
      <c r="IFV173" s="31"/>
      <c r="IFW173" s="31"/>
      <c r="IFX173" s="31"/>
      <c r="IFY173" s="31"/>
      <c r="IFZ173" s="31"/>
      <c r="IGA173" s="31"/>
      <c r="IGB173" s="31"/>
      <c r="IGC173" s="31"/>
      <c r="IGD173" s="31"/>
      <c r="IGE173" s="31"/>
      <c r="IGF173" s="31"/>
      <c r="IGG173" s="31"/>
      <c r="IGH173" s="31"/>
      <c r="IGI173" s="31"/>
      <c r="IGJ173" s="31"/>
      <c r="IGK173" s="31"/>
      <c r="IGL173" s="31"/>
      <c r="IGM173" s="31"/>
      <c r="IGN173" s="31"/>
      <c r="IGO173" s="31"/>
      <c r="IGP173" s="31"/>
      <c r="IGQ173" s="31"/>
      <c r="IGR173" s="31"/>
      <c r="IGS173" s="31"/>
      <c r="IGT173" s="31"/>
      <c r="IGU173" s="31"/>
      <c r="IGV173" s="31"/>
      <c r="IGW173" s="31"/>
      <c r="IGX173" s="31"/>
      <c r="IGY173" s="31"/>
      <c r="IGZ173" s="31"/>
      <c r="IHA173" s="31"/>
      <c r="IHB173" s="31"/>
      <c r="IHC173" s="31"/>
      <c r="IHD173" s="31"/>
      <c r="IHE173" s="31"/>
      <c r="IHF173" s="31"/>
      <c r="IHG173" s="31"/>
      <c r="IHH173" s="31"/>
      <c r="IHI173" s="31"/>
      <c r="IHJ173" s="31"/>
      <c r="IHK173" s="31"/>
      <c r="IHL173" s="31"/>
      <c r="IHM173" s="31"/>
      <c r="IHN173" s="31"/>
      <c r="IHO173" s="31"/>
      <c r="IHP173" s="31"/>
      <c r="IHQ173" s="31"/>
      <c r="IHR173" s="31"/>
      <c r="IHS173" s="31"/>
      <c r="IHT173" s="31"/>
      <c r="IHU173" s="31"/>
      <c r="IHV173" s="31"/>
      <c r="IHW173" s="31"/>
      <c r="IHX173" s="31"/>
      <c r="IHY173" s="31"/>
      <c r="IHZ173" s="31"/>
      <c r="IIA173" s="31"/>
      <c r="IIB173" s="31"/>
      <c r="IIC173" s="31"/>
      <c r="IID173" s="31"/>
      <c r="IIE173" s="31"/>
      <c r="IIF173" s="31"/>
      <c r="IIG173" s="31"/>
      <c r="IIH173" s="31"/>
      <c r="III173" s="31"/>
      <c r="IIJ173" s="31"/>
      <c r="IIK173" s="31"/>
      <c r="IIL173" s="31"/>
      <c r="IIM173" s="31"/>
      <c r="IIN173" s="31"/>
      <c r="IIO173" s="31"/>
      <c r="IIP173" s="31"/>
      <c r="IIQ173" s="31"/>
      <c r="IIR173" s="31"/>
      <c r="IIS173" s="31"/>
      <c r="IIT173" s="31"/>
      <c r="IIU173" s="31"/>
      <c r="IIV173" s="31"/>
      <c r="IIW173" s="31"/>
      <c r="IIX173" s="31"/>
      <c r="IIY173" s="31"/>
      <c r="IIZ173" s="31"/>
      <c r="IJA173" s="31"/>
      <c r="IJB173" s="31"/>
      <c r="IJC173" s="31"/>
      <c r="IJD173" s="31"/>
      <c r="IJE173" s="31"/>
      <c r="IJF173" s="31"/>
      <c r="IJG173" s="31"/>
      <c r="IJH173" s="31"/>
      <c r="IJI173" s="31"/>
      <c r="IJJ173" s="31"/>
      <c r="IJK173" s="31"/>
      <c r="IJL173" s="31"/>
      <c r="IJM173" s="31"/>
      <c r="IJN173" s="31"/>
      <c r="IJO173" s="31"/>
      <c r="IJP173" s="31"/>
      <c r="IJQ173" s="31"/>
      <c r="IJR173" s="31"/>
      <c r="IJS173" s="31"/>
      <c r="IJT173" s="31"/>
      <c r="IJU173" s="31"/>
      <c r="IJV173" s="31"/>
      <c r="IJW173" s="31"/>
      <c r="IJX173" s="31"/>
      <c r="IJY173" s="31"/>
      <c r="IJZ173" s="31"/>
      <c r="IKA173" s="31"/>
      <c r="IKB173" s="31"/>
      <c r="IKC173" s="31"/>
      <c r="IKD173" s="31"/>
      <c r="IKE173" s="31"/>
      <c r="IKF173" s="31"/>
      <c r="IKG173" s="31"/>
      <c r="IKH173" s="31"/>
      <c r="IKI173" s="31"/>
      <c r="IKJ173" s="31"/>
      <c r="IKK173" s="31"/>
      <c r="IKL173" s="31"/>
      <c r="IKM173" s="31"/>
      <c r="IKN173" s="31"/>
      <c r="IKO173" s="31"/>
      <c r="IKP173" s="31"/>
      <c r="IKQ173" s="31"/>
      <c r="IKR173" s="31"/>
      <c r="IKS173" s="31"/>
      <c r="IKT173" s="31"/>
      <c r="IKU173" s="31"/>
      <c r="IKV173" s="31"/>
      <c r="IKW173" s="31"/>
      <c r="IKX173" s="31"/>
      <c r="IKY173" s="31"/>
      <c r="IKZ173" s="31"/>
      <c r="ILA173" s="31"/>
      <c r="ILB173" s="31"/>
      <c r="ILC173" s="31"/>
      <c r="ILD173" s="31"/>
      <c r="ILE173" s="31"/>
      <c r="ILF173" s="31"/>
      <c r="ILG173" s="31"/>
      <c r="ILH173" s="31"/>
      <c r="ILI173" s="31"/>
      <c r="ILJ173" s="31"/>
      <c r="ILK173" s="31"/>
      <c r="ILL173" s="31"/>
      <c r="ILM173" s="31"/>
      <c r="ILN173" s="31"/>
      <c r="ILO173" s="31"/>
      <c r="ILP173" s="31"/>
      <c r="ILQ173" s="31"/>
      <c r="ILR173" s="31"/>
      <c r="ILS173" s="31"/>
      <c r="ILT173" s="31"/>
      <c r="ILU173" s="31"/>
      <c r="ILV173" s="31"/>
      <c r="ILW173" s="31"/>
      <c r="ILX173" s="31"/>
      <c r="ILY173" s="31"/>
      <c r="ILZ173" s="31"/>
      <c r="IMA173" s="31"/>
      <c r="IMB173" s="31"/>
      <c r="IMC173" s="31"/>
      <c r="IMD173" s="31"/>
      <c r="IME173" s="31"/>
      <c r="IMF173" s="31"/>
      <c r="IMG173" s="31"/>
      <c r="IMH173" s="31"/>
      <c r="IMI173" s="31"/>
      <c r="IMJ173" s="31"/>
      <c r="IMK173" s="31"/>
      <c r="IML173" s="31"/>
      <c r="IMM173" s="31"/>
      <c r="IMN173" s="31"/>
      <c r="IMO173" s="31"/>
      <c r="IMP173" s="31"/>
      <c r="IMQ173" s="31"/>
      <c r="IMR173" s="31"/>
      <c r="IMS173" s="31"/>
      <c r="IMT173" s="31"/>
      <c r="IMU173" s="31"/>
      <c r="IMV173" s="31"/>
      <c r="IMW173" s="31"/>
      <c r="IMX173" s="31"/>
      <c r="IMY173" s="31"/>
      <c r="IMZ173" s="31"/>
      <c r="INA173" s="31"/>
      <c r="INB173" s="31"/>
      <c r="INC173" s="31"/>
      <c r="IND173" s="31"/>
      <c r="INE173" s="31"/>
      <c r="INF173" s="31"/>
      <c r="ING173" s="31"/>
      <c r="INH173" s="31"/>
      <c r="INI173" s="31"/>
      <c r="INJ173" s="31"/>
      <c r="INK173" s="31"/>
      <c r="INL173" s="31"/>
      <c r="INM173" s="31"/>
      <c r="INN173" s="31"/>
      <c r="INO173" s="31"/>
      <c r="INP173" s="31"/>
      <c r="INQ173" s="31"/>
      <c r="INR173" s="31"/>
      <c r="INS173" s="31"/>
      <c r="INT173" s="31"/>
      <c r="INU173" s="31"/>
      <c r="INV173" s="31"/>
      <c r="INW173" s="31"/>
      <c r="INX173" s="31"/>
      <c r="INY173" s="31"/>
      <c r="INZ173" s="31"/>
      <c r="IOA173" s="31"/>
      <c r="IOB173" s="31"/>
      <c r="IOC173" s="31"/>
      <c r="IOD173" s="31"/>
      <c r="IOE173" s="31"/>
      <c r="IOF173" s="31"/>
      <c r="IOG173" s="31"/>
      <c r="IOH173" s="31"/>
      <c r="IOI173" s="31"/>
      <c r="IOJ173" s="31"/>
      <c r="IOK173" s="31"/>
      <c r="IOL173" s="31"/>
      <c r="IOM173" s="31"/>
      <c r="ION173" s="31"/>
      <c r="IOO173" s="31"/>
      <c r="IOP173" s="31"/>
      <c r="IOQ173" s="31"/>
      <c r="IOR173" s="31"/>
      <c r="IOS173" s="31"/>
      <c r="IOT173" s="31"/>
      <c r="IOU173" s="31"/>
      <c r="IOV173" s="31"/>
      <c r="IOW173" s="31"/>
      <c r="IOX173" s="31"/>
      <c r="IOY173" s="31"/>
      <c r="IOZ173" s="31"/>
      <c r="IPA173" s="31"/>
      <c r="IPB173" s="31"/>
      <c r="IPC173" s="31"/>
      <c r="IPD173" s="31"/>
      <c r="IPE173" s="31"/>
      <c r="IPF173" s="31"/>
      <c r="IPG173" s="31"/>
      <c r="IPH173" s="31"/>
      <c r="IPI173" s="31"/>
      <c r="IPJ173" s="31"/>
      <c r="IPK173" s="31"/>
      <c r="IPL173" s="31"/>
      <c r="IPM173" s="31"/>
      <c r="IPN173" s="31"/>
      <c r="IPO173" s="31"/>
      <c r="IPP173" s="31"/>
      <c r="IPQ173" s="31"/>
      <c r="IPR173" s="31"/>
      <c r="IPS173" s="31"/>
      <c r="IPT173" s="31"/>
      <c r="IPU173" s="31"/>
      <c r="IPV173" s="31"/>
      <c r="IPW173" s="31"/>
      <c r="IPX173" s="31"/>
      <c r="IPY173" s="31"/>
      <c r="IPZ173" s="31"/>
      <c r="IQA173" s="31"/>
      <c r="IQB173" s="31"/>
      <c r="IQC173" s="31"/>
      <c r="IQD173" s="31"/>
      <c r="IQE173" s="31"/>
      <c r="IQF173" s="31"/>
      <c r="IQG173" s="31"/>
      <c r="IQH173" s="31"/>
      <c r="IQI173" s="31"/>
      <c r="IQJ173" s="31"/>
      <c r="IQK173" s="31"/>
      <c r="IQL173" s="31"/>
      <c r="IQM173" s="31"/>
      <c r="IQN173" s="31"/>
      <c r="IQO173" s="31"/>
      <c r="IQP173" s="31"/>
      <c r="IQQ173" s="31"/>
      <c r="IQR173" s="31"/>
      <c r="IQS173" s="31"/>
      <c r="IQT173" s="31"/>
      <c r="IQU173" s="31"/>
      <c r="IQV173" s="31"/>
      <c r="IQW173" s="31"/>
      <c r="IQX173" s="31"/>
      <c r="IQY173" s="31"/>
      <c r="IQZ173" s="31"/>
      <c r="IRA173" s="31"/>
      <c r="IRB173" s="31"/>
      <c r="IRC173" s="31"/>
      <c r="IRD173" s="31"/>
      <c r="IRE173" s="31"/>
      <c r="IRF173" s="31"/>
      <c r="IRG173" s="31"/>
      <c r="IRH173" s="31"/>
      <c r="IRI173" s="31"/>
      <c r="IRJ173" s="31"/>
      <c r="IRK173" s="31"/>
      <c r="IRL173" s="31"/>
      <c r="IRM173" s="31"/>
      <c r="IRN173" s="31"/>
      <c r="IRO173" s="31"/>
      <c r="IRP173" s="31"/>
      <c r="IRQ173" s="31"/>
      <c r="IRR173" s="31"/>
      <c r="IRS173" s="31"/>
      <c r="IRT173" s="31"/>
      <c r="IRU173" s="31"/>
      <c r="IRV173" s="31"/>
      <c r="IRW173" s="31"/>
      <c r="IRX173" s="31"/>
      <c r="IRY173" s="31"/>
      <c r="IRZ173" s="31"/>
      <c r="ISA173" s="31"/>
      <c r="ISB173" s="31"/>
      <c r="ISC173" s="31"/>
      <c r="ISD173" s="31"/>
      <c r="ISE173" s="31"/>
      <c r="ISF173" s="31"/>
      <c r="ISG173" s="31"/>
      <c r="ISH173" s="31"/>
      <c r="ISI173" s="31"/>
      <c r="ISJ173" s="31"/>
      <c r="ISK173" s="31"/>
      <c r="ISL173" s="31"/>
      <c r="ISM173" s="31"/>
      <c r="ISN173" s="31"/>
      <c r="ISO173" s="31"/>
      <c r="ISP173" s="31"/>
      <c r="ISQ173" s="31"/>
      <c r="ISR173" s="31"/>
      <c r="ISS173" s="31"/>
      <c r="IST173" s="31"/>
      <c r="ISU173" s="31"/>
      <c r="ISV173" s="31"/>
      <c r="ISW173" s="31"/>
      <c r="ISX173" s="31"/>
      <c r="ISY173" s="31"/>
      <c r="ISZ173" s="31"/>
      <c r="ITA173" s="31"/>
      <c r="ITB173" s="31"/>
      <c r="ITC173" s="31"/>
      <c r="ITD173" s="31"/>
      <c r="ITE173" s="31"/>
      <c r="ITF173" s="31"/>
      <c r="ITG173" s="31"/>
      <c r="ITH173" s="31"/>
      <c r="ITI173" s="31"/>
      <c r="ITJ173" s="31"/>
      <c r="ITK173" s="31"/>
      <c r="ITL173" s="31"/>
      <c r="ITM173" s="31"/>
      <c r="ITN173" s="31"/>
      <c r="ITO173" s="31"/>
      <c r="ITP173" s="31"/>
      <c r="ITQ173" s="31"/>
      <c r="ITR173" s="31"/>
      <c r="ITS173" s="31"/>
      <c r="ITT173" s="31"/>
      <c r="ITU173" s="31"/>
      <c r="ITV173" s="31"/>
      <c r="ITW173" s="31"/>
      <c r="ITX173" s="31"/>
      <c r="ITY173" s="31"/>
      <c r="ITZ173" s="31"/>
      <c r="IUA173" s="31"/>
      <c r="IUB173" s="31"/>
      <c r="IUC173" s="31"/>
      <c r="IUD173" s="31"/>
      <c r="IUE173" s="31"/>
      <c r="IUF173" s="31"/>
      <c r="IUG173" s="31"/>
      <c r="IUH173" s="31"/>
      <c r="IUI173" s="31"/>
      <c r="IUJ173" s="31"/>
      <c r="IUK173" s="31"/>
      <c r="IUL173" s="31"/>
      <c r="IUM173" s="31"/>
      <c r="IUN173" s="31"/>
      <c r="IUO173" s="31"/>
      <c r="IUP173" s="31"/>
      <c r="IUQ173" s="31"/>
      <c r="IUR173" s="31"/>
      <c r="IUS173" s="31"/>
      <c r="IUT173" s="31"/>
      <c r="IUU173" s="31"/>
      <c r="IUV173" s="31"/>
      <c r="IUW173" s="31"/>
      <c r="IUX173" s="31"/>
      <c r="IUY173" s="31"/>
      <c r="IUZ173" s="31"/>
      <c r="IVA173" s="31"/>
      <c r="IVB173" s="31"/>
      <c r="IVC173" s="31"/>
      <c r="IVD173" s="31"/>
      <c r="IVE173" s="31"/>
      <c r="IVF173" s="31"/>
      <c r="IVG173" s="31"/>
      <c r="IVH173" s="31"/>
      <c r="IVI173" s="31"/>
      <c r="IVJ173" s="31"/>
      <c r="IVK173" s="31"/>
      <c r="IVL173" s="31"/>
      <c r="IVM173" s="31"/>
      <c r="IVN173" s="31"/>
      <c r="IVO173" s="31"/>
      <c r="IVP173" s="31"/>
      <c r="IVQ173" s="31"/>
      <c r="IVR173" s="31"/>
      <c r="IVS173" s="31"/>
      <c r="IVT173" s="31"/>
      <c r="IVU173" s="31"/>
      <c r="IVV173" s="31"/>
      <c r="IVW173" s="31"/>
      <c r="IVX173" s="31"/>
      <c r="IVY173" s="31"/>
      <c r="IVZ173" s="31"/>
      <c r="IWA173" s="31"/>
      <c r="IWB173" s="31"/>
      <c r="IWC173" s="31"/>
      <c r="IWD173" s="31"/>
      <c r="IWE173" s="31"/>
      <c r="IWF173" s="31"/>
      <c r="IWG173" s="31"/>
      <c r="IWH173" s="31"/>
      <c r="IWI173" s="31"/>
      <c r="IWJ173" s="31"/>
      <c r="IWK173" s="31"/>
      <c r="IWL173" s="31"/>
      <c r="IWM173" s="31"/>
      <c r="IWN173" s="31"/>
      <c r="IWO173" s="31"/>
      <c r="IWP173" s="31"/>
      <c r="IWQ173" s="31"/>
      <c r="IWR173" s="31"/>
      <c r="IWS173" s="31"/>
      <c r="IWT173" s="31"/>
      <c r="IWU173" s="31"/>
      <c r="IWV173" s="31"/>
      <c r="IWW173" s="31"/>
      <c r="IWX173" s="31"/>
      <c r="IWY173" s="31"/>
      <c r="IWZ173" s="31"/>
      <c r="IXA173" s="31"/>
      <c r="IXB173" s="31"/>
      <c r="IXC173" s="31"/>
      <c r="IXD173" s="31"/>
      <c r="IXE173" s="31"/>
      <c r="IXF173" s="31"/>
      <c r="IXG173" s="31"/>
      <c r="IXH173" s="31"/>
      <c r="IXI173" s="31"/>
      <c r="IXJ173" s="31"/>
      <c r="IXK173" s="31"/>
      <c r="IXL173" s="31"/>
      <c r="IXM173" s="31"/>
      <c r="IXN173" s="31"/>
      <c r="IXO173" s="31"/>
      <c r="IXP173" s="31"/>
      <c r="IXQ173" s="31"/>
      <c r="IXR173" s="31"/>
      <c r="IXS173" s="31"/>
      <c r="IXT173" s="31"/>
      <c r="IXU173" s="31"/>
      <c r="IXV173" s="31"/>
      <c r="IXW173" s="31"/>
      <c r="IXX173" s="31"/>
      <c r="IXY173" s="31"/>
      <c r="IXZ173" s="31"/>
      <c r="IYA173" s="31"/>
      <c r="IYB173" s="31"/>
      <c r="IYC173" s="31"/>
      <c r="IYD173" s="31"/>
      <c r="IYE173" s="31"/>
      <c r="IYF173" s="31"/>
      <c r="IYG173" s="31"/>
      <c r="IYH173" s="31"/>
      <c r="IYI173" s="31"/>
      <c r="IYJ173" s="31"/>
      <c r="IYK173" s="31"/>
      <c r="IYL173" s="31"/>
      <c r="IYM173" s="31"/>
      <c r="IYN173" s="31"/>
      <c r="IYO173" s="31"/>
      <c r="IYP173" s="31"/>
      <c r="IYQ173" s="31"/>
      <c r="IYR173" s="31"/>
      <c r="IYS173" s="31"/>
      <c r="IYT173" s="31"/>
      <c r="IYU173" s="31"/>
      <c r="IYV173" s="31"/>
      <c r="IYW173" s="31"/>
      <c r="IYX173" s="31"/>
      <c r="IYY173" s="31"/>
      <c r="IYZ173" s="31"/>
      <c r="IZA173" s="31"/>
      <c r="IZB173" s="31"/>
      <c r="IZC173" s="31"/>
      <c r="IZD173" s="31"/>
      <c r="IZE173" s="31"/>
      <c r="IZF173" s="31"/>
      <c r="IZG173" s="31"/>
      <c r="IZH173" s="31"/>
      <c r="IZI173" s="31"/>
      <c r="IZJ173" s="31"/>
      <c r="IZK173" s="31"/>
      <c r="IZL173" s="31"/>
      <c r="IZM173" s="31"/>
      <c r="IZN173" s="31"/>
      <c r="IZO173" s="31"/>
      <c r="IZP173" s="31"/>
      <c r="IZQ173" s="31"/>
      <c r="IZR173" s="31"/>
      <c r="IZS173" s="31"/>
      <c r="IZT173" s="31"/>
      <c r="IZU173" s="31"/>
      <c r="IZV173" s="31"/>
      <c r="IZW173" s="31"/>
      <c r="IZX173" s="31"/>
      <c r="IZY173" s="31"/>
      <c r="IZZ173" s="31"/>
      <c r="JAA173" s="31"/>
      <c r="JAB173" s="31"/>
      <c r="JAC173" s="31"/>
      <c r="JAD173" s="31"/>
      <c r="JAE173" s="31"/>
      <c r="JAF173" s="31"/>
      <c r="JAG173" s="31"/>
      <c r="JAH173" s="31"/>
      <c r="JAI173" s="31"/>
      <c r="JAJ173" s="31"/>
      <c r="JAK173" s="31"/>
      <c r="JAL173" s="31"/>
      <c r="JAM173" s="31"/>
      <c r="JAN173" s="31"/>
      <c r="JAO173" s="31"/>
      <c r="JAP173" s="31"/>
      <c r="JAQ173" s="31"/>
      <c r="JAR173" s="31"/>
      <c r="JAS173" s="31"/>
      <c r="JAT173" s="31"/>
      <c r="JAU173" s="31"/>
      <c r="JAV173" s="31"/>
      <c r="JAW173" s="31"/>
      <c r="JAX173" s="31"/>
      <c r="JAY173" s="31"/>
      <c r="JAZ173" s="31"/>
      <c r="JBA173" s="31"/>
      <c r="JBB173" s="31"/>
      <c r="JBC173" s="31"/>
      <c r="JBD173" s="31"/>
      <c r="JBE173" s="31"/>
      <c r="JBF173" s="31"/>
      <c r="JBG173" s="31"/>
      <c r="JBH173" s="31"/>
      <c r="JBI173" s="31"/>
      <c r="JBJ173" s="31"/>
      <c r="JBK173" s="31"/>
      <c r="JBL173" s="31"/>
      <c r="JBM173" s="31"/>
      <c r="JBN173" s="31"/>
      <c r="JBO173" s="31"/>
      <c r="JBP173" s="31"/>
      <c r="JBQ173" s="31"/>
      <c r="JBR173" s="31"/>
      <c r="JBS173" s="31"/>
      <c r="JBT173" s="31"/>
      <c r="JBU173" s="31"/>
      <c r="JBV173" s="31"/>
      <c r="JBW173" s="31"/>
      <c r="JBX173" s="31"/>
      <c r="JBY173" s="31"/>
      <c r="JBZ173" s="31"/>
      <c r="JCA173" s="31"/>
      <c r="JCB173" s="31"/>
      <c r="JCC173" s="31"/>
      <c r="JCD173" s="31"/>
      <c r="JCE173" s="31"/>
      <c r="JCF173" s="31"/>
      <c r="JCG173" s="31"/>
      <c r="JCH173" s="31"/>
      <c r="JCI173" s="31"/>
      <c r="JCJ173" s="31"/>
      <c r="JCK173" s="31"/>
      <c r="JCL173" s="31"/>
      <c r="JCM173" s="31"/>
      <c r="JCN173" s="31"/>
      <c r="JCO173" s="31"/>
      <c r="JCP173" s="31"/>
      <c r="JCQ173" s="31"/>
      <c r="JCR173" s="31"/>
      <c r="JCS173" s="31"/>
      <c r="JCT173" s="31"/>
      <c r="JCU173" s="31"/>
      <c r="JCV173" s="31"/>
      <c r="JCW173" s="31"/>
      <c r="JCX173" s="31"/>
      <c r="JCY173" s="31"/>
      <c r="JCZ173" s="31"/>
      <c r="JDA173" s="31"/>
      <c r="JDB173" s="31"/>
      <c r="JDC173" s="31"/>
      <c r="JDD173" s="31"/>
      <c r="JDE173" s="31"/>
      <c r="JDF173" s="31"/>
      <c r="JDG173" s="31"/>
      <c r="JDH173" s="31"/>
      <c r="JDI173" s="31"/>
      <c r="JDJ173" s="31"/>
      <c r="JDK173" s="31"/>
      <c r="JDL173" s="31"/>
      <c r="JDM173" s="31"/>
      <c r="JDN173" s="31"/>
      <c r="JDO173" s="31"/>
      <c r="JDP173" s="31"/>
      <c r="JDQ173" s="31"/>
      <c r="JDR173" s="31"/>
      <c r="JDS173" s="31"/>
      <c r="JDT173" s="31"/>
      <c r="JDU173" s="31"/>
      <c r="JDV173" s="31"/>
      <c r="JDW173" s="31"/>
      <c r="JDX173" s="31"/>
      <c r="JDY173" s="31"/>
      <c r="JDZ173" s="31"/>
      <c r="JEA173" s="31"/>
      <c r="JEB173" s="31"/>
      <c r="JEC173" s="31"/>
      <c r="JED173" s="31"/>
      <c r="JEE173" s="31"/>
      <c r="JEF173" s="31"/>
      <c r="JEG173" s="31"/>
      <c r="JEH173" s="31"/>
      <c r="JEI173" s="31"/>
      <c r="JEJ173" s="31"/>
      <c r="JEK173" s="31"/>
      <c r="JEL173" s="31"/>
      <c r="JEM173" s="31"/>
      <c r="JEN173" s="31"/>
      <c r="JEO173" s="31"/>
      <c r="JEP173" s="31"/>
      <c r="JEQ173" s="31"/>
      <c r="JER173" s="31"/>
      <c r="JES173" s="31"/>
      <c r="JET173" s="31"/>
      <c r="JEU173" s="31"/>
      <c r="JEV173" s="31"/>
      <c r="JEW173" s="31"/>
      <c r="JEX173" s="31"/>
      <c r="JEY173" s="31"/>
      <c r="JEZ173" s="31"/>
      <c r="JFA173" s="31"/>
      <c r="JFB173" s="31"/>
      <c r="JFC173" s="31"/>
      <c r="JFD173" s="31"/>
      <c r="JFE173" s="31"/>
      <c r="JFF173" s="31"/>
      <c r="JFG173" s="31"/>
      <c r="JFH173" s="31"/>
      <c r="JFI173" s="31"/>
      <c r="JFJ173" s="31"/>
      <c r="JFK173" s="31"/>
      <c r="JFL173" s="31"/>
      <c r="JFM173" s="31"/>
      <c r="JFN173" s="31"/>
      <c r="JFO173" s="31"/>
      <c r="JFP173" s="31"/>
      <c r="JFQ173" s="31"/>
      <c r="JFR173" s="31"/>
      <c r="JFS173" s="31"/>
      <c r="JFT173" s="31"/>
      <c r="JFU173" s="31"/>
      <c r="JFV173" s="31"/>
      <c r="JFW173" s="31"/>
      <c r="JFX173" s="31"/>
      <c r="JFY173" s="31"/>
      <c r="JFZ173" s="31"/>
      <c r="JGA173" s="31"/>
      <c r="JGB173" s="31"/>
      <c r="JGC173" s="31"/>
      <c r="JGD173" s="31"/>
      <c r="JGE173" s="31"/>
      <c r="JGF173" s="31"/>
      <c r="JGG173" s="31"/>
      <c r="JGH173" s="31"/>
      <c r="JGI173" s="31"/>
      <c r="JGJ173" s="31"/>
      <c r="JGK173" s="31"/>
      <c r="JGL173" s="31"/>
      <c r="JGM173" s="31"/>
      <c r="JGN173" s="31"/>
      <c r="JGO173" s="31"/>
      <c r="JGP173" s="31"/>
      <c r="JGQ173" s="31"/>
      <c r="JGR173" s="31"/>
      <c r="JGS173" s="31"/>
      <c r="JGT173" s="31"/>
      <c r="JGU173" s="31"/>
      <c r="JGV173" s="31"/>
      <c r="JGW173" s="31"/>
      <c r="JGX173" s="31"/>
      <c r="JGY173" s="31"/>
      <c r="JGZ173" s="31"/>
      <c r="JHA173" s="31"/>
      <c r="JHB173" s="31"/>
      <c r="JHC173" s="31"/>
      <c r="JHD173" s="31"/>
      <c r="JHE173" s="31"/>
      <c r="JHF173" s="31"/>
      <c r="JHG173" s="31"/>
      <c r="JHH173" s="31"/>
      <c r="JHI173" s="31"/>
      <c r="JHJ173" s="31"/>
      <c r="JHK173" s="31"/>
      <c r="JHL173" s="31"/>
      <c r="JHM173" s="31"/>
      <c r="JHN173" s="31"/>
      <c r="JHO173" s="31"/>
      <c r="JHP173" s="31"/>
      <c r="JHQ173" s="31"/>
      <c r="JHR173" s="31"/>
      <c r="JHS173" s="31"/>
      <c r="JHT173" s="31"/>
      <c r="JHU173" s="31"/>
      <c r="JHV173" s="31"/>
      <c r="JHW173" s="31"/>
      <c r="JHX173" s="31"/>
      <c r="JHY173" s="31"/>
      <c r="JHZ173" s="31"/>
      <c r="JIA173" s="31"/>
      <c r="JIB173" s="31"/>
      <c r="JIC173" s="31"/>
      <c r="JID173" s="31"/>
      <c r="JIE173" s="31"/>
      <c r="JIF173" s="31"/>
      <c r="JIG173" s="31"/>
      <c r="JIH173" s="31"/>
      <c r="JII173" s="31"/>
      <c r="JIJ173" s="31"/>
      <c r="JIK173" s="31"/>
      <c r="JIL173" s="31"/>
      <c r="JIM173" s="31"/>
      <c r="JIN173" s="31"/>
      <c r="JIO173" s="31"/>
      <c r="JIP173" s="31"/>
      <c r="JIQ173" s="31"/>
      <c r="JIR173" s="31"/>
      <c r="JIS173" s="31"/>
      <c r="JIT173" s="31"/>
      <c r="JIU173" s="31"/>
      <c r="JIV173" s="31"/>
      <c r="JIW173" s="31"/>
      <c r="JIX173" s="31"/>
      <c r="JIY173" s="31"/>
      <c r="JIZ173" s="31"/>
      <c r="JJA173" s="31"/>
      <c r="JJB173" s="31"/>
      <c r="JJC173" s="31"/>
      <c r="JJD173" s="31"/>
      <c r="JJE173" s="31"/>
      <c r="JJF173" s="31"/>
      <c r="JJG173" s="31"/>
      <c r="JJH173" s="31"/>
      <c r="JJI173" s="31"/>
      <c r="JJJ173" s="31"/>
      <c r="JJK173" s="31"/>
      <c r="JJL173" s="31"/>
      <c r="JJM173" s="31"/>
      <c r="JJN173" s="31"/>
      <c r="JJO173" s="31"/>
      <c r="JJP173" s="31"/>
      <c r="JJQ173" s="31"/>
      <c r="JJR173" s="31"/>
      <c r="JJS173" s="31"/>
      <c r="JJT173" s="31"/>
      <c r="JJU173" s="31"/>
      <c r="JJV173" s="31"/>
      <c r="JJW173" s="31"/>
      <c r="JJX173" s="31"/>
      <c r="JJY173" s="31"/>
      <c r="JJZ173" s="31"/>
      <c r="JKA173" s="31"/>
      <c r="JKB173" s="31"/>
      <c r="JKC173" s="31"/>
      <c r="JKD173" s="31"/>
      <c r="JKE173" s="31"/>
      <c r="JKF173" s="31"/>
      <c r="JKG173" s="31"/>
      <c r="JKH173" s="31"/>
      <c r="JKI173" s="31"/>
      <c r="JKJ173" s="31"/>
      <c r="JKK173" s="31"/>
      <c r="JKL173" s="31"/>
      <c r="JKM173" s="31"/>
      <c r="JKN173" s="31"/>
      <c r="JKO173" s="31"/>
      <c r="JKP173" s="31"/>
      <c r="JKQ173" s="31"/>
      <c r="JKR173" s="31"/>
      <c r="JKS173" s="31"/>
      <c r="JKT173" s="31"/>
      <c r="JKU173" s="31"/>
      <c r="JKV173" s="31"/>
      <c r="JKW173" s="31"/>
      <c r="JKX173" s="31"/>
      <c r="JKY173" s="31"/>
      <c r="JKZ173" s="31"/>
      <c r="JLA173" s="31"/>
      <c r="JLB173" s="31"/>
      <c r="JLC173" s="31"/>
      <c r="JLD173" s="31"/>
      <c r="JLE173" s="31"/>
      <c r="JLF173" s="31"/>
      <c r="JLG173" s="31"/>
      <c r="JLH173" s="31"/>
      <c r="JLI173" s="31"/>
      <c r="JLJ173" s="31"/>
      <c r="JLK173" s="31"/>
      <c r="JLL173" s="31"/>
      <c r="JLM173" s="31"/>
      <c r="JLN173" s="31"/>
      <c r="JLO173" s="31"/>
      <c r="JLP173" s="31"/>
      <c r="JLQ173" s="31"/>
      <c r="JLR173" s="31"/>
      <c r="JLS173" s="31"/>
      <c r="JLT173" s="31"/>
      <c r="JLU173" s="31"/>
      <c r="JLV173" s="31"/>
      <c r="JLW173" s="31"/>
      <c r="JLX173" s="31"/>
      <c r="JLY173" s="31"/>
      <c r="JLZ173" s="31"/>
      <c r="JMA173" s="31"/>
      <c r="JMB173" s="31"/>
      <c r="JMC173" s="31"/>
      <c r="JMD173" s="31"/>
      <c r="JME173" s="31"/>
      <c r="JMF173" s="31"/>
      <c r="JMG173" s="31"/>
      <c r="JMH173" s="31"/>
      <c r="JMI173" s="31"/>
      <c r="JMJ173" s="31"/>
      <c r="JMK173" s="31"/>
      <c r="JML173" s="31"/>
      <c r="JMM173" s="31"/>
      <c r="JMN173" s="31"/>
      <c r="JMO173" s="31"/>
      <c r="JMP173" s="31"/>
      <c r="JMQ173" s="31"/>
      <c r="JMR173" s="31"/>
      <c r="JMS173" s="31"/>
      <c r="JMT173" s="31"/>
      <c r="JMU173" s="31"/>
      <c r="JMV173" s="31"/>
      <c r="JMW173" s="31"/>
      <c r="JMX173" s="31"/>
      <c r="JMY173" s="31"/>
      <c r="JMZ173" s="31"/>
      <c r="JNA173" s="31"/>
      <c r="JNB173" s="31"/>
      <c r="JNC173" s="31"/>
      <c r="JND173" s="31"/>
      <c r="JNE173" s="31"/>
      <c r="JNF173" s="31"/>
      <c r="JNG173" s="31"/>
      <c r="JNH173" s="31"/>
      <c r="JNI173" s="31"/>
      <c r="JNJ173" s="31"/>
      <c r="JNK173" s="31"/>
      <c r="JNL173" s="31"/>
      <c r="JNM173" s="31"/>
      <c r="JNN173" s="31"/>
      <c r="JNO173" s="31"/>
      <c r="JNP173" s="31"/>
      <c r="JNQ173" s="31"/>
      <c r="JNR173" s="31"/>
      <c r="JNS173" s="31"/>
      <c r="JNT173" s="31"/>
      <c r="JNU173" s="31"/>
      <c r="JNV173" s="31"/>
      <c r="JNW173" s="31"/>
      <c r="JNX173" s="31"/>
      <c r="JNY173" s="31"/>
      <c r="JNZ173" s="31"/>
      <c r="JOA173" s="31"/>
      <c r="JOB173" s="31"/>
      <c r="JOC173" s="31"/>
      <c r="JOD173" s="31"/>
      <c r="JOE173" s="31"/>
      <c r="JOF173" s="31"/>
      <c r="JOG173" s="31"/>
      <c r="JOH173" s="31"/>
      <c r="JOI173" s="31"/>
      <c r="JOJ173" s="31"/>
      <c r="JOK173" s="31"/>
      <c r="JOL173" s="31"/>
      <c r="JOM173" s="31"/>
      <c r="JON173" s="31"/>
      <c r="JOO173" s="31"/>
      <c r="JOP173" s="31"/>
      <c r="JOQ173" s="31"/>
      <c r="JOR173" s="31"/>
      <c r="JOS173" s="31"/>
      <c r="JOT173" s="31"/>
      <c r="JOU173" s="31"/>
      <c r="JOV173" s="31"/>
      <c r="JOW173" s="31"/>
      <c r="JOX173" s="31"/>
      <c r="JOY173" s="31"/>
      <c r="JOZ173" s="31"/>
      <c r="JPA173" s="31"/>
      <c r="JPB173" s="31"/>
      <c r="JPC173" s="31"/>
      <c r="JPD173" s="31"/>
      <c r="JPE173" s="31"/>
      <c r="JPF173" s="31"/>
      <c r="JPG173" s="31"/>
      <c r="JPH173" s="31"/>
      <c r="JPI173" s="31"/>
      <c r="JPJ173" s="31"/>
      <c r="JPK173" s="31"/>
      <c r="JPL173" s="31"/>
      <c r="JPM173" s="31"/>
      <c r="JPN173" s="31"/>
      <c r="JPO173" s="31"/>
      <c r="JPP173" s="31"/>
      <c r="JPQ173" s="31"/>
      <c r="JPR173" s="31"/>
      <c r="JPS173" s="31"/>
      <c r="JPT173" s="31"/>
      <c r="JPU173" s="31"/>
      <c r="JPV173" s="31"/>
      <c r="JPW173" s="31"/>
      <c r="JPX173" s="31"/>
      <c r="JPY173" s="31"/>
      <c r="JPZ173" s="31"/>
      <c r="JQA173" s="31"/>
      <c r="JQB173" s="31"/>
      <c r="JQC173" s="31"/>
      <c r="JQD173" s="31"/>
      <c r="JQE173" s="31"/>
      <c r="JQF173" s="31"/>
      <c r="JQG173" s="31"/>
      <c r="JQH173" s="31"/>
      <c r="JQI173" s="31"/>
      <c r="JQJ173" s="31"/>
      <c r="JQK173" s="31"/>
      <c r="JQL173" s="31"/>
      <c r="JQM173" s="31"/>
      <c r="JQN173" s="31"/>
      <c r="JQO173" s="31"/>
      <c r="JQP173" s="31"/>
      <c r="JQQ173" s="31"/>
      <c r="JQR173" s="31"/>
      <c r="JQS173" s="31"/>
      <c r="JQT173" s="31"/>
      <c r="JQU173" s="31"/>
      <c r="JQV173" s="31"/>
      <c r="JQW173" s="31"/>
      <c r="JQX173" s="31"/>
      <c r="JQY173" s="31"/>
      <c r="JQZ173" s="31"/>
      <c r="JRA173" s="31"/>
      <c r="JRB173" s="31"/>
      <c r="JRC173" s="31"/>
      <c r="JRD173" s="31"/>
      <c r="JRE173" s="31"/>
      <c r="JRF173" s="31"/>
      <c r="JRG173" s="31"/>
      <c r="JRH173" s="31"/>
      <c r="JRI173" s="31"/>
      <c r="JRJ173" s="31"/>
      <c r="JRK173" s="31"/>
      <c r="JRL173" s="31"/>
      <c r="JRM173" s="31"/>
      <c r="JRN173" s="31"/>
      <c r="JRO173" s="31"/>
      <c r="JRP173" s="31"/>
      <c r="JRQ173" s="31"/>
      <c r="JRR173" s="31"/>
      <c r="JRS173" s="31"/>
      <c r="JRT173" s="31"/>
      <c r="JRU173" s="31"/>
      <c r="JRV173" s="31"/>
      <c r="JRW173" s="31"/>
      <c r="JRX173" s="31"/>
      <c r="JRY173" s="31"/>
      <c r="JRZ173" s="31"/>
      <c r="JSA173" s="31"/>
      <c r="JSB173" s="31"/>
      <c r="JSC173" s="31"/>
      <c r="JSD173" s="31"/>
      <c r="JSE173" s="31"/>
      <c r="JSF173" s="31"/>
      <c r="JSG173" s="31"/>
      <c r="JSH173" s="31"/>
      <c r="JSI173" s="31"/>
      <c r="JSJ173" s="31"/>
      <c r="JSK173" s="31"/>
      <c r="JSL173" s="31"/>
      <c r="JSM173" s="31"/>
      <c r="JSN173" s="31"/>
      <c r="JSO173" s="31"/>
      <c r="JSP173" s="31"/>
      <c r="JSQ173" s="31"/>
      <c r="JSR173" s="31"/>
      <c r="JSS173" s="31"/>
      <c r="JST173" s="31"/>
      <c r="JSU173" s="31"/>
      <c r="JSV173" s="31"/>
      <c r="JSW173" s="31"/>
      <c r="JSX173" s="31"/>
      <c r="JSY173" s="31"/>
      <c r="JSZ173" s="31"/>
      <c r="JTA173" s="31"/>
      <c r="JTB173" s="31"/>
      <c r="JTC173" s="31"/>
      <c r="JTD173" s="31"/>
      <c r="JTE173" s="31"/>
      <c r="JTF173" s="31"/>
      <c r="JTG173" s="31"/>
      <c r="JTH173" s="31"/>
      <c r="JTI173" s="31"/>
      <c r="JTJ173" s="31"/>
      <c r="JTK173" s="31"/>
      <c r="JTL173" s="31"/>
      <c r="JTM173" s="31"/>
      <c r="JTN173" s="31"/>
      <c r="JTO173" s="31"/>
      <c r="JTP173" s="31"/>
      <c r="JTQ173" s="31"/>
      <c r="JTR173" s="31"/>
      <c r="JTS173" s="31"/>
      <c r="JTT173" s="31"/>
      <c r="JTU173" s="31"/>
      <c r="JTV173" s="31"/>
      <c r="JTW173" s="31"/>
      <c r="JTX173" s="31"/>
      <c r="JTY173" s="31"/>
      <c r="JTZ173" s="31"/>
      <c r="JUA173" s="31"/>
      <c r="JUB173" s="31"/>
      <c r="JUC173" s="31"/>
      <c r="JUD173" s="31"/>
      <c r="JUE173" s="31"/>
      <c r="JUF173" s="31"/>
      <c r="JUG173" s="31"/>
      <c r="JUH173" s="31"/>
      <c r="JUI173" s="31"/>
      <c r="JUJ173" s="31"/>
      <c r="JUK173" s="31"/>
      <c r="JUL173" s="31"/>
      <c r="JUM173" s="31"/>
      <c r="JUN173" s="31"/>
      <c r="JUO173" s="31"/>
      <c r="JUP173" s="31"/>
      <c r="JUQ173" s="31"/>
      <c r="JUR173" s="31"/>
      <c r="JUS173" s="31"/>
      <c r="JUT173" s="31"/>
      <c r="JUU173" s="31"/>
      <c r="JUV173" s="31"/>
      <c r="JUW173" s="31"/>
      <c r="JUX173" s="31"/>
      <c r="JUY173" s="31"/>
      <c r="JUZ173" s="31"/>
      <c r="JVA173" s="31"/>
      <c r="JVB173" s="31"/>
      <c r="JVC173" s="31"/>
      <c r="JVD173" s="31"/>
      <c r="JVE173" s="31"/>
      <c r="JVF173" s="31"/>
      <c r="JVG173" s="31"/>
      <c r="JVH173" s="31"/>
      <c r="JVI173" s="31"/>
      <c r="JVJ173" s="31"/>
      <c r="JVK173" s="31"/>
      <c r="JVL173" s="31"/>
      <c r="JVM173" s="31"/>
      <c r="JVN173" s="31"/>
      <c r="JVO173" s="31"/>
      <c r="JVP173" s="31"/>
      <c r="JVQ173" s="31"/>
      <c r="JVR173" s="31"/>
      <c r="JVS173" s="31"/>
      <c r="JVT173" s="31"/>
      <c r="JVU173" s="31"/>
      <c r="JVV173" s="31"/>
      <c r="JVW173" s="31"/>
      <c r="JVX173" s="31"/>
      <c r="JVY173" s="31"/>
      <c r="JVZ173" s="31"/>
      <c r="JWA173" s="31"/>
      <c r="JWB173" s="31"/>
      <c r="JWC173" s="31"/>
      <c r="JWD173" s="31"/>
      <c r="JWE173" s="31"/>
      <c r="JWF173" s="31"/>
      <c r="JWG173" s="31"/>
      <c r="JWH173" s="31"/>
      <c r="JWI173" s="31"/>
      <c r="JWJ173" s="31"/>
      <c r="JWK173" s="31"/>
      <c r="JWL173" s="31"/>
      <c r="JWM173" s="31"/>
      <c r="JWN173" s="31"/>
      <c r="JWO173" s="31"/>
      <c r="JWP173" s="31"/>
      <c r="JWQ173" s="31"/>
      <c r="JWR173" s="31"/>
      <c r="JWS173" s="31"/>
      <c r="JWT173" s="31"/>
      <c r="JWU173" s="31"/>
      <c r="JWV173" s="31"/>
      <c r="JWW173" s="31"/>
      <c r="JWX173" s="31"/>
      <c r="JWY173" s="31"/>
      <c r="JWZ173" s="31"/>
      <c r="JXA173" s="31"/>
      <c r="JXB173" s="31"/>
      <c r="JXC173" s="31"/>
      <c r="JXD173" s="31"/>
      <c r="JXE173" s="31"/>
      <c r="JXF173" s="31"/>
      <c r="JXG173" s="31"/>
      <c r="JXH173" s="31"/>
      <c r="JXI173" s="31"/>
      <c r="JXJ173" s="31"/>
      <c r="JXK173" s="31"/>
      <c r="JXL173" s="31"/>
      <c r="JXM173" s="31"/>
      <c r="JXN173" s="31"/>
      <c r="JXO173" s="31"/>
      <c r="JXP173" s="31"/>
      <c r="JXQ173" s="31"/>
      <c r="JXR173" s="31"/>
      <c r="JXS173" s="31"/>
      <c r="JXT173" s="31"/>
      <c r="JXU173" s="31"/>
      <c r="JXV173" s="31"/>
      <c r="JXW173" s="31"/>
      <c r="JXX173" s="31"/>
      <c r="JXY173" s="31"/>
      <c r="JXZ173" s="31"/>
      <c r="JYA173" s="31"/>
      <c r="JYB173" s="31"/>
      <c r="JYC173" s="31"/>
      <c r="JYD173" s="31"/>
      <c r="JYE173" s="31"/>
      <c r="JYF173" s="31"/>
      <c r="JYG173" s="31"/>
      <c r="JYH173" s="31"/>
      <c r="JYI173" s="31"/>
      <c r="JYJ173" s="31"/>
      <c r="JYK173" s="31"/>
      <c r="JYL173" s="31"/>
      <c r="JYM173" s="31"/>
      <c r="JYN173" s="31"/>
      <c r="JYO173" s="31"/>
      <c r="JYP173" s="31"/>
      <c r="JYQ173" s="31"/>
      <c r="JYR173" s="31"/>
      <c r="JYS173" s="31"/>
      <c r="JYT173" s="31"/>
      <c r="JYU173" s="31"/>
      <c r="JYV173" s="31"/>
      <c r="JYW173" s="31"/>
      <c r="JYX173" s="31"/>
      <c r="JYY173" s="31"/>
      <c r="JYZ173" s="31"/>
      <c r="JZA173" s="31"/>
      <c r="JZB173" s="31"/>
      <c r="JZC173" s="31"/>
      <c r="JZD173" s="31"/>
      <c r="JZE173" s="31"/>
      <c r="JZF173" s="31"/>
      <c r="JZG173" s="31"/>
      <c r="JZH173" s="31"/>
      <c r="JZI173" s="31"/>
      <c r="JZJ173" s="31"/>
      <c r="JZK173" s="31"/>
      <c r="JZL173" s="31"/>
      <c r="JZM173" s="31"/>
      <c r="JZN173" s="31"/>
      <c r="JZO173" s="31"/>
      <c r="JZP173" s="31"/>
      <c r="JZQ173" s="31"/>
      <c r="JZR173" s="31"/>
      <c r="JZS173" s="31"/>
      <c r="JZT173" s="31"/>
      <c r="JZU173" s="31"/>
      <c r="JZV173" s="31"/>
      <c r="JZW173" s="31"/>
      <c r="JZX173" s="31"/>
      <c r="JZY173" s="31"/>
      <c r="JZZ173" s="31"/>
      <c r="KAA173" s="31"/>
      <c r="KAB173" s="31"/>
      <c r="KAC173" s="31"/>
      <c r="KAD173" s="31"/>
      <c r="KAE173" s="31"/>
      <c r="KAF173" s="31"/>
      <c r="KAG173" s="31"/>
      <c r="KAH173" s="31"/>
      <c r="KAI173" s="31"/>
      <c r="KAJ173" s="31"/>
      <c r="KAK173" s="31"/>
      <c r="KAL173" s="31"/>
      <c r="KAM173" s="31"/>
      <c r="KAN173" s="31"/>
      <c r="KAO173" s="31"/>
      <c r="KAP173" s="31"/>
      <c r="KAQ173" s="31"/>
      <c r="KAR173" s="31"/>
      <c r="KAS173" s="31"/>
      <c r="KAT173" s="31"/>
      <c r="KAU173" s="31"/>
      <c r="KAV173" s="31"/>
      <c r="KAW173" s="31"/>
      <c r="KAX173" s="31"/>
      <c r="KAY173" s="31"/>
      <c r="KAZ173" s="31"/>
      <c r="KBA173" s="31"/>
      <c r="KBB173" s="31"/>
      <c r="KBC173" s="31"/>
      <c r="KBD173" s="31"/>
      <c r="KBE173" s="31"/>
      <c r="KBF173" s="31"/>
      <c r="KBG173" s="31"/>
      <c r="KBH173" s="31"/>
      <c r="KBI173" s="31"/>
      <c r="KBJ173" s="31"/>
      <c r="KBK173" s="31"/>
      <c r="KBL173" s="31"/>
      <c r="KBM173" s="31"/>
      <c r="KBN173" s="31"/>
      <c r="KBO173" s="31"/>
      <c r="KBP173" s="31"/>
      <c r="KBQ173" s="31"/>
      <c r="KBR173" s="31"/>
      <c r="KBS173" s="31"/>
      <c r="KBT173" s="31"/>
      <c r="KBU173" s="31"/>
      <c r="KBV173" s="31"/>
      <c r="KBW173" s="31"/>
      <c r="KBX173" s="31"/>
      <c r="KBY173" s="31"/>
      <c r="KBZ173" s="31"/>
      <c r="KCA173" s="31"/>
      <c r="KCB173" s="31"/>
      <c r="KCC173" s="31"/>
      <c r="KCD173" s="31"/>
      <c r="KCE173" s="31"/>
      <c r="KCF173" s="31"/>
      <c r="KCG173" s="31"/>
      <c r="KCH173" s="31"/>
      <c r="KCI173" s="31"/>
      <c r="KCJ173" s="31"/>
      <c r="KCK173" s="31"/>
      <c r="KCL173" s="31"/>
      <c r="KCM173" s="31"/>
      <c r="KCN173" s="31"/>
      <c r="KCO173" s="31"/>
      <c r="KCP173" s="31"/>
      <c r="KCQ173" s="31"/>
      <c r="KCR173" s="31"/>
      <c r="KCS173" s="31"/>
      <c r="KCT173" s="31"/>
      <c r="KCU173" s="31"/>
      <c r="KCV173" s="31"/>
      <c r="KCW173" s="31"/>
      <c r="KCX173" s="31"/>
      <c r="KCY173" s="31"/>
      <c r="KCZ173" s="31"/>
      <c r="KDA173" s="31"/>
      <c r="KDB173" s="31"/>
      <c r="KDC173" s="31"/>
      <c r="KDD173" s="31"/>
      <c r="KDE173" s="31"/>
      <c r="KDF173" s="31"/>
      <c r="KDG173" s="31"/>
      <c r="KDH173" s="31"/>
      <c r="KDI173" s="31"/>
      <c r="KDJ173" s="31"/>
      <c r="KDK173" s="31"/>
      <c r="KDL173" s="31"/>
      <c r="KDM173" s="31"/>
      <c r="KDN173" s="31"/>
      <c r="KDO173" s="31"/>
      <c r="KDP173" s="31"/>
      <c r="KDQ173" s="31"/>
      <c r="KDR173" s="31"/>
      <c r="KDS173" s="31"/>
      <c r="KDT173" s="31"/>
      <c r="KDU173" s="31"/>
      <c r="KDV173" s="31"/>
      <c r="KDW173" s="31"/>
      <c r="KDX173" s="31"/>
      <c r="KDY173" s="31"/>
      <c r="KDZ173" s="31"/>
      <c r="KEA173" s="31"/>
      <c r="KEB173" s="31"/>
      <c r="KEC173" s="31"/>
      <c r="KED173" s="31"/>
      <c r="KEE173" s="31"/>
      <c r="KEF173" s="31"/>
      <c r="KEG173" s="31"/>
      <c r="KEH173" s="31"/>
      <c r="KEI173" s="31"/>
      <c r="KEJ173" s="31"/>
      <c r="KEK173" s="31"/>
      <c r="KEL173" s="31"/>
      <c r="KEM173" s="31"/>
      <c r="KEN173" s="31"/>
      <c r="KEO173" s="31"/>
      <c r="KEP173" s="31"/>
      <c r="KEQ173" s="31"/>
      <c r="KER173" s="31"/>
      <c r="KES173" s="31"/>
      <c r="KET173" s="31"/>
      <c r="KEU173" s="31"/>
      <c r="KEV173" s="31"/>
      <c r="KEW173" s="31"/>
      <c r="KEX173" s="31"/>
      <c r="KEY173" s="31"/>
      <c r="KEZ173" s="31"/>
      <c r="KFA173" s="31"/>
      <c r="KFB173" s="31"/>
      <c r="KFC173" s="31"/>
      <c r="KFD173" s="31"/>
      <c r="KFE173" s="31"/>
      <c r="KFF173" s="31"/>
      <c r="KFG173" s="31"/>
      <c r="KFH173" s="31"/>
      <c r="KFI173" s="31"/>
      <c r="KFJ173" s="31"/>
      <c r="KFK173" s="31"/>
      <c r="KFL173" s="31"/>
      <c r="KFM173" s="31"/>
      <c r="KFN173" s="31"/>
      <c r="KFO173" s="31"/>
      <c r="KFP173" s="31"/>
      <c r="KFQ173" s="31"/>
      <c r="KFR173" s="31"/>
      <c r="KFS173" s="31"/>
      <c r="KFT173" s="31"/>
      <c r="KFU173" s="31"/>
      <c r="KFV173" s="31"/>
      <c r="KFW173" s="31"/>
      <c r="KFX173" s="31"/>
      <c r="KFY173" s="31"/>
      <c r="KFZ173" s="31"/>
      <c r="KGA173" s="31"/>
      <c r="KGB173" s="31"/>
      <c r="KGC173" s="31"/>
      <c r="KGD173" s="31"/>
      <c r="KGE173" s="31"/>
      <c r="KGF173" s="31"/>
      <c r="KGG173" s="31"/>
      <c r="KGH173" s="31"/>
      <c r="KGI173" s="31"/>
      <c r="KGJ173" s="31"/>
      <c r="KGK173" s="31"/>
      <c r="KGL173" s="31"/>
      <c r="KGM173" s="31"/>
      <c r="KGN173" s="31"/>
      <c r="KGO173" s="31"/>
      <c r="KGP173" s="31"/>
      <c r="KGQ173" s="31"/>
      <c r="KGR173" s="31"/>
      <c r="KGS173" s="31"/>
      <c r="KGT173" s="31"/>
      <c r="KGU173" s="31"/>
      <c r="KGV173" s="31"/>
      <c r="KGW173" s="31"/>
      <c r="KGX173" s="31"/>
      <c r="KGY173" s="31"/>
      <c r="KGZ173" s="31"/>
      <c r="KHA173" s="31"/>
      <c r="KHB173" s="31"/>
      <c r="KHC173" s="31"/>
      <c r="KHD173" s="31"/>
      <c r="KHE173" s="31"/>
      <c r="KHF173" s="31"/>
      <c r="KHG173" s="31"/>
      <c r="KHH173" s="31"/>
      <c r="KHI173" s="31"/>
      <c r="KHJ173" s="31"/>
      <c r="KHK173" s="31"/>
      <c r="KHL173" s="31"/>
      <c r="KHM173" s="31"/>
      <c r="KHN173" s="31"/>
      <c r="KHO173" s="31"/>
      <c r="KHP173" s="31"/>
      <c r="KHQ173" s="31"/>
      <c r="KHR173" s="31"/>
      <c r="KHS173" s="31"/>
      <c r="KHT173" s="31"/>
      <c r="KHU173" s="31"/>
      <c r="KHV173" s="31"/>
      <c r="KHW173" s="31"/>
      <c r="KHX173" s="31"/>
      <c r="KHY173" s="31"/>
      <c r="KHZ173" s="31"/>
      <c r="KIA173" s="31"/>
      <c r="KIB173" s="31"/>
      <c r="KIC173" s="31"/>
      <c r="KID173" s="31"/>
      <c r="KIE173" s="31"/>
      <c r="KIF173" s="31"/>
      <c r="KIG173" s="31"/>
      <c r="KIH173" s="31"/>
      <c r="KII173" s="31"/>
      <c r="KIJ173" s="31"/>
      <c r="KIK173" s="31"/>
      <c r="KIL173" s="31"/>
      <c r="KIM173" s="31"/>
      <c r="KIN173" s="31"/>
      <c r="KIO173" s="31"/>
      <c r="KIP173" s="31"/>
      <c r="KIQ173" s="31"/>
      <c r="KIR173" s="31"/>
      <c r="KIS173" s="31"/>
      <c r="KIT173" s="31"/>
      <c r="KIU173" s="31"/>
      <c r="KIV173" s="31"/>
      <c r="KIW173" s="31"/>
      <c r="KIX173" s="31"/>
      <c r="KIY173" s="31"/>
      <c r="KIZ173" s="31"/>
      <c r="KJA173" s="31"/>
      <c r="KJB173" s="31"/>
      <c r="KJC173" s="31"/>
      <c r="KJD173" s="31"/>
      <c r="KJE173" s="31"/>
      <c r="KJF173" s="31"/>
      <c r="KJG173" s="31"/>
      <c r="KJH173" s="31"/>
      <c r="KJI173" s="31"/>
      <c r="KJJ173" s="31"/>
      <c r="KJK173" s="31"/>
      <c r="KJL173" s="31"/>
      <c r="KJM173" s="31"/>
      <c r="KJN173" s="31"/>
      <c r="KJO173" s="31"/>
      <c r="KJP173" s="31"/>
      <c r="KJQ173" s="31"/>
      <c r="KJR173" s="31"/>
      <c r="KJS173" s="31"/>
      <c r="KJT173" s="31"/>
      <c r="KJU173" s="31"/>
      <c r="KJV173" s="31"/>
      <c r="KJW173" s="31"/>
      <c r="KJX173" s="31"/>
      <c r="KJY173" s="31"/>
      <c r="KJZ173" s="31"/>
      <c r="KKA173" s="31"/>
      <c r="KKB173" s="31"/>
      <c r="KKC173" s="31"/>
      <c r="KKD173" s="31"/>
      <c r="KKE173" s="31"/>
      <c r="KKF173" s="31"/>
      <c r="KKG173" s="31"/>
      <c r="KKH173" s="31"/>
      <c r="KKI173" s="31"/>
      <c r="KKJ173" s="31"/>
      <c r="KKK173" s="31"/>
      <c r="KKL173" s="31"/>
      <c r="KKM173" s="31"/>
      <c r="KKN173" s="31"/>
      <c r="KKO173" s="31"/>
      <c r="KKP173" s="31"/>
      <c r="KKQ173" s="31"/>
      <c r="KKR173" s="31"/>
      <c r="KKS173" s="31"/>
      <c r="KKT173" s="31"/>
      <c r="KKU173" s="31"/>
      <c r="KKV173" s="31"/>
      <c r="KKW173" s="31"/>
      <c r="KKX173" s="31"/>
      <c r="KKY173" s="31"/>
      <c r="KKZ173" s="31"/>
      <c r="KLA173" s="31"/>
      <c r="KLB173" s="31"/>
      <c r="KLC173" s="31"/>
      <c r="KLD173" s="31"/>
      <c r="KLE173" s="31"/>
      <c r="KLF173" s="31"/>
      <c r="KLG173" s="31"/>
      <c r="KLH173" s="31"/>
      <c r="KLI173" s="31"/>
      <c r="KLJ173" s="31"/>
      <c r="KLK173" s="31"/>
      <c r="KLL173" s="31"/>
      <c r="KLM173" s="31"/>
      <c r="KLN173" s="31"/>
      <c r="KLO173" s="31"/>
      <c r="KLP173" s="31"/>
      <c r="KLQ173" s="31"/>
      <c r="KLR173" s="31"/>
      <c r="KLS173" s="31"/>
      <c r="KLT173" s="31"/>
      <c r="KLU173" s="31"/>
      <c r="KLV173" s="31"/>
      <c r="KLW173" s="31"/>
      <c r="KLX173" s="31"/>
      <c r="KLY173" s="31"/>
      <c r="KLZ173" s="31"/>
      <c r="KMA173" s="31"/>
      <c r="KMB173" s="31"/>
      <c r="KMC173" s="31"/>
      <c r="KMD173" s="31"/>
      <c r="KME173" s="31"/>
      <c r="KMF173" s="31"/>
      <c r="KMG173" s="31"/>
      <c r="KMH173" s="31"/>
      <c r="KMI173" s="31"/>
      <c r="KMJ173" s="31"/>
      <c r="KMK173" s="31"/>
      <c r="KML173" s="31"/>
      <c r="KMM173" s="31"/>
      <c r="KMN173" s="31"/>
      <c r="KMO173" s="31"/>
      <c r="KMP173" s="31"/>
      <c r="KMQ173" s="31"/>
      <c r="KMR173" s="31"/>
      <c r="KMS173" s="31"/>
      <c r="KMT173" s="31"/>
      <c r="KMU173" s="31"/>
      <c r="KMV173" s="31"/>
      <c r="KMW173" s="31"/>
      <c r="KMX173" s="31"/>
      <c r="KMY173" s="31"/>
      <c r="KMZ173" s="31"/>
      <c r="KNA173" s="31"/>
      <c r="KNB173" s="31"/>
      <c r="KNC173" s="31"/>
      <c r="KND173" s="31"/>
      <c r="KNE173" s="31"/>
      <c r="KNF173" s="31"/>
      <c r="KNG173" s="31"/>
      <c r="KNH173" s="31"/>
      <c r="KNI173" s="31"/>
      <c r="KNJ173" s="31"/>
      <c r="KNK173" s="31"/>
      <c r="KNL173" s="31"/>
      <c r="KNM173" s="31"/>
      <c r="KNN173" s="31"/>
      <c r="KNO173" s="31"/>
      <c r="KNP173" s="31"/>
      <c r="KNQ173" s="31"/>
      <c r="KNR173" s="31"/>
      <c r="KNS173" s="31"/>
      <c r="KNT173" s="31"/>
      <c r="KNU173" s="31"/>
      <c r="KNV173" s="31"/>
      <c r="KNW173" s="31"/>
      <c r="KNX173" s="31"/>
      <c r="KNY173" s="31"/>
      <c r="KNZ173" s="31"/>
      <c r="KOA173" s="31"/>
      <c r="KOB173" s="31"/>
      <c r="KOC173" s="31"/>
      <c r="KOD173" s="31"/>
      <c r="KOE173" s="31"/>
      <c r="KOF173" s="31"/>
      <c r="KOG173" s="31"/>
      <c r="KOH173" s="31"/>
      <c r="KOI173" s="31"/>
      <c r="KOJ173" s="31"/>
      <c r="KOK173" s="31"/>
      <c r="KOL173" s="31"/>
      <c r="KOM173" s="31"/>
      <c r="KON173" s="31"/>
      <c r="KOO173" s="31"/>
      <c r="KOP173" s="31"/>
      <c r="KOQ173" s="31"/>
      <c r="KOR173" s="31"/>
      <c r="KOS173" s="31"/>
      <c r="KOT173" s="31"/>
      <c r="KOU173" s="31"/>
      <c r="KOV173" s="31"/>
      <c r="KOW173" s="31"/>
      <c r="KOX173" s="31"/>
      <c r="KOY173" s="31"/>
      <c r="KOZ173" s="31"/>
      <c r="KPA173" s="31"/>
      <c r="KPB173" s="31"/>
      <c r="KPC173" s="31"/>
      <c r="KPD173" s="31"/>
      <c r="KPE173" s="31"/>
      <c r="KPF173" s="31"/>
      <c r="KPG173" s="31"/>
      <c r="KPH173" s="31"/>
      <c r="KPI173" s="31"/>
      <c r="KPJ173" s="31"/>
      <c r="KPK173" s="31"/>
      <c r="KPL173" s="31"/>
      <c r="KPM173" s="31"/>
      <c r="KPN173" s="31"/>
      <c r="KPO173" s="31"/>
      <c r="KPP173" s="31"/>
      <c r="KPQ173" s="31"/>
      <c r="KPR173" s="31"/>
      <c r="KPS173" s="31"/>
      <c r="KPT173" s="31"/>
      <c r="KPU173" s="31"/>
      <c r="KPV173" s="31"/>
      <c r="KPW173" s="31"/>
      <c r="KPX173" s="31"/>
      <c r="KPY173" s="31"/>
      <c r="KPZ173" s="31"/>
      <c r="KQA173" s="31"/>
      <c r="KQB173" s="31"/>
      <c r="KQC173" s="31"/>
      <c r="KQD173" s="31"/>
      <c r="KQE173" s="31"/>
      <c r="KQF173" s="31"/>
      <c r="KQG173" s="31"/>
      <c r="KQH173" s="31"/>
      <c r="KQI173" s="31"/>
      <c r="KQJ173" s="31"/>
      <c r="KQK173" s="31"/>
      <c r="KQL173" s="31"/>
      <c r="KQM173" s="31"/>
      <c r="KQN173" s="31"/>
      <c r="KQO173" s="31"/>
      <c r="KQP173" s="31"/>
      <c r="KQQ173" s="31"/>
      <c r="KQR173" s="31"/>
      <c r="KQS173" s="31"/>
      <c r="KQT173" s="31"/>
      <c r="KQU173" s="31"/>
      <c r="KQV173" s="31"/>
      <c r="KQW173" s="31"/>
      <c r="KQX173" s="31"/>
      <c r="KQY173" s="31"/>
      <c r="KQZ173" s="31"/>
      <c r="KRA173" s="31"/>
      <c r="KRB173" s="31"/>
      <c r="KRC173" s="31"/>
      <c r="KRD173" s="31"/>
      <c r="KRE173" s="31"/>
      <c r="KRF173" s="31"/>
      <c r="KRG173" s="31"/>
      <c r="KRH173" s="31"/>
      <c r="KRI173" s="31"/>
      <c r="KRJ173" s="31"/>
      <c r="KRK173" s="31"/>
      <c r="KRL173" s="31"/>
      <c r="KRM173" s="31"/>
      <c r="KRN173" s="31"/>
      <c r="KRO173" s="31"/>
      <c r="KRP173" s="31"/>
      <c r="KRQ173" s="31"/>
      <c r="KRR173" s="31"/>
      <c r="KRS173" s="31"/>
      <c r="KRT173" s="31"/>
      <c r="KRU173" s="31"/>
      <c r="KRV173" s="31"/>
      <c r="KRW173" s="31"/>
      <c r="KRX173" s="31"/>
      <c r="KRY173" s="31"/>
      <c r="KRZ173" s="31"/>
      <c r="KSA173" s="31"/>
      <c r="KSB173" s="31"/>
      <c r="KSC173" s="31"/>
      <c r="KSD173" s="31"/>
      <c r="KSE173" s="31"/>
      <c r="KSF173" s="31"/>
      <c r="KSG173" s="31"/>
      <c r="KSH173" s="31"/>
      <c r="KSI173" s="31"/>
      <c r="KSJ173" s="31"/>
      <c r="KSK173" s="31"/>
      <c r="KSL173" s="31"/>
      <c r="KSM173" s="31"/>
      <c r="KSN173" s="31"/>
      <c r="KSO173" s="31"/>
      <c r="KSP173" s="31"/>
      <c r="KSQ173" s="31"/>
      <c r="KSR173" s="31"/>
      <c r="KSS173" s="31"/>
      <c r="KST173" s="31"/>
      <c r="KSU173" s="31"/>
      <c r="KSV173" s="31"/>
      <c r="KSW173" s="31"/>
      <c r="KSX173" s="31"/>
      <c r="KSY173" s="31"/>
      <c r="KSZ173" s="31"/>
      <c r="KTA173" s="31"/>
      <c r="KTB173" s="31"/>
      <c r="KTC173" s="31"/>
      <c r="KTD173" s="31"/>
      <c r="KTE173" s="31"/>
      <c r="KTF173" s="31"/>
      <c r="KTG173" s="31"/>
      <c r="KTH173" s="31"/>
      <c r="KTI173" s="31"/>
      <c r="KTJ173" s="31"/>
      <c r="KTK173" s="31"/>
      <c r="KTL173" s="31"/>
      <c r="KTM173" s="31"/>
      <c r="KTN173" s="31"/>
      <c r="KTO173" s="31"/>
      <c r="KTP173" s="31"/>
      <c r="KTQ173" s="31"/>
      <c r="KTR173" s="31"/>
      <c r="KTS173" s="31"/>
      <c r="KTT173" s="31"/>
      <c r="KTU173" s="31"/>
      <c r="KTV173" s="31"/>
      <c r="KTW173" s="31"/>
      <c r="KTX173" s="31"/>
      <c r="KTY173" s="31"/>
      <c r="KTZ173" s="31"/>
      <c r="KUA173" s="31"/>
      <c r="KUB173" s="31"/>
      <c r="KUC173" s="31"/>
      <c r="KUD173" s="31"/>
      <c r="KUE173" s="31"/>
      <c r="KUF173" s="31"/>
      <c r="KUG173" s="31"/>
      <c r="KUH173" s="31"/>
      <c r="KUI173" s="31"/>
      <c r="KUJ173" s="31"/>
      <c r="KUK173" s="31"/>
      <c r="KUL173" s="31"/>
      <c r="KUM173" s="31"/>
      <c r="KUN173" s="31"/>
      <c r="KUO173" s="31"/>
      <c r="KUP173" s="31"/>
      <c r="KUQ173" s="31"/>
      <c r="KUR173" s="31"/>
      <c r="KUS173" s="31"/>
      <c r="KUT173" s="31"/>
      <c r="KUU173" s="31"/>
      <c r="KUV173" s="31"/>
      <c r="KUW173" s="31"/>
      <c r="KUX173" s="31"/>
      <c r="KUY173" s="31"/>
      <c r="KUZ173" s="31"/>
      <c r="KVA173" s="31"/>
      <c r="KVB173" s="31"/>
      <c r="KVC173" s="31"/>
      <c r="KVD173" s="31"/>
      <c r="KVE173" s="31"/>
      <c r="KVF173" s="31"/>
      <c r="KVG173" s="31"/>
      <c r="KVH173" s="31"/>
      <c r="KVI173" s="31"/>
      <c r="KVJ173" s="31"/>
      <c r="KVK173" s="31"/>
      <c r="KVL173" s="31"/>
      <c r="KVM173" s="31"/>
      <c r="KVN173" s="31"/>
      <c r="KVO173" s="31"/>
      <c r="KVP173" s="31"/>
      <c r="KVQ173" s="31"/>
      <c r="KVR173" s="31"/>
      <c r="KVS173" s="31"/>
      <c r="KVT173" s="31"/>
      <c r="KVU173" s="31"/>
      <c r="KVV173" s="31"/>
      <c r="KVW173" s="31"/>
      <c r="KVX173" s="31"/>
      <c r="KVY173" s="31"/>
      <c r="KVZ173" s="31"/>
      <c r="KWA173" s="31"/>
      <c r="KWB173" s="31"/>
      <c r="KWC173" s="31"/>
      <c r="KWD173" s="31"/>
      <c r="KWE173" s="31"/>
      <c r="KWF173" s="31"/>
      <c r="KWG173" s="31"/>
      <c r="KWH173" s="31"/>
      <c r="KWI173" s="31"/>
      <c r="KWJ173" s="31"/>
      <c r="KWK173" s="31"/>
      <c r="KWL173" s="31"/>
      <c r="KWM173" s="31"/>
      <c r="KWN173" s="31"/>
      <c r="KWO173" s="31"/>
      <c r="KWP173" s="31"/>
      <c r="KWQ173" s="31"/>
      <c r="KWR173" s="31"/>
      <c r="KWS173" s="31"/>
      <c r="KWT173" s="31"/>
      <c r="KWU173" s="31"/>
      <c r="KWV173" s="31"/>
      <c r="KWW173" s="31"/>
      <c r="KWX173" s="31"/>
      <c r="KWY173" s="31"/>
      <c r="KWZ173" s="31"/>
      <c r="KXA173" s="31"/>
      <c r="KXB173" s="31"/>
      <c r="KXC173" s="31"/>
      <c r="KXD173" s="31"/>
      <c r="KXE173" s="31"/>
      <c r="KXF173" s="31"/>
      <c r="KXG173" s="31"/>
      <c r="KXH173" s="31"/>
      <c r="KXI173" s="31"/>
      <c r="KXJ173" s="31"/>
      <c r="KXK173" s="31"/>
      <c r="KXL173" s="31"/>
      <c r="KXM173" s="31"/>
      <c r="KXN173" s="31"/>
      <c r="KXO173" s="31"/>
      <c r="KXP173" s="31"/>
      <c r="KXQ173" s="31"/>
      <c r="KXR173" s="31"/>
      <c r="KXS173" s="31"/>
      <c r="KXT173" s="31"/>
      <c r="KXU173" s="31"/>
      <c r="KXV173" s="31"/>
      <c r="KXW173" s="31"/>
      <c r="KXX173" s="31"/>
      <c r="KXY173" s="31"/>
      <c r="KXZ173" s="31"/>
      <c r="KYA173" s="31"/>
      <c r="KYB173" s="31"/>
      <c r="KYC173" s="31"/>
      <c r="KYD173" s="31"/>
      <c r="KYE173" s="31"/>
      <c r="KYF173" s="31"/>
      <c r="KYG173" s="31"/>
      <c r="KYH173" s="31"/>
      <c r="KYI173" s="31"/>
      <c r="KYJ173" s="31"/>
      <c r="KYK173" s="31"/>
      <c r="KYL173" s="31"/>
      <c r="KYM173" s="31"/>
      <c r="KYN173" s="31"/>
      <c r="KYO173" s="31"/>
      <c r="KYP173" s="31"/>
      <c r="KYQ173" s="31"/>
      <c r="KYR173" s="31"/>
      <c r="KYS173" s="31"/>
      <c r="KYT173" s="31"/>
      <c r="KYU173" s="31"/>
      <c r="KYV173" s="31"/>
      <c r="KYW173" s="31"/>
      <c r="KYX173" s="31"/>
      <c r="KYY173" s="31"/>
      <c r="KYZ173" s="31"/>
      <c r="KZA173" s="31"/>
      <c r="KZB173" s="31"/>
      <c r="KZC173" s="31"/>
      <c r="KZD173" s="31"/>
      <c r="KZE173" s="31"/>
      <c r="KZF173" s="31"/>
      <c r="KZG173" s="31"/>
      <c r="KZH173" s="31"/>
      <c r="KZI173" s="31"/>
      <c r="KZJ173" s="31"/>
      <c r="KZK173" s="31"/>
      <c r="KZL173" s="31"/>
      <c r="KZM173" s="31"/>
      <c r="KZN173" s="31"/>
      <c r="KZO173" s="31"/>
      <c r="KZP173" s="31"/>
      <c r="KZQ173" s="31"/>
      <c r="KZR173" s="31"/>
      <c r="KZS173" s="31"/>
      <c r="KZT173" s="31"/>
      <c r="KZU173" s="31"/>
      <c r="KZV173" s="31"/>
      <c r="KZW173" s="31"/>
      <c r="KZX173" s="31"/>
      <c r="KZY173" s="31"/>
      <c r="KZZ173" s="31"/>
      <c r="LAA173" s="31"/>
      <c r="LAB173" s="31"/>
      <c r="LAC173" s="31"/>
      <c r="LAD173" s="31"/>
      <c r="LAE173" s="31"/>
      <c r="LAF173" s="31"/>
      <c r="LAG173" s="31"/>
      <c r="LAH173" s="31"/>
      <c r="LAI173" s="31"/>
      <c r="LAJ173" s="31"/>
      <c r="LAK173" s="31"/>
      <c r="LAL173" s="31"/>
      <c r="LAM173" s="31"/>
      <c r="LAN173" s="31"/>
      <c r="LAO173" s="31"/>
      <c r="LAP173" s="31"/>
      <c r="LAQ173" s="31"/>
      <c r="LAR173" s="31"/>
      <c r="LAS173" s="31"/>
      <c r="LAT173" s="31"/>
      <c r="LAU173" s="31"/>
      <c r="LAV173" s="31"/>
      <c r="LAW173" s="31"/>
      <c r="LAX173" s="31"/>
      <c r="LAY173" s="31"/>
      <c r="LAZ173" s="31"/>
      <c r="LBA173" s="31"/>
      <c r="LBB173" s="31"/>
      <c r="LBC173" s="31"/>
      <c r="LBD173" s="31"/>
      <c r="LBE173" s="31"/>
      <c r="LBF173" s="31"/>
      <c r="LBG173" s="31"/>
      <c r="LBH173" s="31"/>
      <c r="LBI173" s="31"/>
      <c r="LBJ173" s="31"/>
      <c r="LBK173" s="31"/>
      <c r="LBL173" s="31"/>
      <c r="LBM173" s="31"/>
      <c r="LBN173" s="31"/>
      <c r="LBO173" s="31"/>
      <c r="LBP173" s="31"/>
      <c r="LBQ173" s="31"/>
      <c r="LBR173" s="31"/>
      <c r="LBS173" s="31"/>
      <c r="LBT173" s="31"/>
      <c r="LBU173" s="31"/>
      <c r="LBV173" s="31"/>
      <c r="LBW173" s="31"/>
      <c r="LBX173" s="31"/>
      <c r="LBY173" s="31"/>
      <c r="LBZ173" s="31"/>
      <c r="LCA173" s="31"/>
      <c r="LCB173" s="31"/>
      <c r="LCC173" s="31"/>
      <c r="LCD173" s="31"/>
      <c r="LCE173" s="31"/>
      <c r="LCF173" s="31"/>
      <c r="LCG173" s="31"/>
      <c r="LCH173" s="31"/>
      <c r="LCI173" s="31"/>
      <c r="LCJ173" s="31"/>
      <c r="LCK173" s="31"/>
      <c r="LCL173" s="31"/>
      <c r="LCM173" s="31"/>
      <c r="LCN173" s="31"/>
      <c r="LCO173" s="31"/>
      <c r="LCP173" s="31"/>
      <c r="LCQ173" s="31"/>
      <c r="LCR173" s="31"/>
      <c r="LCS173" s="31"/>
      <c r="LCT173" s="31"/>
      <c r="LCU173" s="31"/>
      <c r="LCV173" s="31"/>
      <c r="LCW173" s="31"/>
      <c r="LCX173" s="31"/>
      <c r="LCY173" s="31"/>
      <c r="LCZ173" s="31"/>
      <c r="LDA173" s="31"/>
      <c r="LDB173" s="31"/>
      <c r="LDC173" s="31"/>
      <c r="LDD173" s="31"/>
      <c r="LDE173" s="31"/>
      <c r="LDF173" s="31"/>
      <c r="LDG173" s="31"/>
      <c r="LDH173" s="31"/>
      <c r="LDI173" s="31"/>
      <c r="LDJ173" s="31"/>
      <c r="LDK173" s="31"/>
      <c r="LDL173" s="31"/>
      <c r="LDM173" s="31"/>
      <c r="LDN173" s="31"/>
      <c r="LDO173" s="31"/>
      <c r="LDP173" s="31"/>
      <c r="LDQ173" s="31"/>
      <c r="LDR173" s="31"/>
      <c r="LDS173" s="31"/>
      <c r="LDT173" s="31"/>
      <c r="LDU173" s="31"/>
      <c r="LDV173" s="31"/>
      <c r="LDW173" s="31"/>
      <c r="LDX173" s="31"/>
      <c r="LDY173" s="31"/>
      <c r="LDZ173" s="31"/>
      <c r="LEA173" s="31"/>
      <c r="LEB173" s="31"/>
      <c r="LEC173" s="31"/>
      <c r="LED173" s="31"/>
      <c r="LEE173" s="31"/>
      <c r="LEF173" s="31"/>
      <c r="LEG173" s="31"/>
      <c r="LEH173" s="31"/>
      <c r="LEI173" s="31"/>
      <c r="LEJ173" s="31"/>
      <c r="LEK173" s="31"/>
      <c r="LEL173" s="31"/>
      <c r="LEM173" s="31"/>
      <c r="LEN173" s="31"/>
      <c r="LEO173" s="31"/>
      <c r="LEP173" s="31"/>
      <c r="LEQ173" s="31"/>
      <c r="LER173" s="31"/>
      <c r="LES173" s="31"/>
      <c r="LET173" s="31"/>
      <c r="LEU173" s="31"/>
      <c r="LEV173" s="31"/>
      <c r="LEW173" s="31"/>
      <c r="LEX173" s="31"/>
      <c r="LEY173" s="31"/>
      <c r="LEZ173" s="31"/>
      <c r="LFA173" s="31"/>
      <c r="LFB173" s="31"/>
      <c r="LFC173" s="31"/>
      <c r="LFD173" s="31"/>
      <c r="LFE173" s="31"/>
      <c r="LFF173" s="31"/>
      <c r="LFG173" s="31"/>
      <c r="LFH173" s="31"/>
      <c r="LFI173" s="31"/>
      <c r="LFJ173" s="31"/>
      <c r="LFK173" s="31"/>
      <c r="LFL173" s="31"/>
      <c r="LFM173" s="31"/>
      <c r="LFN173" s="31"/>
      <c r="LFO173" s="31"/>
      <c r="LFP173" s="31"/>
      <c r="LFQ173" s="31"/>
      <c r="LFR173" s="31"/>
      <c r="LFS173" s="31"/>
      <c r="LFT173" s="31"/>
      <c r="LFU173" s="31"/>
      <c r="LFV173" s="31"/>
      <c r="LFW173" s="31"/>
      <c r="LFX173" s="31"/>
      <c r="LFY173" s="31"/>
      <c r="LFZ173" s="31"/>
      <c r="LGA173" s="31"/>
      <c r="LGB173" s="31"/>
      <c r="LGC173" s="31"/>
      <c r="LGD173" s="31"/>
      <c r="LGE173" s="31"/>
      <c r="LGF173" s="31"/>
      <c r="LGG173" s="31"/>
      <c r="LGH173" s="31"/>
      <c r="LGI173" s="31"/>
      <c r="LGJ173" s="31"/>
      <c r="LGK173" s="31"/>
      <c r="LGL173" s="31"/>
      <c r="LGM173" s="31"/>
      <c r="LGN173" s="31"/>
      <c r="LGO173" s="31"/>
      <c r="LGP173" s="31"/>
      <c r="LGQ173" s="31"/>
      <c r="LGR173" s="31"/>
      <c r="LGS173" s="31"/>
      <c r="LGT173" s="31"/>
      <c r="LGU173" s="31"/>
      <c r="LGV173" s="31"/>
      <c r="LGW173" s="31"/>
      <c r="LGX173" s="31"/>
      <c r="LGY173" s="31"/>
      <c r="LGZ173" s="31"/>
      <c r="LHA173" s="31"/>
      <c r="LHB173" s="31"/>
      <c r="LHC173" s="31"/>
      <c r="LHD173" s="31"/>
      <c r="LHE173" s="31"/>
      <c r="LHF173" s="31"/>
      <c r="LHG173" s="31"/>
      <c r="LHH173" s="31"/>
      <c r="LHI173" s="31"/>
      <c r="LHJ173" s="31"/>
      <c r="LHK173" s="31"/>
      <c r="LHL173" s="31"/>
      <c r="LHM173" s="31"/>
      <c r="LHN173" s="31"/>
      <c r="LHO173" s="31"/>
      <c r="LHP173" s="31"/>
      <c r="LHQ173" s="31"/>
      <c r="LHR173" s="31"/>
      <c r="LHS173" s="31"/>
      <c r="LHT173" s="31"/>
      <c r="LHU173" s="31"/>
      <c r="LHV173" s="31"/>
      <c r="LHW173" s="31"/>
      <c r="LHX173" s="31"/>
      <c r="LHY173" s="31"/>
      <c r="LHZ173" s="31"/>
      <c r="LIA173" s="31"/>
      <c r="LIB173" s="31"/>
      <c r="LIC173" s="31"/>
      <c r="LID173" s="31"/>
      <c r="LIE173" s="31"/>
      <c r="LIF173" s="31"/>
      <c r="LIG173" s="31"/>
      <c r="LIH173" s="31"/>
      <c r="LII173" s="31"/>
      <c r="LIJ173" s="31"/>
      <c r="LIK173" s="31"/>
      <c r="LIL173" s="31"/>
      <c r="LIM173" s="31"/>
      <c r="LIN173" s="31"/>
      <c r="LIO173" s="31"/>
      <c r="LIP173" s="31"/>
      <c r="LIQ173" s="31"/>
      <c r="LIR173" s="31"/>
      <c r="LIS173" s="31"/>
      <c r="LIT173" s="31"/>
      <c r="LIU173" s="31"/>
      <c r="LIV173" s="31"/>
      <c r="LIW173" s="31"/>
      <c r="LIX173" s="31"/>
      <c r="LIY173" s="31"/>
      <c r="LIZ173" s="31"/>
      <c r="LJA173" s="31"/>
      <c r="LJB173" s="31"/>
      <c r="LJC173" s="31"/>
      <c r="LJD173" s="31"/>
      <c r="LJE173" s="31"/>
      <c r="LJF173" s="31"/>
      <c r="LJG173" s="31"/>
      <c r="LJH173" s="31"/>
      <c r="LJI173" s="31"/>
      <c r="LJJ173" s="31"/>
      <c r="LJK173" s="31"/>
      <c r="LJL173" s="31"/>
      <c r="LJM173" s="31"/>
      <c r="LJN173" s="31"/>
      <c r="LJO173" s="31"/>
      <c r="LJP173" s="31"/>
      <c r="LJQ173" s="31"/>
      <c r="LJR173" s="31"/>
      <c r="LJS173" s="31"/>
      <c r="LJT173" s="31"/>
      <c r="LJU173" s="31"/>
      <c r="LJV173" s="31"/>
      <c r="LJW173" s="31"/>
      <c r="LJX173" s="31"/>
      <c r="LJY173" s="31"/>
      <c r="LJZ173" s="31"/>
      <c r="LKA173" s="31"/>
      <c r="LKB173" s="31"/>
      <c r="LKC173" s="31"/>
      <c r="LKD173" s="31"/>
      <c r="LKE173" s="31"/>
      <c r="LKF173" s="31"/>
      <c r="LKG173" s="31"/>
      <c r="LKH173" s="31"/>
      <c r="LKI173" s="31"/>
      <c r="LKJ173" s="31"/>
      <c r="LKK173" s="31"/>
      <c r="LKL173" s="31"/>
      <c r="LKM173" s="31"/>
      <c r="LKN173" s="31"/>
      <c r="LKO173" s="31"/>
      <c r="LKP173" s="31"/>
      <c r="LKQ173" s="31"/>
      <c r="LKR173" s="31"/>
      <c r="LKS173" s="31"/>
      <c r="LKT173" s="31"/>
      <c r="LKU173" s="31"/>
      <c r="LKV173" s="31"/>
      <c r="LKW173" s="31"/>
      <c r="LKX173" s="31"/>
      <c r="LKY173" s="31"/>
      <c r="LKZ173" s="31"/>
      <c r="LLA173" s="31"/>
      <c r="LLB173" s="31"/>
      <c r="LLC173" s="31"/>
      <c r="LLD173" s="31"/>
      <c r="LLE173" s="31"/>
      <c r="LLF173" s="31"/>
      <c r="LLG173" s="31"/>
      <c r="LLH173" s="31"/>
      <c r="LLI173" s="31"/>
      <c r="LLJ173" s="31"/>
      <c r="LLK173" s="31"/>
      <c r="LLL173" s="31"/>
      <c r="LLM173" s="31"/>
      <c r="LLN173" s="31"/>
      <c r="LLO173" s="31"/>
      <c r="LLP173" s="31"/>
      <c r="LLQ173" s="31"/>
      <c r="LLR173" s="31"/>
      <c r="LLS173" s="31"/>
      <c r="LLT173" s="31"/>
      <c r="LLU173" s="31"/>
      <c r="LLV173" s="31"/>
      <c r="LLW173" s="31"/>
      <c r="LLX173" s="31"/>
      <c r="LLY173" s="31"/>
      <c r="LLZ173" s="31"/>
      <c r="LMA173" s="31"/>
      <c r="LMB173" s="31"/>
      <c r="LMC173" s="31"/>
      <c r="LMD173" s="31"/>
      <c r="LME173" s="31"/>
      <c r="LMF173" s="31"/>
      <c r="LMG173" s="31"/>
      <c r="LMH173" s="31"/>
      <c r="LMI173" s="31"/>
      <c r="LMJ173" s="31"/>
      <c r="LMK173" s="31"/>
      <c r="LML173" s="31"/>
      <c r="LMM173" s="31"/>
      <c r="LMN173" s="31"/>
      <c r="LMO173" s="31"/>
      <c r="LMP173" s="31"/>
      <c r="LMQ173" s="31"/>
      <c r="LMR173" s="31"/>
      <c r="LMS173" s="31"/>
      <c r="LMT173" s="31"/>
      <c r="LMU173" s="31"/>
      <c r="LMV173" s="31"/>
      <c r="LMW173" s="31"/>
      <c r="LMX173" s="31"/>
      <c r="LMY173" s="31"/>
      <c r="LMZ173" s="31"/>
      <c r="LNA173" s="31"/>
      <c r="LNB173" s="31"/>
      <c r="LNC173" s="31"/>
      <c r="LND173" s="31"/>
      <c r="LNE173" s="31"/>
      <c r="LNF173" s="31"/>
      <c r="LNG173" s="31"/>
      <c r="LNH173" s="31"/>
      <c r="LNI173" s="31"/>
      <c r="LNJ173" s="31"/>
      <c r="LNK173" s="31"/>
      <c r="LNL173" s="31"/>
      <c r="LNM173" s="31"/>
      <c r="LNN173" s="31"/>
      <c r="LNO173" s="31"/>
      <c r="LNP173" s="31"/>
      <c r="LNQ173" s="31"/>
      <c r="LNR173" s="31"/>
      <c r="LNS173" s="31"/>
      <c r="LNT173" s="31"/>
      <c r="LNU173" s="31"/>
      <c r="LNV173" s="31"/>
      <c r="LNW173" s="31"/>
      <c r="LNX173" s="31"/>
      <c r="LNY173" s="31"/>
      <c r="LNZ173" s="31"/>
      <c r="LOA173" s="31"/>
      <c r="LOB173" s="31"/>
      <c r="LOC173" s="31"/>
      <c r="LOD173" s="31"/>
      <c r="LOE173" s="31"/>
      <c r="LOF173" s="31"/>
      <c r="LOG173" s="31"/>
      <c r="LOH173" s="31"/>
      <c r="LOI173" s="31"/>
      <c r="LOJ173" s="31"/>
      <c r="LOK173" s="31"/>
      <c r="LOL173" s="31"/>
      <c r="LOM173" s="31"/>
      <c r="LON173" s="31"/>
      <c r="LOO173" s="31"/>
      <c r="LOP173" s="31"/>
      <c r="LOQ173" s="31"/>
      <c r="LOR173" s="31"/>
      <c r="LOS173" s="31"/>
      <c r="LOT173" s="31"/>
      <c r="LOU173" s="31"/>
      <c r="LOV173" s="31"/>
      <c r="LOW173" s="31"/>
      <c r="LOX173" s="31"/>
      <c r="LOY173" s="31"/>
      <c r="LOZ173" s="31"/>
      <c r="LPA173" s="31"/>
      <c r="LPB173" s="31"/>
      <c r="LPC173" s="31"/>
      <c r="LPD173" s="31"/>
      <c r="LPE173" s="31"/>
      <c r="LPF173" s="31"/>
      <c r="LPG173" s="31"/>
      <c r="LPH173" s="31"/>
      <c r="LPI173" s="31"/>
      <c r="LPJ173" s="31"/>
      <c r="LPK173" s="31"/>
      <c r="LPL173" s="31"/>
      <c r="LPM173" s="31"/>
      <c r="LPN173" s="31"/>
      <c r="LPO173" s="31"/>
      <c r="LPP173" s="31"/>
      <c r="LPQ173" s="31"/>
      <c r="LPR173" s="31"/>
      <c r="LPS173" s="31"/>
      <c r="LPT173" s="31"/>
      <c r="LPU173" s="31"/>
      <c r="LPV173" s="31"/>
      <c r="LPW173" s="31"/>
      <c r="LPX173" s="31"/>
      <c r="LPY173" s="31"/>
      <c r="LPZ173" s="31"/>
      <c r="LQA173" s="31"/>
      <c r="LQB173" s="31"/>
      <c r="LQC173" s="31"/>
      <c r="LQD173" s="31"/>
      <c r="LQE173" s="31"/>
      <c r="LQF173" s="31"/>
      <c r="LQG173" s="31"/>
      <c r="LQH173" s="31"/>
      <c r="LQI173" s="31"/>
      <c r="LQJ173" s="31"/>
      <c r="LQK173" s="31"/>
      <c r="LQL173" s="31"/>
      <c r="LQM173" s="31"/>
      <c r="LQN173" s="31"/>
      <c r="LQO173" s="31"/>
      <c r="LQP173" s="31"/>
      <c r="LQQ173" s="31"/>
      <c r="LQR173" s="31"/>
      <c r="LQS173" s="31"/>
      <c r="LQT173" s="31"/>
      <c r="LQU173" s="31"/>
      <c r="LQV173" s="31"/>
      <c r="LQW173" s="31"/>
      <c r="LQX173" s="31"/>
      <c r="LQY173" s="31"/>
      <c r="LQZ173" s="31"/>
      <c r="LRA173" s="31"/>
      <c r="LRB173" s="31"/>
      <c r="LRC173" s="31"/>
      <c r="LRD173" s="31"/>
      <c r="LRE173" s="31"/>
      <c r="LRF173" s="31"/>
      <c r="LRG173" s="31"/>
      <c r="LRH173" s="31"/>
      <c r="LRI173" s="31"/>
      <c r="LRJ173" s="31"/>
      <c r="LRK173" s="31"/>
      <c r="LRL173" s="31"/>
      <c r="LRM173" s="31"/>
      <c r="LRN173" s="31"/>
      <c r="LRO173" s="31"/>
      <c r="LRP173" s="31"/>
      <c r="LRQ173" s="31"/>
      <c r="LRR173" s="31"/>
      <c r="LRS173" s="31"/>
      <c r="LRT173" s="31"/>
      <c r="LRU173" s="31"/>
      <c r="LRV173" s="31"/>
      <c r="LRW173" s="31"/>
      <c r="LRX173" s="31"/>
      <c r="LRY173" s="31"/>
      <c r="LRZ173" s="31"/>
      <c r="LSA173" s="31"/>
      <c r="LSB173" s="31"/>
      <c r="LSC173" s="31"/>
      <c r="LSD173" s="31"/>
      <c r="LSE173" s="31"/>
      <c r="LSF173" s="31"/>
      <c r="LSG173" s="31"/>
      <c r="LSH173" s="31"/>
      <c r="LSI173" s="31"/>
      <c r="LSJ173" s="31"/>
      <c r="LSK173" s="31"/>
      <c r="LSL173" s="31"/>
      <c r="LSM173" s="31"/>
      <c r="LSN173" s="31"/>
      <c r="LSO173" s="31"/>
      <c r="LSP173" s="31"/>
      <c r="LSQ173" s="31"/>
      <c r="LSR173" s="31"/>
      <c r="LSS173" s="31"/>
      <c r="LST173" s="31"/>
      <c r="LSU173" s="31"/>
      <c r="LSV173" s="31"/>
      <c r="LSW173" s="31"/>
      <c r="LSX173" s="31"/>
      <c r="LSY173" s="31"/>
      <c r="LSZ173" s="31"/>
      <c r="LTA173" s="31"/>
      <c r="LTB173" s="31"/>
      <c r="LTC173" s="31"/>
      <c r="LTD173" s="31"/>
      <c r="LTE173" s="31"/>
      <c r="LTF173" s="31"/>
      <c r="LTG173" s="31"/>
      <c r="LTH173" s="31"/>
      <c r="LTI173" s="31"/>
      <c r="LTJ173" s="31"/>
      <c r="LTK173" s="31"/>
      <c r="LTL173" s="31"/>
      <c r="LTM173" s="31"/>
      <c r="LTN173" s="31"/>
      <c r="LTO173" s="31"/>
      <c r="LTP173" s="31"/>
      <c r="LTQ173" s="31"/>
      <c r="LTR173" s="31"/>
      <c r="LTS173" s="31"/>
      <c r="LTT173" s="31"/>
      <c r="LTU173" s="31"/>
      <c r="LTV173" s="31"/>
      <c r="LTW173" s="31"/>
      <c r="LTX173" s="31"/>
      <c r="LTY173" s="31"/>
      <c r="LTZ173" s="31"/>
      <c r="LUA173" s="31"/>
      <c r="LUB173" s="31"/>
      <c r="LUC173" s="31"/>
      <c r="LUD173" s="31"/>
      <c r="LUE173" s="31"/>
      <c r="LUF173" s="31"/>
      <c r="LUG173" s="31"/>
      <c r="LUH173" s="31"/>
      <c r="LUI173" s="31"/>
      <c r="LUJ173" s="31"/>
      <c r="LUK173" s="31"/>
      <c r="LUL173" s="31"/>
      <c r="LUM173" s="31"/>
      <c r="LUN173" s="31"/>
      <c r="LUO173" s="31"/>
      <c r="LUP173" s="31"/>
      <c r="LUQ173" s="31"/>
      <c r="LUR173" s="31"/>
      <c r="LUS173" s="31"/>
      <c r="LUT173" s="31"/>
      <c r="LUU173" s="31"/>
      <c r="LUV173" s="31"/>
      <c r="LUW173" s="31"/>
      <c r="LUX173" s="31"/>
      <c r="LUY173" s="31"/>
      <c r="LUZ173" s="31"/>
      <c r="LVA173" s="31"/>
      <c r="LVB173" s="31"/>
      <c r="LVC173" s="31"/>
      <c r="LVD173" s="31"/>
      <c r="LVE173" s="31"/>
      <c r="LVF173" s="31"/>
      <c r="LVG173" s="31"/>
      <c r="LVH173" s="31"/>
      <c r="LVI173" s="31"/>
      <c r="LVJ173" s="31"/>
      <c r="LVK173" s="31"/>
      <c r="LVL173" s="31"/>
      <c r="LVM173" s="31"/>
      <c r="LVN173" s="31"/>
      <c r="LVO173" s="31"/>
      <c r="LVP173" s="31"/>
      <c r="LVQ173" s="31"/>
      <c r="LVR173" s="31"/>
      <c r="LVS173" s="31"/>
      <c r="LVT173" s="31"/>
      <c r="LVU173" s="31"/>
      <c r="LVV173" s="31"/>
      <c r="LVW173" s="31"/>
      <c r="LVX173" s="31"/>
      <c r="LVY173" s="31"/>
      <c r="LVZ173" s="31"/>
      <c r="LWA173" s="31"/>
      <c r="LWB173" s="31"/>
      <c r="LWC173" s="31"/>
      <c r="LWD173" s="31"/>
      <c r="LWE173" s="31"/>
      <c r="LWF173" s="31"/>
      <c r="LWG173" s="31"/>
      <c r="LWH173" s="31"/>
      <c r="LWI173" s="31"/>
      <c r="LWJ173" s="31"/>
      <c r="LWK173" s="31"/>
      <c r="LWL173" s="31"/>
      <c r="LWM173" s="31"/>
      <c r="LWN173" s="31"/>
      <c r="LWO173" s="31"/>
      <c r="LWP173" s="31"/>
      <c r="LWQ173" s="31"/>
      <c r="LWR173" s="31"/>
      <c r="LWS173" s="31"/>
      <c r="LWT173" s="31"/>
      <c r="LWU173" s="31"/>
      <c r="LWV173" s="31"/>
      <c r="LWW173" s="31"/>
      <c r="LWX173" s="31"/>
      <c r="LWY173" s="31"/>
      <c r="LWZ173" s="31"/>
      <c r="LXA173" s="31"/>
      <c r="LXB173" s="31"/>
      <c r="LXC173" s="31"/>
      <c r="LXD173" s="31"/>
      <c r="LXE173" s="31"/>
      <c r="LXF173" s="31"/>
      <c r="LXG173" s="31"/>
      <c r="LXH173" s="31"/>
      <c r="LXI173" s="31"/>
      <c r="LXJ173" s="31"/>
      <c r="LXK173" s="31"/>
      <c r="LXL173" s="31"/>
      <c r="LXM173" s="31"/>
      <c r="LXN173" s="31"/>
      <c r="LXO173" s="31"/>
      <c r="LXP173" s="31"/>
      <c r="LXQ173" s="31"/>
      <c r="LXR173" s="31"/>
      <c r="LXS173" s="31"/>
      <c r="LXT173" s="31"/>
      <c r="LXU173" s="31"/>
      <c r="LXV173" s="31"/>
      <c r="LXW173" s="31"/>
      <c r="LXX173" s="31"/>
      <c r="LXY173" s="31"/>
      <c r="LXZ173" s="31"/>
      <c r="LYA173" s="31"/>
      <c r="LYB173" s="31"/>
      <c r="LYC173" s="31"/>
      <c r="LYD173" s="31"/>
      <c r="LYE173" s="31"/>
      <c r="LYF173" s="31"/>
      <c r="LYG173" s="31"/>
      <c r="LYH173" s="31"/>
      <c r="LYI173" s="31"/>
      <c r="LYJ173" s="31"/>
      <c r="LYK173" s="31"/>
      <c r="LYL173" s="31"/>
      <c r="LYM173" s="31"/>
      <c r="LYN173" s="31"/>
      <c r="LYO173" s="31"/>
      <c r="LYP173" s="31"/>
      <c r="LYQ173" s="31"/>
      <c r="LYR173" s="31"/>
      <c r="LYS173" s="31"/>
      <c r="LYT173" s="31"/>
      <c r="LYU173" s="31"/>
      <c r="LYV173" s="31"/>
      <c r="LYW173" s="31"/>
      <c r="LYX173" s="31"/>
      <c r="LYY173" s="31"/>
      <c r="LYZ173" s="31"/>
      <c r="LZA173" s="31"/>
      <c r="LZB173" s="31"/>
      <c r="LZC173" s="31"/>
      <c r="LZD173" s="31"/>
      <c r="LZE173" s="31"/>
      <c r="LZF173" s="31"/>
      <c r="LZG173" s="31"/>
      <c r="LZH173" s="31"/>
      <c r="LZI173" s="31"/>
      <c r="LZJ173" s="31"/>
      <c r="LZK173" s="31"/>
      <c r="LZL173" s="31"/>
      <c r="LZM173" s="31"/>
      <c r="LZN173" s="31"/>
      <c r="LZO173" s="31"/>
      <c r="LZP173" s="31"/>
      <c r="LZQ173" s="31"/>
      <c r="LZR173" s="31"/>
      <c r="LZS173" s="31"/>
      <c r="LZT173" s="31"/>
      <c r="LZU173" s="31"/>
      <c r="LZV173" s="31"/>
      <c r="LZW173" s="31"/>
      <c r="LZX173" s="31"/>
      <c r="LZY173" s="31"/>
      <c r="LZZ173" s="31"/>
      <c r="MAA173" s="31"/>
      <c r="MAB173" s="31"/>
      <c r="MAC173" s="31"/>
      <c r="MAD173" s="31"/>
      <c r="MAE173" s="31"/>
      <c r="MAF173" s="31"/>
      <c r="MAG173" s="31"/>
      <c r="MAH173" s="31"/>
      <c r="MAI173" s="31"/>
      <c r="MAJ173" s="31"/>
      <c r="MAK173" s="31"/>
      <c r="MAL173" s="31"/>
      <c r="MAM173" s="31"/>
      <c r="MAN173" s="31"/>
      <c r="MAO173" s="31"/>
      <c r="MAP173" s="31"/>
      <c r="MAQ173" s="31"/>
      <c r="MAR173" s="31"/>
      <c r="MAS173" s="31"/>
      <c r="MAT173" s="31"/>
      <c r="MAU173" s="31"/>
      <c r="MAV173" s="31"/>
      <c r="MAW173" s="31"/>
      <c r="MAX173" s="31"/>
      <c r="MAY173" s="31"/>
      <c r="MAZ173" s="31"/>
      <c r="MBA173" s="31"/>
      <c r="MBB173" s="31"/>
      <c r="MBC173" s="31"/>
      <c r="MBD173" s="31"/>
      <c r="MBE173" s="31"/>
      <c r="MBF173" s="31"/>
      <c r="MBG173" s="31"/>
      <c r="MBH173" s="31"/>
      <c r="MBI173" s="31"/>
      <c r="MBJ173" s="31"/>
      <c r="MBK173" s="31"/>
      <c r="MBL173" s="31"/>
      <c r="MBM173" s="31"/>
      <c r="MBN173" s="31"/>
      <c r="MBO173" s="31"/>
      <c r="MBP173" s="31"/>
      <c r="MBQ173" s="31"/>
      <c r="MBR173" s="31"/>
      <c r="MBS173" s="31"/>
      <c r="MBT173" s="31"/>
      <c r="MBU173" s="31"/>
      <c r="MBV173" s="31"/>
      <c r="MBW173" s="31"/>
      <c r="MBX173" s="31"/>
      <c r="MBY173" s="31"/>
      <c r="MBZ173" s="31"/>
      <c r="MCA173" s="31"/>
      <c r="MCB173" s="31"/>
      <c r="MCC173" s="31"/>
      <c r="MCD173" s="31"/>
      <c r="MCE173" s="31"/>
      <c r="MCF173" s="31"/>
      <c r="MCG173" s="31"/>
      <c r="MCH173" s="31"/>
      <c r="MCI173" s="31"/>
      <c r="MCJ173" s="31"/>
      <c r="MCK173" s="31"/>
      <c r="MCL173" s="31"/>
      <c r="MCM173" s="31"/>
      <c r="MCN173" s="31"/>
      <c r="MCO173" s="31"/>
      <c r="MCP173" s="31"/>
      <c r="MCQ173" s="31"/>
      <c r="MCR173" s="31"/>
      <c r="MCS173" s="31"/>
      <c r="MCT173" s="31"/>
      <c r="MCU173" s="31"/>
      <c r="MCV173" s="31"/>
      <c r="MCW173" s="31"/>
      <c r="MCX173" s="31"/>
      <c r="MCY173" s="31"/>
      <c r="MCZ173" s="31"/>
      <c r="MDA173" s="31"/>
      <c r="MDB173" s="31"/>
      <c r="MDC173" s="31"/>
      <c r="MDD173" s="31"/>
      <c r="MDE173" s="31"/>
      <c r="MDF173" s="31"/>
      <c r="MDG173" s="31"/>
      <c r="MDH173" s="31"/>
      <c r="MDI173" s="31"/>
      <c r="MDJ173" s="31"/>
      <c r="MDK173" s="31"/>
      <c r="MDL173" s="31"/>
      <c r="MDM173" s="31"/>
      <c r="MDN173" s="31"/>
      <c r="MDO173" s="31"/>
      <c r="MDP173" s="31"/>
      <c r="MDQ173" s="31"/>
      <c r="MDR173" s="31"/>
      <c r="MDS173" s="31"/>
      <c r="MDT173" s="31"/>
      <c r="MDU173" s="31"/>
      <c r="MDV173" s="31"/>
      <c r="MDW173" s="31"/>
      <c r="MDX173" s="31"/>
      <c r="MDY173" s="31"/>
      <c r="MDZ173" s="31"/>
      <c r="MEA173" s="31"/>
      <c r="MEB173" s="31"/>
      <c r="MEC173" s="31"/>
      <c r="MED173" s="31"/>
      <c r="MEE173" s="31"/>
      <c r="MEF173" s="31"/>
      <c r="MEG173" s="31"/>
      <c r="MEH173" s="31"/>
      <c r="MEI173" s="31"/>
      <c r="MEJ173" s="31"/>
      <c r="MEK173" s="31"/>
      <c r="MEL173" s="31"/>
      <c r="MEM173" s="31"/>
      <c r="MEN173" s="31"/>
      <c r="MEO173" s="31"/>
      <c r="MEP173" s="31"/>
      <c r="MEQ173" s="31"/>
      <c r="MER173" s="31"/>
      <c r="MES173" s="31"/>
      <c r="MET173" s="31"/>
      <c r="MEU173" s="31"/>
      <c r="MEV173" s="31"/>
      <c r="MEW173" s="31"/>
      <c r="MEX173" s="31"/>
      <c r="MEY173" s="31"/>
      <c r="MEZ173" s="31"/>
      <c r="MFA173" s="31"/>
      <c r="MFB173" s="31"/>
      <c r="MFC173" s="31"/>
      <c r="MFD173" s="31"/>
      <c r="MFE173" s="31"/>
      <c r="MFF173" s="31"/>
      <c r="MFG173" s="31"/>
      <c r="MFH173" s="31"/>
      <c r="MFI173" s="31"/>
      <c r="MFJ173" s="31"/>
      <c r="MFK173" s="31"/>
      <c r="MFL173" s="31"/>
      <c r="MFM173" s="31"/>
      <c r="MFN173" s="31"/>
      <c r="MFO173" s="31"/>
      <c r="MFP173" s="31"/>
      <c r="MFQ173" s="31"/>
      <c r="MFR173" s="31"/>
      <c r="MFS173" s="31"/>
      <c r="MFT173" s="31"/>
      <c r="MFU173" s="31"/>
      <c r="MFV173" s="31"/>
      <c r="MFW173" s="31"/>
      <c r="MFX173" s="31"/>
      <c r="MFY173" s="31"/>
      <c r="MFZ173" s="31"/>
      <c r="MGA173" s="31"/>
      <c r="MGB173" s="31"/>
      <c r="MGC173" s="31"/>
      <c r="MGD173" s="31"/>
      <c r="MGE173" s="31"/>
      <c r="MGF173" s="31"/>
      <c r="MGG173" s="31"/>
      <c r="MGH173" s="31"/>
      <c r="MGI173" s="31"/>
      <c r="MGJ173" s="31"/>
      <c r="MGK173" s="31"/>
      <c r="MGL173" s="31"/>
      <c r="MGM173" s="31"/>
      <c r="MGN173" s="31"/>
      <c r="MGO173" s="31"/>
      <c r="MGP173" s="31"/>
      <c r="MGQ173" s="31"/>
      <c r="MGR173" s="31"/>
      <c r="MGS173" s="31"/>
      <c r="MGT173" s="31"/>
      <c r="MGU173" s="31"/>
      <c r="MGV173" s="31"/>
      <c r="MGW173" s="31"/>
      <c r="MGX173" s="31"/>
      <c r="MGY173" s="31"/>
      <c r="MGZ173" s="31"/>
      <c r="MHA173" s="31"/>
      <c r="MHB173" s="31"/>
      <c r="MHC173" s="31"/>
      <c r="MHD173" s="31"/>
      <c r="MHE173" s="31"/>
      <c r="MHF173" s="31"/>
      <c r="MHG173" s="31"/>
      <c r="MHH173" s="31"/>
      <c r="MHI173" s="31"/>
      <c r="MHJ173" s="31"/>
      <c r="MHK173" s="31"/>
      <c r="MHL173" s="31"/>
      <c r="MHM173" s="31"/>
      <c r="MHN173" s="31"/>
      <c r="MHO173" s="31"/>
      <c r="MHP173" s="31"/>
      <c r="MHQ173" s="31"/>
      <c r="MHR173" s="31"/>
      <c r="MHS173" s="31"/>
      <c r="MHT173" s="31"/>
      <c r="MHU173" s="31"/>
      <c r="MHV173" s="31"/>
      <c r="MHW173" s="31"/>
      <c r="MHX173" s="31"/>
      <c r="MHY173" s="31"/>
      <c r="MHZ173" s="31"/>
      <c r="MIA173" s="31"/>
      <c r="MIB173" s="31"/>
      <c r="MIC173" s="31"/>
      <c r="MID173" s="31"/>
      <c r="MIE173" s="31"/>
      <c r="MIF173" s="31"/>
      <c r="MIG173" s="31"/>
      <c r="MIH173" s="31"/>
      <c r="MII173" s="31"/>
      <c r="MIJ173" s="31"/>
      <c r="MIK173" s="31"/>
      <c r="MIL173" s="31"/>
      <c r="MIM173" s="31"/>
      <c r="MIN173" s="31"/>
      <c r="MIO173" s="31"/>
      <c r="MIP173" s="31"/>
      <c r="MIQ173" s="31"/>
      <c r="MIR173" s="31"/>
      <c r="MIS173" s="31"/>
      <c r="MIT173" s="31"/>
      <c r="MIU173" s="31"/>
      <c r="MIV173" s="31"/>
      <c r="MIW173" s="31"/>
      <c r="MIX173" s="31"/>
      <c r="MIY173" s="31"/>
      <c r="MIZ173" s="31"/>
      <c r="MJA173" s="31"/>
      <c r="MJB173" s="31"/>
      <c r="MJC173" s="31"/>
      <c r="MJD173" s="31"/>
      <c r="MJE173" s="31"/>
      <c r="MJF173" s="31"/>
      <c r="MJG173" s="31"/>
      <c r="MJH173" s="31"/>
      <c r="MJI173" s="31"/>
      <c r="MJJ173" s="31"/>
      <c r="MJK173" s="31"/>
      <c r="MJL173" s="31"/>
      <c r="MJM173" s="31"/>
      <c r="MJN173" s="31"/>
      <c r="MJO173" s="31"/>
      <c r="MJP173" s="31"/>
      <c r="MJQ173" s="31"/>
      <c r="MJR173" s="31"/>
      <c r="MJS173" s="31"/>
      <c r="MJT173" s="31"/>
      <c r="MJU173" s="31"/>
      <c r="MJV173" s="31"/>
      <c r="MJW173" s="31"/>
      <c r="MJX173" s="31"/>
      <c r="MJY173" s="31"/>
      <c r="MJZ173" s="31"/>
      <c r="MKA173" s="31"/>
      <c r="MKB173" s="31"/>
      <c r="MKC173" s="31"/>
      <c r="MKD173" s="31"/>
      <c r="MKE173" s="31"/>
      <c r="MKF173" s="31"/>
      <c r="MKG173" s="31"/>
      <c r="MKH173" s="31"/>
      <c r="MKI173" s="31"/>
      <c r="MKJ173" s="31"/>
      <c r="MKK173" s="31"/>
      <c r="MKL173" s="31"/>
      <c r="MKM173" s="31"/>
      <c r="MKN173" s="31"/>
      <c r="MKO173" s="31"/>
      <c r="MKP173" s="31"/>
      <c r="MKQ173" s="31"/>
      <c r="MKR173" s="31"/>
      <c r="MKS173" s="31"/>
      <c r="MKT173" s="31"/>
      <c r="MKU173" s="31"/>
      <c r="MKV173" s="31"/>
      <c r="MKW173" s="31"/>
      <c r="MKX173" s="31"/>
      <c r="MKY173" s="31"/>
      <c r="MKZ173" s="31"/>
      <c r="MLA173" s="31"/>
      <c r="MLB173" s="31"/>
      <c r="MLC173" s="31"/>
      <c r="MLD173" s="31"/>
      <c r="MLE173" s="31"/>
      <c r="MLF173" s="31"/>
      <c r="MLG173" s="31"/>
      <c r="MLH173" s="31"/>
      <c r="MLI173" s="31"/>
      <c r="MLJ173" s="31"/>
      <c r="MLK173" s="31"/>
      <c r="MLL173" s="31"/>
      <c r="MLM173" s="31"/>
      <c r="MLN173" s="31"/>
      <c r="MLO173" s="31"/>
      <c r="MLP173" s="31"/>
      <c r="MLQ173" s="31"/>
      <c r="MLR173" s="31"/>
      <c r="MLS173" s="31"/>
      <c r="MLT173" s="31"/>
      <c r="MLU173" s="31"/>
      <c r="MLV173" s="31"/>
      <c r="MLW173" s="31"/>
      <c r="MLX173" s="31"/>
      <c r="MLY173" s="31"/>
      <c r="MLZ173" s="31"/>
      <c r="MMA173" s="31"/>
      <c r="MMB173" s="31"/>
      <c r="MMC173" s="31"/>
      <c r="MMD173" s="31"/>
      <c r="MME173" s="31"/>
      <c r="MMF173" s="31"/>
      <c r="MMG173" s="31"/>
      <c r="MMH173" s="31"/>
      <c r="MMI173" s="31"/>
      <c r="MMJ173" s="31"/>
      <c r="MMK173" s="31"/>
      <c r="MML173" s="31"/>
      <c r="MMM173" s="31"/>
      <c r="MMN173" s="31"/>
      <c r="MMO173" s="31"/>
      <c r="MMP173" s="31"/>
      <c r="MMQ173" s="31"/>
      <c r="MMR173" s="31"/>
      <c r="MMS173" s="31"/>
      <c r="MMT173" s="31"/>
      <c r="MMU173" s="31"/>
      <c r="MMV173" s="31"/>
      <c r="MMW173" s="31"/>
      <c r="MMX173" s="31"/>
      <c r="MMY173" s="31"/>
      <c r="MMZ173" s="31"/>
      <c r="MNA173" s="31"/>
      <c r="MNB173" s="31"/>
      <c r="MNC173" s="31"/>
      <c r="MND173" s="31"/>
      <c r="MNE173" s="31"/>
      <c r="MNF173" s="31"/>
      <c r="MNG173" s="31"/>
      <c r="MNH173" s="31"/>
      <c r="MNI173" s="31"/>
      <c r="MNJ173" s="31"/>
      <c r="MNK173" s="31"/>
      <c r="MNL173" s="31"/>
      <c r="MNM173" s="31"/>
      <c r="MNN173" s="31"/>
      <c r="MNO173" s="31"/>
      <c r="MNP173" s="31"/>
      <c r="MNQ173" s="31"/>
      <c r="MNR173" s="31"/>
      <c r="MNS173" s="31"/>
      <c r="MNT173" s="31"/>
      <c r="MNU173" s="31"/>
      <c r="MNV173" s="31"/>
      <c r="MNW173" s="31"/>
      <c r="MNX173" s="31"/>
      <c r="MNY173" s="31"/>
      <c r="MNZ173" s="31"/>
      <c r="MOA173" s="31"/>
      <c r="MOB173" s="31"/>
      <c r="MOC173" s="31"/>
      <c r="MOD173" s="31"/>
      <c r="MOE173" s="31"/>
      <c r="MOF173" s="31"/>
      <c r="MOG173" s="31"/>
      <c r="MOH173" s="31"/>
      <c r="MOI173" s="31"/>
      <c r="MOJ173" s="31"/>
      <c r="MOK173" s="31"/>
      <c r="MOL173" s="31"/>
      <c r="MOM173" s="31"/>
      <c r="MON173" s="31"/>
      <c r="MOO173" s="31"/>
      <c r="MOP173" s="31"/>
      <c r="MOQ173" s="31"/>
      <c r="MOR173" s="31"/>
      <c r="MOS173" s="31"/>
      <c r="MOT173" s="31"/>
      <c r="MOU173" s="31"/>
      <c r="MOV173" s="31"/>
      <c r="MOW173" s="31"/>
      <c r="MOX173" s="31"/>
      <c r="MOY173" s="31"/>
      <c r="MOZ173" s="31"/>
      <c r="MPA173" s="31"/>
      <c r="MPB173" s="31"/>
      <c r="MPC173" s="31"/>
      <c r="MPD173" s="31"/>
      <c r="MPE173" s="31"/>
      <c r="MPF173" s="31"/>
      <c r="MPG173" s="31"/>
      <c r="MPH173" s="31"/>
      <c r="MPI173" s="31"/>
      <c r="MPJ173" s="31"/>
      <c r="MPK173" s="31"/>
      <c r="MPL173" s="31"/>
      <c r="MPM173" s="31"/>
      <c r="MPN173" s="31"/>
      <c r="MPO173" s="31"/>
      <c r="MPP173" s="31"/>
      <c r="MPQ173" s="31"/>
      <c r="MPR173" s="31"/>
      <c r="MPS173" s="31"/>
      <c r="MPT173" s="31"/>
      <c r="MPU173" s="31"/>
      <c r="MPV173" s="31"/>
      <c r="MPW173" s="31"/>
      <c r="MPX173" s="31"/>
      <c r="MPY173" s="31"/>
      <c r="MPZ173" s="31"/>
      <c r="MQA173" s="31"/>
      <c r="MQB173" s="31"/>
      <c r="MQC173" s="31"/>
      <c r="MQD173" s="31"/>
      <c r="MQE173" s="31"/>
      <c r="MQF173" s="31"/>
      <c r="MQG173" s="31"/>
      <c r="MQH173" s="31"/>
      <c r="MQI173" s="31"/>
      <c r="MQJ173" s="31"/>
      <c r="MQK173" s="31"/>
      <c r="MQL173" s="31"/>
      <c r="MQM173" s="31"/>
      <c r="MQN173" s="31"/>
      <c r="MQO173" s="31"/>
      <c r="MQP173" s="31"/>
      <c r="MQQ173" s="31"/>
      <c r="MQR173" s="31"/>
      <c r="MQS173" s="31"/>
      <c r="MQT173" s="31"/>
      <c r="MQU173" s="31"/>
      <c r="MQV173" s="31"/>
      <c r="MQW173" s="31"/>
      <c r="MQX173" s="31"/>
      <c r="MQY173" s="31"/>
      <c r="MQZ173" s="31"/>
      <c r="MRA173" s="31"/>
      <c r="MRB173" s="31"/>
      <c r="MRC173" s="31"/>
      <c r="MRD173" s="31"/>
      <c r="MRE173" s="31"/>
      <c r="MRF173" s="31"/>
      <c r="MRG173" s="31"/>
      <c r="MRH173" s="31"/>
      <c r="MRI173" s="31"/>
      <c r="MRJ173" s="31"/>
      <c r="MRK173" s="31"/>
      <c r="MRL173" s="31"/>
      <c r="MRM173" s="31"/>
      <c r="MRN173" s="31"/>
      <c r="MRO173" s="31"/>
      <c r="MRP173" s="31"/>
      <c r="MRQ173" s="31"/>
      <c r="MRR173" s="31"/>
      <c r="MRS173" s="31"/>
      <c r="MRT173" s="31"/>
      <c r="MRU173" s="31"/>
      <c r="MRV173" s="31"/>
      <c r="MRW173" s="31"/>
      <c r="MRX173" s="31"/>
      <c r="MRY173" s="31"/>
      <c r="MRZ173" s="31"/>
      <c r="MSA173" s="31"/>
      <c r="MSB173" s="31"/>
      <c r="MSC173" s="31"/>
      <c r="MSD173" s="31"/>
      <c r="MSE173" s="31"/>
      <c r="MSF173" s="31"/>
      <c r="MSG173" s="31"/>
      <c r="MSH173" s="31"/>
      <c r="MSI173" s="31"/>
      <c r="MSJ173" s="31"/>
      <c r="MSK173" s="31"/>
      <c r="MSL173" s="31"/>
      <c r="MSM173" s="31"/>
      <c r="MSN173" s="31"/>
      <c r="MSO173" s="31"/>
      <c r="MSP173" s="31"/>
      <c r="MSQ173" s="31"/>
      <c r="MSR173" s="31"/>
      <c r="MSS173" s="31"/>
      <c r="MST173" s="31"/>
      <c r="MSU173" s="31"/>
      <c r="MSV173" s="31"/>
      <c r="MSW173" s="31"/>
      <c r="MSX173" s="31"/>
      <c r="MSY173" s="31"/>
      <c r="MSZ173" s="31"/>
      <c r="MTA173" s="31"/>
      <c r="MTB173" s="31"/>
      <c r="MTC173" s="31"/>
      <c r="MTD173" s="31"/>
      <c r="MTE173" s="31"/>
      <c r="MTF173" s="31"/>
      <c r="MTG173" s="31"/>
      <c r="MTH173" s="31"/>
      <c r="MTI173" s="31"/>
      <c r="MTJ173" s="31"/>
      <c r="MTK173" s="31"/>
      <c r="MTL173" s="31"/>
      <c r="MTM173" s="31"/>
      <c r="MTN173" s="31"/>
      <c r="MTO173" s="31"/>
      <c r="MTP173" s="31"/>
      <c r="MTQ173" s="31"/>
      <c r="MTR173" s="31"/>
      <c r="MTS173" s="31"/>
      <c r="MTT173" s="31"/>
      <c r="MTU173" s="31"/>
      <c r="MTV173" s="31"/>
      <c r="MTW173" s="31"/>
      <c r="MTX173" s="31"/>
      <c r="MTY173" s="31"/>
      <c r="MTZ173" s="31"/>
      <c r="MUA173" s="31"/>
      <c r="MUB173" s="31"/>
      <c r="MUC173" s="31"/>
      <c r="MUD173" s="31"/>
      <c r="MUE173" s="31"/>
      <c r="MUF173" s="31"/>
      <c r="MUG173" s="31"/>
      <c r="MUH173" s="31"/>
      <c r="MUI173" s="31"/>
      <c r="MUJ173" s="31"/>
      <c r="MUK173" s="31"/>
      <c r="MUL173" s="31"/>
      <c r="MUM173" s="31"/>
      <c r="MUN173" s="31"/>
      <c r="MUO173" s="31"/>
      <c r="MUP173" s="31"/>
      <c r="MUQ173" s="31"/>
      <c r="MUR173" s="31"/>
      <c r="MUS173" s="31"/>
      <c r="MUT173" s="31"/>
      <c r="MUU173" s="31"/>
      <c r="MUV173" s="31"/>
      <c r="MUW173" s="31"/>
      <c r="MUX173" s="31"/>
      <c r="MUY173" s="31"/>
      <c r="MUZ173" s="31"/>
      <c r="MVA173" s="31"/>
      <c r="MVB173" s="31"/>
      <c r="MVC173" s="31"/>
      <c r="MVD173" s="31"/>
      <c r="MVE173" s="31"/>
      <c r="MVF173" s="31"/>
      <c r="MVG173" s="31"/>
      <c r="MVH173" s="31"/>
      <c r="MVI173" s="31"/>
      <c r="MVJ173" s="31"/>
      <c r="MVK173" s="31"/>
      <c r="MVL173" s="31"/>
      <c r="MVM173" s="31"/>
      <c r="MVN173" s="31"/>
      <c r="MVO173" s="31"/>
      <c r="MVP173" s="31"/>
      <c r="MVQ173" s="31"/>
      <c r="MVR173" s="31"/>
      <c r="MVS173" s="31"/>
      <c r="MVT173" s="31"/>
      <c r="MVU173" s="31"/>
      <c r="MVV173" s="31"/>
      <c r="MVW173" s="31"/>
      <c r="MVX173" s="31"/>
      <c r="MVY173" s="31"/>
      <c r="MVZ173" s="31"/>
      <c r="MWA173" s="31"/>
      <c r="MWB173" s="31"/>
      <c r="MWC173" s="31"/>
      <c r="MWD173" s="31"/>
      <c r="MWE173" s="31"/>
      <c r="MWF173" s="31"/>
      <c r="MWG173" s="31"/>
      <c r="MWH173" s="31"/>
      <c r="MWI173" s="31"/>
      <c r="MWJ173" s="31"/>
      <c r="MWK173" s="31"/>
      <c r="MWL173" s="31"/>
      <c r="MWM173" s="31"/>
      <c r="MWN173" s="31"/>
      <c r="MWO173" s="31"/>
      <c r="MWP173" s="31"/>
      <c r="MWQ173" s="31"/>
      <c r="MWR173" s="31"/>
      <c r="MWS173" s="31"/>
      <c r="MWT173" s="31"/>
      <c r="MWU173" s="31"/>
      <c r="MWV173" s="31"/>
      <c r="MWW173" s="31"/>
      <c r="MWX173" s="31"/>
      <c r="MWY173" s="31"/>
      <c r="MWZ173" s="31"/>
      <c r="MXA173" s="31"/>
      <c r="MXB173" s="31"/>
      <c r="MXC173" s="31"/>
      <c r="MXD173" s="31"/>
      <c r="MXE173" s="31"/>
      <c r="MXF173" s="31"/>
      <c r="MXG173" s="31"/>
      <c r="MXH173" s="31"/>
      <c r="MXI173" s="31"/>
      <c r="MXJ173" s="31"/>
      <c r="MXK173" s="31"/>
      <c r="MXL173" s="31"/>
      <c r="MXM173" s="31"/>
      <c r="MXN173" s="31"/>
      <c r="MXO173" s="31"/>
      <c r="MXP173" s="31"/>
      <c r="MXQ173" s="31"/>
      <c r="MXR173" s="31"/>
      <c r="MXS173" s="31"/>
      <c r="MXT173" s="31"/>
      <c r="MXU173" s="31"/>
      <c r="MXV173" s="31"/>
      <c r="MXW173" s="31"/>
      <c r="MXX173" s="31"/>
      <c r="MXY173" s="31"/>
      <c r="MXZ173" s="31"/>
      <c r="MYA173" s="31"/>
      <c r="MYB173" s="31"/>
      <c r="MYC173" s="31"/>
      <c r="MYD173" s="31"/>
      <c r="MYE173" s="31"/>
      <c r="MYF173" s="31"/>
      <c r="MYG173" s="31"/>
      <c r="MYH173" s="31"/>
      <c r="MYI173" s="31"/>
      <c r="MYJ173" s="31"/>
      <c r="MYK173" s="31"/>
      <c r="MYL173" s="31"/>
      <c r="MYM173" s="31"/>
      <c r="MYN173" s="31"/>
      <c r="MYO173" s="31"/>
      <c r="MYP173" s="31"/>
      <c r="MYQ173" s="31"/>
      <c r="MYR173" s="31"/>
      <c r="MYS173" s="31"/>
      <c r="MYT173" s="31"/>
      <c r="MYU173" s="31"/>
      <c r="MYV173" s="31"/>
      <c r="MYW173" s="31"/>
      <c r="MYX173" s="31"/>
      <c r="MYY173" s="31"/>
      <c r="MYZ173" s="31"/>
      <c r="MZA173" s="31"/>
      <c r="MZB173" s="31"/>
      <c r="MZC173" s="31"/>
      <c r="MZD173" s="31"/>
      <c r="MZE173" s="31"/>
      <c r="MZF173" s="31"/>
      <c r="MZG173" s="31"/>
      <c r="MZH173" s="31"/>
      <c r="MZI173" s="31"/>
      <c r="MZJ173" s="31"/>
      <c r="MZK173" s="31"/>
      <c r="MZL173" s="31"/>
      <c r="MZM173" s="31"/>
      <c r="MZN173" s="31"/>
      <c r="MZO173" s="31"/>
      <c r="MZP173" s="31"/>
      <c r="MZQ173" s="31"/>
      <c r="MZR173" s="31"/>
      <c r="MZS173" s="31"/>
      <c r="MZT173" s="31"/>
      <c r="MZU173" s="31"/>
      <c r="MZV173" s="31"/>
      <c r="MZW173" s="31"/>
      <c r="MZX173" s="31"/>
      <c r="MZY173" s="31"/>
      <c r="MZZ173" s="31"/>
      <c r="NAA173" s="31"/>
      <c r="NAB173" s="31"/>
      <c r="NAC173" s="31"/>
      <c r="NAD173" s="31"/>
      <c r="NAE173" s="31"/>
      <c r="NAF173" s="31"/>
      <c r="NAG173" s="31"/>
      <c r="NAH173" s="31"/>
      <c r="NAI173" s="31"/>
      <c r="NAJ173" s="31"/>
      <c r="NAK173" s="31"/>
      <c r="NAL173" s="31"/>
      <c r="NAM173" s="31"/>
      <c r="NAN173" s="31"/>
      <c r="NAO173" s="31"/>
      <c r="NAP173" s="31"/>
      <c r="NAQ173" s="31"/>
      <c r="NAR173" s="31"/>
      <c r="NAS173" s="31"/>
      <c r="NAT173" s="31"/>
      <c r="NAU173" s="31"/>
      <c r="NAV173" s="31"/>
      <c r="NAW173" s="31"/>
      <c r="NAX173" s="31"/>
      <c r="NAY173" s="31"/>
      <c r="NAZ173" s="31"/>
      <c r="NBA173" s="31"/>
      <c r="NBB173" s="31"/>
      <c r="NBC173" s="31"/>
      <c r="NBD173" s="31"/>
      <c r="NBE173" s="31"/>
      <c r="NBF173" s="31"/>
      <c r="NBG173" s="31"/>
      <c r="NBH173" s="31"/>
      <c r="NBI173" s="31"/>
      <c r="NBJ173" s="31"/>
      <c r="NBK173" s="31"/>
      <c r="NBL173" s="31"/>
      <c r="NBM173" s="31"/>
      <c r="NBN173" s="31"/>
      <c r="NBO173" s="31"/>
      <c r="NBP173" s="31"/>
      <c r="NBQ173" s="31"/>
      <c r="NBR173" s="31"/>
      <c r="NBS173" s="31"/>
      <c r="NBT173" s="31"/>
      <c r="NBU173" s="31"/>
      <c r="NBV173" s="31"/>
      <c r="NBW173" s="31"/>
      <c r="NBX173" s="31"/>
      <c r="NBY173" s="31"/>
      <c r="NBZ173" s="31"/>
      <c r="NCA173" s="31"/>
      <c r="NCB173" s="31"/>
      <c r="NCC173" s="31"/>
      <c r="NCD173" s="31"/>
      <c r="NCE173" s="31"/>
      <c r="NCF173" s="31"/>
      <c r="NCG173" s="31"/>
      <c r="NCH173" s="31"/>
      <c r="NCI173" s="31"/>
      <c r="NCJ173" s="31"/>
      <c r="NCK173" s="31"/>
      <c r="NCL173" s="31"/>
      <c r="NCM173" s="31"/>
      <c r="NCN173" s="31"/>
      <c r="NCO173" s="31"/>
      <c r="NCP173" s="31"/>
      <c r="NCQ173" s="31"/>
      <c r="NCR173" s="31"/>
      <c r="NCS173" s="31"/>
      <c r="NCT173" s="31"/>
      <c r="NCU173" s="31"/>
      <c r="NCV173" s="31"/>
      <c r="NCW173" s="31"/>
      <c r="NCX173" s="31"/>
      <c r="NCY173" s="31"/>
      <c r="NCZ173" s="31"/>
      <c r="NDA173" s="31"/>
      <c r="NDB173" s="31"/>
      <c r="NDC173" s="31"/>
      <c r="NDD173" s="31"/>
      <c r="NDE173" s="31"/>
      <c r="NDF173" s="31"/>
      <c r="NDG173" s="31"/>
      <c r="NDH173" s="31"/>
      <c r="NDI173" s="31"/>
      <c r="NDJ173" s="31"/>
      <c r="NDK173" s="31"/>
      <c r="NDL173" s="31"/>
      <c r="NDM173" s="31"/>
      <c r="NDN173" s="31"/>
      <c r="NDO173" s="31"/>
      <c r="NDP173" s="31"/>
      <c r="NDQ173" s="31"/>
      <c r="NDR173" s="31"/>
      <c r="NDS173" s="31"/>
      <c r="NDT173" s="31"/>
      <c r="NDU173" s="31"/>
      <c r="NDV173" s="31"/>
      <c r="NDW173" s="31"/>
      <c r="NDX173" s="31"/>
      <c r="NDY173" s="31"/>
      <c r="NDZ173" s="31"/>
      <c r="NEA173" s="31"/>
      <c r="NEB173" s="31"/>
      <c r="NEC173" s="31"/>
      <c r="NED173" s="31"/>
      <c r="NEE173" s="31"/>
      <c r="NEF173" s="31"/>
      <c r="NEG173" s="31"/>
      <c r="NEH173" s="31"/>
      <c r="NEI173" s="31"/>
      <c r="NEJ173" s="31"/>
      <c r="NEK173" s="31"/>
      <c r="NEL173" s="31"/>
      <c r="NEM173" s="31"/>
      <c r="NEN173" s="31"/>
      <c r="NEO173" s="31"/>
      <c r="NEP173" s="31"/>
      <c r="NEQ173" s="31"/>
      <c r="NER173" s="31"/>
      <c r="NES173" s="31"/>
      <c r="NET173" s="31"/>
      <c r="NEU173" s="31"/>
      <c r="NEV173" s="31"/>
      <c r="NEW173" s="31"/>
      <c r="NEX173" s="31"/>
      <c r="NEY173" s="31"/>
      <c r="NEZ173" s="31"/>
      <c r="NFA173" s="31"/>
      <c r="NFB173" s="31"/>
      <c r="NFC173" s="31"/>
      <c r="NFD173" s="31"/>
      <c r="NFE173" s="31"/>
      <c r="NFF173" s="31"/>
      <c r="NFG173" s="31"/>
      <c r="NFH173" s="31"/>
      <c r="NFI173" s="31"/>
      <c r="NFJ173" s="31"/>
      <c r="NFK173" s="31"/>
      <c r="NFL173" s="31"/>
      <c r="NFM173" s="31"/>
      <c r="NFN173" s="31"/>
      <c r="NFO173" s="31"/>
      <c r="NFP173" s="31"/>
      <c r="NFQ173" s="31"/>
      <c r="NFR173" s="31"/>
      <c r="NFS173" s="31"/>
      <c r="NFT173" s="31"/>
      <c r="NFU173" s="31"/>
      <c r="NFV173" s="31"/>
      <c r="NFW173" s="31"/>
      <c r="NFX173" s="31"/>
      <c r="NFY173" s="31"/>
      <c r="NFZ173" s="31"/>
      <c r="NGA173" s="31"/>
      <c r="NGB173" s="31"/>
      <c r="NGC173" s="31"/>
      <c r="NGD173" s="31"/>
      <c r="NGE173" s="31"/>
      <c r="NGF173" s="31"/>
      <c r="NGG173" s="31"/>
      <c r="NGH173" s="31"/>
      <c r="NGI173" s="31"/>
      <c r="NGJ173" s="31"/>
      <c r="NGK173" s="31"/>
      <c r="NGL173" s="31"/>
      <c r="NGM173" s="31"/>
      <c r="NGN173" s="31"/>
      <c r="NGO173" s="31"/>
      <c r="NGP173" s="31"/>
      <c r="NGQ173" s="31"/>
      <c r="NGR173" s="31"/>
      <c r="NGS173" s="31"/>
      <c r="NGT173" s="31"/>
      <c r="NGU173" s="31"/>
      <c r="NGV173" s="31"/>
      <c r="NGW173" s="31"/>
      <c r="NGX173" s="31"/>
      <c r="NGY173" s="31"/>
      <c r="NGZ173" s="31"/>
      <c r="NHA173" s="31"/>
      <c r="NHB173" s="31"/>
      <c r="NHC173" s="31"/>
      <c r="NHD173" s="31"/>
      <c r="NHE173" s="31"/>
      <c r="NHF173" s="31"/>
      <c r="NHG173" s="31"/>
      <c r="NHH173" s="31"/>
      <c r="NHI173" s="31"/>
      <c r="NHJ173" s="31"/>
      <c r="NHK173" s="31"/>
      <c r="NHL173" s="31"/>
      <c r="NHM173" s="31"/>
      <c r="NHN173" s="31"/>
      <c r="NHO173" s="31"/>
      <c r="NHP173" s="31"/>
      <c r="NHQ173" s="31"/>
      <c r="NHR173" s="31"/>
      <c r="NHS173" s="31"/>
      <c r="NHT173" s="31"/>
      <c r="NHU173" s="31"/>
      <c r="NHV173" s="31"/>
      <c r="NHW173" s="31"/>
      <c r="NHX173" s="31"/>
      <c r="NHY173" s="31"/>
      <c r="NHZ173" s="31"/>
      <c r="NIA173" s="31"/>
      <c r="NIB173" s="31"/>
      <c r="NIC173" s="31"/>
      <c r="NID173" s="31"/>
      <c r="NIE173" s="31"/>
      <c r="NIF173" s="31"/>
      <c r="NIG173" s="31"/>
      <c r="NIH173" s="31"/>
      <c r="NII173" s="31"/>
      <c r="NIJ173" s="31"/>
      <c r="NIK173" s="31"/>
      <c r="NIL173" s="31"/>
      <c r="NIM173" s="31"/>
      <c r="NIN173" s="31"/>
      <c r="NIO173" s="31"/>
      <c r="NIP173" s="31"/>
      <c r="NIQ173" s="31"/>
      <c r="NIR173" s="31"/>
      <c r="NIS173" s="31"/>
      <c r="NIT173" s="31"/>
      <c r="NIU173" s="31"/>
      <c r="NIV173" s="31"/>
      <c r="NIW173" s="31"/>
      <c r="NIX173" s="31"/>
      <c r="NIY173" s="31"/>
      <c r="NIZ173" s="31"/>
      <c r="NJA173" s="31"/>
      <c r="NJB173" s="31"/>
      <c r="NJC173" s="31"/>
      <c r="NJD173" s="31"/>
      <c r="NJE173" s="31"/>
      <c r="NJF173" s="31"/>
      <c r="NJG173" s="31"/>
      <c r="NJH173" s="31"/>
      <c r="NJI173" s="31"/>
      <c r="NJJ173" s="31"/>
      <c r="NJK173" s="31"/>
      <c r="NJL173" s="31"/>
      <c r="NJM173" s="31"/>
      <c r="NJN173" s="31"/>
      <c r="NJO173" s="31"/>
      <c r="NJP173" s="31"/>
      <c r="NJQ173" s="31"/>
      <c r="NJR173" s="31"/>
      <c r="NJS173" s="31"/>
      <c r="NJT173" s="31"/>
      <c r="NJU173" s="31"/>
      <c r="NJV173" s="31"/>
      <c r="NJW173" s="31"/>
      <c r="NJX173" s="31"/>
      <c r="NJY173" s="31"/>
      <c r="NJZ173" s="31"/>
      <c r="NKA173" s="31"/>
      <c r="NKB173" s="31"/>
      <c r="NKC173" s="31"/>
      <c r="NKD173" s="31"/>
      <c r="NKE173" s="31"/>
      <c r="NKF173" s="31"/>
      <c r="NKG173" s="31"/>
      <c r="NKH173" s="31"/>
      <c r="NKI173" s="31"/>
      <c r="NKJ173" s="31"/>
      <c r="NKK173" s="31"/>
      <c r="NKL173" s="31"/>
      <c r="NKM173" s="31"/>
      <c r="NKN173" s="31"/>
      <c r="NKO173" s="31"/>
      <c r="NKP173" s="31"/>
      <c r="NKQ173" s="31"/>
      <c r="NKR173" s="31"/>
      <c r="NKS173" s="31"/>
      <c r="NKT173" s="31"/>
      <c r="NKU173" s="31"/>
      <c r="NKV173" s="31"/>
      <c r="NKW173" s="31"/>
      <c r="NKX173" s="31"/>
      <c r="NKY173" s="31"/>
      <c r="NKZ173" s="31"/>
      <c r="NLA173" s="31"/>
      <c r="NLB173" s="31"/>
      <c r="NLC173" s="31"/>
      <c r="NLD173" s="31"/>
      <c r="NLE173" s="31"/>
      <c r="NLF173" s="31"/>
      <c r="NLG173" s="31"/>
      <c r="NLH173" s="31"/>
      <c r="NLI173" s="31"/>
      <c r="NLJ173" s="31"/>
      <c r="NLK173" s="31"/>
      <c r="NLL173" s="31"/>
      <c r="NLM173" s="31"/>
      <c r="NLN173" s="31"/>
      <c r="NLO173" s="31"/>
      <c r="NLP173" s="31"/>
      <c r="NLQ173" s="31"/>
      <c r="NLR173" s="31"/>
      <c r="NLS173" s="31"/>
      <c r="NLT173" s="31"/>
      <c r="NLU173" s="31"/>
      <c r="NLV173" s="31"/>
      <c r="NLW173" s="31"/>
      <c r="NLX173" s="31"/>
      <c r="NLY173" s="31"/>
      <c r="NLZ173" s="31"/>
      <c r="NMA173" s="31"/>
      <c r="NMB173" s="31"/>
      <c r="NMC173" s="31"/>
      <c r="NMD173" s="31"/>
      <c r="NME173" s="31"/>
      <c r="NMF173" s="31"/>
      <c r="NMG173" s="31"/>
      <c r="NMH173" s="31"/>
      <c r="NMI173" s="31"/>
      <c r="NMJ173" s="31"/>
      <c r="NMK173" s="31"/>
      <c r="NML173" s="31"/>
      <c r="NMM173" s="31"/>
      <c r="NMN173" s="31"/>
      <c r="NMO173" s="31"/>
      <c r="NMP173" s="31"/>
      <c r="NMQ173" s="31"/>
      <c r="NMR173" s="31"/>
      <c r="NMS173" s="31"/>
      <c r="NMT173" s="31"/>
      <c r="NMU173" s="31"/>
      <c r="NMV173" s="31"/>
      <c r="NMW173" s="31"/>
      <c r="NMX173" s="31"/>
      <c r="NMY173" s="31"/>
      <c r="NMZ173" s="31"/>
      <c r="NNA173" s="31"/>
      <c r="NNB173" s="31"/>
      <c r="NNC173" s="31"/>
      <c r="NND173" s="31"/>
      <c r="NNE173" s="31"/>
      <c r="NNF173" s="31"/>
      <c r="NNG173" s="31"/>
      <c r="NNH173" s="31"/>
      <c r="NNI173" s="31"/>
      <c r="NNJ173" s="31"/>
      <c r="NNK173" s="31"/>
      <c r="NNL173" s="31"/>
      <c r="NNM173" s="31"/>
      <c r="NNN173" s="31"/>
      <c r="NNO173" s="31"/>
      <c r="NNP173" s="31"/>
      <c r="NNQ173" s="31"/>
      <c r="NNR173" s="31"/>
      <c r="NNS173" s="31"/>
      <c r="NNT173" s="31"/>
      <c r="NNU173" s="31"/>
      <c r="NNV173" s="31"/>
      <c r="NNW173" s="31"/>
      <c r="NNX173" s="31"/>
      <c r="NNY173" s="31"/>
      <c r="NNZ173" s="31"/>
      <c r="NOA173" s="31"/>
      <c r="NOB173" s="31"/>
      <c r="NOC173" s="31"/>
      <c r="NOD173" s="31"/>
      <c r="NOE173" s="31"/>
      <c r="NOF173" s="31"/>
      <c r="NOG173" s="31"/>
      <c r="NOH173" s="31"/>
      <c r="NOI173" s="31"/>
      <c r="NOJ173" s="31"/>
      <c r="NOK173" s="31"/>
      <c r="NOL173" s="31"/>
      <c r="NOM173" s="31"/>
      <c r="NON173" s="31"/>
      <c r="NOO173" s="31"/>
      <c r="NOP173" s="31"/>
      <c r="NOQ173" s="31"/>
      <c r="NOR173" s="31"/>
      <c r="NOS173" s="31"/>
      <c r="NOT173" s="31"/>
      <c r="NOU173" s="31"/>
      <c r="NOV173" s="31"/>
      <c r="NOW173" s="31"/>
      <c r="NOX173" s="31"/>
      <c r="NOY173" s="31"/>
      <c r="NOZ173" s="31"/>
      <c r="NPA173" s="31"/>
      <c r="NPB173" s="31"/>
      <c r="NPC173" s="31"/>
      <c r="NPD173" s="31"/>
      <c r="NPE173" s="31"/>
      <c r="NPF173" s="31"/>
      <c r="NPG173" s="31"/>
      <c r="NPH173" s="31"/>
      <c r="NPI173" s="31"/>
      <c r="NPJ173" s="31"/>
      <c r="NPK173" s="31"/>
      <c r="NPL173" s="31"/>
      <c r="NPM173" s="31"/>
      <c r="NPN173" s="31"/>
      <c r="NPO173" s="31"/>
      <c r="NPP173" s="31"/>
      <c r="NPQ173" s="31"/>
      <c r="NPR173" s="31"/>
      <c r="NPS173" s="31"/>
      <c r="NPT173" s="31"/>
      <c r="NPU173" s="31"/>
      <c r="NPV173" s="31"/>
      <c r="NPW173" s="31"/>
      <c r="NPX173" s="31"/>
      <c r="NPY173" s="31"/>
      <c r="NPZ173" s="31"/>
      <c r="NQA173" s="31"/>
      <c r="NQB173" s="31"/>
      <c r="NQC173" s="31"/>
      <c r="NQD173" s="31"/>
      <c r="NQE173" s="31"/>
      <c r="NQF173" s="31"/>
      <c r="NQG173" s="31"/>
      <c r="NQH173" s="31"/>
      <c r="NQI173" s="31"/>
      <c r="NQJ173" s="31"/>
      <c r="NQK173" s="31"/>
      <c r="NQL173" s="31"/>
      <c r="NQM173" s="31"/>
      <c r="NQN173" s="31"/>
      <c r="NQO173" s="31"/>
      <c r="NQP173" s="31"/>
      <c r="NQQ173" s="31"/>
      <c r="NQR173" s="31"/>
      <c r="NQS173" s="31"/>
      <c r="NQT173" s="31"/>
      <c r="NQU173" s="31"/>
      <c r="NQV173" s="31"/>
      <c r="NQW173" s="31"/>
      <c r="NQX173" s="31"/>
      <c r="NQY173" s="31"/>
      <c r="NQZ173" s="31"/>
      <c r="NRA173" s="31"/>
      <c r="NRB173" s="31"/>
      <c r="NRC173" s="31"/>
      <c r="NRD173" s="31"/>
      <c r="NRE173" s="31"/>
      <c r="NRF173" s="31"/>
      <c r="NRG173" s="31"/>
      <c r="NRH173" s="31"/>
      <c r="NRI173" s="31"/>
      <c r="NRJ173" s="31"/>
      <c r="NRK173" s="31"/>
      <c r="NRL173" s="31"/>
      <c r="NRM173" s="31"/>
      <c r="NRN173" s="31"/>
      <c r="NRO173" s="31"/>
      <c r="NRP173" s="31"/>
      <c r="NRQ173" s="31"/>
      <c r="NRR173" s="31"/>
      <c r="NRS173" s="31"/>
      <c r="NRT173" s="31"/>
      <c r="NRU173" s="31"/>
      <c r="NRV173" s="31"/>
      <c r="NRW173" s="31"/>
      <c r="NRX173" s="31"/>
      <c r="NRY173" s="31"/>
      <c r="NRZ173" s="31"/>
      <c r="NSA173" s="31"/>
      <c r="NSB173" s="31"/>
      <c r="NSC173" s="31"/>
      <c r="NSD173" s="31"/>
      <c r="NSE173" s="31"/>
      <c r="NSF173" s="31"/>
      <c r="NSG173" s="31"/>
      <c r="NSH173" s="31"/>
      <c r="NSI173" s="31"/>
      <c r="NSJ173" s="31"/>
      <c r="NSK173" s="31"/>
      <c r="NSL173" s="31"/>
      <c r="NSM173" s="31"/>
      <c r="NSN173" s="31"/>
      <c r="NSO173" s="31"/>
      <c r="NSP173" s="31"/>
      <c r="NSQ173" s="31"/>
      <c r="NSR173" s="31"/>
      <c r="NSS173" s="31"/>
      <c r="NST173" s="31"/>
      <c r="NSU173" s="31"/>
      <c r="NSV173" s="31"/>
      <c r="NSW173" s="31"/>
      <c r="NSX173" s="31"/>
      <c r="NSY173" s="31"/>
      <c r="NSZ173" s="31"/>
      <c r="NTA173" s="31"/>
      <c r="NTB173" s="31"/>
      <c r="NTC173" s="31"/>
      <c r="NTD173" s="31"/>
      <c r="NTE173" s="31"/>
      <c r="NTF173" s="31"/>
      <c r="NTG173" s="31"/>
      <c r="NTH173" s="31"/>
      <c r="NTI173" s="31"/>
      <c r="NTJ173" s="31"/>
      <c r="NTK173" s="31"/>
      <c r="NTL173" s="31"/>
      <c r="NTM173" s="31"/>
      <c r="NTN173" s="31"/>
      <c r="NTO173" s="31"/>
      <c r="NTP173" s="31"/>
      <c r="NTQ173" s="31"/>
      <c r="NTR173" s="31"/>
      <c r="NTS173" s="31"/>
      <c r="NTT173" s="31"/>
      <c r="NTU173" s="31"/>
      <c r="NTV173" s="31"/>
      <c r="NTW173" s="31"/>
      <c r="NTX173" s="31"/>
      <c r="NTY173" s="31"/>
      <c r="NTZ173" s="31"/>
      <c r="NUA173" s="31"/>
      <c r="NUB173" s="31"/>
      <c r="NUC173" s="31"/>
      <c r="NUD173" s="31"/>
      <c r="NUE173" s="31"/>
      <c r="NUF173" s="31"/>
      <c r="NUG173" s="31"/>
      <c r="NUH173" s="31"/>
      <c r="NUI173" s="31"/>
      <c r="NUJ173" s="31"/>
      <c r="NUK173" s="31"/>
      <c r="NUL173" s="31"/>
      <c r="NUM173" s="31"/>
      <c r="NUN173" s="31"/>
      <c r="NUO173" s="31"/>
      <c r="NUP173" s="31"/>
      <c r="NUQ173" s="31"/>
      <c r="NUR173" s="31"/>
      <c r="NUS173" s="31"/>
      <c r="NUT173" s="31"/>
      <c r="NUU173" s="31"/>
      <c r="NUV173" s="31"/>
      <c r="NUW173" s="31"/>
      <c r="NUX173" s="31"/>
      <c r="NUY173" s="31"/>
      <c r="NUZ173" s="31"/>
      <c r="NVA173" s="31"/>
      <c r="NVB173" s="31"/>
      <c r="NVC173" s="31"/>
      <c r="NVD173" s="31"/>
      <c r="NVE173" s="31"/>
      <c r="NVF173" s="31"/>
      <c r="NVG173" s="31"/>
      <c r="NVH173" s="31"/>
      <c r="NVI173" s="31"/>
      <c r="NVJ173" s="31"/>
      <c r="NVK173" s="31"/>
      <c r="NVL173" s="31"/>
      <c r="NVM173" s="31"/>
      <c r="NVN173" s="31"/>
      <c r="NVO173" s="31"/>
      <c r="NVP173" s="31"/>
      <c r="NVQ173" s="31"/>
      <c r="NVR173" s="31"/>
      <c r="NVS173" s="31"/>
      <c r="NVT173" s="31"/>
      <c r="NVU173" s="31"/>
      <c r="NVV173" s="31"/>
      <c r="NVW173" s="31"/>
      <c r="NVX173" s="31"/>
      <c r="NVY173" s="31"/>
      <c r="NVZ173" s="31"/>
      <c r="NWA173" s="31"/>
      <c r="NWB173" s="31"/>
      <c r="NWC173" s="31"/>
      <c r="NWD173" s="31"/>
      <c r="NWE173" s="31"/>
      <c r="NWF173" s="31"/>
      <c r="NWG173" s="31"/>
      <c r="NWH173" s="31"/>
      <c r="NWI173" s="31"/>
      <c r="NWJ173" s="31"/>
      <c r="NWK173" s="31"/>
      <c r="NWL173" s="31"/>
      <c r="NWM173" s="31"/>
      <c r="NWN173" s="31"/>
      <c r="NWO173" s="31"/>
      <c r="NWP173" s="31"/>
      <c r="NWQ173" s="31"/>
      <c r="NWR173" s="31"/>
      <c r="NWS173" s="31"/>
      <c r="NWT173" s="31"/>
      <c r="NWU173" s="31"/>
      <c r="NWV173" s="31"/>
      <c r="NWW173" s="31"/>
      <c r="NWX173" s="31"/>
      <c r="NWY173" s="31"/>
      <c r="NWZ173" s="31"/>
      <c r="NXA173" s="31"/>
      <c r="NXB173" s="31"/>
      <c r="NXC173" s="31"/>
      <c r="NXD173" s="31"/>
      <c r="NXE173" s="31"/>
      <c r="NXF173" s="31"/>
      <c r="NXG173" s="31"/>
      <c r="NXH173" s="31"/>
      <c r="NXI173" s="31"/>
      <c r="NXJ173" s="31"/>
      <c r="NXK173" s="31"/>
      <c r="NXL173" s="31"/>
      <c r="NXM173" s="31"/>
      <c r="NXN173" s="31"/>
      <c r="NXO173" s="31"/>
      <c r="NXP173" s="31"/>
      <c r="NXQ173" s="31"/>
      <c r="NXR173" s="31"/>
      <c r="NXS173" s="31"/>
      <c r="NXT173" s="31"/>
      <c r="NXU173" s="31"/>
      <c r="NXV173" s="31"/>
      <c r="NXW173" s="31"/>
      <c r="NXX173" s="31"/>
      <c r="NXY173" s="31"/>
      <c r="NXZ173" s="31"/>
      <c r="NYA173" s="31"/>
      <c r="NYB173" s="31"/>
      <c r="NYC173" s="31"/>
      <c r="NYD173" s="31"/>
      <c r="NYE173" s="31"/>
      <c r="NYF173" s="31"/>
      <c r="NYG173" s="31"/>
      <c r="NYH173" s="31"/>
      <c r="NYI173" s="31"/>
      <c r="NYJ173" s="31"/>
      <c r="NYK173" s="31"/>
      <c r="NYL173" s="31"/>
      <c r="NYM173" s="31"/>
      <c r="NYN173" s="31"/>
      <c r="NYO173" s="31"/>
      <c r="NYP173" s="31"/>
      <c r="NYQ173" s="31"/>
      <c r="NYR173" s="31"/>
      <c r="NYS173" s="31"/>
      <c r="NYT173" s="31"/>
      <c r="NYU173" s="31"/>
      <c r="NYV173" s="31"/>
      <c r="NYW173" s="31"/>
      <c r="NYX173" s="31"/>
      <c r="NYY173" s="31"/>
      <c r="NYZ173" s="31"/>
      <c r="NZA173" s="31"/>
      <c r="NZB173" s="31"/>
      <c r="NZC173" s="31"/>
      <c r="NZD173" s="31"/>
      <c r="NZE173" s="31"/>
      <c r="NZF173" s="31"/>
      <c r="NZG173" s="31"/>
      <c r="NZH173" s="31"/>
      <c r="NZI173" s="31"/>
      <c r="NZJ173" s="31"/>
      <c r="NZK173" s="31"/>
      <c r="NZL173" s="31"/>
      <c r="NZM173" s="31"/>
      <c r="NZN173" s="31"/>
      <c r="NZO173" s="31"/>
      <c r="NZP173" s="31"/>
      <c r="NZQ173" s="31"/>
      <c r="NZR173" s="31"/>
      <c r="NZS173" s="31"/>
      <c r="NZT173" s="31"/>
      <c r="NZU173" s="31"/>
      <c r="NZV173" s="31"/>
      <c r="NZW173" s="31"/>
      <c r="NZX173" s="31"/>
      <c r="NZY173" s="31"/>
      <c r="NZZ173" s="31"/>
      <c r="OAA173" s="31"/>
      <c r="OAB173" s="31"/>
      <c r="OAC173" s="31"/>
      <c r="OAD173" s="31"/>
      <c r="OAE173" s="31"/>
      <c r="OAF173" s="31"/>
      <c r="OAG173" s="31"/>
      <c r="OAH173" s="31"/>
      <c r="OAI173" s="31"/>
      <c r="OAJ173" s="31"/>
      <c r="OAK173" s="31"/>
      <c r="OAL173" s="31"/>
      <c r="OAM173" s="31"/>
      <c r="OAN173" s="31"/>
      <c r="OAO173" s="31"/>
      <c r="OAP173" s="31"/>
      <c r="OAQ173" s="31"/>
      <c r="OAR173" s="31"/>
      <c r="OAS173" s="31"/>
      <c r="OAT173" s="31"/>
      <c r="OAU173" s="31"/>
      <c r="OAV173" s="31"/>
      <c r="OAW173" s="31"/>
      <c r="OAX173" s="31"/>
      <c r="OAY173" s="31"/>
      <c r="OAZ173" s="31"/>
      <c r="OBA173" s="31"/>
      <c r="OBB173" s="31"/>
      <c r="OBC173" s="31"/>
      <c r="OBD173" s="31"/>
      <c r="OBE173" s="31"/>
      <c r="OBF173" s="31"/>
      <c r="OBG173" s="31"/>
      <c r="OBH173" s="31"/>
      <c r="OBI173" s="31"/>
      <c r="OBJ173" s="31"/>
      <c r="OBK173" s="31"/>
      <c r="OBL173" s="31"/>
      <c r="OBM173" s="31"/>
      <c r="OBN173" s="31"/>
      <c r="OBO173" s="31"/>
      <c r="OBP173" s="31"/>
      <c r="OBQ173" s="31"/>
      <c r="OBR173" s="31"/>
      <c r="OBS173" s="31"/>
      <c r="OBT173" s="31"/>
      <c r="OBU173" s="31"/>
      <c r="OBV173" s="31"/>
      <c r="OBW173" s="31"/>
      <c r="OBX173" s="31"/>
      <c r="OBY173" s="31"/>
      <c r="OBZ173" s="31"/>
      <c r="OCA173" s="31"/>
      <c r="OCB173" s="31"/>
      <c r="OCC173" s="31"/>
      <c r="OCD173" s="31"/>
      <c r="OCE173" s="31"/>
      <c r="OCF173" s="31"/>
      <c r="OCG173" s="31"/>
      <c r="OCH173" s="31"/>
      <c r="OCI173" s="31"/>
      <c r="OCJ173" s="31"/>
      <c r="OCK173" s="31"/>
      <c r="OCL173" s="31"/>
      <c r="OCM173" s="31"/>
      <c r="OCN173" s="31"/>
      <c r="OCO173" s="31"/>
      <c r="OCP173" s="31"/>
      <c r="OCQ173" s="31"/>
      <c r="OCR173" s="31"/>
      <c r="OCS173" s="31"/>
      <c r="OCT173" s="31"/>
      <c r="OCU173" s="31"/>
      <c r="OCV173" s="31"/>
      <c r="OCW173" s="31"/>
      <c r="OCX173" s="31"/>
      <c r="OCY173" s="31"/>
      <c r="OCZ173" s="31"/>
      <c r="ODA173" s="31"/>
      <c r="ODB173" s="31"/>
      <c r="ODC173" s="31"/>
      <c r="ODD173" s="31"/>
      <c r="ODE173" s="31"/>
      <c r="ODF173" s="31"/>
      <c r="ODG173" s="31"/>
      <c r="ODH173" s="31"/>
      <c r="ODI173" s="31"/>
      <c r="ODJ173" s="31"/>
      <c r="ODK173" s="31"/>
      <c r="ODL173" s="31"/>
      <c r="ODM173" s="31"/>
      <c r="ODN173" s="31"/>
      <c r="ODO173" s="31"/>
      <c r="ODP173" s="31"/>
      <c r="ODQ173" s="31"/>
      <c r="ODR173" s="31"/>
      <c r="ODS173" s="31"/>
      <c r="ODT173" s="31"/>
      <c r="ODU173" s="31"/>
      <c r="ODV173" s="31"/>
      <c r="ODW173" s="31"/>
      <c r="ODX173" s="31"/>
      <c r="ODY173" s="31"/>
      <c r="ODZ173" s="31"/>
      <c r="OEA173" s="31"/>
      <c r="OEB173" s="31"/>
      <c r="OEC173" s="31"/>
      <c r="OED173" s="31"/>
      <c r="OEE173" s="31"/>
      <c r="OEF173" s="31"/>
      <c r="OEG173" s="31"/>
      <c r="OEH173" s="31"/>
      <c r="OEI173" s="31"/>
      <c r="OEJ173" s="31"/>
      <c r="OEK173" s="31"/>
      <c r="OEL173" s="31"/>
      <c r="OEM173" s="31"/>
      <c r="OEN173" s="31"/>
      <c r="OEO173" s="31"/>
      <c r="OEP173" s="31"/>
      <c r="OEQ173" s="31"/>
      <c r="OER173" s="31"/>
      <c r="OES173" s="31"/>
      <c r="OET173" s="31"/>
      <c r="OEU173" s="31"/>
      <c r="OEV173" s="31"/>
      <c r="OEW173" s="31"/>
      <c r="OEX173" s="31"/>
      <c r="OEY173" s="31"/>
      <c r="OEZ173" s="31"/>
      <c r="OFA173" s="31"/>
      <c r="OFB173" s="31"/>
      <c r="OFC173" s="31"/>
      <c r="OFD173" s="31"/>
      <c r="OFE173" s="31"/>
      <c r="OFF173" s="31"/>
      <c r="OFG173" s="31"/>
      <c r="OFH173" s="31"/>
      <c r="OFI173" s="31"/>
      <c r="OFJ173" s="31"/>
      <c r="OFK173" s="31"/>
      <c r="OFL173" s="31"/>
      <c r="OFM173" s="31"/>
      <c r="OFN173" s="31"/>
      <c r="OFO173" s="31"/>
      <c r="OFP173" s="31"/>
      <c r="OFQ173" s="31"/>
      <c r="OFR173" s="31"/>
      <c r="OFS173" s="31"/>
      <c r="OFT173" s="31"/>
      <c r="OFU173" s="31"/>
      <c r="OFV173" s="31"/>
      <c r="OFW173" s="31"/>
      <c r="OFX173" s="31"/>
      <c r="OFY173" s="31"/>
      <c r="OFZ173" s="31"/>
      <c r="OGA173" s="31"/>
      <c r="OGB173" s="31"/>
      <c r="OGC173" s="31"/>
      <c r="OGD173" s="31"/>
      <c r="OGE173" s="31"/>
      <c r="OGF173" s="31"/>
      <c r="OGG173" s="31"/>
      <c r="OGH173" s="31"/>
      <c r="OGI173" s="31"/>
      <c r="OGJ173" s="31"/>
      <c r="OGK173" s="31"/>
      <c r="OGL173" s="31"/>
      <c r="OGM173" s="31"/>
      <c r="OGN173" s="31"/>
      <c r="OGO173" s="31"/>
      <c r="OGP173" s="31"/>
      <c r="OGQ173" s="31"/>
      <c r="OGR173" s="31"/>
      <c r="OGS173" s="31"/>
      <c r="OGT173" s="31"/>
      <c r="OGU173" s="31"/>
      <c r="OGV173" s="31"/>
      <c r="OGW173" s="31"/>
      <c r="OGX173" s="31"/>
      <c r="OGY173" s="31"/>
      <c r="OGZ173" s="31"/>
      <c r="OHA173" s="31"/>
      <c r="OHB173" s="31"/>
      <c r="OHC173" s="31"/>
      <c r="OHD173" s="31"/>
      <c r="OHE173" s="31"/>
      <c r="OHF173" s="31"/>
      <c r="OHG173" s="31"/>
      <c r="OHH173" s="31"/>
      <c r="OHI173" s="31"/>
      <c r="OHJ173" s="31"/>
      <c r="OHK173" s="31"/>
      <c r="OHL173" s="31"/>
      <c r="OHM173" s="31"/>
      <c r="OHN173" s="31"/>
      <c r="OHO173" s="31"/>
      <c r="OHP173" s="31"/>
      <c r="OHQ173" s="31"/>
      <c r="OHR173" s="31"/>
      <c r="OHS173" s="31"/>
      <c r="OHT173" s="31"/>
      <c r="OHU173" s="31"/>
      <c r="OHV173" s="31"/>
      <c r="OHW173" s="31"/>
      <c r="OHX173" s="31"/>
      <c r="OHY173" s="31"/>
      <c r="OHZ173" s="31"/>
      <c r="OIA173" s="31"/>
      <c r="OIB173" s="31"/>
      <c r="OIC173" s="31"/>
      <c r="OID173" s="31"/>
      <c r="OIE173" s="31"/>
      <c r="OIF173" s="31"/>
      <c r="OIG173" s="31"/>
      <c r="OIH173" s="31"/>
      <c r="OII173" s="31"/>
      <c r="OIJ173" s="31"/>
      <c r="OIK173" s="31"/>
      <c r="OIL173" s="31"/>
      <c r="OIM173" s="31"/>
      <c r="OIN173" s="31"/>
      <c r="OIO173" s="31"/>
      <c r="OIP173" s="31"/>
      <c r="OIQ173" s="31"/>
      <c r="OIR173" s="31"/>
      <c r="OIS173" s="31"/>
      <c r="OIT173" s="31"/>
      <c r="OIU173" s="31"/>
      <c r="OIV173" s="31"/>
      <c r="OIW173" s="31"/>
      <c r="OIX173" s="31"/>
      <c r="OIY173" s="31"/>
      <c r="OIZ173" s="31"/>
      <c r="OJA173" s="31"/>
      <c r="OJB173" s="31"/>
      <c r="OJC173" s="31"/>
      <c r="OJD173" s="31"/>
      <c r="OJE173" s="31"/>
      <c r="OJF173" s="31"/>
      <c r="OJG173" s="31"/>
      <c r="OJH173" s="31"/>
      <c r="OJI173" s="31"/>
      <c r="OJJ173" s="31"/>
      <c r="OJK173" s="31"/>
      <c r="OJL173" s="31"/>
      <c r="OJM173" s="31"/>
      <c r="OJN173" s="31"/>
      <c r="OJO173" s="31"/>
      <c r="OJP173" s="31"/>
      <c r="OJQ173" s="31"/>
      <c r="OJR173" s="31"/>
      <c r="OJS173" s="31"/>
      <c r="OJT173" s="31"/>
      <c r="OJU173" s="31"/>
      <c r="OJV173" s="31"/>
      <c r="OJW173" s="31"/>
      <c r="OJX173" s="31"/>
      <c r="OJY173" s="31"/>
      <c r="OJZ173" s="31"/>
      <c r="OKA173" s="31"/>
      <c r="OKB173" s="31"/>
      <c r="OKC173" s="31"/>
      <c r="OKD173" s="31"/>
      <c r="OKE173" s="31"/>
      <c r="OKF173" s="31"/>
      <c r="OKG173" s="31"/>
      <c r="OKH173" s="31"/>
      <c r="OKI173" s="31"/>
      <c r="OKJ173" s="31"/>
      <c r="OKK173" s="31"/>
      <c r="OKL173" s="31"/>
      <c r="OKM173" s="31"/>
      <c r="OKN173" s="31"/>
      <c r="OKO173" s="31"/>
      <c r="OKP173" s="31"/>
      <c r="OKQ173" s="31"/>
      <c r="OKR173" s="31"/>
      <c r="OKS173" s="31"/>
      <c r="OKT173" s="31"/>
      <c r="OKU173" s="31"/>
      <c r="OKV173" s="31"/>
      <c r="OKW173" s="31"/>
      <c r="OKX173" s="31"/>
      <c r="OKY173" s="31"/>
      <c r="OKZ173" s="31"/>
      <c r="OLA173" s="31"/>
      <c r="OLB173" s="31"/>
      <c r="OLC173" s="31"/>
      <c r="OLD173" s="31"/>
      <c r="OLE173" s="31"/>
      <c r="OLF173" s="31"/>
      <c r="OLG173" s="31"/>
      <c r="OLH173" s="31"/>
      <c r="OLI173" s="31"/>
      <c r="OLJ173" s="31"/>
      <c r="OLK173" s="31"/>
      <c r="OLL173" s="31"/>
      <c r="OLM173" s="31"/>
      <c r="OLN173" s="31"/>
      <c r="OLO173" s="31"/>
      <c r="OLP173" s="31"/>
      <c r="OLQ173" s="31"/>
      <c r="OLR173" s="31"/>
      <c r="OLS173" s="31"/>
      <c r="OLT173" s="31"/>
      <c r="OLU173" s="31"/>
      <c r="OLV173" s="31"/>
      <c r="OLW173" s="31"/>
      <c r="OLX173" s="31"/>
      <c r="OLY173" s="31"/>
      <c r="OLZ173" s="31"/>
      <c r="OMA173" s="31"/>
      <c r="OMB173" s="31"/>
      <c r="OMC173" s="31"/>
      <c r="OMD173" s="31"/>
      <c r="OME173" s="31"/>
      <c r="OMF173" s="31"/>
      <c r="OMG173" s="31"/>
      <c r="OMH173" s="31"/>
      <c r="OMI173" s="31"/>
      <c r="OMJ173" s="31"/>
      <c r="OMK173" s="31"/>
      <c r="OML173" s="31"/>
      <c r="OMM173" s="31"/>
      <c r="OMN173" s="31"/>
      <c r="OMO173" s="31"/>
      <c r="OMP173" s="31"/>
      <c r="OMQ173" s="31"/>
      <c r="OMR173" s="31"/>
      <c r="OMS173" s="31"/>
      <c r="OMT173" s="31"/>
      <c r="OMU173" s="31"/>
      <c r="OMV173" s="31"/>
      <c r="OMW173" s="31"/>
      <c r="OMX173" s="31"/>
      <c r="OMY173" s="31"/>
      <c r="OMZ173" s="31"/>
      <c r="ONA173" s="31"/>
      <c r="ONB173" s="31"/>
      <c r="ONC173" s="31"/>
      <c r="OND173" s="31"/>
      <c r="ONE173" s="31"/>
      <c r="ONF173" s="31"/>
      <c r="ONG173" s="31"/>
      <c r="ONH173" s="31"/>
      <c r="ONI173" s="31"/>
      <c r="ONJ173" s="31"/>
      <c r="ONK173" s="31"/>
      <c r="ONL173" s="31"/>
      <c r="ONM173" s="31"/>
      <c r="ONN173" s="31"/>
      <c r="ONO173" s="31"/>
      <c r="ONP173" s="31"/>
      <c r="ONQ173" s="31"/>
      <c r="ONR173" s="31"/>
      <c r="ONS173" s="31"/>
      <c r="ONT173" s="31"/>
      <c r="ONU173" s="31"/>
      <c r="ONV173" s="31"/>
      <c r="ONW173" s="31"/>
      <c r="ONX173" s="31"/>
      <c r="ONY173" s="31"/>
      <c r="ONZ173" s="31"/>
      <c r="OOA173" s="31"/>
      <c r="OOB173" s="31"/>
      <c r="OOC173" s="31"/>
      <c r="OOD173" s="31"/>
      <c r="OOE173" s="31"/>
      <c r="OOF173" s="31"/>
      <c r="OOG173" s="31"/>
      <c r="OOH173" s="31"/>
      <c r="OOI173" s="31"/>
      <c r="OOJ173" s="31"/>
      <c r="OOK173" s="31"/>
      <c r="OOL173" s="31"/>
      <c r="OOM173" s="31"/>
      <c r="OON173" s="31"/>
      <c r="OOO173" s="31"/>
      <c r="OOP173" s="31"/>
      <c r="OOQ173" s="31"/>
      <c r="OOR173" s="31"/>
      <c r="OOS173" s="31"/>
      <c r="OOT173" s="31"/>
      <c r="OOU173" s="31"/>
      <c r="OOV173" s="31"/>
      <c r="OOW173" s="31"/>
      <c r="OOX173" s="31"/>
      <c r="OOY173" s="31"/>
      <c r="OOZ173" s="31"/>
      <c r="OPA173" s="31"/>
      <c r="OPB173" s="31"/>
      <c r="OPC173" s="31"/>
      <c r="OPD173" s="31"/>
      <c r="OPE173" s="31"/>
      <c r="OPF173" s="31"/>
      <c r="OPG173" s="31"/>
      <c r="OPH173" s="31"/>
      <c r="OPI173" s="31"/>
      <c r="OPJ173" s="31"/>
      <c r="OPK173" s="31"/>
      <c r="OPL173" s="31"/>
      <c r="OPM173" s="31"/>
      <c r="OPN173" s="31"/>
      <c r="OPO173" s="31"/>
      <c r="OPP173" s="31"/>
      <c r="OPQ173" s="31"/>
      <c r="OPR173" s="31"/>
      <c r="OPS173" s="31"/>
      <c r="OPT173" s="31"/>
      <c r="OPU173" s="31"/>
      <c r="OPV173" s="31"/>
      <c r="OPW173" s="31"/>
      <c r="OPX173" s="31"/>
      <c r="OPY173" s="31"/>
      <c r="OPZ173" s="31"/>
      <c r="OQA173" s="31"/>
      <c r="OQB173" s="31"/>
      <c r="OQC173" s="31"/>
      <c r="OQD173" s="31"/>
      <c r="OQE173" s="31"/>
      <c r="OQF173" s="31"/>
      <c r="OQG173" s="31"/>
      <c r="OQH173" s="31"/>
      <c r="OQI173" s="31"/>
      <c r="OQJ173" s="31"/>
      <c r="OQK173" s="31"/>
      <c r="OQL173" s="31"/>
      <c r="OQM173" s="31"/>
      <c r="OQN173" s="31"/>
      <c r="OQO173" s="31"/>
      <c r="OQP173" s="31"/>
      <c r="OQQ173" s="31"/>
      <c r="OQR173" s="31"/>
      <c r="OQS173" s="31"/>
      <c r="OQT173" s="31"/>
      <c r="OQU173" s="31"/>
      <c r="OQV173" s="31"/>
      <c r="OQW173" s="31"/>
      <c r="OQX173" s="31"/>
      <c r="OQY173" s="31"/>
      <c r="OQZ173" s="31"/>
      <c r="ORA173" s="31"/>
      <c r="ORB173" s="31"/>
      <c r="ORC173" s="31"/>
      <c r="ORD173" s="31"/>
      <c r="ORE173" s="31"/>
      <c r="ORF173" s="31"/>
      <c r="ORG173" s="31"/>
      <c r="ORH173" s="31"/>
      <c r="ORI173" s="31"/>
      <c r="ORJ173" s="31"/>
      <c r="ORK173" s="31"/>
      <c r="ORL173" s="31"/>
      <c r="ORM173" s="31"/>
      <c r="ORN173" s="31"/>
      <c r="ORO173" s="31"/>
      <c r="ORP173" s="31"/>
      <c r="ORQ173" s="31"/>
      <c r="ORR173" s="31"/>
      <c r="ORS173" s="31"/>
      <c r="ORT173" s="31"/>
      <c r="ORU173" s="31"/>
      <c r="ORV173" s="31"/>
      <c r="ORW173" s="31"/>
      <c r="ORX173" s="31"/>
      <c r="ORY173" s="31"/>
      <c r="ORZ173" s="31"/>
      <c r="OSA173" s="31"/>
      <c r="OSB173" s="31"/>
      <c r="OSC173" s="31"/>
      <c r="OSD173" s="31"/>
      <c r="OSE173" s="31"/>
      <c r="OSF173" s="31"/>
      <c r="OSG173" s="31"/>
      <c r="OSH173" s="31"/>
      <c r="OSI173" s="31"/>
      <c r="OSJ173" s="31"/>
      <c r="OSK173" s="31"/>
      <c r="OSL173" s="31"/>
      <c r="OSM173" s="31"/>
      <c r="OSN173" s="31"/>
      <c r="OSO173" s="31"/>
      <c r="OSP173" s="31"/>
      <c r="OSQ173" s="31"/>
      <c r="OSR173" s="31"/>
      <c r="OSS173" s="31"/>
      <c r="OST173" s="31"/>
      <c r="OSU173" s="31"/>
      <c r="OSV173" s="31"/>
      <c r="OSW173" s="31"/>
      <c r="OSX173" s="31"/>
      <c r="OSY173" s="31"/>
      <c r="OSZ173" s="31"/>
      <c r="OTA173" s="31"/>
      <c r="OTB173" s="31"/>
      <c r="OTC173" s="31"/>
      <c r="OTD173" s="31"/>
      <c r="OTE173" s="31"/>
      <c r="OTF173" s="31"/>
      <c r="OTG173" s="31"/>
      <c r="OTH173" s="31"/>
      <c r="OTI173" s="31"/>
      <c r="OTJ173" s="31"/>
      <c r="OTK173" s="31"/>
      <c r="OTL173" s="31"/>
      <c r="OTM173" s="31"/>
      <c r="OTN173" s="31"/>
      <c r="OTO173" s="31"/>
      <c r="OTP173" s="31"/>
      <c r="OTQ173" s="31"/>
      <c r="OTR173" s="31"/>
      <c r="OTS173" s="31"/>
      <c r="OTT173" s="31"/>
      <c r="OTU173" s="31"/>
      <c r="OTV173" s="31"/>
      <c r="OTW173" s="31"/>
      <c r="OTX173" s="31"/>
      <c r="OTY173" s="31"/>
      <c r="OTZ173" s="31"/>
      <c r="OUA173" s="31"/>
      <c r="OUB173" s="31"/>
      <c r="OUC173" s="31"/>
      <c r="OUD173" s="31"/>
      <c r="OUE173" s="31"/>
      <c r="OUF173" s="31"/>
      <c r="OUG173" s="31"/>
      <c r="OUH173" s="31"/>
      <c r="OUI173" s="31"/>
      <c r="OUJ173" s="31"/>
      <c r="OUK173" s="31"/>
      <c r="OUL173" s="31"/>
      <c r="OUM173" s="31"/>
      <c r="OUN173" s="31"/>
      <c r="OUO173" s="31"/>
      <c r="OUP173" s="31"/>
      <c r="OUQ173" s="31"/>
      <c r="OUR173" s="31"/>
      <c r="OUS173" s="31"/>
      <c r="OUT173" s="31"/>
      <c r="OUU173" s="31"/>
      <c r="OUV173" s="31"/>
      <c r="OUW173" s="31"/>
      <c r="OUX173" s="31"/>
      <c r="OUY173" s="31"/>
      <c r="OUZ173" s="31"/>
      <c r="OVA173" s="31"/>
      <c r="OVB173" s="31"/>
      <c r="OVC173" s="31"/>
      <c r="OVD173" s="31"/>
      <c r="OVE173" s="31"/>
      <c r="OVF173" s="31"/>
      <c r="OVG173" s="31"/>
      <c r="OVH173" s="31"/>
      <c r="OVI173" s="31"/>
      <c r="OVJ173" s="31"/>
      <c r="OVK173" s="31"/>
      <c r="OVL173" s="31"/>
      <c r="OVM173" s="31"/>
      <c r="OVN173" s="31"/>
      <c r="OVO173" s="31"/>
      <c r="OVP173" s="31"/>
      <c r="OVQ173" s="31"/>
      <c r="OVR173" s="31"/>
      <c r="OVS173" s="31"/>
      <c r="OVT173" s="31"/>
      <c r="OVU173" s="31"/>
      <c r="OVV173" s="31"/>
      <c r="OVW173" s="31"/>
      <c r="OVX173" s="31"/>
      <c r="OVY173" s="31"/>
      <c r="OVZ173" s="31"/>
      <c r="OWA173" s="31"/>
      <c r="OWB173" s="31"/>
      <c r="OWC173" s="31"/>
      <c r="OWD173" s="31"/>
      <c r="OWE173" s="31"/>
      <c r="OWF173" s="31"/>
      <c r="OWG173" s="31"/>
      <c r="OWH173" s="31"/>
      <c r="OWI173" s="31"/>
      <c r="OWJ173" s="31"/>
      <c r="OWK173" s="31"/>
      <c r="OWL173" s="31"/>
      <c r="OWM173" s="31"/>
      <c r="OWN173" s="31"/>
      <c r="OWO173" s="31"/>
      <c r="OWP173" s="31"/>
      <c r="OWQ173" s="31"/>
      <c r="OWR173" s="31"/>
      <c r="OWS173" s="31"/>
      <c r="OWT173" s="31"/>
      <c r="OWU173" s="31"/>
      <c r="OWV173" s="31"/>
      <c r="OWW173" s="31"/>
      <c r="OWX173" s="31"/>
      <c r="OWY173" s="31"/>
      <c r="OWZ173" s="31"/>
      <c r="OXA173" s="31"/>
      <c r="OXB173" s="31"/>
      <c r="OXC173" s="31"/>
      <c r="OXD173" s="31"/>
      <c r="OXE173" s="31"/>
      <c r="OXF173" s="31"/>
      <c r="OXG173" s="31"/>
      <c r="OXH173" s="31"/>
      <c r="OXI173" s="31"/>
      <c r="OXJ173" s="31"/>
      <c r="OXK173" s="31"/>
      <c r="OXL173" s="31"/>
      <c r="OXM173" s="31"/>
      <c r="OXN173" s="31"/>
      <c r="OXO173" s="31"/>
      <c r="OXP173" s="31"/>
      <c r="OXQ173" s="31"/>
      <c r="OXR173" s="31"/>
      <c r="OXS173" s="31"/>
      <c r="OXT173" s="31"/>
      <c r="OXU173" s="31"/>
      <c r="OXV173" s="31"/>
      <c r="OXW173" s="31"/>
      <c r="OXX173" s="31"/>
      <c r="OXY173" s="31"/>
      <c r="OXZ173" s="31"/>
      <c r="OYA173" s="31"/>
      <c r="OYB173" s="31"/>
      <c r="OYC173" s="31"/>
      <c r="OYD173" s="31"/>
      <c r="OYE173" s="31"/>
      <c r="OYF173" s="31"/>
      <c r="OYG173" s="31"/>
      <c r="OYH173" s="31"/>
      <c r="OYI173" s="31"/>
      <c r="OYJ173" s="31"/>
      <c r="OYK173" s="31"/>
      <c r="OYL173" s="31"/>
      <c r="OYM173" s="31"/>
      <c r="OYN173" s="31"/>
      <c r="OYO173" s="31"/>
      <c r="OYP173" s="31"/>
      <c r="OYQ173" s="31"/>
      <c r="OYR173" s="31"/>
      <c r="OYS173" s="31"/>
      <c r="OYT173" s="31"/>
      <c r="OYU173" s="31"/>
      <c r="OYV173" s="31"/>
      <c r="OYW173" s="31"/>
      <c r="OYX173" s="31"/>
      <c r="OYY173" s="31"/>
      <c r="OYZ173" s="31"/>
      <c r="OZA173" s="31"/>
      <c r="OZB173" s="31"/>
      <c r="OZC173" s="31"/>
      <c r="OZD173" s="31"/>
      <c r="OZE173" s="31"/>
      <c r="OZF173" s="31"/>
      <c r="OZG173" s="31"/>
      <c r="OZH173" s="31"/>
      <c r="OZI173" s="31"/>
      <c r="OZJ173" s="31"/>
      <c r="OZK173" s="31"/>
      <c r="OZL173" s="31"/>
      <c r="OZM173" s="31"/>
      <c r="OZN173" s="31"/>
      <c r="OZO173" s="31"/>
      <c r="OZP173" s="31"/>
      <c r="OZQ173" s="31"/>
      <c r="OZR173" s="31"/>
      <c r="OZS173" s="31"/>
      <c r="OZT173" s="31"/>
      <c r="OZU173" s="31"/>
      <c r="OZV173" s="31"/>
      <c r="OZW173" s="31"/>
      <c r="OZX173" s="31"/>
      <c r="OZY173" s="31"/>
      <c r="OZZ173" s="31"/>
      <c r="PAA173" s="31"/>
      <c r="PAB173" s="31"/>
      <c r="PAC173" s="31"/>
      <c r="PAD173" s="31"/>
      <c r="PAE173" s="31"/>
      <c r="PAF173" s="31"/>
      <c r="PAG173" s="31"/>
      <c r="PAH173" s="31"/>
      <c r="PAI173" s="31"/>
      <c r="PAJ173" s="31"/>
      <c r="PAK173" s="31"/>
      <c r="PAL173" s="31"/>
      <c r="PAM173" s="31"/>
      <c r="PAN173" s="31"/>
      <c r="PAO173" s="31"/>
      <c r="PAP173" s="31"/>
      <c r="PAQ173" s="31"/>
      <c r="PAR173" s="31"/>
      <c r="PAS173" s="31"/>
      <c r="PAT173" s="31"/>
      <c r="PAU173" s="31"/>
      <c r="PAV173" s="31"/>
      <c r="PAW173" s="31"/>
      <c r="PAX173" s="31"/>
      <c r="PAY173" s="31"/>
      <c r="PAZ173" s="31"/>
      <c r="PBA173" s="31"/>
      <c r="PBB173" s="31"/>
      <c r="PBC173" s="31"/>
      <c r="PBD173" s="31"/>
      <c r="PBE173" s="31"/>
      <c r="PBF173" s="31"/>
      <c r="PBG173" s="31"/>
      <c r="PBH173" s="31"/>
      <c r="PBI173" s="31"/>
      <c r="PBJ173" s="31"/>
      <c r="PBK173" s="31"/>
      <c r="PBL173" s="31"/>
      <c r="PBM173" s="31"/>
      <c r="PBN173" s="31"/>
      <c r="PBO173" s="31"/>
      <c r="PBP173" s="31"/>
      <c r="PBQ173" s="31"/>
      <c r="PBR173" s="31"/>
      <c r="PBS173" s="31"/>
      <c r="PBT173" s="31"/>
      <c r="PBU173" s="31"/>
      <c r="PBV173" s="31"/>
      <c r="PBW173" s="31"/>
      <c r="PBX173" s="31"/>
      <c r="PBY173" s="31"/>
      <c r="PBZ173" s="31"/>
      <c r="PCA173" s="31"/>
      <c r="PCB173" s="31"/>
      <c r="PCC173" s="31"/>
      <c r="PCD173" s="31"/>
      <c r="PCE173" s="31"/>
      <c r="PCF173" s="31"/>
      <c r="PCG173" s="31"/>
      <c r="PCH173" s="31"/>
      <c r="PCI173" s="31"/>
      <c r="PCJ173" s="31"/>
      <c r="PCK173" s="31"/>
      <c r="PCL173" s="31"/>
      <c r="PCM173" s="31"/>
      <c r="PCN173" s="31"/>
      <c r="PCO173" s="31"/>
      <c r="PCP173" s="31"/>
      <c r="PCQ173" s="31"/>
      <c r="PCR173" s="31"/>
      <c r="PCS173" s="31"/>
      <c r="PCT173" s="31"/>
      <c r="PCU173" s="31"/>
      <c r="PCV173" s="31"/>
      <c r="PCW173" s="31"/>
      <c r="PCX173" s="31"/>
      <c r="PCY173" s="31"/>
      <c r="PCZ173" s="31"/>
      <c r="PDA173" s="31"/>
      <c r="PDB173" s="31"/>
      <c r="PDC173" s="31"/>
      <c r="PDD173" s="31"/>
      <c r="PDE173" s="31"/>
      <c r="PDF173" s="31"/>
      <c r="PDG173" s="31"/>
      <c r="PDH173" s="31"/>
      <c r="PDI173" s="31"/>
      <c r="PDJ173" s="31"/>
      <c r="PDK173" s="31"/>
      <c r="PDL173" s="31"/>
      <c r="PDM173" s="31"/>
      <c r="PDN173" s="31"/>
      <c r="PDO173" s="31"/>
      <c r="PDP173" s="31"/>
      <c r="PDQ173" s="31"/>
      <c r="PDR173" s="31"/>
      <c r="PDS173" s="31"/>
      <c r="PDT173" s="31"/>
      <c r="PDU173" s="31"/>
      <c r="PDV173" s="31"/>
      <c r="PDW173" s="31"/>
      <c r="PDX173" s="31"/>
      <c r="PDY173" s="31"/>
      <c r="PDZ173" s="31"/>
      <c r="PEA173" s="31"/>
      <c r="PEB173" s="31"/>
      <c r="PEC173" s="31"/>
      <c r="PED173" s="31"/>
      <c r="PEE173" s="31"/>
      <c r="PEF173" s="31"/>
      <c r="PEG173" s="31"/>
      <c r="PEH173" s="31"/>
      <c r="PEI173" s="31"/>
      <c r="PEJ173" s="31"/>
      <c r="PEK173" s="31"/>
      <c r="PEL173" s="31"/>
      <c r="PEM173" s="31"/>
      <c r="PEN173" s="31"/>
      <c r="PEO173" s="31"/>
      <c r="PEP173" s="31"/>
      <c r="PEQ173" s="31"/>
      <c r="PER173" s="31"/>
      <c r="PES173" s="31"/>
      <c r="PET173" s="31"/>
      <c r="PEU173" s="31"/>
      <c r="PEV173" s="31"/>
      <c r="PEW173" s="31"/>
      <c r="PEX173" s="31"/>
      <c r="PEY173" s="31"/>
      <c r="PEZ173" s="31"/>
      <c r="PFA173" s="31"/>
      <c r="PFB173" s="31"/>
      <c r="PFC173" s="31"/>
      <c r="PFD173" s="31"/>
      <c r="PFE173" s="31"/>
      <c r="PFF173" s="31"/>
      <c r="PFG173" s="31"/>
      <c r="PFH173" s="31"/>
      <c r="PFI173" s="31"/>
      <c r="PFJ173" s="31"/>
      <c r="PFK173" s="31"/>
      <c r="PFL173" s="31"/>
      <c r="PFM173" s="31"/>
      <c r="PFN173" s="31"/>
      <c r="PFO173" s="31"/>
      <c r="PFP173" s="31"/>
      <c r="PFQ173" s="31"/>
      <c r="PFR173" s="31"/>
      <c r="PFS173" s="31"/>
      <c r="PFT173" s="31"/>
      <c r="PFU173" s="31"/>
      <c r="PFV173" s="31"/>
      <c r="PFW173" s="31"/>
      <c r="PFX173" s="31"/>
      <c r="PFY173" s="31"/>
      <c r="PFZ173" s="31"/>
      <c r="PGA173" s="31"/>
      <c r="PGB173" s="31"/>
      <c r="PGC173" s="31"/>
      <c r="PGD173" s="31"/>
      <c r="PGE173" s="31"/>
      <c r="PGF173" s="31"/>
      <c r="PGG173" s="31"/>
      <c r="PGH173" s="31"/>
      <c r="PGI173" s="31"/>
      <c r="PGJ173" s="31"/>
      <c r="PGK173" s="31"/>
      <c r="PGL173" s="31"/>
      <c r="PGM173" s="31"/>
      <c r="PGN173" s="31"/>
      <c r="PGO173" s="31"/>
      <c r="PGP173" s="31"/>
      <c r="PGQ173" s="31"/>
      <c r="PGR173" s="31"/>
      <c r="PGS173" s="31"/>
      <c r="PGT173" s="31"/>
      <c r="PGU173" s="31"/>
      <c r="PGV173" s="31"/>
      <c r="PGW173" s="31"/>
      <c r="PGX173" s="31"/>
      <c r="PGY173" s="31"/>
      <c r="PGZ173" s="31"/>
      <c r="PHA173" s="31"/>
      <c r="PHB173" s="31"/>
      <c r="PHC173" s="31"/>
      <c r="PHD173" s="31"/>
      <c r="PHE173" s="31"/>
      <c r="PHF173" s="31"/>
      <c r="PHG173" s="31"/>
      <c r="PHH173" s="31"/>
      <c r="PHI173" s="31"/>
      <c r="PHJ173" s="31"/>
      <c r="PHK173" s="31"/>
      <c r="PHL173" s="31"/>
      <c r="PHM173" s="31"/>
      <c r="PHN173" s="31"/>
      <c r="PHO173" s="31"/>
      <c r="PHP173" s="31"/>
      <c r="PHQ173" s="31"/>
      <c r="PHR173" s="31"/>
      <c r="PHS173" s="31"/>
      <c r="PHT173" s="31"/>
      <c r="PHU173" s="31"/>
      <c r="PHV173" s="31"/>
      <c r="PHW173" s="31"/>
      <c r="PHX173" s="31"/>
      <c r="PHY173" s="31"/>
      <c r="PHZ173" s="31"/>
      <c r="PIA173" s="31"/>
      <c r="PIB173" s="31"/>
      <c r="PIC173" s="31"/>
      <c r="PID173" s="31"/>
      <c r="PIE173" s="31"/>
      <c r="PIF173" s="31"/>
      <c r="PIG173" s="31"/>
      <c r="PIH173" s="31"/>
      <c r="PII173" s="31"/>
      <c r="PIJ173" s="31"/>
      <c r="PIK173" s="31"/>
      <c r="PIL173" s="31"/>
      <c r="PIM173" s="31"/>
      <c r="PIN173" s="31"/>
      <c r="PIO173" s="31"/>
      <c r="PIP173" s="31"/>
      <c r="PIQ173" s="31"/>
      <c r="PIR173" s="31"/>
      <c r="PIS173" s="31"/>
      <c r="PIT173" s="31"/>
      <c r="PIU173" s="31"/>
      <c r="PIV173" s="31"/>
      <c r="PIW173" s="31"/>
      <c r="PIX173" s="31"/>
      <c r="PIY173" s="31"/>
      <c r="PIZ173" s="31"/>
      <c r="PJA173" s="31"/>
      <c r="PJB173" s="31"/>
      <c r="PJC173" s="31"/>
      <c r="PJD173" s="31"/>
      <c r="PJE173" s="31"/>
      <c r="PJF173" s="31"/>
      <c r="PJG173" s="31"/>
      <c r="PJH173" s="31"/>
      <c r="PJI173" s="31"/>
      <c r="PJJ173" s="31"/>
      <c r="PJK173" s="31"/>
      <c r="PJL173" s="31"/>
      <c r="PJM173" s="31"/>
      <c r="PJN173" s="31"/>
      <c r="PJO173" s="31"/>
      <c r="PJP173" s="31"/>
      <c r="PJQ173" s="31"/>
      <c r="PJR173" s="31"/>
      <c r="PJS173" s="31"/>
      <c r="PJT173" s="31"/>
      <c r="PJU173" s="31"/>
      <c r="PJV173" s="31"/>
      <c r="PJW173" s="31"/>
      <c r="PJX173" s="31"/>
      <c r="PJY173" s="31"/>
      <c r="PJZ173" s="31"/>
      <c r="PKA173" s="31"/>
      <c r="PKB173" s="31"/>
      <c r="PKC173" s="31"/>
      <c r="PKD173" s="31"/>
      <c r="PKE173" s="31"/>
      <c r="PKF173" s="31"/>
      <c r="PKG173" s="31"/>
      <c r="PKH173" s="31"/>
      <c r="PKI173" s="31"/>
      <c r="PKJ173" s="31"/>
      <c r="PKK173" s="31"/>
      <c r="PKL173" s="31"/>
      <c r="PKM173" s="31"/>
      <c r="PKN173" s="31"/>
      <c r="PKO173" s="31"/>
      <c r="PKP173" s="31"/>
      <c r="PKQ173" s="31"/>
      <c r="PKR173" s="31"/>
      <c r="PKS173" s="31"/>
      <c r="PKT173" s="31"/>
      <c r="PKU173" s="31"/>
      <c r="PKV173" s="31"/>
      <c r="PKW173" s="31"/>
      <c r="PKX173" s="31"/>
      <c r="PKY173" s="31"/>
      <c r="PKZ173" s="31"/>
      <c r="PLA173" s="31"/>
      <c r="PLB173" s="31"/>
      <c r="PLC173" s="31"/>
      <c r="PLD173" s="31"/>
      <c r="PLE173" s="31"/>
      <c r="PLF173" s="31"/>
      <c r="PLG173" s="31"/>
      <c r="PLH173" s="31"/>
      <c r="PLI173" s="31"/>
      <c r="PLJ173" s="31"/>
      <c r="PLK173" s="31"/>
      <c r="PLL173" s="31"/>
      <c r="PLM173" s="31"/>
      <c r="PLN173" s="31"/>
      <c r="PLO173" s="31"/>
      <c r="PLP173" s="31"/>
      <c r="PLQ173" s="31"/>
      <c r="PLR173" s="31"/>
      <c r="PLS173" s="31"/>
      <c r="PLT173" s="31"/>
      <c r="PLU173" s="31"/>
      <c r="PLV173" s="31"/>
      <c r="PLW173" s="31"/>
      <c r="PLX173" s="31"/>
      <c r="PLY173" s="31"/>
      <c r="PLZ173" s="31"/>
      <c r="PMA173" s="31"/>
      <c r="PMB173" s="31"/>
      <c r="PMC173" s="31"/>
      <c r="PMD173" s="31"/>
      <c r="PME173" s="31"/>
      <c r="PMF173" s="31"/>
      <c r="PMG173" s="31"/>
      <c r="PMH173" s="31"/>
      <c r="PMI173" s="31"/>
      <c r="PMJ173" s="31"/>
      <c r="PMK173" s="31"/>
      <c r="PML173" s="31"/>
      <c r="PMM173" s="31"/>
      <c r="PMN173" s="31"/>
      <c r="PMO173" s="31"/>
      <c r="PMP173" s="31"/>
      <c r="PMQ173" s="31"/>
      <c r="PMR173" s="31"/>
      <c r="PMS173" s="31"/>
      <c r="PMT173" s="31"/>
      <c r="PMU173" s="31"/>
      <c r="PMV173" s="31"/>
      <c r="PMW173" s="31"/>
      <c r="PMX173" s="31"/>
      <c r="PMY173" s="31"/>
      <c r="PMZ173" s="31"/>
      <c r="PNA173" s="31"/>
      <c r="PNB173" s="31"/>
      <c r="PNC173" s="31"/>
      <c r="PND173" s="31"/>
      <c r="PNE173" s="31"/>
      <c r="PNF173" s="31"/>
      <c r="PNG173" s="31"/>
      <c r="PNH173" s="31"/>
      <c r="PNI173" s="31"/>
      <c r="PNJ173" s="31"/>
      <c r="PNK173" s="31"/>
      <c r="PNL173" s="31"/>
      <c r="PNM173" s="31"/>
      <c r="PNN173" s="31"/>
      <c r="PNO173" s="31"/>
      <c r="PNP173" s="31"/>
      <c r="PNQ173" s="31"/>
      <c r="PNR173" s="31"/>
      <c r="PNS173" s="31"/>
      <c r="PNT173" s="31"/>
      <c r="PNU173" s="31"/>
      <c r="PNV173" s="31"/>
      <c r="PNW173" s="31"/>
      <c r="PNX173" s="31"/>
      <c r="PNY173" s="31"/>
      <c r="PNZ173" s="31"/>
      <c r="POA173" s="31"/>
      <c r="POB173" s="31"/>
      <c r="POC173" s="31"/>
      <c r="POD173" s="31"/>
      <c r="POE173" s="31"/>
      <c r="POF173" s="31"/>
      <c r="POG173" s="31"/>
      <c r="POH173" s="31"/>
      <c r="POI173" s="31"/>
      <c r="POJ173" s="31"/>
      <c r="POK173" s="31"/>
      <c r="POL173" s="31"/>
      <c r="POM173" s="31"/>
      <c r="PON173" s="31"/>
      <c r="POO173" s="31"/>
      <c r="POP173" s="31"/>
      <c r="POQ173" s="31"/>
      <c r="POR173" s="31"/>
      <c r="POS173" s="31"/>
      <c r="POT173" s="31"/>
      <c r="POU173" s="31"/>
      <c r="POV173" s="31"/>
      <c r="POW173" s="31"/>
      <c r="POX173" s="31"/>
      <c r="POY173" s="31"/>
      <c r="POZ173" s="31"/>
      <c r="PPA173" s="31"/>
      <c r="PPB173" s="31"/>
      <c r="PPC173" s="31"/>
      <c r="PPD173" s="31"/>
      <c r="PPE173" s="31"/>
      <c r="PPF173" s="31"/>
      <c r="PPG173" s="31"/>
      <c r="PPH173" s="31"/>
      <c r="PPI173" s="31"/>
      <c r="PPJ173" s="31"/>
      <c r="PPK173" s="31"/>
      <c r="PPL173" s="31"/>
      <c r="PPM173" s="31"/>
      <c r="PPN173" s="31"/>
      <c r="PPO173" s="31"/>
      <c r="PPP173" s="31"/>
      <c r="PPQ173" s="31"/>
      <c r="PPR173" s="31"/>
      <c r="PPS173" s="31"/>
      <c r="PPT173" s="31"/>
      <c r="PPU173" s="31"/>
      <c r="PPV173" s="31"/>
      <c r="PPW173" s="31"/>
      <c r="PPX173" s="31"/>
      <c r="PPY173" s="31"/>
      <c r="PPZ173" s="31"/>
      <c r="PQA173" s="31"/>
      <c r="PQB173" s="31"/>
      <c r="PQC173" s="31"/>
      <c r="PQD173" s="31"/>
      <c r="PQE173" s="31"/>
      <c r="PQF173" s="31"/>
      <c r="PQG173" s="31"/>
      <c r="PQH173" s="31"/>
      <c r="PQI173" s="31"/>
      <c r="PQJ173" s="31"/>
      <c r="PQK173" s="31"/>
      <c r="PQL173" s="31"/>
      <c r="PQM173" s="31"/>
      <c r="PQN173" s="31"/>
      <c r="PQO173" s="31"/>
      <c r="PQP173" s="31"/>
      <c r="PQQ173" s="31"/>
      <c r="PQR173" s="31"/>
      <c r="PQS173" s="31"/>
      <c r="PQT173" s="31"/>
      <c r="PQU173" s="31"/>
      <c r="PQV173" s="31"/>
      <c r="PQW173" s="31"/>
      <c r="PQX173" s="31"/>
      <c r="PQY173" s="31"/>
      <c r="PQZ173" s="31"/>
      <c r="PRA173" s="31"/>
      <c r="PRB173" s="31"/>
      <c r="PRC173" s="31"/>
      <c r="PRD173" s="31"/>
      <c r="PRE173" s="31"/>
      <c r="PRF173" s="31"/>
      <c r="PRG173" s="31"/>
      <c r="PRH173" s="31"/>
      <c r="PRI173" s="31"/>
      <c r="PRJ173" s="31"/>
      <c r="PRK173" s="31"/>
      <c r="PRL173" s="31"/>
      <c r="PRM173" s="31"/>
      <c r="PRN173" s="31"/>
      <c r="PRO173" s="31"/>
      <c r="PRP173" s="31"/>
      <c r="PRQ173" s="31"/>
      <c r="PRR173" s="31"/>
      <c r="PRS173" s="31"/>
      <c r="PRT173" s="31"/>
      <c r="PRU173" s="31"/>
      <c r="PRV173" s="31"/>
      <c r="PRW173" s="31"/>
      <c r="PRX173" s="31"/>
      <c r="PRY173" s="31"/>
      <c r="PRZ173" s="31"/>
      <c r="PSA173" s="31"/>
      <c r="PSB173" s="31"/>
      <c r="PSC173" s="31"/>
      <c r="PSD173" s="31"/>
      <c r="PSE173" s="31"/>
      <c r="PSF173" s="31"/>
      <c r="PSG173" s="31"/>
      <c r="PSH173" s="31"/>
      <c r="PSI173" s="31"/>
      <c r="PSJ173" s="31"/>
      <c r="PSK173" s="31"/>
      <c r="PSL173" s="31"/>
      <c r="PSM173" s="31"/>
      <c r="PSN173" s="31"/>
      <c r="PSO173" s="31"/>
      <c r="PSP173" s="31"/>
      <c r="PSQ173" s="31"/>
      <c r="PSR173" s="31"/>
      <c r="PSS173" s="31"/>
      <c r="PST173" s="31"/>
      <c r="PSU173" s="31"/>
      <c r="PSV173" s="31"/>
      <c r="PSW173" s="31"/>
      <c r="PSX173" s="31"/>
      <c r="PSY173" s="31"/>
      <c r="PSZ173" s="31"/>
      <c r="PTA173" s="31"/>
      <c r="PTB173" s="31"/>
      <c r="PTC173" s="31"/>
      <c r="PTD173" s="31"/>
      <c r="PTE173" s="31"/>
      <c r="PTF173" s="31"/>
      <c r="PTG173" s="31"/>
      <c r="PTH173" s="31"/>
      <c r="PTI173" s="31"/>
      <c r="PTJ173" s="31"/>
      <c r="PTK173" s="31"/>
      <c r="PTL173" s="31"/>
      <c r="PTM173" s="31"/>
      <c r="PTN173" s="31"/>
      <c r="PTO173" s="31"/>
      <c r="PTP173" s="31"/>
      <c r="PTQ173" s="31"/>
      <c r="PTR173" s="31"/>
      <c r="PTS173" s="31"/>
      <c r="PTT173" s="31"/>
      <c r="PTU173" s="31"/>
      <c r="PTV173" s="31"/>
      <c r="PTW173" s="31"/>
      <c r="PTX173" s="31"/>
      <c r="PTY173" s="31"/>
      <c r="PTZ173" s="31"/>
      <c r="PUA173" s="31"/>
      <c r="PUB173" s="31"/>
      <c r="PUC173" s="31"/>
      <c r="PUD173" s="31"/>
      <c r="PUE173" s="31"/>
      <c r="PUF173" s="31"/>
      <c r="PUG173" s="31"/>
      <c r="PUH173" s="31"/>
      <c r="PUI173" s="31"/>
      <c r="PUJ173" s="31"/>
      <c r="PUK173" s="31"/>
      <c r="PUL173" s="31"/>
      <c r="PUM173" s="31"/>
      <c r="PUN173" s="31"/>
      <c r="PUO173" s="31"/>
      <c r="PUP173" s="31"/>
      <c r="PUQ173" s="31"/>
      <c r="PUR173" s="31"/>
      <c r="PUS173" s="31"/>
      <c r="PUT173" s="31"/>
      <c r="PUU173" s="31"/>
      <c r="PUV173" s="31"/>
      <c r="PUW173" s="31"/>
      <c r="PUX173" s="31"/>
      <c r="PUY173" s="31"/>
      <c r="PUZ173" s="31"/>
      <c r="PVA173" s="31"/>
      <c r="PVB173" s="31"/>
      <c r="PVC173" s="31"/>
      <c r="PVD173" s="31"/>
      <c r="PVE173" s="31"/>
      <c r="PVF173" s="31"/>
      <c r="PVG173" s="31"/>
      <c r="PVH173" s="31"/>
      <c r="PVI173" s="31"/>
      <c r="PVJ173" s="31"/>
      <c r="PVK173" s="31"/>
      <c r="PVL173" s="31"/>
      <c r="PVM173" s="31"/>
      <c r="PVN173" s="31"/>
      <c r="PVO173" s="31"/>
      <c r="PVP173" s="31"/>
      <c r="PVQ173" s="31"/>
      <c r="PVR173" s="31"/>
      <c r="PVS173" s="31"/>
      <c r="PVT173" s="31"/>
      <c r="PVU173" s="31"/>
      <c r="PVV173" s="31"/>
      <c r="PVW173" s="31"/>
      <c r="PVX173" s="31"/>
      <c r="PVY173" s="31"/>
      <c r="PVZ173" s="31"/>
      <c r="PWA173" s="31"/>
      <c r="PWB173" s="31"/>
      <c r="PWC173" s="31"/>
      <c r="PWD173" s="31"/>
      <c r="PWE173" s="31"/>
      <c r="PWF173" s="31"/>
      <c r="PWG173" s="31"/>
      <c r="PWH173" s="31"/>
      <c r="PWI173" s="31"/>
      <c r="PWJ173" s="31"/>
      <c r="PWK173" s="31"/>
      <c r="PWL173" s="31"/>
      <c r="PWM173" s="31"/>
      <c r="PWN173" s="31"/>
      <c r="PWO173" s="31"/>
      <c r="PWP173" s="31"/>
      <c r="PWQ173" s="31"/>
      <c r="PWR173" s="31"/>
      <c r="PWS173" s="31"/>
      <c r="PWT173" s="31"/>
      <c r="PWU173" s="31"/>
      <c r="PWV173" s="31"/>
      <c r="PWW173" s="31"/>
      <c r="PWX173" s="31"/>
      <c r="PWY173" s="31"/>
      <c r="PWZ173" s="31"/>
      <c r="PXA173" s="31"/>
      <c r="PXB173" s="31"/>
      <c r="PXC173" s="31"/>
      <c r="PXD173" s="31"/>
      <c r="PXE173" s="31"/>
      <c r="PXF173" s="31"/>
      <c r="PXG173" s="31"/>
      <c r="PXH173" s="31"/>
      <c r="PXI173" s="31"/>
      <c r="PXJ173" s="31"/>
      <c r="PXK173" s="31"/>
      <c r="PXL173" s="31"/>
      <c r="PXM173" s="31"/>
      <c r="PXN173" s="31"/>
      <c r="PXO173" s="31"/>
      <c r="PXP173" s="31"/>
      <c r="PXQ173" s="31"/>
      <c r="PXR173" s="31"/>
      <c r="PXS173" s="31"/>
      <c r="PXT173" s="31"/>
      <c r="PXU173" s="31"/>
      <c r="PXV173" s="31"/>
      <c r="PXW173" s="31"/>
      <c r="PXX173" s="31"/>
      <c r="PXY173" s="31"/>
      <c r="PXZ173" s="31"/>
      <c r="PYA173" s="31"/>
      <c r="PYB173" s="31"/>
      <c r="PYC173" s="31"/>
      <c r="PYD173" s="31"/>
      <c r="PYE173" s="31"/>
      <c r="PYF173" s="31"/>
      <c r="PYG173" s="31"/>
      <c r="PYH173" s="31"/>
      <c r="PYI173" s="31"/>
      <c r="PYJ173" s="31"/>
      <c r="PYK173" s="31"/>
      <c r="PYL173" s="31"/>
      <c r="PYM173" s="31"/>
      <c r="PYN173" s="31"/>
      <c r="PYO173" s="31"/>
      <c r="PYP173" s="31"/>
      <c r="PYQ173" s="31"/>
      <c r="PYR173" s="31"/>
      <c r="PYS173" s="31"/>
      <c r="PYT173" s="31"/>
      <c r="PYU173" s="31"/>
      <c r="PYV173" s="31"/>
      <c r="PYW173" s="31"/>
      <c r="PYX173" s="31"/>
      <c r="PYY173" s="31"/>
      <c r="PYZ173" s="31"/>
      <c r="PZA173" s="31"/>
      <c r="PZB173" s="31"/>
      <c r="PZC173" s="31"/>
      <c r="PZD173" s="31"/>
      <c r="PZE173" s="31"/>
      <c r="PZF173" s="31"/>
      <c r="PZG173" s="31"/>
      <c r="PZH173" s="31"/>
      <c r="PZI173" s="31"/>
      <c r="PZJ173" s="31"/>
      <c r="PZK173" s="31"/>
      <c r="PZL173" s="31"/>
      <c r="PZM173" s="31"/>
      <c r="PZN173" s="31"/>
      <c r="PZO173" s="31"/>
      <c r="PZP173" s="31"/>
      <c r="PZQ173" s="31"/>
      <c r="PZR173" s="31"/>
      <c r="PZS173" s="31"/>
      <c r="PZT173" s="31"/>
      <c r="PZU173" s="31"/>
      <c r="PZV173" s="31"/>
      <c r="PZW173" s="31"/>
      <c r="PZX173" s="31"/>
      <c r="PZY173" s="31"/>
      <c r="PZZ173" s="31"/>
      <c r="QAA173" s="31"/>
      <c r="QAB173" s="31"/>
      <c r="QAC173" s="31"/>
      <c r="QAD173" s="31"/>
      <c r="QAE173" s="31"/>
      <c r="QAF173" s="31"/>
      <c r="QAG173" s="31"/>
      <c r="QAH173" s="31"/>
      <c r="QAI173" s="31"/>
      <c r="QAJ173" s="31"/>
      <c r="QAK173" s="31"/>
      <c r="QAL173" s="31"/>
      <c r="QAM173" s="31"/>
      <c r="QAN173" s="31"/>
      <c r="QAO173" s="31"/>
      <c r="QAP173" s="31"/>
      <c r="QAQ173" s="31"/>
      <c r="QAR173" s="31"/>
      <c r="QAS173" s="31"/>
      <c r="QAT173" s="31"/>
      <c r="QAU173" s="31"/>
      <c r="QAV173" s="31"/>
      <c r="QAW173" s="31"/>
      <c r="QAX173" s="31"/>
      <c r="QAY173" s="31"/>
      <c r="QAZ173" s="31"/>
      <c r="QBA173" s="31"/>
      <c r="QBB173" s="31"/>
      <c r="QBC173" s="31"/>
      <c r="QBD173" s="31"/>
      <c r="QBE173" s="31"/>
      <c r="QBF173" s="31"/>
      <c r="QBG173" s="31"/>
      <c r="QBH173" s="31"/>
      <c r="QBI173" s="31"/>
      <c r="QBJ173" s="31"/>
      <c r="QBK173" s="31"/>
      <c r="QBL173" s="31"/>
      <c r="QBM173" s="31"/>
      <c r="QBN173" s="31"/>
      <c r="QBO173" s="31"/>
      <c r="QBP173" s="31"/>
      <c r="QBQ173" s="31"/>
      <c r="QBR173" s="31"/>
      <c r="QBS173" s="31"/>
      <c r="QBT173" s="31"/>
      <c r="QBU173" s="31"/>
      <c r="QBV173" s="31"/>
      <c r="QBW173" s="31"/>
      <c r="QBX173" s="31"/>
      <c r="QBY173" s="31"/>
      <c r="QBZ173" s="31"/>
      <c r="QCA173" s="31"/>
      <c r="QCB173" s="31"/>
      <c r="QCC173" s="31"/>
      <c r="QCD173" s="31"/>
      <c r="QCE173" s="31"/>
      <c r="QCF173" s="31"/>
      <c r="QCG173" s="31"/>
      <c r="QCH173" s="31"/>
      <c r="QCI173" s="31"/>
      <c r="QCJ173" s="31"/>
      <c r="QCK173" s="31"/>
      <c r="QCL173" s="31"/>
      <c r="QCM173" s="31"/>
      <c r="QCN173" s="31"/>
      <c r="QCO173" s="31"/>
      <c r="QCP173" s="31"/>
      <c r="QCQ173" s="31"/>
      <c r="QCR173" s="31"/>
      <c r="QCS173" s="31"/>
      <c r="QCT173" s="31"/>
      <c r="QCU173" s="31"/>
      <c r="QCV173" s="31"/>
      <c r="QCW173" s="31"/>
      <c r="QCX173" s="31"/>
      <c r="QCY173" s="31"/>
      <c r="QCZ173" s="31"/>
      <c r="QDA173" s="31"/>
      <c r="QDB173" s="31"/>
      <c r="QDC173" s="31"/>
      <c r="QDD173" s="31"/>
      <c r="QDE173" s="31"/>
      <c r="QDF173" s="31"/>
      <c r="QDG173" s="31"/>
      <c r="QDH173" s="31"/>
      <c r="QDI173" s="31"/>
      <c r="QDJ173" s="31"/>
      <c r="QDK173" s="31"/>
      <c r="QDL173" s="31"/>
      <c r="QDM173" s="31"/>
      <c r="QDN173" s="31"/>
      <c r="QDO173" s="31"/>
      <c r="QDP173" s="31"/>
      <c r="QDQ173" s="31"/>
      <c r="QDR173" s="31"/>
      <c r="QDS173" s="31"/>
      <c r="QDT173" s="31"/>
      <c r="QDU173" s="31"/>
      <c r="QDV173" s="31"/>
      <c r="QDW173" s="31"/>
      <c r="QDX173" s="31"/>
      <c r="QDY173" s="31"/>
      <c r="QDZ173" s="31"/>
      <c r="QEA173" s="31"/>
      <c r="QEB173" s="31"/>
      <c r="QEC173" s="31"/>
      <c r="QED173" s="31"/>
      <c r="QEE173" s="31"/>
      <c r="QEF173" s="31"/>
      <c r="QEG173" s="31"/>
      <c r="QEH173" s="31"/>
      <c r="QEI173" s="31"/>
      <c r="QEJ173" s="31"/>
      <c r="QEK173" s="31"/>
      <c r="QEL173" s="31"/>
      <c r="QEM173" s="31"/>
      <c r="QEN173" s="31"/>
      <c r="QEO173" s="31"/>
      <c r="QEP173" s="31"/>
      <c r="QEQ173" s="31"/>
      <c r="QER173" s="31"/>
      <c r="QES173" s="31"/>
      <c r="QET173" s="31"/>
      <c r="QEU173" s="31"/>
      <c r="QEV173" s="31"/>
      <c r="QEW173" s="31"/>
      <c r="QEX173" s="31"/>
      <c r="QEY173" s="31"/>
      <c r="QEZ173" s="31"/>
      <c r="QFA173" s="31"/>
      <c r="QFB173" s="31"/>
      <c r="QFC173" s="31"/>
      <c r="QFD173" s="31"/>
      <c r="QFE173" s="31"/>
      <c r="QFF173" s="31"/>
      <c r="QFG173" s="31"/>
      <c r="QFH173" s="31"/>
      <c r="QFI173" s="31"/>
      <c r="QFJ173" s="31"/>
      <c r="QFK173" s="31"/>
      <c r="QFL173" s="31"/>
      <c r="QFM173" s="31"/>
      <c r="QFN173" s="31"/>
      <c r="QFO173" s="31"/>
      <c r="QFP173" s="31"/>
      <c r="QFQ173" s="31"/>
      <c r="QFR173" s="31"/>
      <c r="QFS173" s="31"/>
      <c r="QFT173" s="31"/>
      <c r="QFU173" s="31"/>
      <c r="QFV173" s="31"/>
      <c r="QFW173" s="31"/>
      <c r="QFX173" s="31"/>
      <c r="QFY173" s="31"/>
      <c r="QFZ173" s="31"/>
      <c r="QGA173" s="31"/>
      <c r="QGB173" s="31"/>
      <c r="QGC173" s="31"/>
      <c r="QGD173" s="31"/>
      <c r="QGE173" s="31"/>
      <c r="QGF173" s="31"/>
      <c r="QGG173" s="31"/>
      <c r="QGH173" s="31"/>
      <c r="QGI173" s="31"/>
      <c r="QGJ173" s="31"/>
      <c r="QGK173" s="31"/>
      <c r="QGL173" s="31"/>
      <c r="QGM173" s="31"/>
      <c r="QGN173" s="31"/>
      <c r="QGO173" s="31"/>
      <c r="QGP173" s="31"/>
      <c r="QGQ173" s="31"/>
      <c r="QGR173" s="31"/>
      <c r="QGS173" s="31"/>
      <c r="QGT173" s="31"/>
      <c r="QGU173" s="31"/>
      <c r="QGV173" s="31"/>
      <c r="QGW173" s="31"/>
      <c r="QGX173" s="31"/>
      <c r="QGY173" s="31"/>
      <c r="QGZ173" s="31"/>
      <c r="QHA173" s="31"/>
      <c r="QHB173" s="31"/>
      <c r="QHC173" s="31"/>
      <c r="QHD173" s="31"/>
      <c r="QHE173" s="31"/>
      <c r="QHF173" s="31"/>
      <c r="QHG173" s="31"/>
      <c r="QHH173" s="31"/>
      <c r="QHI173" s="31"/>
      <c r="QHJ173" s="31"/>
      <c r="QHK173" s="31"/>
      <c r="QHL173" s="31"/>
      <c r="QHM173" s="31"/>
      <c r="QHN173" s="31"/>
      <c r="QHO173" s="31"/>
      <c r="QHP173" s="31"/>
      <c r="QHQ173" s="31"/>
      <c r="QHR173" s="31"/>
      <c r="QHS173" s="31"/>
      <c r="QHT173" s="31"/>
      <c r="QHU173" s="31"/>
      <c r="QHV173" s="31"/>
      <c r="QHW173" s="31"/>
      <c r="QHX173" s="31"/>
      <c r="QHY173" s="31"/>
      <c r="QHZ173" s="31"/>
      <c r="QIA173" s="31"/>
      <c r="QIB173" s="31"/>
      <c r="QIC173" s="31"/>
      <c r="QID173" s="31"/>
      <c r="QIE173" s="31"/>
      <c r="QIF173" s="31"/>
      <c r="QIG173" s="31"/>
      <c r="QIH173" s="31"/>
      <c r="QII173" s="31"/>
      <c r="QIJ173" s="31"/>
      <c r="QIK173" s="31"/>
      <c r="QIL173" s="31"/>
      <c r="QIM173" s="31"/>
      <c r="QIN173" s="31"/>
      <c r="QIO173" s="31"/>
      <c r="QIP173" s="31"/>
      <c r="QIQ173" s="31"/>
      <c r="QIR173" s="31"/>
      <c r="QIS173" s="31"/>
      <c r="QIT173" s="31"/>
      <c r="QIU173" s="31"/>
      <c r="QIV173" s="31"/>
      <c r="QIW173" s="31"/>
      <c r="QIX173" s="31"/>
      <c r="QIY173" s="31"/>
      <c r="QIZ173" s="31"/>
      <c r="QJA173" s="31"/>
      <c r="QJB173" s="31"/>
      <c r="QJC173" s="31"/>
      <c r="QJD173" s="31"/>
      <c r="QJE173" s="31"/>
      <c r="QJF173" s="31"/>
      <c r="QJG173" s="31"/>
      <c r="QJH173" s="31"/>
      <c r="QJI173" s="31"/>
      <c r="QJJ173" s="31"/>
      <c r="QJK173" s="31"/>
      <c r="QJL173" s="31"/>
      <c r="QJM173" s="31"/>
      <c r="QJN173" s="31"/>
      <c r="QJO173" s="31"/>
      <c r="QJP173" s="31"/>
      <c r="QJQ173" s="31"/>
      <c r="QJR173" s="31"/>
      <c r="QJS173" s="31"/>
      <c r="QJT173" s="31"/>
      <c r="QJU173" s="31"/>
      <c r="QJV173" s="31"/>
      <c r="QJW173" s="31"/>
      <c r="QJX173" s="31"/>
      <c r="QJY173" s="31"/>
      <c r="QJZ173" s="31"/>
      <c r="QKA173" s="31"/>
      <c r="QKB173" s="31"/>
      <c r="QKC173" s="31"/>
      <c r="QKD173" s="31"/>
      <c r="QKE173" s="31"/>
      <c r="QKF173" s="31"/>
      <c r="QKG173" s="31"/>
      <c r="QKH173" s="31"/>
      <c r="QKI173" s="31"/>
      <c r="QKJ173" s="31"/>
      <c r="QKK173" s="31"/>
      <c r="QKL173" s="31"/>
      <c r="QKM173" s="31"/>
      <c r="QKN173" s="31"/>
      <c r="QKO173" s="31"/>
      <c r="QKP173" s="31"/>
      <c r="QKQ173" s="31"/>
      <c r="QKR173" s="31"/>
      <c r="QKS173" s="31"/>
      <c r="QKT173" s="31"/>
      <c r="QKU173" s="31"/>
      <c r="QKV173" s="31"/>
      <c r="QKW173" s="31"/>
      <c r="QKX173" s="31"/>
      <c r="QKY173" s="31"/>
      <c r="QKZ173" s="31"/>
      <c r="QLA173" s="31"/>
      <c r="QLB173" s="31"/>
      <c r="QLC173" s="31"/>
      <c r="QLD173" s="31"/>
      <c r="QLE173" s="31"/>
      <c r="QLF173" s="31"/>
      <c r="QLG173" s="31"/>
      <c r="QLH173" s="31"/>
      <c r="QLI173" s="31"/>
      <c r="QLJ173" s="31"/>
      <c r="QLK173" s="31"/>
      <c r="QLL173" s="31"/>
      <c r="QLM173" s="31"/>
      <c r="QLN173" s="31"/>
      <c r="QLO173" s="31"/>
      <c r="QLP173" s="31"/>
      <c r="QLQ173" s="31"/>
      <c r="QLR173" s="31"/>
      <c r="QLS173" s="31"/>
      <c r="QLT173" s="31"/>
      <c r="QLU173" s="31"/>
      <c r="QLV173" s="31"/>
      <c r="QLW173" s="31"/>
      <c r="QLX173" s="31"/>
      <c r="QLY173" s="31"/>
      <c r="QLZ173" s="31"/>
      <c r="QMA173" s="31"/>
      <c r="QMB173" s="31"/>
      <c r="QMC173" s="31"/>
      <c r="QMD173" s="31"/>
      <c r="QME173" s="31"/>
      <c r="QMF173" s="31"/>
      <c r="QMG173" s="31"/>
      <c r="QMH173" s="31"/>
      <c r="QMI173" s="31"/>
      <c r="QMJ173" s="31"/>
      <c r="QMK173" s="31"/>
      <c r="QML173" s="31"/>
      <c r="QMM173" s="31"/>
      <c r="QMN173" s="31"/>
      <c r="QMO173" s="31"/>
      <c r="QMP173" s="31"/>
      <c r="QMQ173" s="31"/>
      <c r="QMR173" s="31"/>
      <c r="QMS173" s="31"/>
      <c r="QMT173" s="31"/>
      <c r="QMU173" s="31"/>
      <c r="QMV173" s="31"/>
      <c r="QMW173" s="31"/>
      <c r="QMX173" s="31"/>
      <c r="QMY173" s="31"/>
      <c r="QMZ173" s="31"/>
      <c r="QNA173" s="31"/>
      <c r="QNB173" s="31"/>
      <c r="QNC173" s="31"/>
      <c r="QND173" s="31"/>
      <c r="QNE173" s="31"/>
      <c r="QNF173" s="31"/>
      <c r="QNG173" s="31"/>
      <c r="QNH173" s="31"/>
      <c r="QNI173" s="31"/>
      <c r="QNJ173" s="31"/>
      <c r="QNK173" s="31"/>
      <c r="QNL173" s="31"/>
      <c r="QNM173" s="31"/>
      <c r="QNN173" s="31"/>
      <c r="QNO173" s="31"/>
      <c r="QNP173" s="31"/>
      <c r="QNQ173" s="31"/>
      <c r="QNR173" s="31"/>
      <c r="QNS173" s="31"/>
      <c r="QNT173" s="31"/>
      <c r="QNU173" s="31"/>
      <c r="QNV173" s="31"/>
      <c r="QNW173" s="31"/>
      <c r="QNX173" s="31"/>
      <c r="QNY173" s="31"/>
      <c r="QNZ173" s="31"/>
      <c r="QOA173" s="31"/>
      <c r="QOB173" s="31"/>
      <c r="QOC173" s="31"/>
      <c r="QOD173" s="31"/>
      <c r="QOE173" s="31"/>
      <c r="QOF173" s="31"/>
      <c r="QOG173" s="31"/>
      <c r="QOH173" s="31"/>
      <c r="QOI173" s="31"/>
      <c r="QOJ173" s="31"/>
      <c r="QOK173" s="31"/>
      <c r="QOL173" s="31"/>
      <c r="QOM173" s="31"/>
      <c r="QON173" s="31"/>
      <c r="QOO173" s="31"/>
      <c r="QOP173" s="31"/>
      <c r="QOQ173" s="31"/>
      <c r="QOR173" s="31"/>
      <c r="QOS173" s="31"/>
      <c r="QOT173" s="31"/>
      <c r="QOU173" s="31"/>
      <c r="QOV173" s="31"/>
      <c r="QOW173" s="31"/>
      <c r="QOX173" s="31"/>
      <c r="QOY173" s="31"/>
      <c r="QOZ173" s="31"/>
      <c r="QPA173" s="31"/>
      <c r="QPB173" s="31"/>
      <c r="QPC173" s="31"/>
      <c r="QPD173" s="31"/>
      <c r="QPE173" s="31"/>
      <c r="QPF173" s="31"/>
      <c r="QPG173" s="31"/>
      <c r="QPH173" s="31"/>
      <c r="QPI173" s="31"/>
      <c r="QPJ173" s="31"/>
      <c r="QPK173" s="31"/>
      <c r="QPL173" s="31"/>
      <c r="QPM173" s="31"/>
      <c r="QPN173" s="31"/>
      <c r="QPO173" s="31"/>
      <c r="QPP173" s="31"/>
      <c r="QPQ173" s="31"/>
      <c r="QPR173" s="31"/>
      <c r="QPS173" s="31"/>
      <c r="QPT173" s="31"/>
      <c r="QPU173" s="31"/>
      <c r="QPV173" s="31"/>
      <c r="QPW173" s="31"/>
      <c r="QPX173" s="31"/>
      <c r="QPY173" s="31"/>
      <c r="QPZ173" s="31"/>
      <c r="QQA173" s="31"/>
      <c r="QQB173" s="31"/>
      <c r="QQC173" s="31"/>
      <c r="QQD173" s="31"/>
      <c r="QQE173" s="31"/>
      <c r="QQF173" s="31"/>
      <c r="QQG173" s="31"/>
      <c r="QQH173" s="31"/>
      <c r="QQI173" s="31"/>
      <c r="QQJ173" s="31"/>
      <c r="QQK173" s="31"/>
      <c r="QQL173" s="31"/>
      <c r="QQM173" s="31"/>
      <c r="QQN173" s="31"/>
      <c r="QQO173" s="31"/>
      <c r="QQP173" s="31"/>
      <c r="QQQ173" s="31"/>
      <c r="QQR173" s="31"/>
      <c r="QQS173" s="31"/>
      <c r="QQT173" s="31"/>
      <c r="QQU173" s="31"/>
      <c r="QQV173" s="31"/>
      <c r="QQW173" s="31"/>
      <c r="QQX173" s="31"/>
      <c r="QQY173" s="31"/>
      <c r="QQZ173" s="31"/>
      <c r="QRA173" s="31"/>
      <c r="QRB173" s="31"/>
      <c r="QRC173" s="31"/>
      <c r="QRD173" s="31"/>
      <c r="QRE173" s="31"/>
      <c r="QRF173" s="31"/>
      <c r="QRG173" s="31"/>
      <c r="QRH173" s="31"/>
      <c r="QRI173" s="31"/>
      <c r="QRJ173" s="31"/>
      <c r="QRK173" s="31"/>
      <c r="QRL173" s="31"/>
      <c r="QRM173" s="31"/>
      <c r="QRN173" s="31"/>
      <c r="QRO173" s="31"/>
      <c r="QRP173" s="31"/>
      <c r="QRQ173" s="31"/>
      <c r="QRR173" s="31"/>
      <c r="QRS173" s="31"/>
      <c r="QRT173" s="31"/>
      <c r="QRU173" s="31"/>
      <c r="QRV173" s="31"/>
      <c r="QRW173" s="31"/>
      <c r="QRX173" s="31"/>
      <c r="QRY173" s="31"/>
      <c r="QRZ173" s="31"/>
      <c r="QSA173" s="31"/>
      <c r="QSB173" s="31"/>
      <c r="QSC173" s="31"/>
      <c r="QSD173" s="31"/>
      <c r="QSE173" s="31"/>
      <c r="QSF173" s="31"/>
      <c r="QSG173" s="31"/>
      <c r="QSH173" s="31"/>
      <c r="QSI173" s="31"/>
      <c r="QSJ173" s="31"/>
      <c r="QSK173" s="31"/>
      <c r="QSL173" s="31"/>
      <c r="QSM173" s="31"/>
      <c r="QSN173" s="31"/>
      <c r="QSO173" s="31"/>
      <c r="QSP173" s="31"/>
      <c r="QSQ173" s="31"/>
      <c r="QSR173" s="31"/>
      <c r="QSS173" s="31"/>
      <c r="QST173" s="31"/>
      <c r="QSU173" s="31"/>
      <c r="QSV173" s="31"/>
      <c r="QSW173" s="31"/>
      <c r="QSX173" s="31"/>
      <c r="QSY173" s="31"/>
      <c r="QSZ173" s="31"/>
      <c r="QTA173" s="31"/>
      <c r="QTB173" s="31"/>
      <c r="QTC173" s="31"/>
      <c r="QTD173" s="31"/>
      <c r="QTE173" s="31"/>
      <c r="QTF173" s="31"/>
      <c r="QTG173" s="31"/>
      <c r="QTH173" s="31"/>
      <c r="QTI173" s="31"/>
      <c r="QTJ173" s="31"/>
      <c r="QTK173" s="31"/>
      <c r="QTL173" s="31"/>
      <c r="QTM173" s="31"/>
      <c r="QTN173" s="31"/>
      <c r="QTO173" s="31"/>
      <c r="QTP173" s="31"/>
      <c r="QTQ173" s="31"/>
      <c r="QTR173" s="31"/>
      <c r="QTS173" s="31"/>
      <c r="QTT173" s="31"/>
      <c r="QTU173" s="31"/>
      <c r="QTV173" s="31"/>
      <c r="QTW173" s="31"/>
      <c r="QTX173" s="31"/>
      <c r="QTY173" s="31"/>
      <c r="QTZ173" s="31"/>
      <c r="QUA173" s="31"/>
      <c r="QUB173" s="31"/>
      <c r="QUC173" s="31"/>
      <c r="QUD173" s="31"/>
      <c r="QUE173" s="31"/>
      <c r="QUF173" s="31"/>
      <c r="QUG173" s="31"/>
      <c r="QUH173" s="31"/>
      <c r="QUI173" s="31"/>
      <c r="QUJ173" s="31"/>
      <c r="QUK173" s="31"/>
      <c r="QUL173" s="31"/>
      <c r="QUM173" s="31"/>
      <c r="QUN173" s="31"/>
      <c r="QUO173" s="31"/>
      <c r="QUP173" s="31"/>
      <c r="QUQ173" s="31"/>
      <c r="QUR173" s="31"/>
      <c r="QUS173" s="31"/>
      <c r="QUT173" s="31"/>
      <c r="QUU173" s="31"/>
      <c r="QUV173" s="31"/>
      <c r="QUW173" s="31"/>
      <c r="QUX173" s="31"/>
      <c r="QUY173" s="31"/>
      <c r="QUZ173" s="31"/>
      <c r="QVA173" s="31"/>
      <c r="QVB173" s="31"/>
      <c r="QVC173" s="31"/>
      <c r="QVD173" s="31"/>
      <c r="QVE173" s="31"/>
      <c r="QVF173" s="31"/>
      <c r="QVG173" s="31"/>
      <c r="QVH173" s="31"/>
      <c r="QVI173" s="31"/>
      <c r="QVJ173" s="31"/>
      <c r="QVK173" s="31"/>
      <c r="QVL173" s="31"/>
      <c r="QVM173" s="31"/>
      <c r="QVN173" s="31"/>
      <c r="QVO173" s="31"/>
      <c r="QVP173" s="31"/>
      <c r="QVQ173" s="31"/>
      <c r="QVR173" s="31"/>
      <c r="QVS173" s="31"/>
      <c r="QVT173" s="31"/>
      <c r="QVU173" s="31"/>
      <c r="QVV173" s="31"/>
      <c r="QVW173" s="31"/>
      <c r="QVX173" s="31"/>
      <c r="QVY173" s="31"/>
      <c r="QVZ173" s="31"/>
      <c r="QWA173" s="31"/>
      <c r="QWB173" s="31"/>
      <c r="QWC173" s="31"/>
      <c r="QWD173" s="31"/>
      <c r="QWE173" s="31"/>
      <c r="QWF173" s="31"/>
      <c r="QWG173" s="31"/>
      <c r="QWH173" s="31"/>
      <c r="QWI173" s="31"/>
      <c r="QWJ173" s="31"/>
      <c r="QWK173" s="31"/>
      <c r="QWL173" s="31"/>
      <c r="QWM173" s="31"/>
      <c r="QWN173" s="31"/>
      <c r="QWO173" s="31"/>
      <c r="QWP173" s="31"/>
      <c r="QWQ173" s="31"/>
      <c r="QWR173" s="31"/>
      <c r="QWS173" s="31"/>
      <c r="QWT173" s="31"/>
      <c r="QWU173" s="31"/>
      <c r="QWV173" s="31"/>
      <c r="QWW173" s="31"/>
      <c r="QWX173" s="31"/>
      <c r="QWY173" s="31"/>
      <c r="QWZ173" s="31"/>
      <c r="QXA173" s="31"/>
      <c r="QXB173" s="31"/>
      <c r="QXC173" s="31"/>
      <c r="QXD173" s="31"/>
      <c r="QXE173" s="31"/>
      <c r="QXF173" s="31"/>
      <c r="QXG173" s="31"/>
      <c r="QXH173" s="31"/>
      <c r="QXI173" s="31"/>
      <c r="QXJ173" s="31"/>
      <c r="QXK173" s="31"/>
      <c r="QXL173" s="31"/>
      <c r="QXM173" s="31"/>
      <c r="QXN173" s="31"/>
      <c r="QXO173" s="31"/>
      <c r="QXP173" s="31"/>
      <c r="QXQ173" s="31"/>
      <c r="QXR173" s="31"/>
      <c r="QXS173" s="31"/>
      <c r="QXT173" s="31"/>
      <c r="QXU173" s="31"/>
      <c r="QXV173" s="31"/>
      <c r="QXW173" s="31"/>
      <c r="QXX173" s="31"/>
      <c r="QXY173" s="31"/>
      <c r="QXZ173" s="31"/>
      <c r="QYA173" s="31"/>
      <c r="QYB173" s="31"/>
      <c r="QYC173" s="31"/>
      <c r="QYD173" s="31"/>
      <c r="QYE173" s="31"/>
      <c r="QYF173" s="31"/>
      <c r="QYG173" s="31"/>
      <c r="QYH173" s="31"/>
      <c r="QYI173" s="31"/>
      <c r="QYJ173" s="31"/>
      <c r="QYK173" s="31"/>
      <c r="QYL173" s="31"/>
      <c r="QYM173" s="31"/>
      <c r="QYN173" s="31"/>
      <c r="QYO173" s="31"/>
      <c r="QYP173" s="31"/>
      <c r="QYQ173" s="31"/>
      <c r="QYR173" s="31"/>
      <c r="QYS173" s="31"/>
      <c r="QYT173" s="31"/>
      <c r="QYU173" s="31"/>
      <c r="QYV173" s="31"/>
      <c r="QYW173" s="31"/>
      <c r="QYX173" s="31"/>
      <c r="QYY173" s="31"/>
      <c r="QYZ173" s="31"/>
      <c r="QZA173" s="31"/>
      <c r="QZB173" s="31"/>
      <c r="QZC173" s="31"/>
      <c r="QZD173" s="31"/>
      <c r="QZE173" s="31"/>
      <c r="QZF173" s="31"/>
      <c r="QZG173" s="31"/>
      <c r="QZH173" s="31"/>
      <c r="QZI173" s="31"/>
      <c r="QZJ173" s="31"/>
      <c r="QZK173" s="31"/>
      <c r="QZL173" s="31"/>
      <c r="QZM173" s="31"/>
      <c r="QZN173" s="31"/>
      <c r="QZO173" s="31"/>
      <c r="QZP173" s="31"/>
      <c r="QZQ173" s="31"/>
      <c r="QZR173" s="31"/>
      <c r="QZS173" s="31"/>
      <c r="QZT173" s="31"/>
      <c r="QZU173" s="31"/>
      <c r="QZV173" s="31"/>
      <c r="QZW173" s="31"/>
      <c r="QZX173" s="31"/>
      <c r="QZY173" s="31"/>
      <c r="QZZ173" s="31"/>
      <c r="RAA173" s="31"/>
      <c r="RAB173" s="31"/>
      <c r="RAC173" s="31"/>
      <c r="RAD173" s="31"/>
      <c r="RAE173" s="31"/>
      <c r="RAF173" s="31"/>
      <c r="RAG173" s="31"/>
      <c r="RAH173" s="31"/>
      <c r="RAI173" s="31"/>
      <c r="RAJ173" s="31"/>
      <c r="RAK173" s="31"/>
      <c r="RAL173" s="31"/>
      <c r="RAM173" s="31"/>
      <c r="RAN173" s="31"/>
      <c r="RAO173" s="31"/>
      <c r="RAP173" s="31"/>
      <c r="RAQ173" s="31"/>
      <c r="RAR173" s="31"/>
      <c r="RAS173" s="31"/>
      <c r="RAT173" s="31"/>
      <c r="RAU173" s="31"/>
      <c r="RAV173" s="31"/>
      <c r="RAW173" s="31"/>
      <c r="RAX173" s="31"/>
      <c r="RAY173" s="31"/>
      <c r="RAZ173" s="31"/>
      <c r="RBA173" s="31"/>
      <c r="RBB173" s="31"/>
      <c r="RBC173" s="31"/>
      <c r="RBD173" s="31"/>
      <c r="RBE173" s="31"/>
      <c r="RBF173" s="31"/>
      <c r="RBG173" s="31"/>
      <c r="RBH173" s="31"/>
      <c r="RBI173" s="31"/>
      <c r="RBJ173" s="31"/>
      <c r="RBK173" s="31"/>
      <c r="RBL173" s="31"/>
      <c r="RBM173" s="31"/>
      <c r="RBN173" s="31"/>
      <c r="RBO173" s="31"/>
      <c r="RBP173" s="31"/>
      <c r="RBQ173" s="31"/>
      <c r="RBR173" s="31"/>
      <c r="RBS173" s="31"/>
      <c r="RBT173" s="31"/>
      <c r="RBU173" s="31"/>
      <c r="RBV173" s="31"/>
      <c r="RBW173" s="31"/>
      <c r="RBX173" s="31"/>
      <c r="RBY173" s="31"/>
      <c r="RBZ173" s="31"/>
      <c r="RCA173" s="31"/>
      <c r="RCB173" s="31"/>
      <c r="RCC173" s="31"/>
      <c r="RCD173" s="31"/>
      <c r="RCE173" s="31"/>
      <c r="RCF173" s="31"/>
      <c r="RCG173" s="31"/>
      <c r="RCH173" s="31"/>
      <c r="RCI173" s="31"/>
      <c r="RCJ173" s="31"/>
      <c r="RCK173" s="31"/>
      <c r="RCL173" s="31"/>
      <c r="RCM173" s="31"/>
      <c r="RCN173" s="31"/>
      <c r="RCO173" s="31"/>
      <c r="RCP173" s="31"/>
      <c r="RCQ173" s="31"/>
      <c r="RCR173" s="31"/>
      <c r="RCS173" s="31"/>
      <c r="RCT173" s="31"/>
      <c r="RCU173" s="31"/>
      <c r="RCV173" s="31"/>
      <c r="RCW173" s="31"/>
      <c r="RCX173" s="31"/>
      <c r="RCY173" s="31"/>
      <c r="RCZ173" s="31"/>
      <c r="RDA173" s="31"/>
      <c r="RDB173" s="31"/>
      <c r="RDC173" s="31"/>
      <c r="RDD173" s="31"/>
      <c r="RDE173" s="31"/>
      <c r="RDF173" s="31"/>
      <c r="RDG173" s="31"/>
      <c r="RDH173" s="31"/>
      <c r="RDI173" s="31"/>
      <c r="RDJ173" s="31"/>
      <c r="RDK173" s="31"/>
      <c r="RDL173" s="31"/>
      <c r="RDM173" s="31"/>
      <c r="RDN173" s="31"/>
      <c r="RDO173" s="31"/>
      <c r="RDP173" s="31"/>
      <c r="RDQ173" s="31"/>
      <c r="RDR173" s="31"/>
      <c r="RDS173" s="31"/>
      <c r="RDT173" s="31"/>
      <c r="RDU173" s="31"/>
      <c r="RDV173" s="31"/>
      <c r="RDW173" s="31"/>
      <c r="RDX173" s="31"/>
      <c r="RDY173" s="31"/>
      <c r="RDZ173" s="31"/>
      <c r="REA173" s="31"/>
      <c r="REB173" s="31"/>
      <c r="REC173" s="31"/>
      <c r="RED173" s="31"/>
      <c r="REE173" s="31"/>
      <c r="REF173" s="31"/>
      <c r="REG173" s="31"/>
      <c r="REH173" s="31"/>
      <c r="REI173" s="31"/>
      <c r="REJ173" s="31"/>
      <c r="REK173" s="31"/>
      <c r="REL173" s="31"/>
      <c r="REM173" s="31"/>
      <c r="REN173" s="31"/>
      <c r="REO173" s="31"/>
      <c r="REP173" s="31"/>
      <c r="REQ173" s="31"/>
      <c r="RER173" s="31"/>
      <c r="RES173" s="31"/>
      <c r="RET173" s="31"/>
      <c r="REU173" s="31"/>
      <c r="REV173" s="31"/>
      <c r="REW173" s="31"/>
      <c r="REX173" s="31"/>
      <c r="REY173" s="31"/>
      <c r="REZ173" s="31"/>
      <c r="RFA173" s="31"/>
      <c r="RFB173" s="31"/>
      <c r="RFC173" s="31"/>
      <c r="RFD173" s="31"/>
      <c r="RFE173" s="31"/>
      <c r="RFF173" s="31"/>
      <c r="RFG173" s="31"/>
      <c r="RFH173" s="31"/>
      <c r="RFI173" s="31"/>
      <c r="RFJ173" s="31"/>
      <c r="RFK173" s="31"/>
      <c r="RFL173" s="31"/>
      <c r="RFM173" s="31"/>
      <c r="RFN173" s="31"/>
      <c r="RFO173" s="31"/>
      <c r="RFP173" s="31"/>
      <c r="RFQ173" s="31"/>
      <c r="RFR173" s="31"/>
      <c r="RFS173" s="31"/>
      <c r="RFT173" s="31"/>
      <c r="RFU173" s="31"/>
      <c r="RFV173" s="31"/>
      <c r="RFW173" s="31"/>
      <c r="RFX173" s="31"/>
      <c r="RFY173" s="31"/>
      <c r="RFZ173" s="31"/>
      <c r="RGA173" s="31"/>
      <c r="RGB173" s="31"/>
      <c r="RGC173" s="31"/>
      <c r="RGD173" s="31"/>
      <c r="RGE173" s="31"/>
      <c r="RGF173" s="31"/>
      <c r="RGG173" s="31"/>
      <c r="RGH173" s="31"/>
      <c r="RGI173" s="31"/>
      <c r="RGJ173" s="31"/>
      <c r="RGK173" s="31"/>
      <c r="RGL173" s="31"/>
      <c r="RGM173" s="31"/>
      <c r="RGN173" s="31"/>
      <c r="RGO173" s="31"/>
      <c r="RGP173" s="31"/>
      <c r="RGQ173" s="31"/>
      <c r="RGR173" s="31"/>
      <c r="RGS173" s="31"/>
      <c r="RGT173" s="31"/>
      <c r="RGU173" s="31"/>
      <c r="RGV173" s="31"/>
      <c r="RGW173" s="31"/>
      <c r="RGX173" s="31"/>
      <c r="RGY173" s="31"/>
      <c r="RGZ173" s="31"/>
      <c r="RHA173" s="31"/>
      <c r="RHB173" s="31"/>
      <c r="RHC173" s="31"/>
      <c r="RHD173" s="31"/>
      <c r="RHE173" s="31"/>
      <c r="RHF173" s="31"/>
      <c r="RHG173" s="31"/>
      <c r="RHH173" s="31"/>
      <c r="RHI173" s="31"/>
      <c r="RHJ173" s="31"/>
      <c r="RHK173" s="31"/>
      <c r="RHL173" s="31"/>
      <c r="RHM173" s="31"/>
      <c r="RHN173" s="31"/>
      <c r="RHO173" s="31"/>
      <c r="RHP173" s="31"/>
      <c r="RHQ173" s="31"/>
      <c r="RHR173" s="31"/>
      <c r="RHS173" s="31"/>
      <c r="RHT173" s="31"/>
      <c r="RHU173" s="31"/>
      <c r="RHV173" s="31"/>
      <c r="RHW173" s="31"/>
      <c r="RHX173" s="31"/>
      <c r="RHY173" s="31"/>
      <c r="RHZ173" s="31"/>
      <c r="RIA173" s="31"/>
      <c r="RIB173" s="31"/>
      <c r="RIC173" s="31"/>
      <c r="RID173" s="31"/>
      <c r="RIE173" s="31"/>
      <c r="RIF173" s="31"/>
      <c r="RIG173" s="31"/>
      <c r="RIH173" s="31"/>
      <c r="RII173" s="31"/>
      <c r="RIJ173" s="31"/>
      <c r="RIK173" s="31"/>
      <c r="RIL173" s="31"/>
      <c r="RIM173" s="31"/>
      <c r="RIN173" s="31"/>
      <c r="RIO173" s="31"/>
      <c r="RIP173" s="31"/>
      <c r="RIQ173" s="31"/>
      <c r="RIR173" s="31"/>
      <c r="RIS173" s="31"/>
      <c r="RIT173" s="31"/>
      <c r="RIU173" s="31"/>
      <c r="RIV173" s="31"/>
      <c r="RIW173" s="31"/>
      <c r="RIX173" s="31"/>
      <c r="RIY173" s="31"/>
      <c r="RIZ173" s="31"/>
      <c r="RJA173" s="31"/>
      <c r="RJB173" s="31"/>
      <c r="RJC173" s="31"/>
      <c r="RJD173" s="31"/>
      <c r="RJE173" s="31"/>
      <c r="RJF173" s="31"/>
      <c r="RJG173" s="31"/>
      <c r="RJH173" s="31"/>
      <c r="RJI173" s="31"/>
      <c r="RJJ173" s="31"/>
      <c r="RJK173" s="31"/>
      <c r="RJL173" s="31"/>
      <c r="RJM173" s="31"/>
      <c r="RJN173" s="31"/>
      <c r="RJO173" s="31"/>
      <c r="RJP173" s="31"/>
      <c r="RJQ173" s="31"/>
      <c r="RJR173" s="31"/>
      <c r="RJS173" s="31"/>
      <c r="RJT173" s="31"/>
      <c r="RJU173" s="31"/>
      <c r="RJV173" s="31"/>
      <c r="RJW173" s="31"/>
      <c r="RJX173" s="31"/>
      <c r="RJY173" s="31"/>
      <c r="RJZ173" s="31"/>
      <c r="RKA173" s="31"/>
      <c r="RKB173" s="31"/>
      <c r="RKC173" s="31"/>
      <c r="RKD173" s="31"/>
      <c r="RKE173" s="31"/>
      <c r="RKF173" s="31"/>
      <c r="RKG173" s="31"/>
      <c r="RKH173" s="31"/>
      <c r="RKI173" s="31"/>
      <c r="RKJ173" s="31"/>
      <c r="RKK173" s="31"/>
      <c r="RKL173" s="31"/>
      <c r="RKM173" s="31"/>
      <c r="RKN173" s="31"/>
      <c r="RKO173" s="31"/>
      <c r="RKP173" s="31"/>
      <c r="RKQ173" s="31"/>
      <c r="RKR173" s="31"/>
      <c r="RKS173" s="31"/>
      <c r="RKT173" s="31"/>
      <c r="RKU173" s="31"/>
      <c r="RKV173" s="31"/>
      <c r="RKW173" s="31"/>
      <c r="RKX173" s="31"/>
      <c r="RKY173" s="31"/>
      <c r="RKZ173" s="31"/>
      <c r="RLA173" s="31"/>
      <c r="RLB173" s="31"/>
      <c r="RLC173" s="31"/>
      <c r="RLD173" s="31"/>
      <c r="RLE173" s="31"/>
      <c r="RLF173" s="31"/>
      <c r="RLG173" s="31"/>
      <c r="RLH173" s="31"/>
      <c r="RLI173" s="31"/>
      <c r="RLJ173" s="31"/>
      <c r="RLK173" s="31"/>
      <c r="RLL173" s="31"/>
      <c r="RLM173" s="31"/>
      <c r="RLN173" s="31"/>
      <c r="RLO173" s="31"/>
      <c r="RLP173" s="31"/>
      <c r="RLQ173" s="31"/>
      <c r="RLR173" s="31"/>
      <c r="RLS173" s="31"/>
      <c r="RLT173" s="31"/>
      <c r="RLU173" s="31"/>
      <c r="RLV173" s="31"/>
      <c r="RLW173" s="31"/>
      <c r="RLX173" s="31"/>
      <c r="RLY173" s="31"/>
      <c r="RLZ173" s="31"/>
      <c r="RMA173" s="31"/>
      <c r="RMB173" s="31"/>
      <c r="RMC173" s="31"/>
      <c r="RMD173" s="31"/>
      <c r="RME173" s="31"/>
      <c r="RMF173" s="31"/>
      <c r="RMG173" s="31"/>
      <c r="RMH173" s="31"/>
      <c r="RMI173" s="31"/>
      <c r="RMJ173" s="31"/>
      <c r="RMK173" s="31"/>
      <c r="RML173" s="31"/>
      <c r="RMM173" s="31"/>
      <c r="RMN173" s="31"/>
      <c r="RMO173" s="31"/>
      <c r="RMP173" s="31"/>
      <c r="RMQ173" s="31"/>
      <c r="RMR173" s="31"/>
      <c r="RMS173" s="31"/>
      <c r="RMT173" s="31"/>
      <c r="RMU173" s="31"/>
      <c r="RMV173" s="31"/>
      <c r="RMW173" s="31"/>
      <c r="RMX173" s="31"/>
      <c r="RMY173" s="31"/>
      <c r="RMZ173" s="31"/>
      <c r="RNA173" s="31"/>
      <c r="RNB173" s="31"/>
      <c r="RNC173" s="31"/>
      <c r="RND173" s="31"/>
      <c r="RNE173" s="31"/>
      <c r="RNF173" s="31"/>
      <c r="RNG173" s="31"/>
      <c r="RNH173" s="31"/>
      <c r="RNI173" s="31"/>
      <c r="RNJ173" s="31"/>
      <c r="RNK173" s="31"/>
      <c r="RNL173" s="31"/>
      <c r="RNM173" s="31"/>
      <c r="RNN173" s="31"/>
      <c r="RNO173" s="31"/>
      <c r="RNP173" s="31"/>
      <c r="RNQ173" s="31"/>
      <c r="RNR173" s="31"/>
      <c r="RNS173" s="31"/>
      <c r="RNT173" s="31"/>
      <c r="RNU173" s="31"/>
      <c r="RNV173" s="31"/>
      <c r="RNW173" s="31"/>
      <c r="RNX173" s="31"/>
      <c r="RNY173" s="31"/>
      <c r="RNZ173" s="31"/>
      <c r="ROA173" s="31"/>
      <c r="ROB173" s="31"/>
      <c r="ROC173" s="31"/>
      <c r="ROD173" s="31"/>
      <c r="ROE173" s="31"/>
      <c r="ROF173" s="31"/>
      <c r="ROG173" s="31"/>
      <c r="ROH173" s="31"/>
      <c r="ROI173" s="31"/>
      <c r="ROJ173" s="31"/>
      <c r="ROK173" s="31"/>
      <c r="ROL173" s="31"/>
      <c r="ROM173" s="31"/>
      <c r="RON173" s="31"/>
      <c r="ROO173" s="31"/>
      <c r="ROP173" s="31"/>
      <c r="ROQ173" s="31"/>
      <c r="ROR173" s="31"/>
      <c r="ROS173" s="31"/>
      <c r="ROT173" s="31"/>
      <c r="ROU173" s="31"/>
      <c r="ROV173" s="31"/>
      <c r="ROW173" s="31"/>
      <c r="ROX173" s="31"/>
      <c r="ROY173" s="31"/>
      <c r="ROZ173" s="31"/>
      <c r="RPA173" s="31"/>
      <c r="RPB173" s="31"/>
      <c r="RPC173" s="31"/>
      <c r="RPD173" s="31"/>
      <c r="RPE173" s="31"/>
      <c r="RPF173" s="31"/>
      <c r="RPG173" s="31"/>
      <c r="RPH173" s="31"/>
      <c r="RPI173" s="31"/>
      <c r="RPJ173" s="31"/>
      <c r="RPK173" s="31"/>
      <c r="RPL173" s="31"/>
      <c r="RPM173" s="31"/>
      <c r="RPN173" s="31"/>
      <c r="RPO173" s="31"/>
      <c r="RPP173" s="31"/>
      <c r="RPQ173" s="31"/>
      <c r="RPR173" s="31"/>
      <c r="RPS173" s="31"/>
      <c r="RPT173" s="31"/>
      <c r="RPU173" s="31"/>
      <c r="RPV173" s="31"/>
      <c r="RPW173" s="31"/>
      <c r="RPX173" s="31"/>
      <c r="RPY173" s="31"/>
      <c r="RPZ173" s="31"/>
      <c r="RQA173" s="31"/>
      <c r="RQB173" s="31"/>
      <c r="RQC173" s="31"/>
      <c r="RQD173" s="31"/>
      <c r="RQE173" s="31"/>
      <c r="RQF173" s="31"/>
      <c r="RQG173" s="31"/>
      <c r="RQH173" s="31"/>
      <c r="RQI173" s="31"/>
      <c r="RQJ173" s="31"/>
      <c r="RQK173" s="31"/>
      <c r="RQL173" s="31"/>
      <c r="RQM173" s="31"/>
      <c r="RQN173" s="31"/>
      <c r="RQO173" s="31"/>
      <c r="RQP173" s="31"/>
      <c r="RQQ173" s="31"/>
      <c r="RQR173" s="31"/>
      <c r="RQS173" s="31"/>
      <c r="RQT173" s="31"/>
      <c r="RQU173" s="31"/>
      <c r="RQV173" s="31"/>
      <c r="RQW173" s="31"/>
      <c r="RQX173" s="31"/>
      <c r="RQY173" s="31"/>
      <c r="RQZ173" s="31"/>
      <c r="RRA173" s="31"/>
      <c r="RRB173" s="31"/>
      <c r="RRC173" s="31"/>
      <c r="RRD173" s="31"/>
      <c r="RRE173" s="31"/>
      <c r="RRF173" s="31"/>
      <c r="RRG173" s="31"/>
      <c r="RRH173" s="31"/>
      <c r="RRI173" s="31"/>
      <c r="RRJ173" s="31"/>
      <c r="RRK173" s="31"/>
      <c r="RRL173" s="31"/>
      <c r="RRM173" s="31"/>
      <c r="RRN173" s="31"/>
      <c r="RRO173" s="31"/>
      <c r="RRP173" s="31"/>
      <c r="RRQ173" s="31"/>
      <c r="RRR173" s="31"/>
      <c r="RRS173" s="31"/>
      <c r="RRT173" s="31"/>
      <c r="RRU173" s="31"/>
      <c r="RRV173" s="31"/>
      <c r="RRW173" s="31"/>
      <c r="RRX173" s="31"/>
      <c r="RRY173" s="31"/>
      <c r="RRZ173" s="31"/>
      <c r="RSA173" s="31"/>
      <c r="RSB173" s="31"/>
      <c r="RSC173" s="31"/>
      <c r="RSD173" s="31"/>
      <c r="RSE173" s="31"/>
      <c r="RSF173" s="31"/>
      <c r="RSG173" s="31"/>
      <c r="RSH173" s="31"/>
      <c r="RSI173" s="31"/>
      <c r="RSJ173" s="31"/>
      <c r="RSK173" s="31"/>
      <c r="RSL173" s="31"/>
      <c r="RSM173" s="31"/>
      <c r="RSN173" s="31"/>
      <c r="RSO173" s="31"/>
      <c r="RSP173" s="31"/>
      <c r="RSQ173" s="31"/>
      <c r="RSR173" s="31"/>
      <c r="RSS173" s="31"/>
      <c r="RST173" s="31"/>
      <c r="RSU173" s="31"/>
      <c r="RSV173" s="31"/>
      <c r="RSW173" s="31"/>
      <c r="RSX173" s="31"/>
      <c r="RSY173" s="31"/>
      <c r="RSZ173" s="31"/>
      <c r="RTA173" s="31"/>
      <c r="RTB173" s="31"/>
      <c r="RTC173" s="31"/>
      <c r="RTD173" s="31"/>
      <c r="RTE173" s="31"/>
      <c r="RTF173" s="31"/>
      <c r="RTG173" s="31"/>
      <c r="RTH173" s="31"/>
      <c r="RTI173" s="31"/>
      <c r="RTJ173" s="31"/>
      <c r="RTK173" s="31"/>
      <c r="RTL173" s="31"/>
      <c r="RTM173" s="31"/>
      <c r="RTN173" s="31"/>
      <c r="RTO173" s="31"/>
      <c r="RTP173" s="31"/>
      <c r="RTQ173" s="31"/>
      <c r="RTR173" s="31"/>
      <c r="RTS173" s="31"/>
      <c r="RTT173" s="31"/>
      <c r="RTU173" s="31"/>
      <c r="RTV173" s="31"/>
      <c r="RTW173" s="31"/>
      <c r="RTX173" s="31"/>
      <c r="RTY173" s="31"/>
      <c r="RTZ173" s="31"/>
      <c r="RUA173" s="31"/>
      <c r="RUB173" s="31"/>
      <c r="RUC173" s="31"/>
      <c r="RUD173" s="31"/>
      <c r="RUE173" s="31"/>
      <c r="RUF173" s="31"/>
      <c r="RUG173" s="31"/>
      <c r="RUH173" s="31"/>
      <c r="RUI173" s="31"/>
      <c r="RUJ173" s="31"/>
      <c r="RUK173" s="31"/>
      <c r="RUL173" s="31"/>
      <c r="RUM173" s="31"/>
      <c r="RUN173" s="31"/>
      <c r="RUO173" s="31"/>
      <c r="RUP173" s="31"/>
      <c r="RUQ173" s="31"/>
      <c r="RUR173" s="31"/>
      <c r="RUS173" s="31"/>
      <c r="RUT173" s="31"/>
      <c r="RUU173" s="31"/>
      <c r="RUV173" s="31"/>
      <c r="RUW173" s="31"/>
      <c r="RUX173" s="31"/>
      <c r="RUY173" s="31"/>
      <c r="RUZ173" s="31"/>
      <c r="RVA173" s="31"/>
      <c r="RVB173" s="31"/>
      <c r="RVC173" s="31"/>
      <c r="RVD173" s="31"/>
      <c r="RVE173" s="31"/>
      <c r="RVF173" s="31"/>
      <c r="RVG173" s="31"/>
      <c r="RVH173" s="31"/>
      <c r="RVI173" s="31"/>
      <c r="RVJ173" s="31"/>
      <c r="RVK173" s="31"/>
      <c r="RVL173" s="31"/>
      <c r="RVM173" s="31"/>
      <c r="RVN173" s="31"/>
      <c r="RVO173" s="31"/>
      <c r="RVP173" s="31"/>
      <c r="RVQ173" s="31"/>
      <c r="RVR173" s="31"/>
      <c r="RVS173" s="31"/>
      <c r="RVT173" s="31"/>
      <c r="RVU173" s="31"/>
      <c r="RVV173" s="31"/>
      <c r="RVW173" s="31"/>
      <c r="RVX173" s="31"/>
      <c r="RVY173" s="31"/>
      <c r="RVZ173" s="31"/>
      <c r="RWA173" s="31"/>
      <c r="RWB173" s="31"/>
      <c r="RWC173" s="31"/>
      <c r="RWD173" s="31"/>
      <c r="RWE173" s="31"/>
      <c r="RWF173" s="31"/>
      <c r="RWG173" s="31"/>
      <c r="RWH173" s="31"/>
      <c r="RWI173" s="31"/>
      <c r="RWJ173" s="31"/>
      <c r="RWK173" s="31"/>
      <c r="RWL173" s="31"/>
      <c r="RWM173" s="31"/>
      <c r="RWN173" s="31"/>
      <c r="RWO173" s="31"/>
      <c r="RWP173" s="31"/>
      <c r="RWQ173" s="31"/>
      <c r="RWR173" s="31"/>
      <c r="RWS173" s="31"/>
      <c r="RWT173" s="31"/>
      <c r="RWU173" s="31"/>
      <c r="RWV173" s="31"/>
      <c r="RWW173" s="31"/>
      <c r="RWX173" s="31"/>
      <c r="RWY173" s="31"/>
      <c r="RWZ173" s="31"/>
      <c r="RXA173" s="31"/>
      <c r="RXB173" s="31"/>
      <c r="RXC173" s="31"/>
      <c r="RXD173" s="31"/>
      <c r="RXE173" s="31"/>
      <c r="RXF173" s="31"/>
      <c r="RXG173" s="31"/>
      <c r="RXH173" s="31"/>
      <c r="RXI173" s="31"/>
      <c r="RXJ173" s="31"/>
      <c r="RXK173" s="31"/>
      <c r="RXL173" s="31"/>
      <c r="RXM173" s="31"/>
      <c r="RXN173" s="31"/>
      <c r="RXO173" s="31"/>
      <c r="RXP173" s="31"/>
      <c r="RXQ173" s="31"/>
      <c r="RXR173" s="31"/>
      <c r="RXS173" s="31"/>
      <c r="RXT173" s="31"/>
      <c r="RXU173" s="31"/>
      <c r="RXV173" s="31"/>
      <c r="RXW173" s="31"/>
      <c r="RXX173" s="31"/>
      <c r="RXY173" s="31"/>
      <c r="RXZ173" s="31"/>
      <c r="RYA173" s="31"/>
      <c r="RYB173" s="31"/>
      <c r="RYC173" s="31"/>
      <c r="RYD173" s="31"/>
      <c r="RYE173" s="31"/>
      <c r="RYF173" s="31"/>
      <c r="RYG173" s="31"/>
      <c r="RYH173" s="31"/>
      <c r="RYI173" s="31"/>
      <c r="RYJ173" s="31"/>
      <c r="RYK173" s="31"/>
      <c r="RYL173" s="31"/>
      <c r="RYM173" s="31"/>
      <c r="RYN173" s="31"/>
      <c r="RYO173" s="31"/>
      <c r="RYP173" s="31"/>
      <c r="RYQ173" s="31"/>
      <c r="RYR173" s="31"/>
      <c r="RYS173" s="31"/>
      <c r="RYT173" s="31"/>
      <c r="RYU173" s="31"/>
      <c r="RYV173" s="31"/>
      <c r="RYW173" s="31"/>
      <c r="RYX173" s="31"/>
      <c r="RYY173" s="31"/>
      <c r="RYZ173" s="31"/>
      <c r="RZA173" s="31"/>
      <c r="RZB173" s="31"/>
      <c r="RZC173" s="31"/>
      <c r="RZD173" s="31"/>
      <c r="RZE173" s="31"/>
      <c r="RZF173" s="31"/>
      <c r="RZG173" s="31"/>
      <c r="RZH173" s="31"/>
      <c r="RZI173" s="31"/>
      <c r="RZJ173" s="31"/>
      <c r="RZK173" s="31"/>
      <c r="RZL173" s="31"/>
      <c r="RZM173" s="31"/>
      <c r="RZN173" s="31"/>
      <c r="RZO173" s="31"/>
      <c r="RZP173" s="31"/>
      <c r="RZQ173" s="31"/>
      <c r="RZR173" s="31"/>
      <c r="RZS173" s="31"/>
      <c r="RZT173" s="31"/>
      <c r="RZU173" s="31"/>
      <c r="RZV173" s="31"/>
      <c r="RZW173" s="31"/>
      <c r="RZX173" s="31"/>
      <c r="RZY173" s="31"/>
      <c r="RZZ173" s="31"/>
      <c r="SAA173" s="31"/>
      <c r="SAB173" s="31"/>
      <c r="SAC173" s="31"/>
      <c r="SAD173" s="31"/>
      <c r="SAE173" s="31"/>
      <c r="SAF173" s="31"/>
      <c r="SAG173" s="31"/>
      <c r="SAH173" s="31"/>
      <c r="SAI173" s="31"/>
      <c r="SAJ173" s="31"/>
      <c r="SAK173" s="31"/>
      <c r="SAL173" s="31"/>
      <c r="SAM173" s="31"/>
      <c r="SAN173" s="31"/>
      <c r="SAO173" s="31"/>
      <c r="SAP173" s="31"/>
      <c r="SAQ173" s="31"/>
      <c r="SAR173" s="31"/>
      <c r="SAS173" s="31"/>
      <c r="SAT173" s="31"/>
      <c r="SAU173" s="31"/>
      <c r="SAV173" s="31"/>
      <c r="SAW173" s="31"/>
      <c r="SAX173" s="31"/>
      <c r="SAY173" s="31"/>
      <c r="SAZ173" s="31"/>
      <c r="SBA173" s="31"/>
      <c r="SBB173" s="31"/>
      <c r="SBC173" s="31"/>
      <c r="SBD173" s="31"/>
      <c r="SBE173" s="31"/>
      <c r="SBF173" s="31"/>
      <c r="SBG173" s="31"/>
      <c r="SBH173" s="31"/>
      <c r="SBI173" s="31"/>
      <c r="SBJ173" s="31"/>
      <c r="SBK173" s="31"/>
      <c r="SBL173" s="31"/>
      <c r="SBM173" s="31"/>
      <c r="SBN173" s="31"/>
      <c r="SBO173" s="31"/>
      <c r="SBP173" s="31"/>
      <c r="SBQ173" s="31"/>
      <c r="SBR173" s="31"/>
      <c r="SBS173" s="31"/>
      <c r="SBT173" s="31"/>
      <c r="SBU173" s="31"/>
      <c r="SBV173" s="31"/>
      <c r="SBW173" s="31"/>
      <c r="SBX173" s="31"/>
      <c r="SBY173" s="31"/>
      <c r="SBZ173" s="31"/>
      <c r="SCA173" s="31"/>
      <c r="SCB173" s="31"/>
      <c r="SCC173" s="31"/>
      <c r="SCD173" s="31"/>
      <c r="SCE173" s="31"/>
      <c r="SCF173" s="31"/>
      <c r="SCG173" s="31"/>
      <c r="SCH173" s="31"/>
      <c r="SCI173" s="31"/>
      <c r="SCJ173" s="31"/>
      <c r="SCK173" s="31"/>
      <c r="SCL173" s="31"/>
      <c r="SCM173" s="31"/>
      <c r="SCN173" s="31"/>
      <c r="SCO173" s="31"/>
      <c r="SCP173" s="31"/>
      <c r="SCQ173" s="31"/>
      <c r="SCR173" s="31"/>
      <c r="SCS173" s="31"/>
      <c r="SCT173" s="31"/>
      <c r="SCU173" s="31"/>
      <c r="SCV173" s="31"/>
      <c r="SCW173" s="31"/>
      <c r="SCX173" s="31"/>
      <c r="SCY173" s="31"/>
      <c r="SCZ173" s="31"/>
      <c r="SDA173" s="31"/>
      <c r="SDB173" s="31"/>
      <c r="SDC173" s="31"/>
      <c r="SDD173" s="31"/>
      <c r="SDE173" s="31"/>
      <c r="SDF173" s="31"/>
      <c r="SDG173" s="31"/>
      <c r="SDH173" s="31"/>
      <c r="SDI173" s="31"/>
      <c r="SDJ173" s="31"/>
      <c r="SDK173" s="31"/>
      <c r="SDL173" s="31"/>
      <c r="SDM173" s="31"/>
      <c r="SDN173" s="31"/>
      <c r="SDO173" s="31"/>
      <c r="SDP173" s="31"/>
      <c r="SDQ173" s="31"/>
      <c r="SDR173" s="31"/>
      <c r="SDS173" s="31"/>
      <c r="SDT173" s="31"/>
      <c r="SDU173" s="31"/>
      <c r="SDV173" s="31"/>
      <c r="SDW173" s="31"/>
      <c r="SDX173" s="31"/>
      <c r="SDY173" s="31"/>
      <c r="SDZ173" s="31"/>
      <c r="SEA173" s="31"/>
      <c r="SEB173" s="31"/>
      <c r="SEC173" s="31"/>
      <c r="SED173" s="31"/>
      <c r="SEE173" s="31"/>
      <c r="SEF173" s="31"/>
      <c r="SEG173" s="31"/>
      <c r="SEH173" s="31"/>
      <c r="SEI173" s="31"/>
      <c r="SEJ173" s="31"/>
      <c r="SEK173" s="31"/>
      <c r="SEL173" s="31"/>
      <c r="SEM173" s="31"/>
      <c r="SEN173" s="31"/>
      <c r="SEO173" s="31"/>
      <c r="SEP173" s="31"/>
      <c r="SEQ173" s="31"/>
      <c r="SER173" s="31"/>
      <c r="SES173" s="31"/>
      <c r="SET173" s="31"/>
      <c r="SEU173" s="31"/>
      <c r="SEV173" s="31"/>
      <c r="SEW173" s="31"/>
      <c r="SEX173" s="31"/>
      <c r="SEY173" s="31"/>
      <c r="SEZ173" s="31"/>
      <c r="SFA173" s="31"/>
      <c r="SFB173" s="31"/>
      <c r="SFC173" s="31"/>
      <c r="SFD173" s="31"/>
      <c r="SFE173" s="31"/>
      <c r="SFF173" s="31"/>
      <c r="SFG173" s="31"/>
      <c r="SFH173" s="31"/>
      <c r="SFI173" s="31"/>
      <c r="SFJ173" s="31"/>
      <c r="SFK173" s="31"/>
      <c r="SFL173" s="31"/>
      <c r="SFM173" s="31"/>
      <c r="SFN173" s="31"/>
      <c r="SFO173" s="31"/>
      <c r="SFP173" s="31"/>
      <c r="SFQ173" s="31"/>
      <c r="SFR173" s="31"/>
      <c r="SFS173" s="31"/>
      <c r="SFT173" s="31"/>
      <c r="SFU173" s="31"/>
      <c r="SFV173" s="31"/>
      <c r="SFW173" s="31"/>
      <c r="SFX173" s="31"/>
      <c r="SFY173" s="31"/>
      <c r="SFZ173" s="31"/>
      <c r="SGA173" s="31"/>
      <c r="SGB173" s="31"/>
      <c r="SGC173" s="31"/>
      <c r="SGD173" s="31"/>
      <c r="SGE173" s="31"/>
      <c r="SGF173" s="31"/>
      <c r="SGG173" s="31"/>
      <c r="SGH173" s="31"/>
      <c r="SGI173" s="31"/>
      <c r="SGJ173" s="31"/>
      <c r="SGK173" s="31"/>
      <c r="SGL173" s="31"/>
      <c r="SGM173" s="31"/>
      <c r="SGN173" s="31"/>
      <c r="SGO173" s="31"/>
      <c r="SGP173" s="31"/>
      <c r="SGQ173" s="31"/>
      <c r="SGR173" s="31"/>
      <c r="SGS173" s="31"/>
      <c r="SGT173" s="31"/>
      <c r="SGU173" s="31"/>
      <c r="SGV173" s="31"/>
      <c r="SGW173" s="31"/>
      <c r="SGX173" s="31"/>
      <c r="SGY173" s="31"/>
      <c r="SGZ173" s="31"/>
      <c r="SHA173" s="31"/>
      <c r="SHB173" s="31"/>
      <c r="SHC173" s="31"/>
      <c r="SHD173" s="31"/>
      <c r="SHE173" s="31"/>
      <c r="SHF173" s="31"/>
      <c r="SHG173" s="31"/>
      <c r="SHH173" s="31"/>
      <c r="SHI173" s="31"/>
      <c r="SHJ173" s="31"/>
      <c r="SHK173" s="31"/>
      <c r="SHL173" s="31"/>
      <c r="SHM173" s="31"/>
      <c r="SHN173" s="31"/>
      <c r="SHO173" s="31"/>
      <c r="SHP173" s="31"/>
      <c r="SHQ173" s="31"/>
      <c r="SHR173" s="31"/>
      <c r="SHS173" s="31"/>
      <c r="SHT173" s="31"/>
      <c r="SHU173" s="31"/>
      <c r="SHV173" s="31"/>
      <c r="SHW173" s="31"/>
      <c r="SHX173" s="31"/>
      <c r="SHY173" s="31"/>
      <c r="SHZ173" s="31"/>
      <c r="SIA173" s="31"/>
      <c r="SIB173" s="31"/>
      <c r="SIC173" s="31"/>
      <c r="SID173" s="31"/>
      <c r="SIE173" s="31"/>
      <c r="SIF173" s="31"/>
      <c r="SIG173" s="31"/>
      <c r="SIH173" s="31"/>
      <c r="SII173" s="31"/>
      <c r="SIJ173" s="31"/>
      <c r="SIK173" s="31"/>
      <c r="SIL173" s="31"/>
      <c r="SIM173" s="31"/>
      <c r="SIN173" s="31"/>
      <c r="SIO173" s="31"/>
      <c r="SIP173" s="31"/>
      <c r="SIQ173" s="31"/>
      <c r="SIR173" s="31"/>
      <c r="SIS173" s="31"/>
      <c r="SIT173" s="31"/>
      <c r="SIU173" s="31"/>
      <c r="SIV173" s="31"/>
      <c r="SIW173" s="31"/>
      <c r="SIX173" s="31"/>
      <c r="SIY173" s="31"/>
      <c r="SIZ173" s="31"/>
      <c r="SJA173" s="31"/>
      <c r="SJB173" s="31"/>
      <c r="SJC173" s="31"/>
      <c r="SJD173" s="31"/>
      <c r="SJE173" s="31"/>
      <c r="SJF173" s="31"/>
      <c r="SJG173" s="31"/>
      <c r="SJH173" s="31"/>
      <c r="SJI173" s="31"/>
      <c r="SJJ173" s="31"/>
      <c r="SJK173" s="31"/>
      <c r="SJL173" s="31"/>
      <c r="SJM173" s="31"/>
      <c r="SJN173" s="31"/>
      <c r="SJO173" s="31"/>
      <c r="SJP173" s="31"/>
      <c r="SJQ173" s="31"/>
      <c r="SJR173" s="31"/>
      <c r="SJS173" s="31"/>
      <c r="SJT173" s="31"/>
      <c r="SJU173" s="31"/>
      <c r="SJV173" s="31"/>
      <c r="SJW173" s="31"/>
      <c r="SJX173" s="31"/>
      <c r="SJY173" s="31"/>
      <c r="SJZ173" s="31"/>
      <c r="SKA173" s="31"/>
      <c r="SKB173" s="31"/>
      <c r="SKC173" s="31"/>
      <c r="SKD173" s="31"/>
      <c r="SKE173" s="31"/>
      <c r="SKF173" s="31"/>
      <c r="SKG173" s="31"/>
      <c r="SKH173" s="31"/>
      <c r="SKI173" s="31"/>
      <c r="SKJ173" s="31"/>
      <c r="SKK173" s="31"/>
      <c r="SKL173" s="31"/>
      <c r="SKM173" s="31"/>
      <c r="SKN173" s="31"/>
      <c r="SKO173" s="31"/>
      <c r="SKP173" s="31"/>
      <c r="SKQ173" s="31"/>
      <c r="SKR173" s="31"/>
      <c r="SKS173" s="31"/>
      <c r="SKT173" s="31"/>
      <c r="SKU173" s="31"/>
      <c r="SKV173" s="31"/>
      <c r="SKW173" s="31"/>
      <c r="SKX173" s="31"/>
      <c r="SKY173" s="31"/>
      <c r="SKZ173" s="31"/>
      <c r="SLA173" s="31"/>
      <c r="SLB173" s="31"/>
      <c r="SLC173" s="31"/>
      <c r="SLD173" s="31"/>
      <c r="SLE173" s="31"/>
      <c r="SLF173" s="31"/>
      <c r="SLG173" s="31"/>
      <c r="SLH173" s="31"/>
      <c r="SLI173" s="31"/>
      <c r="SLJ173" s="31"/>
      <c r="SLK173" s="31"/>
      <c r="SLL173" s="31"/>
      <c r="SLM173" s="31"/>
      <c r="SLN173" s="31"/>
      <c r="SLO173" s="31"/>
      <c r="SLP173" s="31"/>
      <c r="SLQ173" s="31"/>
      <c r="SLR173" s="31"/>
      <c r="SLS173" s="31"/>
      <c r="SLT173" s="31"/>
      <c r="SLU173" s="31"/>
      <c r="SLV173" s="31"/>
      <c r="SLW173" s="31"/>
      <c r="SLX173" s="31"/>
      <c r="SLY173" s="31"/>
      <c r="SLZ173" s="31"/>
      <c r="SMA173" s="31"/>
      <c r="SMB173" s="31"/>
      <c r="SMC173" s="31"/>
      <c r="SMD173" s="31"/>
      <c r="SME173" s="31"/>
      <c r="SMF173" s="31"/>
      <c r="SMG173" s="31"/>
      <c r="SMH173" s="31"/>
      <c r="SMI173" s="31"/>
      <c r="SMJ173" s="31"/>
      <c r="SMK173" s="31"/>
      <c r="SML173" s="31"/>
      <c r="SMM173" s="31"/>
      <c r="SMN173" s="31"/>
      <c r="SMO173" s="31"/>
      <c r="SMP173" s="31"/>
      <c r="SMQ173" s="31"/>
      <c r="SMR173" s="31"/>
      <c r="SMS173" s="31"/>
      <c r="SMT173" s="31"/>
      <c r="SMU173" s="31"/>
      <c r="SMV173" s="31"/>
      <c r="SMW173" s="31"/>
      <c r="SMX173" s="31"/>
      <c r="SMY173" s="31"/>
      <c r="SMZ173" s="31"/>
      <c r="SNA173" s="31"/>
      <c r="SNB173" s="31"/>
      <c r="SNC173" s="31"/>
      <c r="SND173" s="31"/>
      <c r="SNE173" s="31"/>
      <c r="SNF173" s="31"/>
      <c r="SNG173" s="31"/>
      <c r="SNH173" s="31"/>
      <c r="SNI173" s="31"/>
      <c r="SNJ173" s="31"/>
      <c r="SNK173" s="31"/>
      <c r="SNL173" s="31"/>
      <c r="SNM173" s="31"/>
      <c r="SNN173" s="31"/>
      <c r="SNO173" s="31"/>
      <c r="SNP173" s="31"/>
      <c r="SNQ173" s="31"/>
      <c r="SNR173" s="31"/>
      <c r="SNS173" s="31"/>
      <c r="SNT173" s="31"/>
      <c r="SNU173" s="31"/>
      <c r="SNV173" s="31"/>
      <c r="SNW173" s="31"/>
      <c r="SNX173" s="31"/>
      <c r="SNY173" s="31"/>
      <c r="SNZ173" s="31"/>
      <c r="SOA173" s="31"/>
      <c r="SOB173" s="31"/>
      <c r="SOC173" s="31"/>
      <c r="SOD173" s="31"/>
      <c r="SOE173" s="31"/>
      <c r="SOF173" s="31"/>
      <c r="SOG173" s="31"/>
      <c r="SOH173" s="31"/>
      <c r="SOI173" s="31"/>
      <c r="SOJ173" s="31"/>
      <c r="SOK173" s="31"/>
      <c r="SOL173" s="31"/>
      <c r="SOM173" s="31"/>
      <c r="SON173" s="31"/>
      <c r="SOO173" s="31"/>
      <c r="SOP173" s="31"/>
      <c r="SOQ173" s="31"/>
      <c r="SOR173" s="31"/>
      <c r="SOS173" s="31"/>
      <c r="SOT173" s="31"/>
      <c r="SOU173" s="31"/>
      <c r="SOV173" s="31"/>
      <c r="SOW173" s="31"/>
      <c r="SOX173" s="31"/>
      <c r="SOY173" s="31"/>
      <c r="SOZ173" s="31"/>
      <c r="SPA173" s="31"/>
      <c r="SPB173" s="31"/>
      <c r="SPC173" s="31"/>
      <c r="SPD173" s="31"/>
      <c r="SPE173" s="31"/>
      <c r="SPF173" s="31"/>
      <c r="SPG173" s="31"/>
      <c r="SPH173" s="31"/>
      <c r="SPI173" s="31"/>
      <c r="SPJ173" s="31"/>
      <c r="SPK173" s="31"/>
      <c r="SPL173" s="31"/>
      <c r="SPM173" s="31"/>
      <c r="SPN173" s="31"/>
      <c r="SPO173" s="31"/>
      <c r="SPP173" s="31"/>
      <c r="SPQ173" s="31"/>
      <c r="SPR173" s="31"/>
      <c r="SPS173" s="31"/>
      <c r="SPT173" s="31"/>
      <c r="SPU173" s="31"/>
      <c r="SPV173" s="31"/>
      <c r="SPW173" s="31"/>
      <c r="SPX173" s="31"/>
      <c r="SPY173" s="31"/>
      <c r="SPZ173" s="31"/>
      <c r="SQA173" s="31"/>
      <c r="SQB173" s="31"/>
      <c r="SQC173" s="31"/>
      <c r="SQD173" s="31"/>
      <c r="SQE173" s="31"/>
      <c r="SQF173" s="31"/>
      <c r="SQG173" s="31"/>
      <c r="SQH173" s="31"/>
      <c r="SQI173" s="31"/>
      <c r="SQJ173" s="31"/>
      <c r="SQK173" s="31"/>
      <c r="SQL173" s="31"/>
      <c r="SQM173" s="31"/>
      <c r="SQN173" s="31"/>
      <c r="SQO173" s="31"/>
      <c r="SQP173" s="31"/>
      <c r="SQQ173" s="31"/>
      <c r="SQR173" s="31"/>
      <c r="SQS173" s="31"/>
      <c r="SQT173" s="31"/>
      <c r="SQU173" s="31"/>
      <c r="SQV173" s="31"/>
      <c r="SQW173" s="31"/>
      <c r="SQX173" s="31"/>
      <c r="SQY173" s="31"/>
      <c r="SQZ173" s="31"/>
      <c r="SRA173" s="31"/>
      <c r="SRB173" s="31"/>
      <c r="SRC173" s="31"/>
      <c r="SRD173" s="31"/>
      <c r="SRE173" s="31"/>
      <c r="SRF173" s="31"/>
      <c r="SRG173" s="31"/>
      <c r="SRH173" s="31"/>
      <c r="SRI173" s="31"/>
      <c r="SRJ173" s="31"/>
      <c r="SRK173" s="31"/>
      <c r="SRL173" s="31"/>
      <c r="SRM173" s="31"/>
      <c r="SRN173" s="31"/>
      <c r="SRO173" s="31"/>
      <c r="SRP173" s="31"/>
      <c r="SRQ173" s="31"/>
      <c r="SRR173" s="31"/>
      <c r="SRS173" s="31"/>
      <c r="SRT173" s="31"/>
      <c r="SRU173" s="31"/>
      <c r="SRV173" s="31"/>
      <c r="SRW173" s="31"/>
      <c r="SRX173" s="31"/>
      <c r="SRY173" s="31"/>
      <c r="SRZ173" s="31"/>
      <c r="SSA173" s="31"/>
      <c r="SSB173" s="31"/>
      <c r="SSC173" s="31"/>
      <c r="SSD173" s="31"/>
      <c r="SSE173" s="31"/>
      <c r="SSF173" s="31"/>
      <c r="SSG173" s="31"/>
      <c r="SSH173" s="31"/>
      <c r="SSI173" s="31"/>
      <c r="SSJ173" s="31"/>
      <c r="SSK173" s="31"/>
      <c r="SSL173" s="31"/>
      <c r="SSM173" s="31"/>
      <c r="SSN173" s="31"/>
      <c r="SSO173" s="31"/>
      <c r="SSP173" s="31"/>
      <c r="SSQ173" s="31"/>
      <c r="SSR173" s="31"/>
      <c r="SSS173" s="31"/>
      <c r="SST173" s="31"/>
      <c r="SSU173" s="31"/>
      <c r="SSV173" s="31"/>
      <c r="SSW173" s="31"/>
      <c r="SSX173" s="31"/>
      <c r="SSY173" s="31"/>
      <c r="SSZ173" s="31"/>
      <c r="STA173" s="31"/>
      <c r="STB173" s="31"/>
      <c r="STC173" s="31"/>
      <c r="STD173" s="31"/>
      <c r="STE173" s="31"/>
      <c r="STF173" s="31"/>
      <c r="STG173" s="31"/>
      <c r="STH173" s="31"/>
      <c r="STI173" s="31"/>
      <c r="STJ173" s="31"/>
      <c r="STK173" s="31"/>
      <c r="STL173" s="31"/>
      <c r="STM173" s="31"/>
      <c r="STN173" s="31"/>
      <c r="STO173" s="31"/>
      <c r="STP173" s="31"/>
      <c r="STQ173" s="31"/>
      <c r="STR173" s="31"/>
      <c r="STS173" s="31"/>
      <c r="STT173" s="31"/>
      <c r="STU173" s="31"/>
      <c r="STV173" s="31"/>
      <c r="STW173" s="31"/>
      <c r="STX173" s="31"/>
      <c r="STY173" s="31"/>
      <c r="STZ173" s="31"/>
      <c r="SUA173" s="31"/>
      <c r="SUB173" s="31"/>
      <c r="SUC173" s="31"/>
      <c r="SUD173" s="31"/>
      <c r="SUE173" s="31"/>
      <c r="SUF173" s="31"/>
      <c r="SUG173" s="31"/>
      <c r="SUH173" s="31"/>
      <c r="SUI173" s="31"/>
      <c r="SUJ173" s="31"/>
      <c r="SUK173" s="31"/>
      <c r="SUL173" s="31"/>
      <c r="SUM173" s="31"/>
      <c r="SUN173" s="31"/>
      <c r="SUO173" s="31"/>
      <c r="SUP173" s="31"/>
      <c r="SUQ173" s="31"/>
      <c r="SUR173" s="31"/>
      <c r="SUS173" s="31"/>
      <c r="SUT173" s="31"/>
      <c r="SUU173" s="31"/>
      <c r="SUV173" s="31"/>
      <c r="SUW173" s="31"/>
      <c r="SUX173" s="31"/>
      <c r="SUY173" s="31"/>
      <c r="SUZ173" s="31"/>
      <c r="SVA173" s="31"/>
      <c r="SVB173" s="31"/>
      <c r="SVC173" s="31"/>
      <c r="SVD173" s="31"/>
      <c r="SVE173" s="31"/>
      <c r="SVF173" s="31"/>
      <c r="SVG173" s="31"/>
      <c r="SVH173" s="31"/>
      <c r="SVI173" s="31"/>
      <c r="SVJ173" s="31"/>
      <c r="SVK173" s="31"/>
      <c r="SVL173" s="31"/>
      <c r="SVM173" s="31"/>
      <c r="SVN173" s="31"/>
      <c r="SVO173" s="31"/>
      <c r="SVP173" s="31"/>
      <c r="SVQ173" s="31"/>
      <c r="SVR173" s="31"/>
      <c r="SVS173" s="31"/>
      <c r="SVT173" s="31"/>
      <c r="SVU173" s="31"/>
      <c r="SVV173" s="31"/>
      <c r="SVW173" s="31"/>
      <c r="SVX173" s="31"/>
      <c r="SVY173" s="31"/>
      <c r="SVZ173" s="31"/>
      <c r="SWA173" s="31"/>
      <c r="SWB173" s="31"/>
      <c r="SWC173" s="31"/>
      <c r="SWD173" s="31"/>
      <c r="SWE173" s="31"/>
      <c r="SWF173" s="31"/>
      <c r="SWG173" s="31"/>
      <c r="SWH173" s="31"/>
      <c r="SWI173" s="31"/>
      <c r="SWJ173" s="31"/>
      <c r="SWK173" s="31"/>
      <c r="SWL173" s="31"/>
      <c r="SWM173" s="31"/>
      <c r="SWN173" s="31"/>
      <c r="SWO173" s="31"/>
      <c r="SWP173" s="31"/>
      <c r="SWQ173" s="31"/>
      <c r="SWR173" s="31"/>
      <c r="SWS173" s="31"/>
      <c r="SWT173" s="31"/>
      <c r="SWU173" s="31"/>
      <c r="SWV173" s="31"/>
      <c r="SWW173" s="31"/>
      <c r="SWX173" s="31"/>
      <c r="SWY173" s="31"/>
      <c r="SWZ173" s="31"/>
      <c r="SXA173" s="31"/>
      <c r="SXB173" s="31"/>
      <c r="SXC173" s="31"/>
      <c r="SXD173" s="31"/>
      <c r="SXE173" s="31"/>
      <c r="SXF173" s="31"/>
      <c r="SXG173" s="31"/>
      <c r="SXH173" s="31"/>
      <c r="SXI173" s="31"/>
      <c r="SXJ173" s="31"/>
      <c r="SXK173" s="31"/>
      <c r="SXL173" s="31"/>
      <c r="SXM173" s="31"/>
      <c r="SXN173" s="31"/>
      <c r="SXO173" s="31"/>
      <c r="SXP173" s="31"/>
      <c r="SXQ173" s="31"/>
      <c r="SXR173" s="31"/>
      <c r="SXS173" s="31"/>
      <c r="SXT173" s="31"/>
      <c r="SXU173" s="31"/>
      <c r="SXV173" s="31"/>
      <c r="SXW173" s="31"/>
      <c r="SXX173" s="31"/>
      <c r="SXY173" s="31"/>
      <c r="SXZ173" s="31"/>
      <c r="SYA173" s="31"/>
      <c r="SYB173" s="31"/>
      <c r="SYC173" s="31"/>
      <c r="SYD173" s="31"/>
      <c r="SYE173" s="31"/>
      <c r="SYF173" s="31"/>
      <c r="SYG173" s="31"/>
      <c r="SYH173" s="31"/>
      <c r="SYI173" s="31"/>
      <c r="SYJ173" s="31"/>
      <c r="SYK173" s="31"/>
      <c r="SYL173" s="31"/>
      <c r="SYM173" s="31"/>
      <c r="SYN173" s="31"/>
      <c r="SYO173" s="31"/>
      <c r="SYP173" s="31"/>
      <c r="SYQ173" s="31"/>
      <c r="SYR173" s="31"/>
      <c r="SYS173" s="31"/>
      <c r="SYT173" s="31"/>
      <c r="SYU173" s="31"/>
      <c r="SYV173" s="31"/>
      <c r="SYW173" s="31"/>
      <c r="SYX173" s="31"/>
      <c r="SYY173" s="31"/>
      <c r="SYZ173" s="31"/>
      <c r="SZA173" s="31"/>
      <c r="SZB173" s="31"/>
      <c r="SZC173" s="31"/>
      <c r="SZD173" s="31"/>
      <c r="SZE173" s="31"/>
      <c r="SZF173" s="31"/>
      <c r="SZG173" s="31"/>
      <c r="SZH173" s="31"/>
      <c r="SZI173" s="31"/>
      <c r="SZJ173" s="31"/>
      <c r="SZK173" s="31"/>
      <c r="SZL173" s="31"/>
      <c r="SZM173" s="31"/>
      <c r="SZN173" s="31"/>
      <c r="SZO173" s="31"/>
      <c r="SZP173" s="31"/>
      <c r="SZQ173" s="31"/>
      <c r="SZR173" s="31"/>
      <c r="SZS173" s="31"/>
      <c r="SZT173" s="31"/>
      <c r="SZU173" s="31"/>
      <c r="SZV173" s="31"/>
      <c r="SZW173" s="31"/>
      <c r="SZX173" s="31"/>
      <c r="SZY173" s="31"/>
      <c r="SZZ173" s="31"/>
      <c r="TAA173" s="31"/>
      <c r="TAB173" s="31"/>
      <c r="TAC173" s="31"/>
      <c r="TAD173" s="31"/>
      <c r="TAE173" s="31"/>
      <c r="TAF173" s="31"/>
      <c r="TAG173" s="31"/>
      <c r="TAH173" s="31"/>
      <c r="TAI173" s="31"/>
      <c r="TAJ173" s="31"/>
      <c r="TAK173" s="31"/>
      <c r="TAL173" s="31"/>
      <c r="TAM173" s="31"/>
      <c r="TAN173" s="31"/>
      <c r="TAO173" s="31"/>
      <c r="TAP173" s="31"/>
      <c r="TAQ173" s="31"/>
      <c r="TAR173" s="31"/>
      <c r="TAS173" s="31"/>
      <c r="TAT173" s="31"/>
      <c r="TAU173" s="31"/>
      <c r="TAV173" s="31"/>
      <c r="TAW173" s="31"/>
      <c r="TAX173" s="31"/>
      <c r="TAY173" s="31"/>
      <c r="TAZ173" s="31"/>
      <c r="TBA173" s="31"/>
      <c r="TBB173" s="31"/>
      <c r="TBC173" s="31"/>
      <c r="TBD173" s="31"/>
      <c r="TBE173" s="31"/>
      <c r="TBF173" s="31"/>
      <c r="TBG173" s="31"/>
      <c r="TBH173" s="31"/>
      <c r="TBI173" s="31"/>
      <c r="TBJ173" s="31"/>
      <c r="TBK173" s="31"/>
      <c r="TBL173" s="31"/>
      <c r="TBM173" s="31"/>
      <c r="TBN173" s="31"/>
      <c r="TBO173" s="31"/>
      <c r="TBP173" s="31"/>
      <c r="TBQ173" s="31"/>
      <c r="TBR173" s="31"/>
      <c r="TBS173" s="31"/>
      <c r="TBT173" s="31"/>
      <c r="TBU173" s="31"/>
      <c r="TBV173" s="31"/>
      <c r="TBW173" s="31"/>
      <c r="TBX173" s="31"/>
      <c r="TBY173" s="31"/>
      <c r="TBZ173" s="31"/>
      <c r="TCA173" s="31"/>
      <c r="TCB173" s="31"/>
      <c r="TCC173" s="31"/>
      <c r="TCD173" s="31"/>
      <c r="TCE173" s="31"/>
      <c r="TCF173" s="31"/>
      <c r="TCG173" s="31"/>
      <c r="TCH173" s="31"/>
      <c r="TCI173" s="31"/>
      <c r="TCJ173" s="31"/>
      <c r="TCK173" s="31"/>
      <c r="TCL173" s="31"/>
      <c r="TCM173" s="31"/>
      <c r="TCN173" s="31"/>
      <c r="TCO173" s="31"/>
      <c r="TCP173" s="31"/>
      <c r="TCQ173" s="31"/>
      <c r="TCR173" s="31"/>
      <c r="TCS173" s="31"/>
      <c r="TCT173" s="31"/>
      <c r="TCU173" s="31"/>
      <c r="TCV173" s="31"/>
      <c r="TCW173" s="31"/>
      <c r="TCX173" s="31"/>
      <c r="TCY173" s="31"/>
      <c r="TCZ173" s="31"/>
      <c r="TDA173" s="31"/>
      <c r="TDB173" s="31"/>
      <c r="TDC173" s="31"/>
      <c r="TDD173" s="31"/>
      <c r="TDE173" s="31"/>
      <c r="TDF173" s="31"/>
      <c r="TDG173" s="31"/>
      <c r="TDH173" s="31"/>
      <c r="TDI173" s="31"/>
      <c r="TDJ173" s="31"/>
      <c r="TDK173" s="31"/>
      <c r="TDL173" s="31"/>
      <c r="TDM173" s="31"/>
      <c r="TDN173" s="31"/>
      <c r="TDO173" s="31"/>
      <c r="TDP173" s="31"/>
      <c r="TDQ173" s="31"/>
      <c r="TDR173" s="31"/>
      <c r="TDS173" s="31"/>
      <c r="TDT173" s="31"/>
      <c r="TDU173" s="31"/>
      <c r="TDV173" s="31"/>
      <c r="TDW173" s="31"/>
      <c r="TDX173" s="31"/>
      <c r="TDY173" s="31"/>
      <c r="TDZ173" s="31"/>
      <c r="TEA173" s="31"/>
      <c r="TEB173" s="31"/>
      <c r="TEC173" s="31"/>
      <c r="TED173" s="31"/>
      <c r="TEE173" s="31"/>
      <c r="TEF173" s="31"/>
      <c r="TEG173" s="31"/>
      <c r="TEH173" s="31"/>
      <c r="TEI173" s="31"/>
      <c r="TEJ173" s="31"/>
      <c r="TEK173" s="31"/>
      <c r="TEL173" s="31"/>
      <c r="TEM173" s="31"/>
      <c r="TEN173" s="31"/>
      <c r="TEO173" s="31"/>
      <c r="TEP173" s="31"/>
      <c r="TEQ173" s="31"/>
      <c r="TER173" s="31"/>
      <c r="TES173" s="31"/>
      <c r="TET173" s="31"/>
      <c r="TEU173" s="31"/>
      <c r="TEV173" s="31"/>
      <c r="TEW173" s="31"/>
      <c r="TEX173" s="31"/>
      <c r="TEY173" s="31"/>
      <c r="TEZ173" s="31"/>
      <c r="TFA173" s="31"/>
      <c r="TFB173" s="31"/>
      <c r="TFC173" s="31"/>
      <c r="TFD173" s="31"/>
      <c r="TFE173" s="31"/>
      <c r="TFF173" s="31"/>
      <c r="TFG173" s="31"/>
      <c r="TFH173" s="31"/>
      <c r="TFI173" s="31"/>
      <c r="TFJ173" s="31"/>
      <c r="TFK173" s="31"/>
      <c r="TFL173" s="31"/>
      <c r="TFM173" s="31"/>
      <c r="TFN173" s="31"/>
      <c r="TFO173" s="31"/>
      <c r="TFP173" s="31"/>
      <c r="TFQ173" s="31"/>
      <c r="TFR173" s="31"/>
      <c r="TFS173" s="31"/>
      <c r="TFT173" s="31"/>
      <c r="TFU173" s="31"/>
      <c r="TFV173" s="31"/>
      <c r="TFW173" s="31"/>
      <c r="TFX173" s="31"/>
      <c r="TFY173" s="31"/>
      <c r="TFZ173" s="31"/>
      <c r="TGA173" s="31"/>
      <c r="TGB173" s="31"/>
      <c r="TGC173" s="31"/>
      <c r="TGD173" s="31"/>
      <c r="TGE173" s="31"/>
      <c r="TGF173" s="31"/>
      <c r="TGG173" s="31"/>
      <c r="TGH173" s="31"/>
      <c r="TGI173" s="31"/>
      <c r="TGJ173" s="31"/>
      <c r="TGK173" s="31"/>
      <c r="TGL173" s="31"/>
      <c r="TGM173" s="31"/>
      <c r="TGN173" s="31"/>
      <c r="TGO173" s="31"/>
      <c r="TGP173" s="31"/>
      <c r="TGQ173" s="31"/>
      <c r="TGR173" s="31"/>
      <c r="TGS173" s="31"/>
      <c r="TGT173" s="31"/>
      <c r="TGU173" s="31"/>
      <c r="TGV173" s="31"/>
      <c r="TGW173" s="31"/>
      <c r="TGX173" s="31"/>
      <c r="TGY173" s="31"/>
      <c r="TGZ173" s="31"/>
      <c r="THA173" s="31"/>
      <c r="THB173" s="31"/>
      <c r="THC173" s="31"/>
      <c r="THD173" s="31"/>
      <c r="THE173" s="31"/>
      <c r="THF173" s="31"/>
      <c r="THG173" s="31"/>
      <c r="THH173" s="31"/>
      <c r="THI173" s="31"/>
      <c r="THJ173" s="31"/>
      <c r="THK173" s="31"/>
      <c r="THL173" s="31"/>
      <c r="THM173" s="31"/>
      <c r="THN173" s="31"/>
      <c r="THO173" s="31"/>
      <c r="THP173" s="31"/>
      <c r="THQ173" s="31"/>
      <c r="THR173" s="31"/>
      <c r="THS173" s="31"/>
      <c r="THT173" s="31"/>
      <c r="THU173" s="31"/>
      <c r="THV173" s="31"/>
      <c r="THW173" s="31"/>
      <c r="THX173" s="31"/>
      <c r="THY173" s="31"/>
      <c r="THZ173" s="31"/>
      <c r="TIA173" s="31"/>
      <c r="TIB173" s="31"/>
      <c r="TIC173" s="31"/>
      <c r="TID173" s="31"/>
      <c r="TIE173" s="31"/>
      <c r="TIF173" s="31"/>
      <c r="TIG173" s="31"/>
      <c r="TIH173" s="31"/>
      <c r="TII173" s="31"/>
      <c r="TIJ173" s="31"/>
      <c r="TIK173" s="31"/>
      <c r="TIL173" s="31"/>
      <c r="TIM173" s="31"/>
      <c r="TIN173" s="31"/>
      <c r="TIO173" s="31"/>
      <c r="TIP173" s="31"/>
      <c r="TIQ173" s="31"/>
      <c r="TIR173" s="31"/>
      <c r="TIS173" s="31"/>
      <c r="TIT173" s="31"/>
      <c r="TIU173" s="31"/>
      <c r="TIV173" s="31"/>
      <c r="TIW173" s="31"/>
      <c r="TIX173" s="31"/>
      <c r="TIY173" s="31"/>
      <c r="TIZ173" s="31"/>
      <c r="TJA173" s="31"/>
      <c r="TJB173" s="31"/>
      <c r="TJC173" s="31"/>
      <c r="TJD173" s="31"/>
      <c r="TJE173" s="31"/>
      <c r="TJF173" s="31"/>
      <c r="TJG173" s="31"/>
      <c r="TJH173" s="31"/>
      <c r="TJI173" s="31"/>
      <c r="TJJ173" s="31"/>
      <c r="TJK173" s="31"/>
      <c r="TJL173" s="31"/>
      <c r="TJM173" s="31"/>
      <c r="TJN173" s="31"/>
      <c r="TJO173" s="31"/>
      <c r="TJP173" s="31"/>
      <c r="TJQ173" s="31"/>
      <c r="TJR173" s="31"/>
      <c r="TJS173" s="31"/>
      <c r="TJT173" s="31"/>
      <c r="TJU173" s="31"/>
      <c r="TJV173" s="31"/>
      <c r="TJW173" s="31"/>
      <c r="TJX173" s="31"/>
      <c r="TJY173" s="31"/>
      <c r="TJZ173" s="31"/>
      <c r="TKA173" s="31"/>
      <c r="TKB173" s="31"/>
      <c r="TKC173" s="31"/>
      <c r="TKD173" s="31"/>
      <c r="TKE173" s="31"/>
      <c r="TKF173" s="31"/>
      <c r="TKG173" s="31"/>
      <c r="TKH173" s="31"/>
      <c r="TKI173" s="31"/>
      <c r="TKJ173" s="31"/>
      <c r="TKK173" s="31"/>
      <c r="TKL173" s="31"/>
      <c r="TKM173" s="31"/>
      <c r="TKN173" s="31"/>
      <c r="TKO173" s="31"/>
      <c r="TKP173" s="31"/>
      <c r="TKQ173" s="31"/>
      <c r="TKR173" s="31"/>
      <c r="TKS173" s="31"/>
      <c r="TKT173" s="31"/>
      <c r="TKU173" s="31"/>
      <c r="TKV173" s="31"/>
      <c r="TKW173" s="31"/>
      <c r="TKX173" s="31"/>
      <c r="TKY173" s="31"/>
      <c r="TKZ173" s="31"/>
      <c r="TLA173" s="31"/>
      <c r="TLB173" s="31"/>
      <c r="TLC173" s="31"/>
      <c r="TLD173" s="31"/>
      <c r="TLE173" s="31"/>
      <c r="TLF173" s="31"/>
      <c r="TLG173" s="31"/>
      <c r="TLH173" s="31"/>
      <c r="TLI173" s="31"/>
      <c r="TLJ173" s="31"/>
      <c r="TLK173" s="31"/>
      <c r="TLL173" s="31"/>
      <c r="TLM173" s="31"/>
      <c r="TLN173" s="31"/>
      <c r="TLO173" s="31"/>
      <c r="TLP173" s="31"/>
      <c r="TLQ173" s="31"/>
      <c r="TLR173" s="31"/>
      <c r="TLS173" s="31"/>
      <c r="TLT173" s="31"/>
      <c r="TLU173" s="31"/>
      <c r="TLV173" s="31"/>
      <c r="TLW173" s="31"/>
      <c r="TLX173" s="31"/>
      <c r="TLY173" s="31"/>
      <c r="TLZ173" s="31"/>
      <c r="TMA173" s="31"/>
      <c r="TMB173" s="31"/>
      <c r="TMC173" s="31"/>
      <c r="TMD173" s="31"/>
      <c r="TME173" s="31"/>
      <c r="TMF173" s="31"/>
      <c r="TMG173" s="31"/>
      <c r="TMH173" s="31"/>
      <c r="TMI173" s="31"/>
      <c r="TMJ173" s="31"/>
      <c r="TMK173" s="31"/>
      <c r="TML173" s="31"/>
      <c r="TMM173" s="31"/>
      <c r="TMN173" s="31"/>
      <c r="TMO173" s="31"/>
      <c r="TMP173" s="31"/>
      <c r="TMQ173" s="31"/>
      <c r="TMR173" s="31"/>
      <c r="TMS173" s="31"/>
      <c r="TMT173" s="31"/>
      <c r="TMU173" s="31"/>
      <c r="TMV173" s="31"/>
      <c r="TMW173" s="31"/>
      <c r="TMX173" s="31"/>
      <c r="TMY173" s="31"/>
      <c r="TMZ173" s="31"/>
      <c r="TNA173" s="31"/>
      <c r="TNB173" s="31"/>
      <c r="TNC173" s="31"/>
      <c r="TND173" s="31"/>
      <c r="TNE173" s="31"/>
      <c r="TNF173" s="31"/>
      <c r="TNG173" s="31"/>
      <c r="TNH173" s="31"/>
      <c r="TNI173" s="31"/>
      <c r="TNJ173" s="31"/>
      <c r="TNK173" s="31"/>
      <c r="TNL173" s="31"/>
      <c r="TNM173" s="31"/>
      <c r="TNN173" s="31"/>
      <c r="TNO173" s="31"/>
      <c r="TNP173" s="31"/>
      <c r="TNQ173" s="31"/>
      <c r="TNR173" s="31"/>
      <c r="TNS173" s="31"/>
      <c r="TNT173" s="31"/>
      <c r="TNU173" s="31"/>
      <c r="TNV173" s="31"/>
      <c r="TNW173" s="31"/>
      <c r="TNX173" s="31"/>
      <c r="TNY173" s="31"/>
      <c r="TNZ173" s="31"/>
      <c r="TOA173" s="31"/>
      <c r="TOB173" s="31"/>
      <c r="TOC173" s="31"/>
      <c r="TOD173" s="31"/>
      <c r="TOE173" s="31"/>
      <c r="TOF173" s="31"/>
      <c r="TOG173" s="31"/>
      <c r="TOH173" s="31"/>
      <c r="TOI173" s="31"/>
      <c r="TOJ173" s="31"/>
      <c r="TOK173" s="31"/>
      <c r="TOL173" s="31"/>
      <c r="TOM173" s="31"/>
      <c r="TON173" s="31"/>
      <c r="TOO173" s="31"/>
      <c r="TOP173" s="31"/>
      <c r="TOQ173" s="31"/>
      <c r="TOR173" s="31"/>
      <c r="TOS173" s="31"/>
      <c r="TOT173" s="31"/>
      <c r="TOU173" s="31"/>
      <c r="TOV173" s="31"/>
      <c r="TOW173" s="31"/>
      <c r="TOX173" s="31"/>
      <c r="TOY173" s="31"/>
      <c r="TOZ173" s="31"/>
      <c r="TPA173" s="31"/>
      <c r="TPB173" s="31"/>
      <c r="TPC173" s="31"/>
      <c r="TPD173" s="31"/>
      <c r="TPE173" s="31"/>
      <c r="TPF173" s="31"/>
      <c r="TPG173" s="31"/>
      <c r="TPH173" s="31"/>
      <c r="TPI173" s="31"/>
      <c r="TPJ173" s="31"/>
      <c r="TPK173" s="31"/>
      <c r="TPL173" s="31"/>
      <c r="TPM173" s="31"/>
      <c r="TPN173" s="31"/>
      <c r="TPO173" s="31"/>
      <c r="TPP173" s="31"/>
      <c r="TPQ173" s="31"/>
      <c r="TPR173" s="31"/>
      <c r="TPS173" s="31"/>
      <c r="TPT173" s="31"/>
      <c r="TPU173" s="31"/>
      <c r="TPV173" s="31"/>
      <c r="TPW173" s="31"/>
      <c r="TPX173" s="31"/>
      <c r="TPY173" s="31"/>
      <c r="TPZ173" s="31"/>
      <c r="TQA173" s="31"/>
      <c r="TQB173" s="31"/>
      <c r="TQC173" s="31"/>
      <c r="TQD173" s="31"/>
      <c r="TQE173" s="31"/>
      <c r="TQF173" s="31"/>
      <c r="TQG173" s="31"/>
      <c r="TQH173" s="31"/>
      <c r="TQI173" s="31"/>
      <c r="TQJ173" s="31"/>
      <c r="TQK173" s="31"/>
      <c r="TQL173" s="31"/>
      <c r="TQM173" s="31"/>
      <c r="TQN173" s="31"/>
      <c r="TQO173" s="31"/>
      <c r="TQP173" s="31"/>
      <c r="TQQ173" s="31"/>
      <c r="TQR173" s="31"/>
      <c r="TQS173" s="31"/>
      <c r="TQT173" s="31"/>
      <c r="TQU173" s="31"/>
      <c r="TQV173" s="31"/>
      <c r="TQW173" s="31"/>
      <c r="TQX173" s="31"/>
      <c r="TQY173" s="31"/>
      <c r="TQZ173" s="31"/>
      <c r="TRA173" s="31"/>
      <c r="TRB173" s="31"/>
      <c r="TRC173" s="31"/>
      <c r="TRD173" s="31"/>
      <c r="TRE173" s="31"/>
      <c r="TRF173" s="31"/>
      <c r="TRG173" s="31"/>
      <c r="TRH173" s="31"/>
      <c r="TRI173" s="31"/>
      <c r="TRJ173" s="31"/>
      <c r="TRK173" s="31"/>
      <c r="TRL173" s="31"/>
      <c r="TRM173" s="31"/>
      <c r="TRN173" s="31"/>
      <c r="TRO173" s="31"/>
      <c r="TRP173" s="31"/>
      <c r="TRQ173" s="31"/>
      <c r="TRR173" s="31"/>
      <c r="TRS173" s="31"/>
      <c r="TRT173" s="31"/>
      <c r="TRU173" s="31"/>
      <c r="TRV173" s="31"/>
      <c r="TRW173" s="31"/>
      <c r="TRX173" s="31"/>
      <c r="TRY173" s="31"/>
      <c r="TRZ173" s="31"/>
      <c r="TSA173" s="31"/>
      <c r="TSB173" s="31"/>
      <c r="TSC173" s="31"/>
      <c r="TSD173" s="31"/>
      <c r="TSE173" s="31"/>
      <c r="TSF173" s="31"/>
      <c r="TSG173" s="31"/>
      <c r="TSH173" s="31"/>
      <c r="TSI173" s="31"/>
      <c r="TSJ173" s="31"/>
      <c r="TSK173" s="31"/>
      <c r="TSL173" s="31"/>
      <c r="TSM173" s="31"/>
      <c r="TSN173" s="31"/>
      <c r="TSO173" s="31"/>
      <c r="TSP173" s="31"/>
      <c r="TSQ173" s="31"/>
      <c r="TSR173" s="31"/>
      <c r="TSS173" s="31"/>
      <c r="TST173" s="31"/>
      <c r="TSU173" s="31"/>
      <c r="TSV173" s="31"/>
      <c r="TSW173" s="31"/>
      <c r="TSX173" s="31"/>
      <c r="TSY173" s="31"/>
      <c r="TSZ173" s="31"/>
      <c r="TTA173" s="31"/>
      <c r="TTB173" s="31"/>
      <c r="TTC173" s="31"/>
      <c r="TTD173" s="31"/>
      <c r="TTE173" s="31"/>
      <c r="TTF173" s="31"/>
      <c r="TTG173" s="31"/>
      <c r="TTH173" s="31"/>
      <c r="TTI173" s="31"/>
      <c r="TTJ173" s="31"/>
      <c r="TTK173" s="31"/>
      <c r="TTL173" s="31"/>
      <c r="TTM173" s="31"/>
      <c r="TTN173" s="31"/>
      <c r="TTO173" s="31"/>
      <c r="TTP173" s="31"/>
      <c r="TTQ173" s="31"/>
      <c r="TTR173" s="31"/>
      <c r="TTS173" s="31"/>
      <c r="TTT173" s="31"/>
      <c r="TTU173" s="31"/>
      <c r="TTV173" s="31"/>
      <c r="TTW173" s="31"/>
      <c r="TTX173" s="31"/>
      <c r="TTY173" s="31"/>
      <c r="TTZ173" s="31"/>
      <c r="TUA173" s="31"/>
      <c r="TUB173" s="31"/>
      <c r="TUC173" s="31"/>
      <c r="TUD173" s="31"/>
      <c r="TUE173" s="31"/>
      <c r="TUF173" s="31"/>
      <c r="TUG173" s="31"/>
      <c r="TUH173" s="31"/>
      <c r="TUI173" s="31"/>
      <c r="TUJ173" s="31"/>
      <c r="TUK173" s="31"/>
      <c r="TUL173" s="31"/>
      <c r="TUM173" s="31"/>
      <c r="TUN173" s="31"/>
      <c r="TUO173" s="31"/>
      <c r="TUP173" s="31"/>
      <c r="TUQ173" s="31"/>
      <c r="TUR173" s="31"/>
      <c r="TUS173" s="31"/>
      <c r="TUT173" s="31"/>
      <c r="TUU173" s="31"/>
      <c r="TUV173" s="31"/>
      <c r="TUW173" s="31"/>
      <c r="TUX173" s="31"/>
      <c r="TUY173" s="31"/>
      <c r="TUZ173" s="31"/>
      <c r="TVA173" s="31"/>
      <c r="TVB173" s="31"/>
      <c r="TVC173" s="31"/>
      <c r="TVD173" s="31"/>
      <c r="TVE173" s="31"/>
      <c r="TVF173" s="31"/>
      <c r="TVG173" s="31"/>
      <c r="TVH173" s="31"/>
      <c r="TVI173" s="31"/>
      <c r="TVJ173" s="31"/>
      <c r="TVK173" s="31"/>
      <c r="TVL173" s="31"/>
      <c r="TVM173" s="31"/>
      <c r="TVN173" s="31"/>
      <c r="TVO173" s="31"/>
      <c r="TVP173" s="31"/>
      <c r="TVQ173" s="31"/>
      <c r="TVR173" s="31"/>
      <c r="TVS173" s="31"/>
      <c r="TVT173" s="31"/>
      <c r="TVU173" s="31"/>
      <c r="TVV173" s="31"/>
      <c r="TVW173" s="31"/>
      <c r="TVX173" s="31"/>
      <c r="TVY173" s="31"/>
      <c r="TVZ173" s="31"/>
      <c r="TWA173" s="31"/>
      <c r="TWB173" s="31"/>
      <c r="TWC173" s="31"/>
      <c r="TWD173" s="31"/>
      <c r="TWE173" s="31"/>
      <c r="TWF173" s="31"/>
      <c r="TWG173" s="31"/>
      <c r="TWH173" s="31"/>
      <c r="TWI173" s="31"/>
      <c r="TWJ173" s="31"/>
      <c r="TWK173" s="31"/>
      <c r="TWL173" s="31"/>
      <c r="TWM173" s="31"/>
      <c r="TWN173" s="31"/>
      <c r="TWO173" s="31"/>
      <c r="TWP173" s="31"/>
      <c r="TWQ173" s="31"/>
      <c r="TWR173" s="31"/>
      <c r="TWS173" s="31"/>
      <c r="TWT173" s="31"/>
      <c r="TWU173" s="31"/>
      <c r="TWV173" s="31"/>
      <c r="TWW173" s="31"/>
      <c r="TWX173" s="31"/>
      <c r="TWY173" s="31"/>
      <c r="TWZ173" s="31"/>
      <c r="TXA173" s="31"/>
      <c r="TXB173" s="31"/>
      <c r="TXC173" s="31"/>
      <c r="TXD173" s="31"/>
      <c r="TXE173" s="31"/>
      <c r="TXF173" s="31"/>
      <c r="TXG173" s="31"/>
      <c r="TXH173" s="31"/>
      <c r="TXI173" s="31"/>
      <c r="TXJ173" s="31"/>
      <c r="TXK173" s="31"/>
      <c r="TXL173" s="31"/>
      <c r="TXM173" s="31"/>
      <c r="TXN173" s="31"/>
      <c r="TXO173" s="31"/>
      <c r="TXP173" s="31"/>
      <c r="TXQ173" s="31"/>
      <c r="TXR173" s="31"/>
      <c r="TXS173" s="31"/>
      <c r="TXT173" s="31"/>
      <c r="TXU173" s="31"/>
      <c r="TXV173" s="31"/>
      <c r="TXW173" s="31"/>
      <c r="TXX173" s="31"/>
      <c r="TXY173" s="31"/>
      <c r="TXZ173" s="31"/>
      <c r="TYA173" s="31"/>
      <c r="TYB173" s="31"/>
      <c r="TYC173" s="31"/>
      <c r="TYD173" s="31"/>
      <c r="TYE173" s="31"/>
      <c r="TYF173" s="31"/>
      <c r="TYG173" s="31"/>
      <c r="TYH173" s="31"/>
      <c r="TYI173" s="31"/>
      <c r="TYJ173" s="31"/>
      <c r="TYK173" s="31"/>
      <c r="TYL173" s="31"/>
      <c r="TYM173" s="31"/>
      <c r="TYN173" s="31"/>
      <c r="TYO173" s="31"/>
      <c r="TYP173" s="31"/>
      <c r="TYQ173" s="31"/>
      <c r="TYR173" s="31"/>
      <c r="TYS173" s="31"/>
      <c r="TYT173" s="31"/>
      <c r="TYU173" s="31"/>
      <c r="TYV173" s="31"/>
      <c r="TYW173" s="31"/>
      <c r="TYX173" s="31"/>
      <c r="TYY173" s="31"/>
      <c r="TYZ173" s="31"/>
      <c r="TZA173" s="31"/>
      <c r="TZB173" s="31"/>
      <c r="TZC173" s="31"/>
      <c r="TZD173" s="31"/>
      <c r="TZE173" s="31"/>
      <c r="TZF173" s="31"/>
      <c r="TZG173" s="31"/>
      <c r="TZH173" s="31"/>
      <c r="TZI173" s="31"/>
      <c r="TZJ173" s="31"/>
      <c r="TZK173" s="31"/>
      <c r="TZL173" s="31"/>
      <c r="TZM173" s="31"/>
      <c r="TZN173" s="31"/>
      <c r="TZO173" s="31"/>
      <c r="TZP173" s="31"/>
      <c r="TZQ173" s="31"/>
      <c r="TZR173" s="31"/>
      <c r="TZS173" s="31"/>
      <c r="TZT173" s="31"/>
      <c r="TZU173" s="31"/>
      <c r="TZV173" s="31"/>
      <c r="TZW173" s="31"/>
      <c r="TZX173" s="31"/>
      <c r="TZY173" s="31"/>
      <c r="TZZ173" s="31"/>
      <c r="UAA173" s="31"/>
      <c r="UAB173" s="31"/>
      <c r="UAC173" s="31"/>
      <c r="UAD173" s="31"/>
      <c r="UAE173" s="31"/>
      <c r="UAF173" s="31"/>
      <c r="UAG173" s="31"/>
      <c r="UAH173" s="31"/>
      <c r="UAI173" s="31"/>
      <c r="UAJ173" s="31"/>
      <c r="UAK173" s="31"/>
      <c r="UAL173" s="31"/>
      <c r="UAM173" s="31"/>
      <c r="UAN173" s="31"/>
      <c r="UAO173" s="31"/>
      <c r="UAP173" s="31"/>
      <c r="UAQ173" s="31"/>
      <c r="UAR173" s="31"/>
      <c r="UAS173" s="31"/>
      <c r="UAT173" s="31"/>
      <c r="UAU173" s="31"/>
      <c r="UAV173" s="31"/>
      <c r="UAW173" s="31"/>
      <c r="UAX173" s="31"/>
      <c r="UAY173" s="31"/>
      <c r="UAZ173" s="31"/>
      <c r="UBA173" s="31"/>
      <c r="UBB173" s="31"/>
      <c r="UBC173" s="31"/>
      <c r="UBD173" s="31"/>
      <c r="UBE173" s="31"/>
      <c r="UBF173" s="31"/>
      <c r="UBG173" s="31"/>
      <c r="UBH173" s="31"/>
      <c r="UBI173" s="31"/>
      <c r="UBJ173" s="31"/>
      <c r="UBK173" s="31"/>
      <c r="UBL173" s="31"/>
      <c r="UBM173" s="31"/>
      <c r="UBN173" s="31"/>
      <c r="UBO173" s="31"/>
      <c r="UBP173" s="31"/>
      <c r="UBQ173" s="31"/>
      <c r="UBR173" s="31"/>
      <c r="UBS173" s="31"/>
      <c r="UBT173" s="31"/>
      <c r="UBU173" s="31"/>
      <c r="UBV173" s="31"/>
      <c r="UBW173" s="31"/>
      <c r="UBX173" s="31"/>
      <c r="UBY173" s="31"/>
      <c r="UBZ173" s="31"/>
      <c r="UCA173" s="31"/>
      <c r="UCB173" s="31"/>
      <c r="UCC173" s="31"/>
      <c r="UCD173" s="31"/>
      <c r="UCE173" s="31"/>
      <c r="UCF173" s="31"/>
      <c r="UCG173" s="31"/>
      <c r="UCH173" s="31"/>
      <c r="UCI173" s="31"/>
      <c r="UCJ173" s="31"/>
      <c r="UCK173" s="31"/>
      <c r="UCL173" s="31"/>
      <c r="UCM173" s="31"/>
      <c r="UCN173" s="31"/>
      <c r="UCO173" s="31"/>
      <c r="UCP173" s="31"/>
      <c r="UCQ173" s="31"/>
      <c r="UCR173" s="31"/>
      <c r="UCS173" s="31"/>
      <c r="UCT173" s="31"/>
      <c r="UCU173" s="31"/>
      <c r="UCV173" s="31"/>
      <c r="UCW173" s="31"/>
      <c r="UCX173" s="31"/>
      <c r="UCY173" s="31"/>
      <c r="UCZ173" s="31"/>
      <c r="UDA173" s="31"/>
      <c r="UDB173" s="31"/>
      <c r="UDC173" s="31"/>
      <c r="UDD173" s="31"/>
      <c r="UDE173" s="31"/>
      <c r="UDF173" s="31"/>
      <c r="UDG173" s="31"/>
      <c r="UDH173" s="31"/>
      <c r="UDI173" s="31"/>
      <c r="UDJ173" s="31"/>
      <c r="UDK173" s="31"/>
      <c r="UDL173" s="31"/>
      <c r="UDM173" s="31"/>
      <c r="UDN173" s="31"/>
      <c r="UDO173" s="31"/>
      <c r="UDP173" s="31"/>
      <c r="UDQ173" s="31"/>
      <c r="UDR173" s="31"/>
      <c r="UDS173" s="31"/>
      <c r="UDT173" s="31"/>
      <c r="UDU173" s="31"/>
      <c r="UDV173" s="31"/>
      <c r="UDW173" s="31"/>
      <c r="UDX173" s="31"/>
      <c r="UDY173" s="31"/>
      <c r="UDZ173" s="31"/>
      <c r="UEA173" s="31"/>
      <c r="UEB173" s="31"/>
      <c r="UEC173" s="31"/>
      <c r="UED173" s="31"/>
      <c r="UEE173" s="31"/>
      <c r="UEF173" s="31"/>
      <c r="UEG173" s="31"/>
      <c r="UEH173" s="31"/>
      <c r="UEI173" s="31"/>
      <c r="UEJ173" s="31"/>
      <c r="UEK173" s="31"/>
      <c r="UEL173" s="31"/>
      <c r="UEM173" s="31"/>
      <c r="UEN173" s="31"/>
      <c r="UEO173" s="31"/>
      <c r="UEP173" s="31"/>
      <c r="UEQ173" s="31"/>
      <c r="UER173" s="31"/>
      <c r="UES173" s="31"/>
      <c r="UET173" s="31"/>
      <c r="UEU173" s="31"/>
      <c r="UEV173" s="31"/>
      <c r="UEW173" s="31"/>
      <c r="UEX173" s="31"/>
      <c r="UEY173" s="31"/>
      <c r="UEZ173" s="31"/>
      <c r="UFA173" s="31"/>
      <c r="UFB173" s="31"/>
      <c r="UFC173" s="31"/>
      <c r="UFD173" s="31"/>
      <c r="UFE173" s="31"/>
      <c r="UFF173" s="31"/>
      <c r="UFG173" s="31"/>
      <c r="UFH173" s="31"/>
      <c r="UFI173" s="31"/>
      <c r="UFJ173" s="31"/>
      <c r="UFK173" s="31"/>
      <c r="UFL173" s="31"/>
      <c r="UFM173" s="31"/>
      <c r="UFN173" s="31"/>
      <c r="UFO173" s="31"/>
      <c r="UFP173" s="31"/>
      <c r="UFQ173" s="31"/>
      <c r="UFR173" s="31"/>
      <c r="UFS173" s="31"/>
      <c r="UFT173" s="31"/>
      <c r="UFU173" s="31"/>
      <c r="UFV173" s="31"/>
      <c r="UFW173" s="31"/>
      <c r="UFX173" s="31"/>
      <c r="UFY173" s="31"/>
      <c r="UFZ173" s="31"/>
      <c r="UGA173" s="31"/>
      <c r="UGB173" s="31"/>
      <c r="UGC173" s="31"/>
      <c r="UGD173" s="31"/>
      <c r="UGE173" s="31"/>
      <c r="UGF173" s="31"/>
      <c r="UGG173" s="31"/>
      <c r="UGH173" s="31"/>
      <c r="UGI173" s="31"/>
      <c r="UGJ173" s="31"/>
      <c r="UGK173" s="31"/>
      <c r="UGL173" s="31"/>
      <c r="UGM173" s="31"/>
      <c r="UGN173" s="31"/>
      <c r="UGO173" s="31"/>
      <c r="UGP173" s="31"/>
      <c r="UGQ173" s="31"/>
      <c r="UGR173" s="31"/>
      <c r="UGS173" s="31"/>
      <c r="UGT173" s="31"/>
      <c r="UGU173" s="31"/>
      <c r="UGV173" s="31"/>
      <c r="UGW173" s="31"/>
      <c r="UGX173" s="31"/>
      <c r="UGY173" s="31"/>
      <c r="UGZ173" s="31"/>
      <c r="UHA173" s="31"/>
      <c r="UHB173" s="31"/>
      <c r="UHC173" s="31"/>
      <c r="UHD173" s="31"/>
      <c r="UHE173" s="31"/>
      <c r="UHF173" s="31"/>
      <c r="UHG173" s="31"/>
      <c r="UHH173" s="31"/>
      <c r="UHI173" s="31"/>
      <c r="UHJ173" s="31"/>
      <c r="UHK173" s="31"/>
      <c r="UHL173" s="31"/>
      <c r="UHM173" s="31"/>
      <c r="UHN173" s="31"/>
      <c r="UHO173" s="31"/>
      <c r="UHP173" s="31"/>
      <c r="UHQ173" s="31"/>
      <c r="UHR173" s="31"/>
      <c r="UHS173" s="31"/>
      <c r="UHT173" s="31"/>
      <c r="UHU173" s="31"/>
      <c r="UHV173" s="31"/>
      <c r="UHW173" s="31"/>
      <c r="UHX173" s="31"/>
      <c r="UHY173" s="31"/>
      <c r="UHZ173" s="31"/>
      <c r="UIA173" s="31"/>
      <c r="UIB173" s="31"/>
      <c r="UIC173" s="31"/>
      <c r="UID173" s="31"/>
      <c r="UIE173" s="31"/>
      <c r="UIF173" s="31"/>
      <c r="UIG173" s="31"/>
      <c r="UIH173" s="31"/>
      <c r="UII173" s="31"/>
      <c r="UIJ173" s="31"/>
      <c r="UIK173" s="31"/>
      <c r="UIL173" s="31"/>
      <c r="UIM173" s="31"/>
      <c r="UIN173" s="31"/>
      <c r="UIO173" s="31"/>
      <c r="UIP173" s="31"/>
      <c r="UIQ173" s="31"/>
      <c r="UIR173" s="31"/>
      <c r="UIS173" s="31"/>
      <c r="UIT173" s="31"/>
      <c r="UIU173" s="31"/>
      <c r="UIV173" s="31"/>
      <c r="UIW173" s="31"/>
      <c r="UIX173" s="31"/>
      <c r="UIY173" s="31"/>
      <c r="UIZ173" s="31"/>
      <c r="UJA173" s="31"/>
      <c r="UJB173" s="31"/>
      <c r="UJC173" s="31"/>
      <c r="UJD173" s="31"/>
      <c r="UJE173" s="31"/>
      <c r="UJF173" s="31"/>
      <c r="UJG173" s="31"/>
      <c r="UJH173" s="31"/>
      <c r="UJI173" s="31"/>
      <c r="UJJ173" s="31"/>
      <c r="UJK173" s="31"/>
      <c r="UJL173" s="31"/>
      <c r="UJM173" s="31"/>
      <c r="UJN173" s="31"/>
      <c r="UJO173" s="31"/>
      <c r="UJP173" s="31"/>
      <c r="UJQ173" s="31"/>
      <c r="UJR173" s="31"/>
      <c r="UJS173" s="31"/>
      <c r="UJT173" s="31"/>
      <c r="UJU173" s="31"/>
      <c r="UJV173" s="31"/>
      <c r="UJW173" s="31"/>
      <c r="UJX173" s="31"/>
      <c r="UJY173" s="31"/>
      <c r="UJZ173" s="31"/>
      <c r="UKA173" s="31"/>
      <c r="UKB173" s="31"/>
      <c r="UKC173" s="31"/>
      <c r="UKD173" s="31"/>
      <c r="UKE173" s="31"/>
      <c r="UKF173" s="31"/>
      <c r="UKG173" s="31"/>
      <c r="UKH173" s="31"/>
      <c r="UKI173" s="31"/>
      <c r="UKJ173" s="31"/>
      <c r="UKK173" s="31"/>
      <c r="UKL173" s="31"/>
      <c r="UKM173" s="31"/>
      <c r="UKN173" s="31"/>
      <c r="UKO173" s="31"/>
      <c r="UKP173" s="31"/>
      <c r="UKQ173" s="31"/>
      <c r="UKR173" s="31"/>
      <c r="UKS173" s="31"/>
      <c r="UKT173" s="31"/>
      <c r="UKU173" s="31"/>
      <c r="UKV173" s="31"/>
      <c r="UKW173" s="31"/>
      <c r="UKX173" s="31"/>
      <c r="UKY173" s="31"/>
      <c r="UKZ173" s="31"/>
      <c r="ULA173" s="31"/>
      <c r="ULB173" s="31"/>
      <c r="ULC173" s="31"/>
      <c r="ULD173" s="31"/>
      <c r="ULE173" s="31"/>
      <c r="ULF173" s="31"/>
      <c r="ULG173" s="31"/>
      <c r="ULH173" s="31"/>
      <c r="ULI173" s="31"/>
      <c r="ULJ173" s="31"/>
      <c r="ULK173" s="31"/>
      <c r="ULL173" s="31"/>
      <c r="ULM173" s="31"/>
      <c r="ULN173" s="31"/>
      <c r="ULO173" s="31"/>
      <c r="ULP173" s="31"/>
      <c r="ULQ173" s="31"/>
      <c r="ULR173" s="31"/>
      <c r="ULS173" s="31"/>
      <c r="ULT173" s="31"/>
      <c r="ULU173" s="31"/>
      <c r="ULV173" s="31"/>
      <c r="ULW173" s="31"/>
      <c r="ULX173" s="31"/>
      <c r="ULY173" s="31"/>
      <c r="ULZ173" s="31"/>
      <c r="UMA173" s="31"/>
      <c r="UMB173" s="31"/>
      <c r="UMC173" s="31"/>
      <c r="UMD173" s="31"/>
      <c r="UME173" s="31"/>
      <c r="UMF173" s="31"/>
      <c r="UMG173" s="31"/>
      <c r="UMH173" s="31"/>
      <c r="UMI173" s="31"/>
      <c r="UMJ173" s="31"/>
      <c r="UMK173" s="31"/>
      <c r="UML173" s="31"/>
      <c r="UMM173" s="31"/>
      <c r="UMN173" s="31"/>
      <c r="UMO173" s="31"/>
      <c r="UMP173" s="31"/>
      <c r="UMQ173" s="31"/>
      <c r="UMR173" s="31"/>
      <c r="UMS173" s="31"/>
      <c r="UMT173" s="31"/>
      <c r="UMU173" s="31"/>
      <c r="UMV173" s="31"/>
      <c r="UMW173" s="31"/>
      <c r="UMX173" s="31"/>
      <c r="UMY173" s="31"/>
      <c r="UMZ173" s="31"/>
      <c r="UNA173" s="31"/>
      <c r="UNB173" s="31"/>
      <c r="UNC173" s="31"/>
      <c r="UND173" s="31"/>
      <c r="UNE173" s="31"/>
      <c r="UNF173" s="31"/>
      <c r="UNG173" s="31"/>
      <c r="UNH173" s="31"/>
      <c r="UNI173" s="31"/>
      <c r="UNJ173" s="31"/>
      <c r="UNK173" s="31"/>
      <c r="UNL173" s="31"/>
      <c r="UNM173" s="31"/>
      <c r="UNN173" s="31"/>
      <c r="UNO173" s="31"/>
      <c r="UNP173" s="31"/>
      <c r="UNQ173" s="31"/>
      <c r="UNR173" s="31"/>
      <c r="UNS173" s="31"/>
      <c r="UNT173" s="31"/>
      <c r="UNU173" s="31"/>
      <c r="UNV173" s="31"/>
      <c r="UNW173" s="31"/>
      <c r="UNX173" s="31"/>
      <c r="UNY173" s="31"/>
      <c r="UNZ173" s="31"/>
      <c r="UOA173" s="31"/>
      <c r="UOB173" s="31"/>
      <c r="UOC173" s="31"/>
      <c r="UOD173" s="31"/>
      <c r="UOE173" s="31"/>
      <c r="UOF173" s="31"/>
      <c r="UOG173" s="31"/>
      <c r="UOH173" s="31"/>
      <c r="UOI173" s="31"/>
      <c r="UOJ173" s="31"/>
      <c r="UOK173" s="31"/>
      <c r="UOL173" s="31"/>
      <c r="UOM173" s="31"/>
      <c r="UON173" s="31"/>
      <c r="UOO173" s="31"/>
      <c r="UOP173" s="31"/>
      <c r="UOQ173" s="31"/>
      <c r="UOR173" s="31"/>
      <c r="UOS173" s="31"/>
      <c r="UOT173" s="31"/>
      <c r="UOU173" s="31"/>
      <c r="UOV173" s="31"/>
      <c r="UOW173" s="31"/>
      <c r="UOX173" s="31"/>
      <c r="UOY173" s="31"/>
      <c r="UOZ173" s="31"/>
      <c r="UPA173" s="31"/>
      <c r="UPB173" s="31"/>
      <c r="UPC173" s="31"/>
      <c r="UPD173" s="31"/>
      <c r="UPE173" s="31"/>
      <c r="UPF173" s="31"/>
      <c r="UPG173" s="31"/>
      <c r="UPH173" s="31"/>
      <c r="UPI173" s="31"/>
      <c r="UPJ173" s="31"/>
      <c r="UPK173" s="31"/>
      <c r="UPL173" s="31"/>
      <c r="UPM173" s="31"/>
      <c r="UPN173" s="31"/>
      <c r="UPO173" s="31"/>
      <c r="UPP173" s="31"/>
      <c r="UPQ173" s="31"/>
      <c r="UPR173" s="31"/>
      <c r="UPS173" s="31"/>
      <c r="UPT173" s="31"/>
      <c r="UPU173" s="31"/>
      <c r="UPV173" s="31"/>
      <c r="UPW173" s="31"/>
      <c r="UPX173" s="31"/>
      <c r="UPY173" s="31"/>
      <c r="UPZ173" s="31"/>
      <c r="UQA173" s="31"/>
      <c r="UQB173" s="31"/>
      <c r="UQC173" s="31"/>
      <c r="UQD173" s="31"/>
      <c r="UQE173" s="31"/>
      <c r="UQF173" s="31"/>
      <c r="UQG173" s="31"/>
      <c r="UQH173" s="31"/>
      <c r="UQI173" s="31"/>
      <c r="UQJ173" s="31"/>
      <c r="UQK173" s="31"/>
      <c r="UQL173" s="31"/>
      <c r="UQM173" s="31"/>
      <c r="UQN173" s="31"/>
      <c r="UQO173" s="31"/>
      <c r="UQP173" s="31"/>
      <c r="UQQ173" s="31"/>
      <c r="UQR173" s="31"/>
      <c r="UQS173" s="31"/>
      <c r="UQT173" s="31"/>
      <c r="UQU173" s="31"/>
      <c r="UQV173" s="31"/>
      <c r="UQW173" s="31"/>
      <c r="UQX173" s="31"/>
      <c r="UQY173" s="31"/>
      <c r="UQZ173" s="31"/>
      <c r="URA173" s="31"/>
      <c r="URB173" s="31"/>
      <c r="URC173" s="31"/>
      <c r="URD173" s="31"/>
      <c r="URE173" s="31"/>
      <c r="URF173" s="31"/>
      <c r="URG173" s="31"/>
      <c r="URH173" s="31"/>
      <c r="URI173" s="31"/>
      <c r="URJ173" s="31"/>
      <c r="URK173" s="31"/>
      <c r="URL173" s="31"/>
      <c r="URM173" s="31"/>
      <c r="URN173" s="31"/>
      <c r="URO173" s="31"/>
      <c r="URP173" s="31"/>
      <c r="URQ173" s="31"/>
      <c r="URR173" s="31"/>
      <c r="URS173" s="31"/>
      <c r="URT173" s="31"/>
      <c r="URU173" s="31"/>
      <c r="URV173" s="31"/>
      <c r="URW173" s="31"/>
      <c r="URX173" s="31"/>
      <c r="URY173" s="31"/>
      <c r="URZ173" s="31"/>
      <c r="USA173" s="31"/>
      <c r="USB173" s="31"/>
      <c r="USC173" s="31"/>
      <c r="USD173" s="31"/>
      <c r="USE173" s="31"/>
      <c r="USF173" s="31"/>
      <c r="USG173" s="31"/>
      <c r="USH173" s="31"/>
      <c r="USI173" s="31"/>
      <c r="USJ173" s="31"/>
      <c r="USK173" s="31"/>
      <c r="USL173" s="31"/>
      <c r="USM173" s="31"/>
      <c r="USN173" s="31"/>
      <c r="USO173" s="31"/>
      <c r="USP173" s="31"/>
      <c r="USQ173" s="31"/>
      <c r="USR173" s="31"/>
      <c r="USS173" s="31"/>
      <c r="UST173" s="31"/>
      <c r="USU173" s="31"/>
      <c r="USV173" s="31"/>
      <c r="USW173" s="31"/>
      <c r="USX173" s="31"/>
      <c r="USY173" s="31"/>
      <c r="USZ173" s="31"/>
      <c r="UTA173" s="31"/>
      <c r="UTB173" s="31"/>
      <c r="UTC173" s="31"/>
      <c r="UTD173" s="31"/>
      <c r="UTE173" s="31"/>
      <c r="UTF173" s="31"/>
      <c r="UTG173" s="31"/>
      <c r="UTH173" s="31"/>
      <c r="UTI173" s="31"/>
      <c r="UTJ173" s="31"/>
      <c r="UTK173" s="31"/>
      <c r="UTL173" s="31"/>
      <c r="UTM173" s="31"/>
      <c r="UTN173" s="31"/>
      <c r="UTO173" s="31"/>
      <c r="UTP173" s="31"/>
      <c r="UTQ173" s="31"/>
      <c r="UTR173" s="31"/>
      <c r="UTS173" s="31"/>
      <c r="UTT173" s="31"/>
      <c r="UTU173" s="31"/>
      <c r="UTV173" s="31"/>
      <c r="UTW173" s="31"/>
      <c r="UTX173" s="31"/>
      <c r="UTY173" s="31"/>
      <c r="UTZ173" s="31"/>
      <c r="UUA173" s="31"/>
      <c r="UUB173" s="31"/>
      <c r="UUC173" s="31"/>
      <c r="UUD173" s="31"/>
      <c r="UUE173" s="31"/>
      <c r="UUF173" s="31"/>
      <c r="UUG173" s="31"/>
      <c r="UUH173" s="31"/>
      <c r="UUI173" s="31"/>
      <c r="UUJ173" s="31"/>
      <c r="UUK173" s="31"/>
      <c r="UUL173" s="31"/>
      <c r="UUM173" s="31"/>
      <c r="UUN173" s="31"/>
      <c r="UUO173" s="31"/>
      <c r="UUP173" s="31"/>
      <c r="UUQ173" s="31"/>
      <c r="UUR173" s="31"/>
      <c r="UUS173" s="31"/>
      <c r="UUT173" s="31"/>
      <c r="UUU173" s="31"/>
      <c r="UUV173" s="31"/>
      <c r="UUW173" s="31"/>
      <c r="UUX173" s="31"/>
      <c r="UUY173" s="31"/>
      <c r="UUZ173" s="31"/>
      <c r="UVA173" s="31"/>
      <c r="UVB173" s="31"/>
      <c r="UVC173" s="31"/>
      <c r="UVD173" s="31"/>
      <c r="UVE173" s="31"/>
      <c r="UVF173" s="31"/>
      <c r="UVG173" s="31"/>
      <c r="UVH173" s="31"/>
      <c r="UVI173" s="31"/>
      <c r="UVJ173" s="31"/>
      <c r="UVK173" s="31"/>
      <c r="UVL173" s="31"/>
      <c r="UVM173" s="31"/>
      <c r="UVN173" s="31"/>
      <c r="UVO173" s="31"/>
      <c r="UVP173" s="31"/>
      <c r="UVQ173" s="31"/>
      <c r="UVR173" s="31"/>
      <c r="UVS173" s="31"/>
      <c r="UVT173" s="31"/>
      <c r="UVU173" s="31"/>
      <c r="UVV173" s="31"/>
      <c r="UVW173" s="31"/>
      <c r="UVX173" s="31"/>
      <c r="UVY173" s="31"/>
      <c r="UVZ173" s="31"/>
      <c r="UWA173" s="31"/>
      <c r="UWB173" s="31"/>
      <c r="UWC173" s="31"/>
      <c r="UWD173" s="31"/>
      <c r="UWE173" s="31"/>
      <c r="UWF173" s="31"/>
      <c r="UWG173" s="31"/>
      <c r="UWH173" s="31"/>
      <c r="UWI173" s="31"/>
      <c r="UWJ173" s="31"/>
      <c r="UWK173" s="31"/>
      <c r="UWL173" s="31"/>
      <c r="UWM173" s="31"/>
      <c r="UWN173" s="31"/>
      <c r="UWO173" s="31"/>
      <c r="UWP173" s="31"/>
      <c r="UWQ173" s="31"/>
      <c r="UWR173" s="31"/>
      <c r="UWS173" s="31"/>
      <c r="UWT173" s="31"/>
      <c r="UWU173" s="31"/>
      <c r="UWV173" s="31"/>
      <c r="UWW173" s="31"/>
      <c r="UWX173" s="31"/>
      <c r="UWY173" s="31"/>
      <c r="UWZ173" s="31"/>
      <c r="UXA173" s="31"/>
      <c r="UXB173" s="31"/>
      <c r="UXC173" s="31"/>
      <c r="UXD173" s="31"/>
      <c r="UXE173" s="31"/>
      <c r="UXF173" s="31"/>
      <c r="UXG173" s="31"/>
      <c r="UXH173" s="31"/>
      <c r="UXI173" s="31"/>
      <c r="UXJ173" s="31"/>
      <c r="UXK173" s="31"/>
      <c r="UXL173" s="31"/>
      <c r="UXM173" s="31"/>
      <c r="UXN173" s="31"/>
      <c r="UXO173" s="31"/>
      <c r="UXP173" s="31"/>
      <c r="UXQ173" s="31"/>
      <c r="UXR173" s="31"/>
      <c r="UXS173" s="31"/>
      <c r="UXT173" s="31"/>
      <c r="UXU173" s="31"/>
      <c r="UXV173" s="31"/>
      <c r="UXW173" s="31"/>
      <c r="UXX173" s="31"/>
      <c r="UXY173" s="31"/>
      <c r="UXZ173" s="31"/>
      <c r="UYA173" s="31"/>
      <c r="UYB173" s="31"/>
      <c r="UYC173" s="31"/>
      <c r="UYD173" s="31"/>
      <c r="UYE173" s="31"/>
      <c r="UYF173" s="31"/>
      <c r="UYG173" s="31"/>
      <c r="UYH173" s="31"/>
      <c r="UYI173" s="31"/>
      <c r="UYJ173" s="31"/>
      <c r="UYK173" s="31"/>
      <c r="UYL173" s="31"/>
      <c r="UYM173" s="31"/>
      <c r="UYN173" s="31"/>
      <c r="UYO173" s="31"/>
      <c r="UYP173" s="31"/>
      <c r="UYQ173" s="31"/>
      <c r="UYR173" s="31"/>
      <c r="UYS173" s="31"/>
      <c r="UYT173" s="31"/>
      <c r="UYU173" s="31"/>
      <c r="UYV173" s="31"/>
      <c r="UYW173" s="31"/>
      <c r="UYX173" s="31"/>
      <c r="UYY173" s="31"/>
      <c r="UYZ173" s="31"/>
      <c r="UZA173" s="31"/>
      <c r="UZB173" s="31"/>
      <c r="UZC173" s="31"/>
      <c r="UZD173" s="31"/>
      <c r="UZE173" s="31"/>
      <c r="UZF173" s="31"/>
      <c r="UZG173" s="31"/>
      <c r="UZH173" s="31"/>
      <c r="UZI173" s="31"/>
      <c r="UZJ173" s="31"/>
      <c r="UZK173" s="31"/>
      <c r="UZL173" s="31"/>
      <c r="UZM173" s="31"/>
      <c r="UZN173" s="31"/>
      <c r="UZO173" s="31"/>
      <c r="UZP173" s="31"/>
      <c r="UZQ173" s="31"/>
      <c r="UZR173" s="31"/>
      <c r="UZS173" s="31"/>
      <c r="UZT173" s="31"/>
      <c r="UZU173" s="31"/>
      <c r="UZV173" s="31"/>
      <c r="UZW173" s="31"/>
      <c r="UZX173" s="31"/>
      <c r="UZY173" s="31"/>
      <c r="UZZ173" s="31"/>
      <c r="VAA173" s="31"/>
      <c r="VAB173" s="31"/>
      <c r="VAC173" s="31"/>
      <c r="VAD173" s="31"/>
      <c r="VAE173" s="31"/>
      <c r="VAF173" s="31"/>
      <c r="VAG173" s="31"/>
      <c r="VAH173" s="31"/>
      <c r="VAI173" s="31"/>
      <c r="VAJ173" s="31"/>
      <c r="VAK173" s="31"/>
      <c r="VAL173" s="31"/>
      <c r="VAM173" s="31"/>
      <c r="VAN173" s="31"/>
      <c r="VAO173" s="31"/>
      <c r="VAP173" s="31"/>
      <c r="VAQ173" s="31"/>
      <c r="VAR173" s="31"/>
      <c r="VAS173" s="31"/>
      <c r="VAT173" s="31"/>
      <c r="VAU173" s="31"/>
      <c r="VAV173" s="31"/>
      <c r="VAW173" s="31"/>
      <c r="VAX173" s="31"/>
      <c r="VAY173" s="31"/>
      <c r="VAZ173" s="31"/>
      <c r="VBA173" s="31"/>
      <c r="VBB173" s="31"/>
      <c r="VBC173" s="31"/>
      <c r="VBD173" s="31"/>
      <c r="VBE173" s="31"/>
      <c r="VBF173" s="31"/>
      <c r="VBG173" s="31"/>
      <c r="VBH173" s="31"/>
      <c r="VBI173" s="31"/>
      <c r="VBJ173" s="31"/>
      <c r="VBK173" s="31"/>
      <c r="VBL173" s="31"/>
      <c r="VBM173" s="31"/>
      <c r="VBN173" s="31"/>
      <c r="VBO173" s="31"/>
      <c r="VBP173" s="31"/>
      <c r="VBQ173" s="31"/>
      <c r="VBR173" s="31"/>
      <c r="VBS173" s="31"/>
      <c r="VBT173" s="31"/>
      <c r="VBU173" s="31"/>
      <c r="VBV173" s="31"/>
      <c r="VBW173" s="31"/>
      <c r="VBX173" s="31"/>
      <c r="VBY173" s="31"/>
      <c r="VBZ173" s="31"/>
      <c r="VCA173" s="31"/>
      <c r="VCB173" s="31"/>
      <c r="VCC173" s="31"/>
      <c r="VCD173" s="31"/>
      <c r="VCE173" s="31"/>
      <c r="VCF173" s="31"/>
      <c r="VCG173" s="31"/>
      <c r="VCH173" s="31"/>
      <c r="VCI173" s="31"/>
      <c r="VCJ173" s="31"/>
      <c r="VCK173" s="31"/>
      <c r="VCL173" s="31"/>
      <c r="VCM173" s="31"/>
      <c r="VCN173" s="31"/>
      <c r="VCO173" s="31"/>
      <c r="VCP173" s="31"/>
      <c r="VCQ173" s="31"/>
      <c r="VCR173" s="31"/>
      <c r="VCS173" s="31"/>
      <c r="VCT173" s="31"/>
      <c r="VCU173" s="31"/>
      <c r="VCV173" s="31"/>
      <c r="VCW173" s="31"/>
      <c r="VCX173" s="31"/>
      <c r="VCY173" s="31"/>
      <c r="VCZ173" s="31"/>
      <c r="VDA173" s="31"/>
      <c r="VDB173" s="31"/>
      <c r="VDC173" s="31"/>
      <c r="VDD173" s="31"/>
      <c r="VDE173" s="31"/>
      <c r="VDF173" s="31"/>
      <c r="VDG173" s="31"/>
      <c r="VDH173" s="31"/>
      <c r="VDI173" s="31"/>
      <c r="VDJ173" s="31"/>
      <c r="VDK173" s="31"/>
      <c r="VDL173" s="31"/>
      <c r="VDM173" s="31"/>
      <c r="VDN173" s="31"/>
      <c r="VDO173" s="31"/>
      <c r="VDP173" s="31"/>
      <c r="VDQ173" s="31"/>
      <c r="VDR173" s="31"/>
      <c r="VDS173" s="31"/>
      <c r="VDT173" s="31"/>
      <c r="VDU173" s="31"/>
      <c r="VDV173" s="31"/>
      <c r="VDW173" s="31"/>
      <c r="VDX173" s="31"/>
      <c r="VDY173" s="31"/>
      <c r="VDZ173" s="31"/>
      <c r="VEA173" s="31"/>
      <c r="VEB173" s="31"/>
      <c r="VEC173" s="31"/>
      <c r="VED173" s="31"/>
      <c r="VEE173" s="31"/>
      <c r="VEF173" s="31"/>
      <c r="VEG173" s="31"/>
      <c r="VEH173" s="31"/>
      <c r="VEI173" s="31"/>
      <c r="VEJ173" s="31"/>
      <c r="VEK173" s="31"/>
      <c r="VEL173" s="31"/>
      <c r="VEM173" s="31"/>
      <c r="VEN173" s="31"/>
      <c r="VEO173" s="31"/>
      <c r="VEP173" s="31"/>
      <c r="VEQ173" s="31"/>
      <c r="VER173" s="31"/>
      <c r="VES173" s="31"/>
      <c r="VET173" s="31"/>
      <c r="VEU173" s="31"/>
      <c r="VEV173" s="31"/>
      <c r="VEW173" s="31"/>
      <c r="VEX173" s="31"/>
      <c r="VEY173" s="31"/>
      <c r="VEZ173" s="31"/>
      <c r="VFA173" s="31"/>
      <c r="VFB173" s="31"/>
      <c r="VFC173" s="31"/>
      <c r="VFD173" s="31"/>
      <c r="VFE173" s="31"/>
      <c r="VFF173" s="31"/>
      <c r="VFG173" s="31"/>
      <c r="VFH173" s="31"/>
      <c r="VFI173" s="31"/>
      <c r="VFJ173" s="31"/>
      <c r="VFK173" s="31"/>
      <c r="VFL173" s="31"/>
      <c r="VFM173" s="31"/>
      <c r="VFN173" s="31"/>
      <c r="VFO173" s="31"/>
      <c r="VFP173" s="31"/>
      <c r="VFQ173" s="31"/>
      <c r="VFR173" s="31"/>
      <c r="VFS173" s="31"/>
      <c r="VFT173" s="31"/>
      <c r="VFU173" s="31"/>
      <c r="VFV173" s="31"/>
      <c r="VFW173" s="31"/>
      <c r="VFX173" s="31"/>
      <c r="VFY173" s="31"/>
      <c r="VFZ173" s="31"/>
      <c r="VGA173" s="31"/>
      <c r="VGB173" s="31"/>
      <c r="VGC173" s="31"/>
      <c r="VGD173" s="31"/>
      <c r="VGE173" s="31"/>
      <c r="VGF173" s="31"/>
      <c r="VGG173" s="31"/>
      <c r="VGH173" s="31"/>
      <c r="VGI173" s="31"/>
      <c r="VGJ173" s="31"/>
      <c r="VGK173" s="31"/>
      <c r="VGL173" s="31"/>
      <c r="VGM173" s="31"/>
      <c r="VGN173" s="31"/>
      <c r="VGO173" s="31"/>
      <c r="VGP173" s="31"/>
      <c r="VGQ173" s="31"/>
      <c r="VGR173" s="31"/>
      <c r="VGS173" s="31"/>
      <c r="VGT173" s="31"/>
      <c r="VGU173" s="31"/>
      <c r="VGV173" s="31"/>
      <c r="VGW173" s="31"/>
      <c r="VGX173" s="31"/>
      <c r="VGY173" s="31"/>
      <c r="VGZ173" s="31"/>
      <c r="VHA173" s="31"/>
      <c r="VHB173" s="31"/>
      <c r="VHC173" s="31"/>
      <c r="VHD173" s="31"/>
      <c r="VHE173" s="31"/>
      <c r="VHF173" s="31"/>
      <c r="VHG173" s="31"/>
      <c r="VHH173" s="31"/>
      <c r="VHI173" s="31"/>
      <c r="VHJ173" s="31"/>
      <c r="VHK173" s="31"/>
      <c r="VHL173" s="31"/>
      <c r="VHM173" s="31"/>
      <c r="VHN173" s="31"/>
      <c r="VHO173" s="31"/>
      <c r="VHP173" s="31"/>
      <c r="VHQ173" s="31"/>
      <c r="VHR173" s="31"/>
      <c r="VHS173" s="31"/>
      <c r="VHT173" s="31"/>
      <c r="VHU173" s="31"/>
      <c r="VHV173" s="31"/>
      <c r="VHW173" s="31"/>
      <c r="VHX173" s="31"/>
      <c r="VHY173" s="31"/>
      <c r="VHZ173" s="31"/>
      <c r="VIA173" s="31"/>
      <c r="VIB173" s="31"/>
      <c r="VIC173" s="31"/>
      <c r="VID173" s="31"/>
      <c r="VIE173" s="31"/>
      <c r="VIF173" s="31"/>
      <c r="VIG173" s="31"/>
      <c r="VIH173" s="31"/>
      <c r="VII173" s="31"/>
      <c r="VIJ173" s="31"/>
      <c r="VIK173" s="31"/>
      <c r="VIL173" s="31"/>
      <c r="VIM173" s="31"/>
      <c r="VIN173" s="31"/>
      <c r="VIO173" s="31"/>
      <c r="VIP173" s="31"/>
      <c r="VIQ173" s="31"/>
      <c r="VIR173" s="31"/>
      <c r="VIS173" s="31"/>
      <c r="VIT173" s="31"/>
      <c r="VIU173" s="31"/>
      <c r="VIV173" s="31"/>
      <c r="VIW173" s="31"/>
      <c r="VIX173" s="31"/>
      <c r="VIY173" s="31"/>
      <c r="VIZ173" s="31"/>
      <c r="VJA173" s="31"/>
      <c r="VJB173" s="31"/>
      <c r="VJC173" s="31"/>
      <c r="VJD173" s="31"/>
      <c r="VJE173" s="31"/>
      <c r="VJF173" s="31"/>
      <c r="VJG173" s="31"/>
      <c r="VJH173" s="31"/>
      <c r="VJI173" s="31"/>
      <c r="VJJ173" s="31"/>
      <c r="VJK173" s="31"/>
      <c r="VJL173" s="31"/>
      <c r="VJM173" s="31"/>
      <c r="VJN173" s="31"/>
      <c r="VJO173" s="31"/>
      <c r="VJP173" s="31"/>
      <c r="VJQ173" s="31"/>
      <c r="VJR173" s="31"/>
      <c r="VJS173" s="31"/>
      <c r="VJT173" s="31"/>
      <c r="VJU173" s="31"/>
      <c r="VJV173" s="31"/>
      <c r="VJW173" s="31"/>
      <c r="VJX173" s="31"/>
      <c r="VJY173" s="31"/>
      <c r="VJZ173" s="31"/>
      <c r="VKA173" s="31"/>
      <c r="VKB173" s="31"/>
      <c r="VKC173" s="31"/>
      <c r="VKD173" s="31"/>
      <c r="VKE173" s="31"/>
      <c r="VKF173" s="31"/>
      <c r="VKG173" s="31"/>
      <c r="VKH173" s="31"/>
      <c r="VKI173" s="31"/>
      <c r="VKJ173" s="31"/>
      <c r="VKK173" s="31"/>
      <c r="VKL173" s="31"/>
      <c r="VKM173" s="31"/>
      <c r="VKN173" s="31"/>
      <c r="VKO173" s="31"/>
      <c r="VKP173" s="31"/>
      <c r="VKQ173" s="31"/>
      <c r="VKR173" s="31"/>
      <c r="VKS173" s="31"/>
      <c r="VKT173" s="31"/>
      <c r="VKU173" s="31"/>
      <c r="VKV173" s="31"/>
      <c r="VKW173" s="31"/>
      <c r="VKX173" s="31"/>
      <c r="VKY173" s="31"/>
      <c r="VKZ173" s="31"/>
      <c r="VLA173" s="31"/>
      <c r="VLB173" s="31"/>
      <c r="VLC173" s="31"/>
      <c r="VLD173" s="31"/>
      <c r="VLE173" s="31"/>
      <c r="VLF173" s="31"/>
      <c r="VLG173" s="31"/>
      <c r="VLH173" s="31"/>
      <c r="VLI173" s="31"/>
      <c r="VLJ173" s="31"/>
      <c r="VLK173" s="31"/>
      <c r="VLL173" s="31"/>
      <c r="VLM173" s="31"/>
      <c r="VLN173" s="31"/>
      <c r="VLO173" s="31"/>
      <c r="VLP173" s="31"/>
      <c r="VLQ173" s="31"/>
      <c r="VLR173" s="31"/>
      <c r="VLS173" s="31"/>
      <c r="VLT173" s="31"/>
      <c r="VLU173" s="31"/>
      <c r="VLV173" s="31"/>
      <c r="VLW173" s="31"/>
      <c r="VLX173" s="31"/>
      <c r="VLY173" s="31"/>
      <c r="VLZ173" s="31"/>
      <c r="VMA173" s="31"/>
      <c r="VMB173" s="31"/>
      <c r="VMC173" s="31"/>
      <c r="VMD173" s="31"/>
      <c r="VME173" s="31"/>
      <c r="VMF173" s="31"/>
      <c r="VMG173" s="31"/>
      <c r="VMH173" s="31"/>
      <c r="VMI173" s="31"/>
      <c r="VMJ173" s="31"/>
      <c r="VMK173" s="31"/>
      <c r="VML173" s="31"/>
      <c r="VMM173" s="31"/>
      <c r="VMN173" s="31"/>
      <c r="VMO173" s="31"/>
      <c r="VMP173" s="31"/>
      <c r="VMQ173" s="31"/>
      <c r="VMR173" s="31"/>
      <c r="VMS173" s="31"/>
      <c r="VMT173" s="31"/>
      <c r="VMU173" s="31"/>
      <c r="VMV173" s="31"/>
      <c r="VMW173" s="31"/>
      <c r="VMX173" s="31"/>
      <c r="VMY173" s="31"/>
      <c r="VMZ173" s="31"/>
      <c r="VNA173" s="31"/>
      <c r="VNB173" s="31"/>
      <c r="VNC173" s="31"/>
      <c r="VND173" s="31"/>
      <c r="VNE173" s="31"/>
      <c r="VNF173" s="31"/>
      <c r="VNG173" s="31"/>
      <c r="VNH173" s="31"/>
      <c r="VNI173" s="31"/>
      <c r="VNJ173" s="31"/>
      <c r="VNK173" s="31"/>
      <c r="VNL173" s="31"/>
      <c r="VNM173" s="31"/>
      <c r="VNN173" s="31"/>
      <c r="VNO173" s="31"/>
      <c r="VNP173" s="31"/>
      <c r="VNQ173" s="31"/>
      <c r="VNR173" s="31"/>
      <c r="VNS173" s="31"/>
      <c r="VNT173" s="31"/>
      <c r="VNU173" s="31"/>
      <c r="VNV173" s="31"/>
      <c r="VNW173" s="31"/>
      <c r="VNX173" s="31"/>
      <c r="VNY173" s="31"/>
      <c r="VNZ173" s="31"/>
      <c r="VOA173" s="31"/>
      <c r="VOB173" s="31"/>
      <c r="VOC173" s="31"/>
      <c r="VOD173" s="31"/>
      <c r="VOE173" s="31"/>
      <c r="VOF173" s="31"/>
      <c r="VOG173" s="31"/>
      <c r="VOH173" s="31"/>
      <c r="VOI173" s="31"/>
      <c r="VOJ173" s="31"/>
      <c r="VOK173" s="31"/>
      <c r="VOL173" s="31"/>
      <c r="VOM173" s="31"/>
      <c r="VON173" s="31"/>
      <c r="VOO173" s="31"/>
      <c r="VOP173" s="31"/>
      <c r="VOQ173" s="31"/>
      <c r="VOR173" s="31"/>
      <c r="VOS173" s="31"/>
      <c r="VOT173" s="31"/>
      <c r="VOU173" s="31"/>
      <c r="VOV173" s="31"/>
      <c r="VOW173" s="31"/>
      <c r="VOX173" s="31"/>
      <c r="VOY173" s="31"/>
      <c r="VOZ173" s="31"/>
      <c r="VPA173" s="31"/>
      <c r="VPB173" s="31"/>
      <c r="VPC173" s="31"/>
      <c r="VPD173" s="31"/>
      <c r="VPE173" s="31"/>
      <c r="VPF173" s="31"/>
      <c r="VPG173" s="31"/>
      <c r="VPH173" s="31"/>
      <c r="VPI173" s="31"/>
      <c r="VPJ173" s="31"/>
      <c r="VPK173" s="31"/>
      <c r="VPL173" s="31"/>
      <c r="VPM173" s="31"/>
      <c r="VPN173" s="31"/>
      <c r="VPO173" s="31"/>
      <c r="VPP173" s="31"/>
      <c r="VPQ173" s="31"/>
      <c r="VPR173" s="31"/>
      <c r="VPS173" s="31"/>
      <c r="VPT173" s="31"/>
      <c r="VPU173" s="31"/>
      <c r="VPV173" s="31"/>
      <c r="VPW173" s="31"/>
      <c r="VPX173" s="31"/>
      <c r="VPY173" s="31"/>
      <c r="VPZ173" s="31"/>
      <c r="VQA173" s="31"/>
      <c r="VQB173" s="31"/>
      <c r="VQC173" s="31"/>
      <c r="VQD173" s="31"/>
      <c r="VQE173" s="31"/>
      <c r="VQF173" s="31"/>
      <c r="VQG173" s="31"/>
      <c r="VQH173" s="31"/>
      <c r="VQI173" s="31"/>
      <c r="VQJ173" s="31"/>
      <c r="VQK173" s="31"/>
      <c r="VQL173" s="31"/>
      <c r="VQM173" s="31"/>
      <c r="VQN173" s="31"/>
      <c r="VQO173" s="31"/>
      <c r="VQP173" s="31"/>
      <c r="VQQ173" s="31"/>
      <c r="VQR173" s="31"/>
      <c r="VQS173" s="31"/>
      <c r="VQT173" s="31"/>
      <c r="VQU173" s="31"/>
      <c r="VQV173" s="31"/>
      <c r="VQW173" s="31"/>
      <c r="VQX173" s="31"/>
      <c r="VQY173" s="31"/>
      <c r="VQZ173" s="31"/>
      <c r="VRA173" s="31"/>
      <c r="VRB173" s="31"/>
      <c r="VRC173" s="31"/>
      <c r="VRD173" s="31"/>
      <c r="VRE173" s="31"/>
      <c r="VRF173" s="31"/>
      <c r="VRG173" s="31"/>
      <c r="VRH173" s="31"/>
      <c r="VRI173" s="31"/>
      <c r="VRJ173" s="31"/>
      <c r="VRK173" s="31"/>
      <c r="VRL173" s="31"/>
      <c r="VRM173" s="31"/>
      <c r="VRN173" s="31"/>
      <c r="VRO173" s="31"/>
      <c r="VRP173" s="31"/>
      <c r="VRQ173" s="31"/>
      <c r="VRR173" s="31"/>
      <c r="VRS173" s="31"/>
      <c r="VRT173" s="31"/>
      <c r="VRU173" s="31"/>
      <c r="VRV173" s="31"/>
      <c r="VRW173" s="31"/>
      <c r="VRX173" s="31"/>
      <c r="VRY173" s="31"/>
      <c r="VRZ173" s="31"/>
      <c r="VSA173" s="31"/>
      <c r="VSB173" s="31"/>
      <c r="VSC173" s="31"/>
      <c r="VSD173" s="31"/>
      <c r="VSE173" s="31"/>
      <c r="VSF173" s="31"/>
      <c r="VSG173" s="31"/>
      <c r="VSH173" s="31"/>
      <c r="VSI173" s="31"/>
      <c r="VSJ173" s="31"/>
      <c r="VSK173" s="31"/>
      <c r="VSL173" s="31"/>
      <c r="VSM173" s="31"/>
      <c r="VSN173" s="31"/>
      <c r="VSO173" s="31"/>
      <c r="VSP173" s="31"/>
      <c r="VSQ173" s="31"/>
      <c r="VSR173" s="31"/>
      <c r="VSS173" s="31"/>
      <c r="VST173" s="31"/>
      <c r="VSU173" s="31"/>
      <c r="VSV173" s="31"/>
      <c r="VSW173" s="31"/>
      <c r="VSX173" s="31"/>
      <c r="VSY173" s="31"/>
      <c r="VSZ173" s="31"/>
      <c r="VTA173" s="31"/>
      <c r="VTB173" s="31"/>
      <c r="VTC173" s="31"/>
      <c r="VTD173" s="31"/>
      <c r="VTE173" s="31"/>
      <c r="VTF173" s="31"/>
      <c r="VTG173" s="31"/>
      <c r="VTH173" s="31"/>
      <c r="VTI173" s="31"/>
      <c r="VTJ173" s="31"/>
      <c r="VTK173" s="31"/>
      <c r="VTL173" s="31"/>
      <c r="VTM173" s="31"/>
      <c r="VTN173" s="31"/>
      <c r="VTO173" s="31"/>
      <c r="VTP173" s="31"/>
      <c r="VTQ173" s="31"/>
      <c r="VTR173" s="31"/>
      <c r="VTS173" s="31"/>
      <c r="VTT173" s="31"/>
      <c r="VTU173" s="31"/>
      <c r="VTV173" s="31"/>
      <c r="VTW173" s="31"/>
      <c r="VTX173" s="31"/>
      <c r="VTY173" s="31"/>
      <c r="VTZ173" s="31"/>
      <c r="VUA173" s="31"/>
      <c r="VUB173" s="31"/>
      <c r="VUC173" s="31"/>
      <c r="VUD173" s="31"/>
      <c r="VUE173" s="31"/>
      <c r="VUF173" s="31"/>
      <c r="VUG173" s="31"/>
      <c r="VUH173" s="31"/>
      <c r="VUI173" s="31"/>
      <c r="VUJ173" s="31"/>
      <c r="VUK173" s="31"/>
      <c r="VUL173" s="31"/>
      <c r="VUM173" s="31"/>
      <c r="VUN173" s="31"/>
      <c r="VUO173" s="31"/>
      <c r="VUP173" s="31"/>
      <c r="VUQ173" s="31"/>
      <c r="VUR173" s="31"/>
      <c r="VUS173" s="31"/>
      <c r="VUT173" s="31"/>
      <c r="VUU173" s="31"/>
      <c r="VUV173" s="31"/>
      <c r="VUW173" s="31"/>
      <c r="VUX173" s="31"/>
      <c r="VUY173" s="31"/>
      <c r="VUZ173" s="31"/>
      <c r="VVA173" s="31"/>
      <c r="VVB173" s="31"/>
      <c r="VVC173" s="31"/>
      <c r="VVD173" s="31"/>
      <c r="VVE173" s="31"/>
      <c r="VVF173" s="31"/>
      <c r="VVG173" s="31"/>
      <c r="VVH173" s="31"/>
      <c r="VVI173" s="31"/>
      <c r="VVJ173" s="31"/>
      <c r="VVK173" s="31"/>
      <c r="VVL173" s="31"/>
      <c r="VVM173" s="31"/>
      <c r="VVN173" s="31"/>
      <c r="VVO173" s="31"/>
      <c r="VVP173" s="31"/>
      <c r="VVQ173" s="31"/>
      <c r="VVR173" s="31"/>
      <c r="VVS173" s="31"/>
      <c r="VVT173" s="31"/>
      <c r="VVU173" s="31"/>
      <c r="VVV173" s="31"/>
      <c r="VVW173" s="31"/>
      <c r="VVX173" s="31"/>
      <c r="VVY173" s="31"/>
      <c r="VVZ173" s="31"/>
      <c r="VWA173" s="31"/>
      <c r="VWB173" s="31"/>
      <c r="VWC173" s="31"/>
      <c r="VWD173" s="31"/>
      <c r="VWE173" s="31"/>
      <c r="VWF173" s="31"/>
      <c r="VWG173" s="31"/>
      <c r="VWH173" s="31"/>
      <c r="VWI173" s="31"/>
      <c r="VWJ173" s="31"/>
      <c r="VWK173" s="31"/>
      <c r="VWL173" s="31"/>
      <c r="VWM173" s="31"/>
      <c r="VWN173" s="31"/>
      <c r="VWO173" s="31"/>
      <c r="VWP173" s="31"/>
      <c r="VWQ173" s="31"/>
      <c r="VWR173" s="31"/>
      <c r="VWS173" s="31"/>
      <c r="VWT173" s="31"/>
      <c r="VWU173" s="31"/>
      <c r="VWV173" s="31"/>
      <c r="VWW173" s="31"/>
      <c r="VWX173" s="31"/>
      <c r="VWY173" s="31"/>
      <c r="VWZ173" s="31"/>
      <c r="VXA173" s="31"/>
      <c r="VXB173" s="31"/>
      <c r="VXC173" s="31"/>
      <c r="VXD173" s="31"/>
      <c r="VXE173" s="31"/>
      <c r="VXF173" s="31"/>
      <c r="VXG173" s="31"/>
      <c r="VXH173" s="31"/>
      <c r="VXI173" s="31"/>
      <c r="VXJ173" s="31"/>
      <c r="VXK173" s="31"/>
      <c r="VXL173" s="31"/>
      <c r="VXM173" s="31"/>
      <c r="VXN173" s="31"/>
      <c r="VXO173" s="31"/>
      <c r="VXP173" s="31"/>
      <c r="VXQ173" s="31"/>
      <c r="VXR173" s="31"/>
      <c r="VXS173" s="31"/>
      <c r="VXT173" s="31"/>
      <c r="VXU173" s="31"/>
      <c r="VXV173" s="31"/>
      <c r="VXW173" s="31"/>
      <c r="VXX173" s="31"/>
      <c r="VXY173" s="31"/>
      <c r="VXZ173" s="31"/>
      <c r="VYA173" s="31"/>
      <c r="VYB173" s="31"/>
      <c r="VYC173" s="31"/>
      <c r="VYD173" s="31"/>
      <c r="VYE173" s="31"/>
      <c r="VYF173" s="31"/>
      <c r="VYG173" s="31"/>
      <c r="VYH173" s="31"/>
      <c r="VYI173" s="31"/>
      <c r="VYJ173" s="31"/>
      <c r="VYK173" s="31"/>
      <c r="VYL173" s="31"/>
      <c r="VYM173" s="31"/>
      <c r="VYN173" s="31"/>
      <c r="VYO173" s="31"/>
      <c r="VYP173" s="31"/>
      <c r="VYQ173" s="31"/>
      <c r="VYR173" s="31"/>
      <c r="VYS173" s="31"/>
      <c r="VYT173" s="31"/>
      <c r="VYU173" s="31"/>
      <c r="VYV173" s="31"/>
      <c r="VYW173" s="31"/>
      <c r="VYX173" s="31"/>
      <c r="VYY173" s="31"/>
      <c r="VYZ173" s="31"/>
      <c r="VZA173" s="31"/>
      <c r="VZB173" s="31"/>
      <c r="VZC173" s="31"/>
      <c r="VZD173" s="31"/>
      <c r="VZE173" s="31"/>
      <c r="VZF173" s="31"/>
      <c r="VZG173" s="31"/>
      <c r="VZH173" s="31"/>
      <c r="VZI173" s="31"/>
      <c r="VZJ173" s="31"/>
      <c r="VZK173" s="31"/>
      <c r="VZL173" s="31"/>
      <c r="VZM173" s="31"/>
      <c r="VZN173" s="31"/>
      <c r="VZO173" s="31"/>
      <c r="VZP173" s="31"/>
      <c r="VZQ173" s="31"/>
      <c r="VZR173" s="31"/>
      <c r="VZS173" s="31"/>
      <c r="VZT173" s="31"/>
      <c r="VZU173" s="31"/>
      <c r="VZV173" s="31"/>
      <c r="VZW173" s="31"/>
      <c r="VZX173" s="31"/>
      <c r="VZY173" s="31"/>
      <c r="VZZ173" s="31"/>
      <c r="WAA173" s="31"/>
      <c r="WAB173" s="31"/>
      <c r="WAC173" s="31"/>
      <c r="WAD173" s="31"/>
      <c r="WAE173" s="31"/>
      <c r="WAF173" s="31"/>
      <c r="WAG173" s="31"/>
      <c r="WAH173" s="31"/>
      <c r="WAI173" s="31"/>
      <c r="WAJ173" s="31"/>
      <c r="WAK173" s="31"/>
      <c r="WAL173" s="31"/>
      <c r="WAM173" s="31"/>
      <c r="WAN173" s="31"/>
      <c r="WAO173" s="31"/>
      <c r="WAP173" s="31"/>
      <c r="WAQ173" s="31"/>
      <c r="WAR173" s="31"/>
      <c r="WAS173" s="31"/>
      <c r="WAT173" s="31"/>
      <c r="WAU173" s="31"/>
      <c r="WAV173" s="31"/>
      <c r="WAW173" s="31"/>
      <c r="WAX173" s="31"/>
      <c r="WAY173" s="31"/>
      <c r="WAZ173" s="31"/>
      <c r="WBA173" s="31"/>
      <c r="WBB173" s="31"/>
      <c r="WBC173" s="31"/>
      <c r="WBD173" s="31"/>
      <c r="WBE173" s="31"/>
      <c r="WBF173" s="31"/>
      <c r="WBG173" s="31"/>
      <c r="WBH173" s="31"/>
      <c r="WBI173" s="31"/>
      <c r="WBJ173" s="31"/>
      <c r="WBK173" s="31"/>
      <c r="WBL173" s="31"/>
      <c r="WBM173" s="31"/>
      <c r="WBN173" s="31"/>
      <c r="WBO173" s="31"/>
      <c r="WBP173" s="31"/>
      <c r="WBQ173" s="31"/>
      <c r="WBR173" s="31"/>
      <c r="WBS173" s="31"/>
      <c r="WBT173" s="31"/>
      <c r="WBU173" s="31"/>
      <c r="WBV173" s="31"/>
      <c r="WBW173" s="31"/>
      <c r="WBX173" s="31"/>
      <c r="WBY173" s="31"/>
      <c r="WBZ173" s="31"/>
      <c r="WCA173" s="31"/>
      <c r="WCB173" s="31"/>
      <c r="WCC173" s="31"/>
      <c r="WCD173" s="31"/>
      <c r="WCE173" s="31"/>
      <c r="WCF173" s="31"/>
      <c r="WCG173" s="31"/>
      <c r="WCH173" s="31"/>
      <c r="WCI173" s="31"/>
      <c r="WCJ173" s="31"/>
      <c r="WCK173" s="31"/>
      <c r="WCL173" s="31"/>
      <c r="WCM173" s="31"/>
      <c r="WCN173" s="31"/>
      <c r="WCO173" s="31"/>
      <c r="WCP173" s="31"/>
      <c r="WCQ173" s="31"/>
      <c r="WCR173" s="31"/>
      <c r="WCS173" s="31"/>
      <c r="WCT173" s="31"/>
      <c r="WCU173" s="31"/>
      <c r="WCV173" s="31"/>
      <c r="WCW173" s="31"/>
      <c r="WCX173" s="31"/>
      <c r="WCY173" s="31"/>
      <c r="WCZ173" s="31"/>
      <c r="WDA173" s="31"/>
      <c r="WDB173" s="31"/>
      <c r="WDC173" s="31"/>
      <c r="WDD173" s="31"/>
      <c r="WDE173" s="31"/>
      <c r="WDF173" s="31"/>
      <c r="WDG173" s="31"/>
      <c r="WDH173" s="31"/>
      <c r="WDI173" s="31"/>
      <c r="WDJ173" s="31"/>
      <c r="WDK173" s="31"/>
      <c r="WDL173" s="31"/>
      <c r="WDM173" s="31"/>
      <c r="WDN173" s="31"/>
      <c r="WDO173" s="31"/>
      <c r="WDP173" s="31"/>
      <c r="WDQ173" s="31"/>
      <c r="WDR173" s="31"/>
      <c r="WDS173" s="31"/>
      <c r="WDT173" s="31"/>
      <c r="WDU173" s="31"/>
      <c r="WDV173" s="31"/>
      <c r="WDW173" s="31"/>
      <c r="WDX173" s="31"/>
      <c r="WDY173" s="31"/>
      <c r="WDZ173" s="31"/>
      <c r="WEA173" s="31"/>
      <c r="WEB173" s="31"/>
      <c r="WEC173" s="31"/>
      <c r="WED173" s="31"/>
      <c r="WEE173" s="31"/>
      <c r="WEF173" s="31"/>
      <c r="WEG173" s="31"/>
      <c r="WEH173" s="31"/>
      <c r="WEI173" s="31"/>
      <c r="WEJ173" s="31"/>
      <c r="WEK173" s="31"/>
      <c r="WEL173" s="31"/>
      <c r="WEM173" s="31"/>
      <c r="WEN173" s="31"/>
      <c r="WEO173" s="31"/>
      <c r="WEP173" s="31"/>
      <c r="WEQ173" s="31"/>
      <c r="WER173" s="31"/>
      <c r="WES173" s="31"/>
      <c r="WET173" s="31"/>
      <c r="WEU173" s="31"/>
      <c r="WEV173" s="31"/>
      <c r="WEW173" s="31"/>
      <c r="WEX173" s="31"/>
      <c r="WEY173" s="31"/>
      <c r="WEZ173" s="31"/>
      <c r="WFA173" s="31"/>
      <c r="WFB173" s="31"/>
      <c r="WFC173" s="31"/>
      <c r="WFD173" s="31"/>
      <c r="WFE173" s="31"/>
      <c r="WFF173" s="31"/>
      <c r="WFG173" s="31"/>
      <c r="WFH173" s="31"/>
      <c r="WFI173" s="31"/>
      <c r="WFJ173" s="31"/>
      <c r="WFK173" s="31"/>
      <c r="WFL173" s="31"/>
      <c r="WFM173" s="31"/>
      <c r="WFN173" s="31"/>
      <c r="WFO173" s="31"/>
      <c r="WFP173" s="31"/>
      <c r="WFQ173" s="31"/>
      <c r="WFR173" s="31"/>
      <c r="WFS173" s="31"/>
      <c r="WFT173" s="31"/>
      <c r="WFU173" s="31"/>
      <c r="WFV173" s="31"/>
      <c r="WFW173" s="31"/>
      <c r="WFX173" s="31"/>
      <c r="WFY173" s="31"/>
      <c r="WFZ173" s="31"/>
      <c r="WGA173" s="31"/>
      <c r="WGB173" s="31"/>
      <c r="WGC173" s="31"/>
      <c r="WGD173" s="31"/>
      <c r="WGE173" s="31"/>
      <c r="WGF173" s="31"/>
      <c r="WGG173" s="31"/>
      <c r="WGH173" s="31"/>
      <c r="WGI173" s="31"/>
      <c r="WGJ173" s="31"/>
      <c r="WGK173" s="31"/>
      <c r="WGL173" s="31"/>
      <c r="WGM173" s="31"/>
      <c r="WGN173" s="31"/>
      <c r="WGO173" s="31"/>
      <c r="WGP173" s="31"/>
      <c r="WGQ173" s="31"/>
      <c r="WGR173" s="31"/>
      <c r="WGS173" s="31"/>
      <c r="WGT173" s="31"/>
      <c r="WGU173" s="31"/>
      <c r="WGV173" s="31"/>
      <c r="WGW173" s="31"/>
      <c r="WGX173" s="31"/>
      <c r="WGY173" s="31"/>
      <c r="WGZ173" s="31"/>
      <c r="WHA173" s="31"/>
      <c r="WHB173" s="31"/>
      <c r="WHC173" s="31"/>
      <c r="WHD173" s="31"/>
      <c r="WHE173" s="31"/>
      <c r="WHF173" s="31"/>
      <c r="WHG173" s="31"/>
      <c r="WHH173" s="31"/>
      <c r="WHI173" s="31"/>
      <c r="WHJ173" s="31"/>
      <c r="WHK173" s="31"/>
      <c r="WHL173" s="31"/>
      <c r="WHM173" s="31"/>
      <c r="WHN173" s="31"/>
      <c r="WHO173" s="31"/>
      <c r="WHP173" s="31"/>
      <c r="WHQ173" s="31"/>
      <c r="WHR173" s="31"/>
      <c r="WHS173" s="31"/>
      <c r="WHT173" s="31"/>
      <c r="WHU173" s="31"/>
      <c r="WHV173" s="31"/>
      <c r="WHW173" s="31"/>
      <c r="WHX173" s="31"/>
      <c r="WHY173" s="31"/>
      <c r="WHZ173" s="31"/>
      <c r="WIA173" s="31"/>
      <c r="WIB173" s="31"/>
      <c r="WIC173" s="31"/>
      <c r="WID173" s="31"/>
      <c r="WIE173" s="31"/>
      <c r="WIF173" s="31"/>
      <c r="WIG173" s="31"/>
      <c r="WIH173" s="31"/>
      <c r="WII173" s="31"/>
      <c r="WIJ173" s="31"/>
      <c r="WIK173" s="31"/>
      <c r="WIL173" s="31"/>
      <c r="WIM173" s="31"/>
      <c r="WIN173" s="31"/>
      <c r="WIO173" s="31"/>
      <c r="WIP173" s="31"/>
      <c r="WIQ173" s="31"/>
      <c r="WIR173" s="31"/>
      <c r="WIS173" s="31"/>
      <c r="WIT173" s="31"/>
      <c r="WIU173" s="31"/>
      <c r="WIV173" s="31"/>
      <c r="WIW173" s="31"/>
      <c r="WIX173" s="31"/>
      <c r="WIY173" s="31"/>
      <c r="WIZ173" s="31"/>
      <c r="WJA173" s="31"/>
      <c r="WJB173" s="31"/>
      <c r="WJC173" s="31"/>
      <c r="WJD173" s="31"/>
      <c r="WJE173" s="31"/>
      <c r="WJF173" s="31"/>
      <c r="WJG173" s="31"/>
      <c r="WJH173" s="31"/>
      <c r="WJI173" s="31"/>
      <c r="WJJ173" s="31"/>
      <c r="WJK173" s="31"/>
      <c r="WJL173" s="31"/>
      <c r="WJM173" s="31"/>
      <c r="WJN173" s="31"/>
      <c r="WJO173" s="31"/>
      <c r="WJP173" s="31"/>
      <c r="WJQ173" s="31"/>
      <c r="WJR173" s="31"/>
      <c r="WJS173" s="31"/>
      <c r="WJT173" s="31"/>
      <c r="WJU173" s="31"/>
      <c r="WJV173" s="31"/>
      <c r="WJW173" s="31"/>
      <c r="WJX173" s="31"/>
      <c r="WJY173" s="31"/>
      <c r="WJZ173" s="31"/>
      <c r="WKA173" s="31"/>
      <c r="WKB173" s="31"/>
      <c r="WKC173" s="31"/>
      <c r="WKD173" s="31"/>
      <c r="WKE173" s="31"/>
      <c r="WKF173" s="31"/>
      <c r="WKG173" s="31"/>
      <c r="WKH173" s="31"/>
      <c r="WKI173" s="31"/>
      <c r="WKJ173" s="31"/>
      <c r="WKK173" s="31"/>
      <c r="WKL173" s="31"/>
      <c r="WKM173" s="31"/>
      <c r="WKN173" s="31"/>
      <c r="WKO173" s="31"/>
      <c r="WKP173" s="31"/>
      <c r="WKQ173" s="31"/>
      <c r="WKR173" s="31"/>
      <c r="WKS173" s="31"/>
      <c r="WKT173" s="31"/>
      <c r="WKU173" s="31"/>
      <c r="WKV173" s="31"/>
      <c r="WKW173" s="31"/>
      <c r="WKX173" s="31"/>
      <c r="WKY173" s="31"/>
      <c r="WKZ173" s="31"/>
      <c r="WLA173" s="31"/>
      <c r="WLB173" s="31"/>
      <c r="WLC173" s="31"/>
      <c r="WLD173" s="31"/>
      <c r="WLE173" s="31"/>
      <c r="WLF173" s="31"/>
      <c r="WLG173" s="31"/>
      <c r="WLH173" s="31"/>
      <c r="WLI173" s="31"/>
      <c r="WLJ173" s="31"/>
      <c r="WLK173" s="31"/>
      <c r="WLL173" s="31"/>
      <c r="WLM173" s="31"/>
      <c r="WLN173" s="31"/>
      <c r="WLO173" s="31"/>
      <c r="WLP173" s="31"/>
      <c r="WLQ173" s="31"/>
      <c r="WLR173" s="31"/>
      <c r="WLS173" s="31"/>
      <c r="WLT173" s="31"/>
      <c r="WLU173" s="31"/>
      <c r="WLV173" s="31"/>
      <c r="WLW173" s="31"/>
      <c r="WLX173" s="31"/>
      <c r="WLY173" s="31"/>
      <c r="WLZ173" s="31"/>
      <c r="WMA173" s="31"/>
      <c r="WMB173" s="31"/>
      <c r="WMC173" s="31"/>
      <c r="WMD173" s="31"/>
      <c r="WME173" s="31"/>
      <c r="WMF173" s="31"/>
      <c r="WMG173" s="31"/>
      <c r="WMH173" s="31"/>
      <c r="WMI173" s="31"/>
      <c r="WMJ173" s="31"/>
      <c r="WMK173" s="31"/>
      <c r="WML173" s="31"/>
      <c r="WMM173" s="31"/>
      <c r="WMN173" s="31"/>
      <c r="WMO173" s="31"/>
      <c r="WMP173" s="31"/>
      <c r="WMQ173" s="31"/>
      <c r="WMR173" s="31"/>
      <c r="WMS173" s="31"/>
      <c r="WMT173" s="31"/>
      <c r="WMU173" s="31"/>
      <c r="WMV173" s="31"/>
      <c r="WMW173" s="31"/>
      <c r="WMX173" s="31"/>
      <c r="WMY173" s="31"/>
      <c r="WMZ173" s="31"/>
      <c r="WNA173" s="31"/>
      <c r="WNB173" s="31"/>
      <c r="WNC173" s="31"/>
      <c r="WND173" s="31"/>
      <c r="WNE173" s="31"/>
      <c r="WNF173" s="31"/>
      <c r="WNG173" s="31"/>
      <c r="WNH173" s="31"/>
      <c r="WNI173" s="31"/>
      <c r="WNJ173" s="31"/>
      <c r="WNK173" s="31"/>
      <c r="WNL173" s="31"/>
      <c r="WNM173" s="31"/>
      <c r="WNN173" s="31"/>
      <c r="WNO173" s="31"/>
      <c r="WNP173" s="31"/>
      <c r="WNQ173" s="31"/>
      <c r="WNR173" s="31"/>
      <c r="WNS173" s="31"/>
      <c r="WNT173" s="31"/>
      <c r="WNU173" s="31"/>
      <c r="WNV173" s="31"/>
      <c r="WNW173" s="31"/>
      <c r="WNX173" s="31"/>
      <c r="WNY173" s="31"/>
      <c r="WNZ173" s="31"/>
      <c r="WOA173" s="31"/>
      <c r="WOB173" s="31"/>
      <c r="WOC173" s="31"/>
      <c r="WOD173" s="31"/>
      <c r="WOE173" s="31"/>
      <c r="WOF173" s="31"/>
      <c r="WOG173" s="31"/>
      <c r="WOH173" s="31"/>
      <c r="WOI173" s="31"/>
      <c r="WOJ173" s="31"/>
      <c r="WOK173" s="31"/>
      <c r="WOL173" s="31"/>
      <c r="WOM173" s="31"/>
      <c r="WON173" s="31"/>
      <c r="WOO173" s="31"/>
      <c r="WOP173" s="31"/>
      <c r="WOQ173" s="31"/>
      <c r="WOR173" s="31"/>
      <c r="WOS173" s="31"/>
      <c r="WOT173" s="31"/>
      <c r="WOU173" s="31"/>
      <c r="WOV173" s="31"/>
      <c r="WOW173" s="31"/>
      <c r="WOX173" s="31"/>
      <c r="WOY173" s="31"/>
      <c r="WOZ173" s="31"/>
      <c r="WPA173" s="31"/>
      <c r="WPB173" s="31"/>
      <c r="WPC173" s="31"/>
      <c r="WPD173" s="31"/>
      <c r="WPE173" s="31"/>
      <c r="WPF173" s="31"/>
      <c r="WPG173" s="31"/>
      <c r="WPH173" s="31"/>
      <c r="WPI173" s="31"/>
      <c r="WPJ173" s="31"/>
      <c r="WPK173" s="31"/>
      <c r="WPL173" s="31"/>
      <c r="WPM173" s="31"/>
      <c r="WPN173" s="31"/>
      <c r="WPO173" s="31"/>
      <c r="WPP173" s="31"/>
      <c r="WPQ173" s="31"/>
      <c r="WPR173" s="31"/>
      <c r="WPS173" s="31"/>
      <c r="WPT173" s="31"/>
      <c r="WPU173" s="31"/>
      <c r="WPV173" s="31"/>
      <c r="WPW173" s="31"/>
      <c r="WPX173" s="31"/>
      <c r="WPY173" s="31"/>
      <c r="WPZ173" s="31"/>
      <c r="WQA173" s="31"/>
      <c r="WQB173" s="31"/>
      <c r="WQC173" s="31"/>
      <c r="WQD173" s="31"/>
      <c r="WQE173" s="31"/>
      <c r="WQF173" s="31"/>
      <c r="WQG173" s="31"/>
      <c r="WQH173" s="31"/>
      <c r="WQI173" s="31"/>
      <c r="WQJ173" s="31"/>
      <c r="WQK173" s="31"/>
      <c r="WQL173" s="31"/>
      <c r="WQM173" s="31"/>
      <c r="WQN173" s="31"/>
      <c r="WQO173" s="31"/>
      <c r="WQP173" s="31"/>
      <c r="WQQ173" s="31"/>
      <c r="WQR173" s="31"/>
      <c r="WQS173" s="31"/>
      <c r="WQT173" s="31"/>
      <c r="WQU173" s="31"/>
      <c r="WQV173" s="31"/>
      <c r="WQW173" s="31"/>
      <c r="WQX173" s="31"/>
      <c r="WQY173" s="31"/>
      <c r="WQZ173" s="31"/>
      <c r="WRA173" s="31"/>
      <c r="WRB173" s="31"/>
      <c r="WRC173" s="31"/>
      <c r="WRD173" s="31"/>
      <c r="WRE173" s="31"/>
      <c r="WRF173" s="31"/>
      <c r="WRG173" s="31"/>
      <c r="WRH173" s="31"/>
      <c r="WRI173" s="31"/>
      <c r="WRJ173" s="31"/>
      <c r="WRK173" s="31"/>
      <c r="WRL173" s="31"/>
      <c r="WRM173" s="31"/>
      <c r="WRN173" s="31"/>
      <c r="WRO173" s="31"/>
      <c r="WRP173" s="31"/>
      <c r="WRQ173" s="31"/>
      <c r="WRR173" s="31"/>
      <c r="WRS173" s="31"/>
      <c r="WRT173" s="31"/>
      <c r="WRU173" s="31"/>
      <c r="WRV173" s="31"/>
      <c r="WRW173" s="31"/>
      <c r="WRX173" s="31"/>
      <c r="WRY173" s="31"/>
      <c r="WRZ173" s="31"/>
      <c r="WSA173" s="31"/>
      <c r="WSB173" s="31"/>
      <c r="WSC173" s="31"/>
      <c r="WSD173" s="31"/>
      <c r="WSE173" s="31"/>
      <c r="WSF173" s="31"/>
      <c r="WSG173" s="31"/>
      <c r="WSH173" s="31"/>
      <c r="WSI173" s="31"/>
      <c r="WSJ173" s="31"/>
      <c r="WSK173" s="31"/>
      <c r="WSL173" s="31"/>
      <c r="WSM173" s="31"/>
      <c r="WSN173" s="31"/>
      <c r="WSO173" s="31"/>
      <c r="WSP173" s="31"/>
      <c r="WSQ173" s="31"/>
      <c r="WSR173" s="31"/>
      <c r="WSS173" s="31"/>
      <c r="WST173" s="31"/>
      <c r="WSU173" s="31"/>
      <c r="WSV173" s="31"/>
      <c r="WSW173" s="31"/>
      <c r="WSX173" s="31"/>
      <c r="WSY173" s="31"/>
      <c r="WSZ173" s="31"/>
      <c r="WTA173" s="31"/>
      <c r="WTB173" s="31"/>
      <c r="WTC173" s="31"/>
      <c r="WTD173" s="31"/>
      <c r="WTE173" s="31"/>
      <c r="WTF173" s="31"/>
      <c r="WTG173" s="31"/>
      <c r="WTH173" s="31"/>
      <c r="WTI173" s="31"/>
      <c r="WTJ173" s="31"/>
      <c r="WTK173" s="31"/>
      <c r="WTL173" s="31"/>
      <c r="WTM173" s="31"/>
      <c r="WTN173" s="31"/>
      <c r="WTO173" s="31"/>
      <c r="WTP173" s="31"/>
      <c r="WTQ173" s="31"/>
      <c r="WTR173" s="31"/>
      <c r="WTS173" s="31"/>
      <c r="WTT173" s="31"/>
      <c r="WTU173" s="31"/>
      <c r="WTV173" s="31"/>
      <c r="WTW173" s="31"/>
      <c r="WTX173" s="31"/>
      <c r="WTY173" s="31"/>
      <c r="WTZ173" s="31"/>
      <c r="WUA173" s="31"/>
      <c r="WUB173" s="31"/>
      <c r="WUC173" s="31"/>
      <c r="WUD173" s="31"/>
      <c r="WUE173" s="31"/>
      <c r="WUF173" s="31"/>
      <c r="WUG173" s="31"/>
      <c r="WUH173" s="31"/>
      <c r="WUI173" s="31"/>
      <c r="WUJ173" s="31"/>
      <c r="WUK173" s="31"/>
      <c r="WUL173" s="31"/>
      <c r="WUM173" s="31"/>
      <c r="WUN173" s="31"/>
      <c r="WUO173" s="31"/>
      <c r="WUP173" s="31"/>
      <c r="WUQ173" s="31"/>
      <c r="WUR173" s="31"/>
      <c r="WUS173" s="31"/>
      <c r="WUT173" s="31"/>
      <c r="WUU173" s="31"/>
      <c r="WUV173" s="31"/>
      <c r="WUW173" s="31"/>
      <c r="WUX173" s="31"/>
      <c r="WUY173" s="31"/>
      <c r="WUZ173" s="31"/>
      <c r="WVA173" s="31"/>
      <c r="WVB173" s="31"/>
      <c r="WVC173" s="31"/>
      <c r="WVD173" s="31"/>
      <c r="WVE173" s="31"/>
      <c r="WVF173" s="31"/>
      <c r="WVG173" s="31"/>
      <c r="WVH173" s="31"/>
      <c r="WVI173" s="31"/>
      <c r="WVJ173" s="31"/>
      <c r="WVK173" s="31"/>
      <c r="WVL173" s="31"/>
      <c r="WVM173" s="31"/>
      <c r="WVN173" s="31"/>
      <c r="WVO173" s="31"/>
      <c r="WVP173" s="31"/>
      <c r="WVQ173" s="31"/>
      <c r="WVR173" s="31"/>
      <c r="WVS173" s="31"/>
      <c r="WVT173" s="31"/>
      <c r="WVU173" s="31"/>
      <c r="WVV173" s="31"/>
      <c r="WVW173" s="31"/>
      <c r="WVX173" s="31"/>
      <c r="WVY173" s="31"/>
      <c r="WVZ173" s="31"/>
      <c r="WWA173" s="31"/>
      <c r="WWB173" s="31"/>
      <c r="WWC173" s="31"/>
      <c r="WWD173" s="31"/>
      <c r="WWE173" s="31"/>
      <c r="WWF173" s="31"/>
      <c r="WWG173" s="31"/>
      <c r="WWH173" s="31"/>
      <c r="WWI173" s="31"/>
      <c r="WWJ173" s="31"/>
      <c r="WWK173" s="31"/>
      <c r="WWL173" s="31"/>
      <c r="WWM173" s="31"/>
      <c r="WWN173" s="31"/>
      <c r="WWO173" s="31"/>
      <c r="WWP173" s="31"/>
      <c r="WWQ173" s="31"/>
      <c r="WWR173" s="31"/>
      <c r="WWS173" s="31"/>
      <c r="WWT173" s="31"/>
      <c r="WWU173" s="31"/>
      <c r="WWV173" s="31"/>
      <c r="WWW173" s="31"/>
      <c r="WWX173" s="31"/>
      <c r="WWY173" s="31"/>
      <c r="WWZ173" s="31"/>
      <c r="WXA173" s="31"/>
      <c r="WXB173" s="31"/>
      <c r="WXC173" s="31"/>
      <c r="WXD173" s="31"/>
      <c r="WXE173" s="31"/>
      <c r="WXF173" s="31"/>
      <c r="WXG173" s="31"/>
      <c r="WXH173" s="31"/>
      <c r="WXI173" s="31"/>
      <c r="WXJ173" s="31"/>
      <c r="WXK173" s="31"/>
      <c r="WXL173" s="31"/>
      <c r="WXM173" s="31"/>
      <c r="WXN173" s="31"/>
      <c r="WXO173" s="31"/>
      <c r="WXP173" s="31"/>
      <c r="WXQ173" s="31"/>
      <c r="WXR173" s="31"/>
      <c r="WXS173" s="31"/>
      <c r="WXT173" s="31"/>
      <c r="WXU173" s="31"/>
      <c r="WXV173" s="31"/>
      <c r="WXW173" s="31"/>
      <c r="WXX173" s="31"/>
      <c r="WXY173" s="31"/>
      <c r="WXZ173" s="31"/>
      <c r="WYA173" s="31"/>
      <c r="WYB173" s="31"/>
      <c r="WYC173" s="31"/>
      <c r="WYD173" s="31"/>
      <c r="WYE173" s="31"/>
      <c r="WYF173" s="31"/>
      <c r="WYG173" s="31"/>
      <c r="WYH173" s="31"/>
      <c r="WYI173" s="31"/>
      <c r="WYJ173" s="31"/>
      <c r="WYK173" s="31"/>
      <c r="WYL173" s="31"/>
      <c r="WYM173" s="31"/>
      <c r="WYN173" s="31"/>
      <c r="WYO173" s="31"/>
      <c r="WYP173" s="31"/>
      <c r="WYQ173" s="31"/>
      <c r="WYR173" s="31"/>
      <c r="WYS173" s="31"/>
      <c r="WYT173" s="31"/>
      <c r="WYU173" s="31"/>
      <c r="WYV173" s="31"/>
      <c r="WYW173" s="31"/>
      <c r="WYX173" s="31"/>
      <c r="WYY173" s="31"/>
      <c r="WYZ173" s="31"/>
      <c r="WZA173" s="31"/>
      <c r="WZB173" s="31"/>
      <c r="WZC173" s="31"/>
      <c r="WZD173" s="31"/>
      <c r="WZE173" s="31"/>
      <c r="WZF173" s="31"/>
      <c r="WZG173" s="31"/>
      <c r="WZH173" s="31"/>
      <c r="WZI173" s="31"/>
      <c r="WZJ173" s="31"/>
      <c r="WZK173" s="31"/>
      <c r="WZL173" s="31"/>
      <c r="WZM173" s="31"/>
      <c r="WZN173" s="31"/>
      <c r="WZO173" s="31"/>
      <c r="WZP173" s="31"/>
      <c r="WZQ173" s="31"/>
      <c r="WZR173" s="31"/>
      <c r="WZS173" s="31"/>
      <c r="WZT173" s="31"/>
      <c r="WZU173" s="31"/>
      <c r="WZV173" s="31"/>
      <c r="WZW173" s="31"/>
      <c r="WZX173" s="31"/>
      <c r="WZY173" s="31"/>
      <c r="WZZ173" s="31"/>
      <c r="XAA173" s="31"/>
      <c r="XAB173" s="31"/>
      <c r="XAC173" s="31"/>
      <c r="XAD173" s="31"/>
      <c r="XAE173" s="31"/>
      <c r="XAF173" s="31"/>
      <c r="XAG173" s="31"/>
      <c r="XAH173" s="31"/>
      <c r="XAI173" s="31"/>
      <c r="XAJ173" s="31"/>
      <c r="XAK173" s="31"/>
      <c r="XAL173" s="31"/>
    </row>
    <row r="174" spans="1:16262" hidden="1" outlineLevel="1">
      <c r="A174" s="25" t="s">
        <v>786</v>
      </c>
      <c r="B174" s="40">
        <f>'Civil OE'!B87</f>
        <v>181</v>
      </c>
      <c r="C174" s="40">
        <f>'Civil OE'!C87</f>
        <v>230</v>
      </c>
      <c r="D174" s="40">
        <f>'Civil OE'!D87</f>
        <v>151</v>
      </c>
      <c r="E174" s="40">
        <f>'Civil OE'!E87</f>
        <v>169</v>
      </c>
      <c r="F174" s="40">
        <f>'Civil OE'!F87</f>
        <v>171</v>
      </c>
      <c r="G174" s="40">
        <f>'Civil OE'!G87</f>
        <v>170</v>
      </c>
      <c r="H174" s="40">
        <f>'Civil OE'!H87</f>
        <v>203</v>
      </c>
      <c r="I174" s="40">
        <f>'Civil OE'!I87</f>
        <v>145</v>
      </c>
      <c r="J174" s="40">
        <f>'Civil OE'!J87</f>
        <v>193</v>
      </c>
      <c r="K174" s="40">
        <f>'Civil OE'!K87</f>
        <v>225</v>
      </c>
      <c r="L174" s="40">
        <f>'Civil OE'!L87</f>
        <v>185</v>
      </c>
      <c r="M174" s="40">
        <f>'Civil OE'!M87</f>
        <v>224</v>
      </c>
      <c r="N174" s="40">
        <f>'Civil OE'!N87</f>
        <v>275</v>
      </c>
      <c r="O174" s="40">
        <f>'Civil OE'!O87</f>
        <v>282</v>
      </c>
      <c r="P174" s="40">
        <f>'Civil OE'!P87</f>
        <v>311</v>
      </c>
      <c r="Q174" s="40">
        <f>'Civil OE'!Q87</f>
        <v>308</v>
      </c>
      <c r="R174" s="40"/>
      <c r="S174" s="630"/>
      <c r="T174" s="653">
        <f>'Civil OE'!T87</f>
        <v>357</v>
      </c>
      <c r="U174" s="40"/>
      <c r="V174" s="630"/>
      <c r="W174" s="653">
        <f>'Civil OE'!W87</f>
        <v>483</v>
      </c>
      <c r="X174" s="40"/>
      <c r="Y174" s="630"/>
      <c r="Z174" s="653"/>
      <c r="AA174" s="40"/>
      <c r="AB174" s="630"/>
      <c r="AC174" s="653">
        <f>'Civil OE'!Z87</f>
        <v>469</v>
      </c>
      <c r="AD174" s="40"/>
      <c r="AE174" s="630"/>
      <c r="AF174" s="653">
        <f>'Civil OE'!AC87</f>
        <v>510</v>
      </c>
      <c r="AG174" s="40"/>
      <c r="AH174" s="630"/>
      <c r="AI174" s="653">
        <f>'Civil OE'!AF87</f>
        <v>264</v>
      </c>
      <c r="AJ174" s="40"/>
      <c r="AK174" s="630"/>
      <c r="AL174" s="653">
        <f>'Civil OE'!AI87</f>
        <v>195</v>
      </c>
      <c r="AM174" s="40"/>
      <c r="AN174" s="630"/>
      <c r="AO174" s="653">
        <f>'Civil OE'!AL87</f>
        <v>190</v>
      </c>
      <c r="AP174" s="40"/>
      <c r="AQ174" s="601"/>
      <c r="AR174" s="653">
        <f>'Civil OE'!AO87</f>
        <v>262</v>
      </c>
      <c r="AS174" s="49"/>
      <c r="AT174" s="601"/>
      <c r="AU174" s="653">
        <f>'Civil OE'!AR87</f>
        <v>278</v>
      </c>
      <c r="AV174" s="49"/>
      <c r="AW174" s="601"/>
      <c r="AX174" s="625">
        <f>'Civil OE'!AU87</f>
        <v>259</v>
      </c>
      <c r="AY174" s="49"/>
      <c r="AZ174" s="601"/>
      <c r="BA174" s="625">
        <f>'Civil OE'!AX87</f>
        <v>312.70605485596002</v>
      </c>
      <c r="BB174" s="49"/>
      <c r="BC174" s="601"/>
      <c r="BD174" s="625">
        <f>'Civil OE'!BA87</f>
        <v>348.01475770012019</v>
      </c>
      <c r="BE174" s="49"/>
      <c r="BF174" s="601"/>
      <c r="BG174" s="625">
        <f>'Civil OE'!BD87</f>
        <v>370.15126050420167</v>
      </c>
      <c r="BH174" s="49"/>
      <c r="BI174" s="601"/>
      <c r="BJ174" s="625">
        <f>'Civil OE'!BG87</f>
        <v>390.92436974789916</v>
      </c>
      <c r="BK174" s="49"/>
      <c r="BL174" s="601"/>
      <c r="BM174" s="625">
        <f>'Civil OE'!BJ87</f>
        <v>390.92436974789916</v>
      </c>
    </row>
    <row r="175" spans="1:16262" hidden="1" outlineLevel="1">
      <c r="A175" s="25" t="s">
        <v>925</v>
      </c>
      <c r="B175" s="40"/>
      <c r="C175" s="40"/>
      <c r="D175" s="40"/>
      <c r="E175" s="40"/>
      <c r="F175" s="40"/>
      <c r="G175" s="40"/>
      <c r="H175" s="40"/>
      <c r="I175" s="40"/>
      <c r="J175" s="40"/>
      <c r="K175" s="40"/>
      <c r="L175" s="40"/>
      <c r="M175" s="40"/>
      <c r="N175" s="40"/>
      <c r="O175" s="40"/>
      <c r="P175" s="40"/>
      <c r="Q175" s="40"/>
      <c r="R175" s="58"/>
      <c r="S175" s="644"/>
      <c r="T175" s="668"/>
      <c r="U175" s="58"/>
      <c r="V175" s="644"/>
      <c r="W175" s="668">
        <f>'Civil AM'!W118</f>
        <v>0.125</v>
      </c>
      <c r="X175" s="58"/>
      <c r="Y175" s="644"/>
      <c r="Z175" s="653"/>
      <c r="AA175" s="470"/>
      <c r="AB175" s="650"/>
      <c r="AC175" s="674"/>
      <c r="AD175" s="470"/>
      <c r="AE175" s="650"/>
      <c r="AF175" s="674">
        <f>'Civil AM'!AC52/1000</f>
        <v>15.3</v>
      </c>
      <c r="AG175" s="470"/>
      <c r="AH175" s="650"/>
      <c r="AI175" s="674">
        <f>'Civil AM'!AF52/1000</f>
        <v>6.6</v>
      </c>
      <c r="AJ175" s="470"/>
      <c r="AK175" s="650"/>
      <c r="AL175" s="674">
        <f>'Civil AM'!AI52/1000</f>
        <v>7.4</v>
      </c>
      <c r="AM175" s="470"/>
      <c r="AN175" s="650"/>
      <c r="AO175" s="674">
        <f>'Civil AM'!AL52/1000</f>
        <v>10</v>
      </c>
      <c r="AP175" s="470"/>
      <c r="AQ175" s="602"/>
      <c r="AR175" s="674">
        <f>'Civil AM'!AO52/1000</f>
        <v>13.5</v>
      </c>
      <c r="AS175" s="471"/>
      <c r="AT175" s="602"/>
      <c r="AU175" s="674">
        <f>'Civil AM'!AR52/1000</f>
        <v>15.8</v>
      </c>
      <c r="AV175" s="471"/>
      <c r="AW175" s="602"/>
      <c r="AX175" s="626">
        <f>'Civil AM'!AU52/1000</f>
        <v>17</v>
      </c>
      <c r="AY175" s="471"/>
      <c r="AZ175" s="602"/>
      <c r="BA175" s="626">
        <f>'Civil AM'!AX52/1000</f>
        <v>17.569055394169396</v>
      </c>
      <c r="BB175" s="471"/>
      <c r="BC175" s="602"/>
      <c r="BD175" s="626">
        <f>'Civil AM'!BA52/1000</f>
        <v>18.673018512753185</v>
      </c>
      <c r="BE175" s="471"/>
      <c r="BF175" s="602"/>
      <c r="BG175" s="626">
        <f>'Civil AM'!BD52/1000</f>
        <v>19.800863019062156</v>
      </c>
      <c r="BH175" s="471"/>
      <c r="BI175" s="602"/>
      <c r="BJ175" s="626">
        <f>'Civil AM'!BG52/1000</f>
        <v>21.033393916693935</v>
      </c>
      <c r="BK175" s="471"/>
      <c r="BL175" s="602"/>
      <c r="BM175" s="626">
        <f>'Civil AM'!BJ52/1000</f>
        <v>22.763350450307378</v>
      </c>
    </row>
    <row r="176" spans="1:16262" hidden="1" outlineLevel="1">
      <c r="A176" s="25" t="s">
        <v>787</v>
      </c>
      <c r="B176" s="58">
        <f>Divisional!B54</f>
        <v>0.10539682539682539</v>
      </c>
      <c r="C176" s="58">
        <f>Divisional!C54</f>
        <v>0.10078419982573338</v>
      </c>
      <c r="D176" s="58">
        <f>Divisional!D54</f>
        <v>5.4764512595837894E-2</v>
      </c>
      <c r="E176" s="58">
        <f>Divisional!E54</f>
        <v>4.8626577579806977E-2</v>
      </c>
      <c r="F176" s="58">
        <f>Divisional!F54</f>
        <v>6.3815789473684215E-2</v>
      </c>
      <c r="G176" s="58">
        <f>Divisional!G54</f>
        <v>0.13329418672930124</v>
      </c>
      <c r="H176" s="58">
        <f>Divisional!H54</f>
        <v>0.13283849500895828</v>
      </c>
      <c r="I176" s="58">
        <f>Divisional!I54</f>
        <v>0.13967310549777118</v>
      </c>
      <c r="J176" s="58">
        <f>Divisional!J54</f>
        <v>0.12572190137716571</v>
      </c>
      <c r="K176" s="58">
        <f>Divisional!K54</f>
        <v>0.11002008480249945</v>
      </c>
      <c r="L176" s="58">
        <f>Divisional!L54</f>
        <v>7.9690994104492777E-2</v>
      </c>
      <c r="M176" s="58">
        <f>Divisional!M54</f>
        <v>8.9554917444364682E-2</v>
      </c>
      <c r="N176" s="58">
        <f>Divisional!N54</f>
        <v>0.1154264408886127</v>
      </c>
      <c r="O176" s="58">
        <f>Divisional!O54</f>
        <v>0.12682193839218633</v>
      </c>
      <c r="P176" s="58">
        <f>Divisional!P54</f>
        <v>0.13777972795085563</v>
      </c>
      <c r="Q176" s="58">
        <f>Divisional!Q54</f>
        <v>0.1171210154334343</v>
      </c>
      <c r="R176" s="58"/>
      <c r="S176" s="644"/>
      <c r="T176" s="668">
        <f>Divisional!T54</f>
        <v>5.1931512664496957E-2</v>
      </c>
      <c r="U176" s="58"/>
      <c r="V176" s="644"/>
      <c r="W176" s="668">
        <f>Divisional!W54</f>
        <v>6.4813660725414432E-2</v>
      </c>
      <c r="X176" s="58"/>
      <c r="Y176" s="644"/>
      <c r="Z176" s="653"/>
      <c r="AA176" s="58"/>
      <c r="AB176" s="644"/>
      <c r="AC176" s="668">
        <f>Divisional!AC54</f>
        <v>-2.1957169964760097E-2</v>
      </c>
      <c r="AD176" s="58"/>
      <c r="AE176" s="644"/>
      <c r="AF176" s="668">
        <f>Divisional!AF54</f>
        <v>5.4274084124830389E-3</v>
      </c>
      <c r="AG176" s="58"/>
      <c r="AH176" s="644"/>
      <c r="AI176" s="668">
        <f>Divisional!AI54</f>
        <v>-0.50019731649565902</v>
      </c>
      <c r="AJ176" s="58"/>
      <c r="AK176" s="644"/>
      <c r="AL176" s="668">
        <f>Divisional!AL54</f>
        <v>-3.7918871252204583E-2</v>
      </c>
      <c r="AM176" s="58"/>
      <c r="AN176" s="644"/>
      <c r="AO176" s="668">
        <f>Divisional!AO54</f>
        <v>2.5149489975378123E-2</v>
      </c>
      <c r="AP176" s="58"/>
      <c r="AQ176" s="603"/>
      <c r="AR176" s="668">
        <f>Divisional!AR54</f>
        <v>0.11567773543821448</v>
      </c>
      <c r="AS176" s="127"/>
      <c r="AT176" s="603"/>
      <c r="AU176" s="668">
        <f>Divisional!AU54</f>
        <v>0.16648230088495575</v>
      </c>
      <c r="AV176" s="127"/>
      <c r="AW176" s="603"/>
      <c r="AX176" s="627">
        <f>Divisional!AX54</f>
        <v>0.20516278173762281</v>
      </c>
      <c r="AY176" s="127"/>
      <c r="AZ176" s="603"/>
      <c r="BA176" s="627">
        <f>Divisional!BA54</f>
        <v>0.22911493295230315</v>
      </c>
      <c r="BB176" s="127"/>
      <c r="BC176" s="603"/>
      <c r="BD176" s="627">
        <f>Divisional!BD54</f>
        <v>0.23022462375258479</v>
      </c>
      <c r="BE176" s="127"/>
      <c r="BF176" s="603"/>
      <c r="BG176" s="627">
        <f>Divisional!BG54</f>
        <v>0.24024802542811396</v>
      </c>
      <c r="BH176" s="127"/>
      <c r="BI176" s="603"/>
      <c r="BJ176" s="627">
        <f>Divisional!BJ54</f>
        <v>0.25142994034895111</v>
      </c>
      <c r="BK176" s="127"/>
      <c r="BL176" s="603"/>
      <c r="BM176" s="627">
        <f>Divisional!BM54</f>
        <v>0.26132615996894587</v>
      </c>
    </row>
    <row r="177" spans="1:65" hidden="1" outlineLevel="1">
      <c r="A177" s="25" t="s">
        <v>926</v>
      </c>
      <c r="B177" s="58"/>
      <c r="C177" s="58"/>
      <c r="D177" s="58"/>
      <c r="E177" s="58"/>
      <c r="F177" s="58"/>
      <c r="G177" s="58"/>
      <c r="H177" s="58"/>
      <c r="I177" s="58"/>
      <c r="J177" s="58"/>
      <c r="K177" s="58"/>
      <c r="L177" s="58"/>
      <c r="M177" s="58"/>
      <c r="N177" s="58"/>
      <c r="O177" s="58"/>
      <c r="P177" s="58"/>
      <c r="Q177" s="58"/>
      <c r="R177" s="58"/>
      <c r="S177" s="644"/>
      <c r="T177" s="668"/>
      <c r="U177" s="58"/>
      <c r="V177" s="644"/>
      <c r="W177" s="668"/>
      <c r="X177" s="58"/>
      <c r="Y177" s="644"/>
      <c r="Z177" s="653"/>
      <c r="AA177" s="58"/>
      <c r="AB177" s="644"/>
      <c r="AC177" s="668">
        <f>Divisional!AC58</f>
        <v>9.0987370838117101E-2</v>
      </c>
      <c r="AD177" s="58"/>
      <c r="AE177" s="644"/>
      <c r="AF177" s="668">
        <f>Divisional!AF58</f>
        <v>0.10070521861777151</v>
      </c>
      <c r="AG177" s="58"/>
      <c r="AH177" s="644"/>
      <c r="AI177" s="668">
        <f>Divisional!AI58</f>
        <v>6.873857404021938E-2</v>
      </c>
      <c r="AJ177" s="58"/>
      <c r="AK177" s="644"/>
      <c r="AL177" s="668">
        <f>Divisional!AL58</f>
        <v>8.8032011640596583E-2</v>
      </c>
      <c r="AM177" s="58"/>
      <c r="AN177" s="644"/>
      <c r="AO177" s="668">
        <f>Divisional!AO58</f>
        <v>8.3955781296683601E-2</v>
      </c>
      <c r="AP177" s="58"/>
      <c r="AQ177" s="603"/>
      <c r="AR177" s="668">
        <f>Divisional!AR58</f>
        <v>0.10408266129032258</v>
      </c>
      <c r="AS177" s="127"/>
      <c r="AT177" s="603"/>
      <c r="AU177" s="668">
        <f>Divisional!AU58</f>
        <v>0.1311168344649965</v>
      </c>
      <c r="AV177" s="127"/>
      <c r="AW177" s="603"/>
      <c r="AX177" s="627">
        <f>Divisional!AX58</f>
        <v>0.17416189697465248</v>
      </c>
      <c r="AY177" s="127"/>
      <c r="AZ177" s="603"/>
      <c r="BA177" s="627">
        <f>Divisional!BA58</f>
        <v>0.2120538592627815</v>
      </c>
      <c r="BB177" s="127"/>
      <c r="BC177" s="603"/>
      <c r="BD177" s="627">
        <f>Divisional!BD58</f>
        <v>0.21921030338093131</v>
      </c>
      <c r="BE177" s="127"/>
      <c r="BF177" s="603"/>
      <c r="BG177" s="627">
        <f>Divisional!BG58</f>
        <v>0.22641817366041336</v>
      </c>
      <c r="BH177" s="127"/>
      <c r="BI177" s="603"/>
      <c r="BJ177" s="627">
        <f>Divisional!BJ58</f>
        <v>0.23367220874720443</v>
      </c>
      <c r="BK177" s="127"/>
      <c r="BL177" s="603"/>
      <c r="BM177" s="627">
        <f>Divisional!BM58</f>
        <v>0.24096557673500413</v>
      </c>
    </row>
    <row r="178" spans="1:65" hidden="1" outlineLevel="1">
      <c r="A178" s="25" t="s">
        <v>788</v>
      </c>
      <c r="B178" s="58">
        <f>'Valuation Summary'!B36</f>
        <v>2.1316507503410641E-2</v>
      </c>
      <c r="C178" s="58">
        <f>'Valuation Summary'!C36</f>
        <v>2.402022756005057E-2</v>
      </c>
      <c r="D178" s="58">
        <f>'Valuation Summary'!D36</f>
        <v>1.9177608845888046E-2</v>
      </c>
      <c r="E178" s="58">
        <f>'Valuation Summary'!E36</f>
        <v>6.7139061116031892E-2</v>
      </c>
      <c r="F178" s="58">
        <f>'Valuation Summary'!F36</f>
        <v>5.128636287203632E-2</v>
      </c>
      <c r="G178" s="58">
        <f>'Valuation Summary'!G36</f>
        <v>0.11164447197274698</v>
      </c>
      <c r="H178" s="58">
        <f>'Valuation Summary'!H36</f>
        <v>8.0511355909152732E-2</v>
      </c>
      <c r="I178" s="58">
        <f>'Valuation Summary'!I36</f>
        <v>8.9548420110016624E-3</v>
      </c>
      <c r="J178" s="58">
        <f>'Valuation Summary'!J36</f>
        <v>4.1434350060129001E-2</v>
      </c>
      <c r="K178" s="58">
        <f>'Valuation Summary'!K36</f>
        <v>2.1171349426197073E-2</v>
      </c>
      <c r="L178" s="58">
        <f>'Valuation Summary'!L36</f>
        <v>6.5709552733296525E-2</v>
      </c>
      <c r="M178" s="58">
        <f>'Valuation Summary'!M36</f>
        <v>5.1520794537554315E-2</v>
      </c>
      <c r="N178" s="58">
        <f>'Valuation Summary'!N36</f>
        <v>4.4884920959947582E-2</v>
      </c>
      <c r="O178" s="58">
        <f>'Valuation Summary'!O36</f>
        <v>5.0370848113511772E-2</v>
      </c>
      <c r="P178" s="58">
        <f>'Valuation Summary'!P36</f>
        <v>3.2241777264858627E-2</v>
      </c>
      <c r="Q178" s="58">
        <f>'Valuation Summary'!Q36</f>
        <v>1.3404223453646847E-2</v>
      </c>
      <c r="R178" s="58"/>
      <c r="S178" s="644"/>
      <c r="T178" s="668">
        <f>'Valuation Summary'!R36</f>
        <v>7.2553145178843505E-3</v>
      </c>
      <c r="U178" s="58"/>
      <c r="V178" s="644"/>
      <c r="W178" s="668">
        <f>'Valuation Summary'!S36</f>
        <v>1.7163684559310801E-2</v>
      </c>
      <c r="X178" s="58"/>
      <c r="Y178" s="644"/>
      <c r="Z178" s="668"/>
      <c r="AA178" s="58"/>
      <c r="AB178" s="644"/>
      <c r="AC178" s="668">
        <f>'Valuation Summary'!U36</f>
        <v>3.7698281011482045E-2</v>
      </c>
      <c r="AD178" s="58"/>
      <c r="AE178" s="644"/>
      <c r="AF178" s="668">
        <f>'Valuation Summary'!V36</f>
        <v>5.6634304207119741E-2</v>
      </c>
      <c r="AG178" s="58"/>
      <c r="AH178" s="644"/>
      <c r="AI178" s="668">
        <f>'Valuation Summary'!W36</f>
        <v>-0.36614173228346458</v>
      </c>
      <c r="AJ178" s="58"/>
      <c r="AK178" s="644"/>
      <c r="AL178" s="668">
        <f>'Valuation Summary'!X36</f>
        <v>-0.13172558691879055</v>
      </c>
      <c r="AM178" s="58"/>
      <c r="AN178" s="644"/>
      <c r="AO178" s="668">
        <f>'Valuation Summary'!Y36</f>
        <v>3.8688834607201954E-2</v>
      </c>
      <c r="AP178" s="58"/>
      <c r="AQ178" s="603"/>
      <c r="AR178" s="668">
        <f>'Valuation Summary'!Z36</f>
        <v>8.3392822376533199E-2</v>
      </c>
      <c r="AS178" s="127"/>
      <c r="AT178" s="603"/>
      <c r="AU178" s="668">
        <f>'Valuation Summary'!AA36</f>
        <v>0.1358695652173913</v>
      </c>
      <c r="AV178" s="127"/>
      <c r="AW178" s="603"/>
      <c r="AX178" s="627">
        <f>'Valuation Summary'!AB36</f>
        <v>0.16301909367366268</v>
      </c>
      <c r="AY178" s="127"/>
      <c r="AZ178" s="603"/>
      <c r="BA178" s="627">
        <f>'Valuation Summary'!AC36</f>
        <v>0.17888654793344821</v>
      </c>
      <c r="BB178" s="127"/>
      <c r="BC178" s="603"/>
      <c r="BD178" s="627">
        <f>'Valuation Summary'!AD36</f>
        <v>0.18841635497066769</v>
      </c>
      <c r="BE178" s="127"/>
      <c r="BF178" s="603"/>
      <c r="BG178" s="627">
        <f>'Valuation Summary'!AE36</f>
        <v>0.20319225092932272</v>
      </c>
      <c r="BH178" s="127"/>
      <c r="BI178" s="603"/>
      <c r="BJ178" s="627">
        <f>'Valuation Summary'!AF36</f>
        <v>0.2026661873504006</v>
      </c>
      <c r="BK178" s="127"/>
      <c r="BL178" s="603"/>
      <c r="BM178" s="627">
        <f>'Valuation Summary'!AG36</f>
        <v>0.20580526635199214</v>
      </c>
    </row>
    <row r="179" spans="1:65" hidden="1" outlineLevel="1"/>
    <row r="180" spans="1:65" hidden="1" outlineLevel="1"/>
    <row r="181" spans="1:65" customFormat="1" collapsed="1"/>
  </sheetData>
  <pageMargins left="0.7" right="0.7" top="0.75" bottom="0.75" header="0.3" footer="0.3"/>
  <pageSetup scale="85" fitToHeight="0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1">
    <tabColor theme="8"/>
    <pageSetUpPr fitToPage="1"/>
  </sheetPr>
  <dimension ref="A1:BV123"/>
  <sheetViews>
    <sheetView showGridLines="0" zoomScaleNormal="100" workbookViewId="0">
      <pane xSplit="1" ySplit="3" topLeftCell="Z4" activePane="bottomRight" state="frozen"/>
      <selection sqref="A1:XFD1048576"/>
      <selection pane="topRight" sqref="A1:XFD1048576"/>
      <selection pane="bottomLeft" sqref="A1:XFD1048576"/>
      <selection pane="bottomRight" sqref="A1:XFD1048576"/>
    </sheetView>
  </sheetViews>
  <sheetFormatPr defaultColWidth="9.140625" defaultRowHeight="10.199999999999999" outlineLevelCol="1"/>
  <cols>
    <col min="1" max="1" width="57.140625" style="25" customWidth="1"/>
    <col min="2" max="25" width="9.140625" style="25" hidden="1" customWidth="1" outlineLevel="1"/>
    <col min="26" max="26" width="9.140625" style="25" collapsed="1"/>
    <col min="27" max="28" width="9.140625" style="25" hidden="1" customWidth="1" outlineLevel="1"/>
    <col min="29" max="29" width="9.140625" style="25" collapsed="1"/>
    <col min="30" max="31" width="9.140625" style="25" hidden="1" customWidth="1" outlineLevel="1"/>
    <col min="32" max="32" width="9.140625" style="25" collapsed="1"/>
    <col min="33" max="34" width="9.140625" style="25" hidden="1" customWidth="1" outlineLevel="1"/>
    <col min="35" max="35" width="9.140625" style="25" collapsed="1"/>
    <col min="36" max="37" width="9.140625" style="25" hidden="1" customWidth="1" outlineLevel="1"/>
    <col min="38" max="38" width="9.140625" style="25" collapsed="1"/>
    <col min="39" max="40" width="9.140625" style="25" hidden="1" customWidth="1" outlineLevel="1"/>
    <col min="41" max="41" width="9.140625" style="25" collapsed="1"/>
    <col min="42" max="43" width="9.140625" style="25" hidden="1" customWidth="1" outlineLevel="1"/>
    <col min="44" max="44" width="9.140625" style="25" collapsed="1"/>
    <col min="45" max="46" width="9.140625" style="25" hidden="1" customWidth="1" outlineLevel="1"/>
    <col min="47" max="47" width="9.140625" style="25" collapsed="1"/>
    <col min="48" max="49" width="9.140625" style="25" hidden="1" customWidth="1" outlineLevel="1"/>
    <col min="50" max="50" width="9.140625" style="25" collapsed="1"/>
    <col min="51" max="52" width="9.140625" style="25" hidden="1" customWidth="1" outlineLevel="1"/>
    <col min="53" max="53" width="9.140625" style="25" collapsed="1"/>
    <col min="54" max="55" width="9.140625" style="25" hidden="1" customWidth="1" outlineLevel="1"/>
    <col min="56" max="56" width="9.140625" style="25" collapsed="1"/>
    <col min="57" max="58" width="9.140625" style="25" hidden="1" customWidth="1" outlineLevel="1"/>
    <col min="59" max="59" width="9.140625" style="25" collapsed="1"/>
    <col min="60" max="61" width="9.140625" style="25" hidden="1" customWidth="1" outlineLevel="1"/>
    <col min="62" max="62" width="9.140625" style="25" collapsed="1"/>
    <col min="63" max="64" width="9.140625" style="25" hidden="1" customWidth="1" outlineLevel="1"/>
    <col min="65" max="65" width="9.140625" style="25" collapsed="1"/>
    <col min="66" max="66" width="9.140625" style="25"/>
    <col min="67" max="67" width="9.140625" style="25" customWidth="1"/>
    <col min="68" max="68" width="61.7109375" hidden="1" customWidth="1" outlineLevel="1"/>
    <col min="69" max="73" width="9.140625" hidden="1" customWidth="1" outlineLevel="1"/>
    <col min="74" max="74" width="9.7109375" style="25" bestFit="1" customWidth="1" collapsed="1"/>
    <col min="75" max="16384" width="9.140625" style="25"/>
  </cols>
  <sheetData>
    <row r="1" spans="1:74">
      <c r="A1" s="305" t="s">
        <v>1</v>
      </c>
      <c r="B1" s="306">
        <v>2000</v>
      </c>
      <c r="C1" s="306">
        <f>B1+1</f>
        <v>2001</v>
      </c>
      <c r="D1" s="306">
        <f t="shared" ref="D1:J1" si="0">C1+1</f>
        <v>2002</v>
      </c>
      <c r="E1" s="306">
        <f t="shared" si="0"/>
        <v>2003</v>
      </c>
      <c r="F1" s="306">
        <f t="shared" si="0"/>
        <v>2004</v>
      </c>
      <c r="G1" s="306">
        <f t="shared" si="0"/>
        <v>2005</v>
      </c>
      <c r="H1" s="306">
        <f t="shared" si="0"/>
        <v>2006</v>
      </c>
      <c r="I1" s="306">
        <f t="shared" si="0"/>
        <v>2007</v>
      </c>
      <c r="J1" s="306">
        <f t="shared" si="0"/>
        <v>2008</v>
      </c>
      <c r="K1" s="306">
        <v>2009</v>
      </c>
      <c r="L1" s="306">
        <f>K1+1</f>
        <v>2010</v>
      </c>
      <c r="M1" s="306">
        <f>L1+1</f>
        <v>2011</v>
      </c>
      <c r="N1" s="306">
        <f>M1+1</f>
        <v>2012</v>
      </c>
      <c r="O1" s="306">
        <f>N1+1</f>
        <v>2013</v>
      </c>
      <c r="P1" s="306">
        <v>2014</v>
      </c>
      <c r="Q1" s="306">
        <f>P1+1</f>
        <v>2015</v>
      </c>
      <c r="R1" s="313" t="s">
        <v>616</v>
      </c>
      <c r="S1" s="314" t="s">
        <v>617</v>
      </c>
      <c r="T1" s="548">
        <f t="shared" ref="T1" si="1">Q1+1</f>
        <v>2016</v>
      </c>
      <c r="U1" s="313" t="s">
        <v>618</v>
      </c>
      <c r="V1" s="314" t="s">
        <v>683</v>
      </c>
      <c r="W1" s="548">
        <f>T1+1</f>
        <v>2017</v>
      </c>
      <c r="X1" s="313" t="s">
        <v>618</v>
      </c>
      <c r="Y1" s="314" t="s">
        <v>683</v>
      </c>
      <c r="Z1" s="548">
        <v>2017</v>
      </c>
      <c r="AA1" s="313" t="s">
        <v>697</v>
      </c>
      <c r="AB1" s="314" t="s">
        <v>755</v>
      </c>
      <c r="AC1" s="548">
        <f>W1+1</f>
        <v>2018</v>
      </c>
      <c r="AD1" s="313" t="s">
        <v>757</v>
      </c>
      <c r="AE1" s="314" t="s">
        <v>793</v>
      </c>
      <c r="AF1" s="548">
        <f>AC1+1</f>
        <v>2019</v>
      </c>
      <c r="AG1" s="313" t="s">
        <v>794</v>
      </c>
      <c r="AH1" s="314" t="s">
        <v>798</v>
      </c>
      <c r="AI1" s="548">
        <f>AF1+1</f>
        <v>2020</v>
      </c>
      <c r="AJ1" s="313" t="s">
        <v>801</v>
      </c>
      <c r="AK1" s="314" t="s">
        <v>802</v>
      </c>
      <c r="AL1" s="548">
        <f>AI1+1</f>
        <v>2021</v>
      </c>
      <c r="AM1" s="313" t="s">
        <v>822</v>
      </c>
      <c r="AN1" s="314" t="s">
        <v>823</v>
      </c>
      <c r="AO1" s="548">
        <f>AL1+1</f>
        <v>2022</v>
      </c>
      <c r="AP1" s="313" t="s">
        <v>929</v>
      </c>
      <c r="AQ1" s="314" t="s">
        <v>930</v>
      </c>
      <c r="AR1" s="548">
        <f>AO1+1</f>
        <v>2023</v>
      </c>
      <c r="AS1" s="313" t="s">
        <v>989</v>
      </c>
      <c r="AT1" s="314" t="s">
        <v>990</v>
      </c>
      <c r="AU1" s="548">
        <f>AR1+1</f>
        <v>2024</v>
      </c>
      <c r="AV1" s="313" t="s">
        <v>1035</v>
      </c>
      <c r="AW1" s="314" t="s">
        <v>1036</v>
      </c>
      <c r="AX1" s="548">
        <f>AU1+1</f>
        <v>2025</v>
      </c>
      <c r="AY1" s="313" t="s">
        <v>1044</v>
      </c>
      <c r="AZ1" s="538" t="s">
        <v>844</v>
      </c>
      <c r="BA1" s="572">
        <f>AX1+1</f>
        <v>2026</v>
      </c>
      <c r="BB1" s="537" t="s">
        <v>845</v>
      </c>
      <c r="BC1" s="538" t="s">
        <v>846</v>
      </c>
      <c r="BD1" s="572">
        <f>BA1+1</f>
        <v>2027</v>
      </c>
      <c r="BE1" s="537" t="s">
        <v>847</v>
      </c>
      <c r="BF1" s="538" t="s">
        <v>848</v>
      </c>
      <c r="BG1" s="572">
        <f>BD1+1</f>
        <v>2028</v>
      </c>
      <c r="BH1" s="537" t="s">
        <v>849</v>
      </c>
      <c r="BI1" s="538" t="s">
        <v>850</v>
      </c>
      <c r="BJ1" s="572">
        <f>BG1+1</f>
        <v>2029</v>
      </c>
      <c r="BK1" s="537" t="s">
        <v>851</v>
      </c>
      <c r="BL1" s="538" t="s">
        <v>852</v>
      </c>
      <c r="BM1" s="572">
        <f>BJ1+1</f>
        <v>2030</v>
      </c>
    </row>
    <row r="2" spans="1:74">
      <c r="A2" s="305" t="s">
        <v>0</v>
      </c>
      <c r="B2" s="308" t="s">
        <v>223</v>
      </c>
      <c r="C2" s="308" t="s">
        <v>223</v>
      </c>
      <c r="D2" s="308" t="s">
        <v>223</v>
      </c>
      <c r="E2" s="308" t="s">
        <v>223</v>
      </c>
      <c r="F2" s="308" t="s">
        <v>571</v>
      </c>
      <c r="G2" s="308" t="s">
        <v>571</v>
      </c>
      <c r="H2" s="308" t="s">
        <v>571</v>
      </c>
      <c r="I2" s="308" t="s">
        <v>571</v>
      </c>
      <c r="J2" s="308" t="s">
        <v>571</v>
      </c>
      <c r="K2" s="308" t="s">
        <v>571</v>
      </c>
      <c r="L2" s="308" t="s">
        <v>571</v>
      </c>
      <c r="M2" s="308" t="s">
        <v>571</v>
      </c>
      <c r="N2" s="308" t="s">
        <v>571</v>
      </c>
      <c r="O2" s="308" t="s">
        <v>571</v>
      </c>
      <c r="P2" s="308" t="s">
        <v>571</v>
      </c>
      <c r="Q2" s="308" t="s">
        <v>571</v>
      </c>
      <c r="R2" s="308" t="s">
        <v>571</v>
      </c>
      <c r="S2" s="562" t="s">
        <v>571</v>
      </c>
      <c r="T2" s="568" t="s">
        <v>571</v>
      </c>
      <c r="U2" s="308" t="s">
        <v>571</v>
      </c>
      <c r="V2" s="562" t="s">
        <v>571</v>
      </c>
      <c r="W2" s="568" t="s">
        <v>571</v>
      </c>
      <c r="X2" s="309" t="s">
        <v>625</v>
      </c>
      <c r="Y2" s="315" t="s">
        <v>625</v>
      </c>
      <c r="Z2" s="549" t="s">
        <v>625</v>
      </c>
      <c r="AA2" s="309" t="s">
        <v>625</v>
      </c>
      <c r="AB2" s="315" t="s">
        <v>625</v>
      </c>
      <c r="AC2" s="549" t="s">
        <v>625</v>
      </c>
      <c r="AD2" s="309" t="s">
        <v>625</v>
      </c>
      <c r="AE2" s="315" t="s">
        <v>625</v>
      </c>
      <c r="AF2" s="549" t="s">
        <v>625</v>
      </c>
      <c r="AG2" s="309" t="s">
        <v>625</v>
      </c>
      <c r="AH2" s="315" t="s">
        <v>625</v>
      </c>
      <c r="AI2" s="549" t="s">
        <v>625</v>
      </c>
      <c r="AJ2" s="309" t="s">
        <v>625</v>
      </c>
      <c r="AK2" s="315" t="s">
        <v>625</v>
      </c>
      <c r="AL2" s="549" t="s">
        <v>625</v>
      </c>
      <c r="AM2" s="309" t="s">
        <v>625</v>
      </c>
      <c r="AN2" s="315" t="s">
        <v>625</v>
      </c>
      <c r="AO2" s="549" t="s">
        <v>625</v>
      </c>
      <c r="AP2" s="309" t="s">
        <v>625</v>
      </c>
      <c r="AQ2" s="315" t="s">
        <v>625</v>
      </c>
      <c r="AR2" s="549" t="s">
        <v>625</v>
      </c>
      <c r="AS2" s="309" t="s">
        <v>625</v>
      </c>
      <c r="AT2" s="315" t="s">
        <v>625</v>
      </c>
      <c r="AU2" s="549" t="s">
        <v>625</v>
      </c>
      <c r="AV2" s="309" t="s">
        <v>625</v>
      </c>
      <c r="AW2" s="315" t="s">
        <v>625</v>
      </c>
      <c r="AX2" s="549" t="s">
        <v>625</v>
      </c>
      <c r="AY2" s="309" t="s">
        <v>625</v>
      </c>
      <c r="AZ2" s="212" t="s">
        <v>625</v>
      </c>
      <c r="BA2" s="573" t="s">
        <v>625</v>
      </c>
      <c r="BB2" s="195" t="s">
        <v>625</v>
      </c>
      <c r="BC2" s="212" t="s">
        <v>625</v>
      </c>
      <c r="BD2" s="573" t="s">
        <v>625</v>
      </c>
      <c r="BE2" s="195" t="s">
        <v>625</v>
      </c>
      <c r="BF2" s="212" t="s">
        <v>625</v>
      </c>
      <c r="BG2" s="573" t="s">
        <v>625</v>
      </c>
      <c r="BH2" s="195" t="s">
        <v>625</v>
      </c>
      <c r="BI2" s="212" t="s">
        <v>625</v>
      </c>
      <c r="BJ2" s="573" t="s">
        <v>625</v>
      </c>
      <c r="BK2" s="195" t="s">
        <v>625</v>
      </c>
      <c r="BL2" s="212" t="s">
        <v>625</v>
      </c>
      <c r="BM2" s="573" t="s">
        <v>625</v>
      </c>
    </row>
    <row r="3" spans="1:74">
      <c r="A3" s="310" t="str">
        <f>BS!A3</f>
        <v>Balance Sheet Check</v>
      </c>
      <c r="B3" s="312">
        <f>BS!B3</f>
        <v>0</v>
      </c>
      <c r="C3" s="312">
        <f>BS!C3</f>
        <v>0</v>
      </c>
      <c r="D3" s="312">
        <f>BS!D3</f>
        <v>0</v>
      </c>
      <c r="E3" s="312">
        <f>BS!E3</f>
        <v>0</v>
      </c>
      <c r="F3" s="312">
        <f>BS!F3</f>
        <v>0</v>
      </c>
      <c r="G3" s="312">
        <f>BS!G3</f>
        <v>0</v>
      </c>
      <c r="H3" s="312">
        <f>BS!H3</f>
        <v>0</v>
      </c>
      <c r="I3" s="312">
        <f>BS!I3</f>
        <v>0</v>
      </c>
      <c r="J3" s="312">
        <f>BS!J3</f>
        <v>0</v>
      </c>
      <c r="K3" s="312">
        <f>BS!K3</f>
        <v>0</v>
      </c>
      <c r="L3" s="312">
        <f>BS!L3</f>
        <v>0</v>
      </c>
      <c r="M3" s="312">
        <f>BS!M3</f>
        <v>0</v>
      </c>
      <c r="N3" s="312">
        <f>BS!N3</f>
        <v>0</v>
      </c>
      <c r="O3" s="312">
        <f>BS!O3</f>
        <v>0</v>
      </c>
      <c r="P3" s="312">
        <f>BS!P3</f>
        <v>0</v>
      </c>
      <c r="Q3" s="312">
        <f>BS!Q3</f>
        <v>0</v>
      </c>
      <c r="R3" s="526">
        <f>BS!R3</f>
        <v>0</v>
      </c>
      <c r="S3" s="628">
        <f>BS!S3</f>
        <v>0</v>
      </c>
      <c r="T3" s="651">
        <f>BS!T3</f>
        <v>0</v>
      </c>
      <c r="U3" s="526">
        <f>BS!U3</f>
        <v>0</v>
      </c>
      <c r="V3" s="628">
        <f>BS!V3</f>
        <v>0</v>
      </c>
      <c r="W3" s="651">
        <f>BS!W3</f>
        <v>0</v>
      </c>
      <c r="X3" s="526"/>
      <c r="Y3" s="628"/>
      <c r="Z3" s="651">
        <f>BS!Z3</f>
        <v>0</v>
      </c>
      <c r="AA3" s="526">
        <f>BS!AA3</f>
        <v>0</v>
      </c>
      <c r="AB3" s="628">
        <f>BS!AB3</f>
        <v>0</v>
      </c>
      <c r="AC3" s="651">
        <f>BS!AC3</f>
        <v>0</v>
      </c>
      <c r="AD3" s="526">
        <f>BS!AD3</f>
        <v>0</v>
      </c>
      <c r="AE3" s="628">
        <f>BS!AE3</f>
        <v>0</v>
      </c>
      <c r="AF3" s="651">
        <f>BS!AF3</f>
        <v>0</v>
      </c>
      <c r="AG3" s="526">
        <f>BS!AG3</f>
        <v>0</v>
      </c>
      <c r="AH3" s="628">
        <f>BS!AH3</f>
        <v>0</v>
      </c>
      <c r="AI3" s="651">
        <f>BS!AI3</f>
        <v>0</v>
      </c>
      <c r="AJ3" s="526">
        <f>BS!AJ3</f>
        <v>0</v>
      </c>
      <c r="AK3" s="628">
        <f>BS!AK3</f>
        <v>0</v>
      </c>
      <c r="AL3" s="651">
        <f>BS!AL3</f>
        <v>0</v>
      </c>
      <c r="AM3" s="526">
        <f>BS!AM3</f>
        <v>0</v>
      </c>
      <c r="AN3" s="628">
        <f>BS!AN3</f>
        <v>0</v>
      </c>
      <c r="AO3" s="651">
        <f>BS!AO3</f>
        <v>0</v>
      </c>
      <c r="AP3" s="526">
        <f>BS!AP3</f>
        <v>0</v>
      </c>
      <c r="AQ3" s="628">
        <f>BS!AQ3</f>
        <v>0</v>
      </c>
      <c r="AR3" s="651">
        <f>BS!AR3</f>
        <v>0</v>
      </c>
      <c r="AS3" s="526">
        <f>BS!AS3</f>
        <v>0</v>
      </c>
      <c r="AT3" s="628">
        <f>BS!AT3</f>
        <v>0</v>
      </c>
      <c r="AU3" s="651">
        <f>BS!AU3</f>
        <v>0</v>
      </c>
      <c r="AV3" s="526">
        <f>BS!AV3</f>
        <v>0</v>
      </c>
      <c r="AW3" s="628">
        <f>BS!AW3</f>
        <v>0</v>
      </c>
      <c r="AX3" s="651">
        <f>BS!AX3</f>
        <v>0</v>
      </c>
      <c r="AY3" s="526">
        <f>BS!AY3</f>
        <v>0</v>
      </c>
      <c r="AZ3" s="588">
        <f>BS!AZ3</f>
        <v>0</v>
      </c>
      <c r="BA3" s="604">
        <f>BS!BA3</f>
        <v>0</v>
      </c>
      <c r="BB3" s="528">
        <f>BS!BB3</f>
        <v>0</v>
      </c>
      <c r="BC3" s="588">
        <f>BS!BC3</f>
        <v>0</v>
      </c>
      <c r="BD3" s="604">
        <f>BS!BD3</f>
        <v>0</v>
      </c>
      <c r="BE3" s="528">
        <f>BS!BE3</f>
        <v>0</v>
      </c>
      <c r="BF3" s="588">
        <f>BS!BF3</f>
        <v>0</v>
      </c>
      <c r="BG3" s="604">
        <f>BS!BG3</f>
        <v>0</v>
      </c>
      <c r="BH3" s="528">
        <f>BS!BH3</f>
        <v>0</v>
      </c>
      <c r="BI3" s="588">
        <f>BS!BI3</f>
        <v>0</v>
      </c>
      <c r="BJ3" s="604">
        <f>BS!BJ3</f>
        <v>0</v>
      </c>
      <c r="BK3" s="528">
        <f>BS!BK3</f>
        <v>0</v>
      </c>
      <c r="BL3" s="588">
        <f>BS!BL3</f>
        <v>0</v>
      </c>
      <c r="BM3" s="604">
        <f>BS!BM3</f>
        <v>0</v>
      </c>
      <c r="BV3" s="31" t="s">
        <v>904</v>
      </c>
    </row>
    <row r="4" spans="1:74">
      <c r="S4" s="595"/>
      <c r="T4" s="619"/>
      <c r="V4" s="595"/>
      <c r="W4" s="619"/>
      <c r="Y4" s="595"/>
      <c r="Z4" s="619"/>
      <c r="AB4" s="595"/>
      <c r="AC4" s="619"/>
      <c r="AE4" s="595"/>
      <c r="AF4" s="619"/>
      <c r="AH4" s="595"/>
      <c r="AI4" s="619"/>
      <c r="AK4" s="595"/>
      <c r="AL4" s="619"/>
      <c r="AN4" s="595"/>
      <c r="AO4" s="619"/>
      <c r="AQ4" s="539"/>
      <c r="AR4" s="550"/>
      <c r="AS4"/>
      <c r="AT4" s="539"/>
      <c r="AU4" s="550"/>
      <c r="AV4"/>
      <c r="AW4" s="539"/>
      <c r="AX4" s="550"/>
      <c r="AY4"/>
      <c r="AZ4" s="539"/>
      <c r="BA4" s="550"/>
      <c r="BB4"/>
      <c r="BC4" s="539"/>
      <c r="BD4" s="550"/>
      <c r="BE4"/>
      <c r="BF4" s="539"/>
      <c r="BG4" s="550"/>
      <c r="BH4"/>
      <c r="BI4" s="539"/>
      <c r="BJ4" s="550"/>
      <c r="BK4"/>
      <c r="BL4" s="539"/>
      <c r="BM4" s="550"/>
    </row>
    <row r="5" spans="1:74">
      <c r="A5" s="31" t="s">
        <v>137</v>
      </c>
      <c r="B5" s="51">
        <f>IS!B23-IS!B21-IS!B20</f>
        <v>367</v>
      </c>
      <c r="C5" s="51">
        <f>IS!C23-IS!C21-IS!C20</f>
        <v>322</v>
      </c>
      <c r="D5" s="51">
        <f>IS!D23-IS!D21-IS!D20</f>
        <v>234</v>
      </c>
      <c r="E5" s="51">
        <f>IS!E23-IS!E21-IS!E20</f>
        <v>264</v>
      </c>
      <c r="F5" s="51">
        <f>IS!F23-IS!F21-IS!F20</f>
        <v>408</v>
      </c>
      <c r="G5" s="51">
        <f>IS!G23-IS!G21-IS!G20</f>
        <v>879</v>
      </c>
      <c r="H5" s="51">
        <f>IS!H23-IS!H21-IS!H20</f>
        <v>692</v>
      </c>
      <c r="I5" s="51">
        <f>IS!I23-IS!I21-IS!I20</f>
        <v>514</v>
      </c>
      <c r="J5" s="51">
        <f>IS!J23-IS!J21-IS!J20</f>
        <v>855</v>
      </c>
      <c r="K5" s="51">
        <f>IS!K23-IS!K21-IS!K20</f>
        <v>1174</v>
      </c>
      <c r="L5" s="51">
        <f>IS!L23-IS!L21-IS!L20</f>
        <v>1130</v>
      </c>
      <c r="M5" s="51">
        <f>IS!M23-IS!M21-IS!M20</f>
        <v>1186</v>
      </c>
      <c r="N5" s="51">
        <f>IS!N23-IS!N21-IS!N20</f>
        <v>1378</v>
      </c>
      <c r="O5" s="51">
        <f>IS!O23-IS!O21-IS!O20</f>
        <v>1479</v>
      </c>
      <c r="P5" s="51">
        <f>IS!P23-IS!P21-IS!P20</f>
        <v>1390</v>
      </c>
      <c r="Q5" s="51">
        <f>IS!Q23-IS!Q21-IS!Q20</f>
        <v>1499</v>
      </c>
      <c r="R5" s="51">
        <f>IS!R23-IS!R21-IS!R20</f>
        <v>237</v>
      </c>
      <c r="S5" s="629">
        <f>IS!S23-IS!S21-IS!S20</f>
        <v>-193</v>
      </c>
      <c r="T5" s="652">
        <f>IS!T23-IS!T21-IS!T20</f>
        <v>44</v>
      </c>
      <c r="U5" s="51">
        <f>IS!U23-IS!U21-IS!U20</f>
        <v>471</v>
      </c>
      <c r="V5" s="629">
        <f>IS!V23-IS!V21-IS!V20</f>
        <v>816</v>
      </c>
      <c r="W5" s="652">
        <f>IS!W23-IS!W21-IS!W20</f>
        <v>1287</v>
      </c>
      <c r="X5" s="51">
        <f>IS!X23-IS!X21-IS!X20</f>
        <v>-103</v>
      </c>
      <c r="Y5" s="629">
        <f>IS!Y23-IS!Y21-IS!Y20</f>
        <v>469</v>
      </c>
      <c r="Z5" s="652">
        <f>IS!Z23-IS!Z21-IS!Z20</f>
        <v>366</v>
      </c>
      <c r="AA5" s="51">
        <f>IS!AA23-IS!AA21-IS!AA20</f>
        <v>-775</v>
      </c>
      <c r="AB5" s="629">
        <f>IS!AB23-IS!AB21-IS!AB20</f>
        <v>-386</v>
      </c>
      <c r="AC5" s="652">
        <f>IS!AC23-IS!AC21-IS!AC20</f>
        <v>-1161</v>
      </c>
      <c r="AD5" s="51">
        <f>IS!AD23-IS!AD21-IS!AD20</f>
        <v>83</v>
      </c>
      <c r="AE5" s="629">
        <f>IS!AE23-IS!AE21-IS!AE20</f>
        <v>-935</v>
      </c>
      <c r="AF5" s="652">
        <f>IS!AF23-IS!AF21-IS!AF20</f>
        <v>-852</v>
      </c>
      <c r="AG5" s="51">
        <f>IS!AG23-IS!AG21-IS!AG20</f>
        <v>-1617</v>
      </c>
      <c r="AH5" s="629">
        <f>IS!AH23-IS!AH21-IS!AH20</f>
        <v>-355</v>
      </c>
      <c r="AI5" s="652">
        <f>IS!AI23-IS!AI21-IS!AI20</f>
        <v>-1972</v>
      </c>
      <c r="AJ5" s="51">
        <f>IS!AJ23-IS!AJ21-IS!AJ20</f>
        <v>38</v>
      </c>
      <c r="AK5" s="629">
        <f>IS!AK23-IS!AK21-IS!AK20</f>
        <v>475</v>
      </c>
      <c r="AL5" s="652">
        <f>IS!AL23-IS!AL21-IS!AL20</f>
        <v>513</v>
      </c>
      <c r="AM5" s="51">
        <f>IS!AM23-IS!AM21-IS!AM20</f>
        <v>223</v>
      </c>
      <c r="AN5" s="629">
        <f>IS!AN23-IS!AN21-IS!AN20</f>
        <v>614</v>
      </c>
      <c r="AO5" s="652">
        <f>IS!AO23-IS!AO21-IS!AO20</f>
        <v>837</v>
      </c>
      <c r="AP5" s="51">
        <f>IS!AP23-IS!AP21-IS!AP20</f>
        <v>797</v>
      </c>
      <c r="AQ5" s="629">
        <f>IS!AQ23-IS!AQ21-IS!AQ20</f>
        <v>1147</v>
      </c>
      <c r="AR5" s="652">
        <f>IS!AR23-IS!AR21-IS!AR20</f>
        <v>1944</v>
      </c>
      <c r="AS5" s="51">
        <f>IS!AS23-IS!AS21-IS!AS20</f>
        <v>1646</v>
      </c>
      <c r="AT5" s="629">
        <f>IS!AT23-IS!AT21-IS!AT20</f>
        <v>1260</v>
      </c>
      <c r="AU5" s="652">
        <f>IS!AU23-IS!AU21-IS!AU20</f>
        <v>2906</v>
      </c>
      <c r="AV5" s="51">
        <f>IS!AV23-IS!AV21-IS!AV20</f>
        <v>2074</v>
      </c>
      <c r="AW5" s="629">
        <f>IS!AW23-IS!AW21-IS!AW20</f>
        <v>2394</v>
      </c>
      <c r="AX5" s="652">
        <f>IS!AX23-IS!AX21-IS!AX20</f>
        <v>4468</v>
      </c>
      <c r="AY5" s="51">
        <f>IS!AY23-IS!AY21-IS!AY20</f>
        <v>2418</v>
      </c>
      <c r="AZ5" s="237">
        <f>IS!AZ23-IS!AZ21-IS!AZ20</f>
        <v>2535.4641515946769</v>
      </c>
      <c r="BA5" s="576">
        <f>IS!BA23-IS!BA21-IS!BA20</f>
        <v>4807.4641515946769</v>
      </c>
      <c r="BB5" s="48">
        <f>IS!BB23-IS!BB21-IS!BB20</f>
        <v>2744.7359153711895</v>
      </c>
      <c r="BC5" s="237">
        <f>IS!BC23-IS!BC21-IS!BC20</f>
        <v>2870.854831038343</v>
      </c>
      <c r="BD5" s="576">
        <f>IS!BD23-IS!BD21-IS!BD20</f>
        <v>5615.5907464095308</v>
      </c>
      <c r="BE5" s="48">
        <f>IS!BE23-IS!BE21-IS!BE20</f>
        <v>3143.0570841545727</v>
      </c>
      <c r="BF5" s="237">
        <f>IS!BF23-IS!BF21-IS!BF20</f>
        <v>3359.7947859595329</v>
      </c>
      <c r="BG5" s="576">
        <f>IS!BG23-IS!BG21-IS!BG20</f>
        <v>6502.8518701141065</v>
      </c>
      <c r="BH5" s="48">
        <f>IS!BH23-IS!BH21-IS!BH20</f>
        <v>3678.3067611010065</v>
      </c>
      <c r="BI5" s="237">
        <f>IS!BI23-IS!BI21-IS!BI20</f>
        <v>3943.1724901762263</v>
      </c>
      <c r="BJ5" s="576">
        <f>IS!BJ23-IS!BJ21-IS!BJ20</f>
        <v>7621.479251277231</v>
      </c>
      <c r="BK5" s="48">
        <f>IS!BK23-IS!BK21-IS!BK20</f>
        <v>4280.8936127481211</v>
      </c>
      <c r="BL5" s="237">
        <f>IS!BL23-IS!BL21-IS!BL20</f>
        <v>4593.6432558073739</v>
      </c>
      <c r="BM5" s="576">
        <f>IS!BM23-IS!BM21-IS!BM20</f>
        <v>8874.5368685554949</v>
      </c>
    </row>
    <row r="6" spans="1:74">
      <c r="A6" s="143" t="s">
        <v>139</v>
      </c>
      <c r="B6" s="40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51"/>
      <c r="Q6" s="51"/>
      <c r="R6" s="40"/>
      <c r="S6" s="630"/>
      <c r="T6" s="652"/>
      <c r="U6" s="40"/>
      <c r="V6" s="630"/>
      <c r="W6" s="652"/>
      <c r="X6" s="40"/>
      <c r="Y6" s="630"/>
      <c r="Z6" s="652"/>
      <c r="AA6" s="40"/>
      <c r="AB6" s="630"/>
      <c r="AC6" s="653"/>
      <c r="AD6" s="40"/>
      <c r="AE6" s="630"/>
      <c r="AF6" s="653"/>
      <c r="AG6" s="40"/>
      <c r="AH6" s="630"/>
      <c r="AI6" s="653"/>
      <c r="AJ6" s="40"/>
      <c r="AK6" s="630"/>
      <c r="AL6" s="653"/>
      <c r="AM6" s="40"/>
      <c r="AN6" s="630"/>
      <c r="AO6" s="653"/>
      <c r="AP6" s="40"/>
      <c r="AQ6" s="236"/>
      <c r="AR6" s="605"/>
      <c r="AS6" s="40"/>
      <c r="AT6" s="236"/>
      <c r="AU6" s="605"/>
      <c r="AV6" s="56"/>
      <c r="AW6" s="236"/>
      <c r="AX6" s="605"/>
      <c r="AY6" s="56"/>
      <c r="AZ6" s="236"/>
      <c r="BA6" s="605"/>
      <c r="BB6" s="56"/>
      <c r="BC6" s="236"/>
      <c r="BD6" s="605"/>
      <c r="BE6" s="56"/>
      <c r="BF6" s="236"/>
      <c r="BG6" s="605"/>
      <c r="BH6" s="56"/>
      <c r="BI6" s="236"/>
      <c r="BJ6" s="605"/>
      <c r="BK6" s="56"/>
      <c r="BL6" s="236"/>
      <c r="BM6" s="605"/>
    </row>
    <row r="7" spans="1:74">
      <c r="A7" s="66" t="s">
        <v>167</v>
      </c>
      <c r="B7" s="40">
        <v>0</v>
      </c>
      <c r="C7" s="40">
        <v>0</v>
      </c>
      <c r="D7" s="40">
        <v>0</v>
      </c>
      <c r="E7" s="40">
        <v>0</v>
      </c>
      <c r="F7" s="40">
        <v>0</v>
      </c>
      <c r="G7" s="40">
        <v>0</v>
      </c>
      <c r="H7" s="40">
        <v>0</v>
      </c>
      <c r="I7" s="40">
        <v>0</v>
      </c>
      <c r="J7" s="40">
        <v>0</v>
      </c>
      <c r="K7" s="40">
        <v>0</v>
      </c>
      <c r="L7" s="40">
        <v>0</v>
      </c>
      <c r="M7" s="40">
        <v>0</v>
      </c>
      <c r="N7" s="40">
        <v>0</v>
      </c>
      <c r="O7" s="40">
        <v>56</v>
      </c>
      <c r="P7" s="40">
        <v>-1</v>
      </c>
      <c r="Q7" s="40">
        <v>0</v>
      </c>
      <c r="R7" s="40">
        <v>0</v>
      </c>
      <c r="S7" s="630">
        <f>T7-R7</f>
        <v>0</v>
      </c>
      <c r="T7" s="653">
        <v>0</v>
      </c>
      <c r="U7" s="40">
        <v>0</v>
      </c>
      <c r="V7" s="630">
        <f>W7-U7</f>
        <v>0</v>
      </c>
      <c r="W7" s="653">
        <v>0</v>
      </c>
      <c r="X7" s="40">
        <v>0</v>
      </c>
      <c r="Y7" s="630">
        <f>Z7-X7</f>
        <v>0</v>
      </c>
      <c r="Z7" s="653">
        <v>0</v>
      </c>
      <c r="AA7" s="40">
        <v>0</v>
      </c>
      <c r="AB7" s="630">
        <f>AC7-AA7</f>
        <v>0</v>
      </c>
      <c r="AC7" s="653">
        <v>0</v>
      </c>
      <c r="AD7" s="40">
        <v>0</v>
      </c>
      <c r="AE7" s="630">
        <f>AF7-AD7</f>
        <v>0</v>
      </c>
      <c r="AF7" s="653">
        <f>IS!AF39</f>
        <v>0</v>
      </c>
      <c r="AG7" s="40">
        <v>-152</v>
      </c>
      <c r="AH7" s="630">
        <f>AI7-AG7</f>
        <v>43</v>
      </c>
      <c r="AI7" s="653">
        <v>-109</v>
      </c>
      <c r="AJ7" s="40">
        <v>-93</v>
      </c>
      <c r="AK7" s="630">
        <f>AL7-AJ7</f>
        <v>50</v>
      </c>
      <c r="AL7" s="653">
        <v>-43</v>
      </c>
      <c r="AM7" s="40">
        <v>68</v>
      </c>
      <c r="AN7" s="630">
        <f>AO7-AM7</f>
        <v>18</v>
      </c>
      <c r="AO7" s="653">
        <v>86</v>
      </c>
      <c r="AP7" s="40">
        <v>0</v>
      </c>
      <c r="AQ7" s="630">
        <f>AR7-AP7</f>
        <v>0</v>
      </c>
      <c r="AR7" s="653">
        <v>0</v>
      </c>
      <c r="AS7" s="40">
        <v>0</v>
      </c>
      <c r="AT7" s="630">
        <f>AU7-AS7</f>
        <v>0</v>
      </c>
      <c r="AU7" s="653">
        <v>0</v>
      </c>
      <c r="AV7" s="40">
        <v>0</v>
      </c>
      <c r="AW7" s="630">
        <f>AX7-AV7</f>
        <v>0</v>
      </c>
      <c r="AX7" s="653">
        <v>0</v>
      </c>
      <c r="AY7" s="40">
        <v>0</v>
      </c>
      <c r="AZ7" s="236">
        <f>IS!AZ39</f>
        <v>0</v>
      </c>
      <c r="BA7" s="605">
        <f>IS!BA39</f>
        <v>0</v>
      </c>
      <c r="BB7" s="56">
        <f>IS!BB39</f>
        <v>0</v>
      </c>
      <c r="BC7" s="236">
        <f>IS!BC39</f>
        <v>0</v>
      </c>
      <c r="BD7" s="605">
        <f>IS!BD39</f>
        <v>0</v>
      </c>
      <c r="BE7" s="56">
        <f>IS!BE39</f>
        <v>0</v>
      </c>
      <c r="BF7" s="236">
        <f>IS!BF39</f>
        <v>0</v>
      </c>
      <c r="BG7" s="605">
        <f>IS!BG39</f>
        <v>0</v>
      </c>
      <c r="BH7" s="56">
        <f>IS!BH39</f>
        <v>0</v>
      </c>
      <c r="BI7" s="236">
        <f>IS!BI39</f>
        <v>0</v>
      </c>
      <c r="BJ7" s="605">
        <f>IS!BJ39</f>
        <v>0</v>
      </c>
      <c r="BK7" s="56">
        <f>IS!BK39</f>
        <v>0</v>
      </c>
      <c r="BL7" s="236">
        <f>IS!BL39</f>
        <v>0</v>
      </c>
      <c r="BM7" s="605">
        <f>IS!BM39</f>
        <v>0</v>
      </c>
    </row>
    <row r="8" spans="1:74">
      <c r="A8" s="66" t="s">
        <v>156</v>
      </c>
      <c r="B8" s="40">
        <f>-IS!B22-3</f>
        <v>-4</v>
      </c>
      <c r="C8" s="40">
        <f>-IS!C22</f>
        <v>-6</v>
      </c>
      <c r="D8" s="40">
        <f>-IS!D22</f>
        <v>0</v>
      </c>
      <c r="E8" s="40">
        <f>-IS!E22</f>
        <v>11</v>
      </c>
      <c r="F8" s="40">
        <v>2</v>
      </c>
      <c r="G8" s="40">
        <v>1</v>
      </c>
      <c r="H8" s="40">
        <v>-9</v>
      </c>
      <c r="I8" s="40">
        <v>1</v>
      </c>
      <c r="J8" s="40">
        <v>-11</v>
      </c>
      <c r="K8" s="40">
        <v>-40</v>
      </c>
      <c r="L8" s="40">
        <v>-10</v>
      </c>
      <c r="M8" s="40">
        <v>-8</v>
      </c>
      <c r="N8" s="40">
        <v>-9</v>
      </c>
      <c r="O8" s="40">
        <v>7</v>
      </c>
      <c r="P8" s="40">
        <v>-3</v>
      </c>
      <c r="Q8" s="40">
        <v>8</v>
      </c>
      <c r="R8" s="40">
        <v>2</v>
      </c>
      <c r="S8" s="630">
        <f>T8-R8</f>
        <v>3</v>
      </c>
      <c r="T8" s="653">
        <v>5</v>
      </c>
      <c r="U8" s="40">
        <v>6</v>
      </c>
      <c r="V8" s="630">
        <f>W8-U8</f>
        <v>5</v>
      </c>
      <c r="W8" s="653">
        <v>11</v>
      </c>
      <c r="X8" s="40">
        <v>6</v>
      </c>
      <c r="Y8" s="630">
        <f>Z8-X8</f>
        <v>5</v>
      </c>
      <c r="Z8" s="653">
        <v>11</v>
      </c>
      <c r="AA8" s="40">
        <v>-11</v>
      </c>
      <c r="AB8" s="630">
        <f>AC8-AA8</f>
        <v>22</v>
      </c>
      <c r="AC8" s="653">
        <v>11</v>
      </c>
      <c r="AD8" s="40">
        <v>0</v>
      </c>
      <c r="AE8" s="630">
        <f>AF8-AD8</f>
        <v>-13</v>
      </c>
      <c r="AF8" s="653">
        <v>-13</v>
      </c>
      <c r="AG8" s="40">
        <v>19</v>
      </c>
      <c r="AH8" s="630">
        <f>AI8-AG8</f>
        <v>18</v>
      </c>
      <c r="AI8" s="653">
        <v>37</v>
      </c>
      <c r="AJ8" s="40">
        <v>2</v>
      </c>
      <c r="AK8" s="630">
        <f>AL8-AJ8</f>
        <v>7</v>
      </c>
      <c r="AL8" s="653">
        <v>9</v>
      </c>
      <c r="AM8" s="40">
        <v>16</v>
      </c>
      <c r="AN8" s="630">
        <f>AO8-AM8</f>
        <v>2</v>
      </c>
      <c r="AO8" s="653">
        <v>18</v>
      </c>
      <c r="AP8" s="40">
        <v>-1</v>
      </c>
      <c r="AQ8" s="630">
        <f>AR8-AP8</f>
        <v>19</v>
      </c>
      <c r="AR8" s="653">
        <v>18</v>
      </c>
      <c r="AS8" s="40">
        <v>1</v>
      </c>
      <c r="AT8" s="630">
        <f>AU8-AS8</f>
        <v>37</v>
      </c>
      <c r="AU8" s="653">
        <f>32+6</f>
        <v>38</v>
      </c>
      <c r="AV8" s="40">
        <v>4</v>
      </c>
      <c r="AW8" s="630">
        <f>AX8-AV8</f>
        <v>12</v>
      </c>
      <c r="AX8" s="653">
        <f>18-2</f>
        <v>16</v>
      </c>
      <c r="AY8" s="40">
        <f>-16-1</f>
        <v>-17</v>
      </c>
      <c r="AZ8" s="236">
        <f>BA8-AY8</f>
        <v>0</v>
      </c>
      <c r="BA8" s="580">
        <f>AY8</f>
        <v>-17</v>
      </c>
      <c r="BB8" s="56">
        <f>BD8/2</f>
        <v>0</v>
      </c>
      <c r="BC8" s="236">
        <f>BD8-BB8</f>
        <v>0</v>
      </c>
      <c r="BD8" s="580">
        <v>0</v>
      </c>
      <c r="BE8" s="56">
        <f>BG8/2</f>
        <v>0</v>
      </c>
      <c r="BF8" s="236">
        <f>BG8-BE8</f>
        <v>0</v>
      </c>
      <c r="BG8" s="580">
        <v>0</v>
      </c>
      <c r="BH8" s="56">
        <f>BJ8/2</f>
        <v>0</v>
      </c>
      <c r="BI8" s="236">
        <f>BJ8-BH8</f>
        <v>0</v>
      </c>
      <c r="BJ8" s="580">
        <v>0</v>
      </c>
      <c r="BK8" s="56">
        <f>BM8/2</f>
        <v>0</v>
      </c>
      <c r="BL8" s="236">
        <f>BM8-BK8</f>
        <v>0</v>
      </c>
      <c r="BM8" s="580">
        <v>0</v>
      </c>
    </row>
    <row r="9" spans="1:74">
      <c r="A9" s="66" t="s">
        <v>145</v>
      </c>
      <c r="B9" s="40">
        <f t="shared" ref="B9:BM9" si="2">B10+B11</f>
        <v>-63</v>
      </c>
      <c r="C9" s="40">
        <f t="shared" si="2"/>
        <v>-67</v>
      </c>
      <c r="D9" s="40">
        <f t="shared" si="2"/>
        <v>-54</v>
      </c>
      <c r="E9" s="40">
        <f t="shared" si="2"/>
        <v>-41</v>
      </c>
      <c r="F9" s="40">
        <f t="shared" si="2"/>
        <v>-4</v>
      </c>
      <c r="G9" s="40">
        <f t="shared" si="2"/>
        <v>-11</v>
      </c>
      <c r="H9" s="40">
        <f t="shared" si="2"/>
        <v>-3</v>
      </c>
      <c r="I9" s="40">
        <f t="shared" si="2"/>
        <v>-24</v>
      </c>
      <c r="J9" s="40">
        <f t="shared" si="2"/>
        <v>-15</v>
      </c>
      <c r="K9" s="40">
        <f t="shared" si="2"/>
        <v>-16</v>
      </c>
      <c r="L9" s="40">
        <f t="shared" si="2"/>
        <v>-25</v>
      </c>
      <c r="M9" s="40">
        <f t="shared" si="2"/>
        <v>-40</v>
      </c>
      <c r="N9" s="40">
        <f t="shared" si="2"/>
        <v>-44</v>
      </c>
      <c r="O9" s="40">
        <f t="shared" si="2"/>
        <v>-50</v>
      </c>
      <c r="P9" s="40">
        <f t="shared" si="2"/>
        <v>-21</v>
      </c>
      <c r="Q9" s="40">
        <f t="shared" si="2"/>
        <v>-37</v>
      </c>
      <c r="R9" s="40">
        <f t="shared" ref="R9" si="3">R10+R11</f>
        <v>-37</v>
      </c>
      <c r="S9" s="630">
        <f>S10+S11</f>
        <v>-6</v>
      </c>
      <c r="T9" s="653">
        <f t="shared" si="2"/>
        <v>-43</v>
      </c>
      <c r="U9" s="40">
        <f t="shared" si="2"/>
        <v>-23</v>
      </c>
      <c r="V9" s="630">
        <f>V10+V11</f>
        <v>-29</v>
      </c>
      <c r="W9" s="653">
        <f>W10+W11</f>
        <v>-52</v>
      </c>
      <c r="X9" s="40">
        <f t="shared" ref="X9" si="4">X10+X11</f>
        <v>-23</v>
      </c>
      <c r="Y9" s="630">
        <f>Y10+Y11</f>
        <v>93</v>
      </c>
      <c r="Z9" s="653">
        <f>Z10+Z11</f>
        <v>70</v>
      </c>
      <c r="AA9" s="40">
        <f t="shared" ref="AA9" si="5">AA10+AA11</f>
        <v>-6</v>
      </c>
      <c r="AB9" s="630">
        <f>AB10+AB11</f>
        <v>107</v>
      </c>
      <c r="AC9" s="653">
        <f t="shared" si="2"/>
        <v>101</v>
      </c>
      <c r="AD9" s="40">
        <f t="shared" si="2"/>
        <v>-9</v>
      </c>
      <c r="AE9" s="630">
        <f>AE10+AE11</f>
        <v>-3</v>
      </c>
      <c r="AF9" s="653">
        <f>AF10+AF11</f>
        <v>-12</v>
      </c>
      <c r="AG9" s="40">
        <f t="shared" ref="AG9" si="6">AG10+AG11</f>
        <v>-45</v>
      </c>
      <c r="AH9" s="630">
        <f>AH10+AH11</f>
        <v>-85</v>
      </c>
      <c r="AI9" s="653">
        <f>AI10+AI11</f>
        <v>-130</v>
      </c>
      <c r="AJ9" s="40">
        <f t="shared" ref="AJ9" si="7">AJ10+AJ11</f>
        <v>-24</v>
      </c>
      <c r="AK9" s="630">
        <f>AK10+AK11</f>
        <v>6</v>
      </c>
      <c r="AL9" s="653">
        <f>AL10+AL11</f>
        <v>-18</v>
      </c>
      <c r="AM9" s="40">
        <f t="shared" ref="AM9" si="8">AM10+AM11</f>
        <v>-29</v>
      </c>
      <c r="AN9" s="630">
        <f>AN10+AN11</f>
        <v>54</v>
      </c>
      <c r="AO9" s="653">
        <f t="shared" si="2"/>
        <v>25</v>
      </c>
      <c r="AP9" s="40">
        <f t="shared" ref="AP9" si="9">AP10+AP11</f>
        <v>-73</v>
      </c>
      <c r="AQ9" s="630">
        <f>AQ10+AQ11</f>
        <v>-46</v>
      </c>
      <c r="AR9" s="653">
        <f t="shared" ref="AR9:AS9" si="10">AR10+AR11</f>
        <v>-119</v>
      </c>
      <c r="AS9" s="40">
        <f t="shared" si="10"/>
        <v>-63</v>
      </c>
      <c r="AT9" s="630">
        <f>AT10+AT11</f>
        <v>-32</v>
      </c>
      <c r="AU9" s="653">
        <f t="shared" ref="AU9:AV9" si="11">AU10+AU11</f>
        <v>-95</v>
      </c>
      <c r="AV9" s="40">
        <f t="shared" si="11"/>
        <v>6</v>
      </c>
      <c r="AW9" s="630">
        <f>AW10+AW11</f>
        <v>26</v>
      </c>
      <c r="AX9" s="653">
        <f t="shared" ref="AX9:AY9" si="12">AX10+AX11</f>
        <v>32</v>
      </c>
      <c r="AY9" s="40">
        <f t="shared" si="12"/>
        <v>58</v>
      </c>
      <c r="AZ9" s="236">
        <f>AZ10+AZ11</f>
        <v>-28.800000000000004</v>
      </c>
      <c r="BA9" s="605">
        <f t="shared" si="2"/>
        <v>29.199999999999996</v>
      </c>
      <c r="BB9" s="56">
        <f t="shared" si="2"/>
        <v>13.129999999999995</v>
      </c>
      <c r="BC9" s="236">
        <f>BC10+BC11</f>
        <v>13.129999999999995</v>
      </c>
      <c r="BD9" s="605">
        <f t="shared" si="2"/>
        <v>26.259999999999991</v>
      </c>
      <c r="BE9" s="56">
        <f t="shared" si="2"/>
        <v>11.586499999999994</v>
      </c>
      <c r="BF9" s="236">
        <f>BF10+BF11</f>
        <v>11.586499999999994</v>
      </c>
      <c r="BG9" s="605">
        <f t="shared" si="2"/>
        <v>23.172999999999988</v>
      </c>
      <c r="BH9" s="56">
        <f t="shared" si="2"/>
        <v>9.9658249999999953</v>
      </c>
      <c r="BI9" s="236">
        <f>BI10+BI11</f>
        <v>9.9658249999999953</v>
      </c>
      <c r="BJ9" s="605">
        <f t="shared" si="2"/>
        <v>19.931649999999991</v>
      </c>
      <c r="BK9" s="56">
        <f t="shared" si="2"/>
        <v>8.2641162499999936</v>
      </c>
      <c r="BL9" s="236">
        <f>BL10+BL11</f>
        <v>8.2641162499999936</v>
      </c>
      <c r="BM9" s="605">
        <f t="shared" si="2"/>
        <v>16.528232499999987</v>
      </c>
    </row>
    <row r="10" spans="1:74">
      <c r="A10" s="150" t="s">
        <v>5</v>
      </c>
      <c r="B10" s="40">
        <f>-IS!B19</f>
        <v>-76</v>
      </c>
      <c r="C10" s="40">
        <f>-IS!C19</f>
        <v>-82</v>
      </c>
      <c r="D10" s="40">
        <f>-IS!D19</f>
        <v>-66</v>
      </c>
      <c r="E10" s="40">
        <f>-IS!E19</f>
        <v>-52</v>
      </c>
      <c r="F10" s="40">
        <f>-IS!F19</f>
        <v>-19</v>
      </c>
      <c r="G10" s="40">
        <f>-IS!G19</f>
        <v>-46</v>
      </c>
      <c r="H10" s="40">
        <f>-IS!H19</f>
        <v>-47</v>
      </c>
      <c r="I10" s="40">
        <f>-IS!I19</f>
        <v>-66</v>
      </c>
      <c r="J10" s="40">
        <f>-IS!J19</f>
        <v>-74</v>
      </c>
      <c r="K10" s="40">
        <f>-IS!K19</f>
        <v>-93</v>
      </c>
      <c r="L10" s="40">
        <f>-IS!L19</f>
        <v>-93</v>
      </c>
      <c r="M10" s="40">
        <f>-IS!M19</f>
        <v>-116</v>
      </c>
      <c r="N10" s="40">
        <f>-IS!N19</f>
        <v>-173</v>
      </c>
      <c r="O10" s="40">
        <f>-IS!O19</f>
        <v>-149</v>
      </c>
      <c r="P10" s="40">
        <f>-IS!P19</f>
        <v>-94</v>
      </c>
      <c r="Q10" s="40">
        <f>-IS!Q19</f>
        <v>-100</v>
      </c>
      <c r="R10" s="40">
        <v>-51</v>
      </c>
      <c r="S10" s="630">
        <f>T10-R10</f>
        <v>-66</v>
      </c>
      <c r="T10" s="653">
        <f>-IS!T19</f>
        <v>-117</v>
      </c>
      <c r="U10" s="40">
        <v>-51</v>
      </c>
      <c r="V10" s="630">
        <f>W10-U10</f>
        <v>-80</v>
      </c>
      <c r="W10" s="653">
        <f>-IS!W19</f>
        <v>-131</v>
      </c>
      <c r="X10" s="40">
        <v>-51</v>
      </c>
      <c r="Y10" s="630">
        <f>Z10-X10</f>
        <v>42</v>
      </c>
      <c r="Z10" s="653">
        <f>-IS!Z19</f>
        <v>-9</v>
      </c>
      <c r="AA10" s="40">
        <v>-52</v>
      </c>
      <c r="AB10" s="630">
        <f>AC10-AA10</f>
        <v>48</v>
      </c>
      <c r="AC10" s="653">
        <f>-IS!AC19</f>
        <v>-4</v>
      </c>
      <c r="AD10" s="40">
        <v>-45</v>
      </c>
      <c r="AE10" s="630">
        <f>AF10-AD10</f>
        <v>-59</v>
      </c>
      <c r="AF10" s="653">
        <f>-IS!AF19</f>
        <v>-104</v>
      </c>
      <c r="AG10" s="40">
        <v>-73</v>
      </c>
      <c r="AH10" s="630">
        <f>AI10-AG10</f>
        <v>-117</v>
      </c>
      <c r="AI10" s="653">
        <f>-IS!AI19</f>
        <v>-190</v>
      </c>
      <c r="AJ10" s="40">
        <f>-IS!AJ19</f>
        <v>-38</v>
      </c>
      <c r="AK10" s="630">
        <f>AL10-AJ10</f>
        <v>-7</v>
      </c>
      <c r="AL10" s="653">
        <f>-IS!AL19</f>
        <v>-45</v>
      </c>
      <c r="AM10" s="40">
        <f>-IS!AM19</f>
        <v>-48</v>
      </c>
      <c r="AN10" s="630">
        <f>AO10-AM10</f>
        <v>0</v>
      </c>
      <c r="AO10" s="653">
        <f>-IS!AO19</f>
        <v>-48</v>
      </c>
      <c r="AP10" s="40">
        <f>-IS!AP19</f>
        <v>-89</v>
      </c>
      <c r="AQ10" s="630">
        <f>AR10-AP10</f>
        <v>-84</v>
      </c>
      <c r="AR10" s="653">
        <f>-IS!AR19</f>
        <v>-173</v>
      </c>
      <c r="AS10" s="40">
        <f>-IS!AS19</f>
        <v>-78</v>
      </c>
      <c r="AT10" s="630">
        <f>AU10-AS10</f>
        <v>-94</v>
      </c>
      <c r="AU10" s="653">
        <f>-IS!AU19</f>
        <v>-172</v>
      </c>
      <c r="AV10" s="40">
        <f>-IS!AV19</f>
        <v>-24</v>
      </c>
      <c r="AW10" s="630">
        <f>AX10-AV10</f>
        <v>-32</v>
      </c>
      <c r="AX10" s="653">
        <f>-IS!AX19</f>
        <v>-56</v>
      </c>
      <c r="AY10" s="40">
        <f>-IS!AY19</f>
        <v>-16</v>
      </c>
      <c r="AZ10" s="601">
        <f>-IS!AZ19</f>
        <v>-42.800000000000004</v>
      </c>
      <c r="BA10" s="625">
        <f>-IS!BA19</f>
        <v>-58.800000000000004</v>
      </c>
      <c r="BB10" s="49">
        <f>-IS!BB19</f>
        <v>-30.870000000000005</v>
      </c>
      <c r="BC10" s="601">
        <f>-IS!BC19</f>
        <v>-30.870000000000005</v>
      </c>
      <c r="BD10" s="625">
        <f>-IS!BD19</f>
        <v>-61.740000000000009</v>
      </c>
      <c r="BE10" s="49">
        <f>-IS!BE19</f>
        <v>-32.413500000000006</v>
      </c>
      <c r="BF10" s="601">
        <f>-IS!BF19</f>
        <v>-32.413500000000006</v>
      </c>
      <c r="BG10" s="625">
        <f>-IS!BG19</f>
        <v>-64.827000000000012</v>
      </c>
      <c r="BH10" s="49">
        <f>-IS!BH19</f>
        <v>-34.034175000000005</v>
      </c>
      <c r="BI10" s="601">
        <f>-IS!BI19</f>
        <v>-34.034175000000005</v>
      </c>
      <c r="BJ10" s="625">
        <f>-IS!BJ19</f>
        <v>-68.068350000000009</v>
      </c>
      <c r="BK10" s="49">
        <f>-IS!BK19</f>
        <v>-35.735883750000006</v>
      </c>
      <c r="BL10" s="601">
        <f>-IS!BL19</f>
        <v>-35.735883750000006</v>
      </c>
      <c r="BM10" s="625">
        <f>-IS!BM19</f>
        <v>-71.471767500000013</v>
      </c>
    </row>
    <row r="11" spans="1:74">
      <c r="A11" s="150" t="s">
        <v>126</v>
      </c>
      <c r="B11" s="40">
        <v>13</v>
      </c>
      <c r="C11" s="40">
        <v>15</v>
      </c>
      <c r="D11" s="40">
        <v>12</v>
      </c>
      <c r="E11" s="40">
        <v>11</v>
      </c>
      <c r="F11" s="40">
        <v>15</v>
      </c>
      <c r="G11" s="40">
        <v>35</v>
      </c>
      <c r="H11" s="40">
        <v>44</v>
      </c>
      <c r="I11" s="40">
        <v>42</v>
      </c>
      <c r="J11" s="40">
        <v>59</v>
      </c>
      <c r="K11" s="40">
        <v>77</v>
      </c>
      <c r="L11" s="40">
        <v>68</v>
      </c>
      <c r="M11" s="40">
        <v>76</v>
      </c>
      <c r="N11" s="40">
        <v>129</v>
      </c>
      <c r="O11" s="40">
        <v>99</v>
      </c>
      <c r="P11" s="40">
        <v>73</v>
      </c>
      <c r="Q11" s="40">
        <v>63</v>
      </c>
      <c r="R11" s="40">
        <v>14</v>
      </c>
      <c r="S11" s="630">
        <f>T11-R11</f>
        <v>60</v>
      </c>
      <c r="T11" s="653">
        <v>74</v>
      </c>
      <c r="U11" s="40">
        <v>28</v>
      </c>
      <c r="V11" s="630">
        <f>W11-U11</f>
        <v>51</v>
      </c>
      <c r="W11" s="653">
        <v>79</v>
      </c>
      <c r="X11" s="40">
        <v>28</v>
      </c>
      <c r="Y11" s="630">
        <f>Z11-X11</f>
        <v>51</v>
      </c>
      <c r="Z11" s="653">
        <v>79</v>
      </c>
      <c r="AA11" s="40">
        <v>46</v>
      </c>
      <c r="AB11" s="630">
        <f>AC11-AA11</f>
        <v>59</v>
      </c>
      <c r="AC11" s="653">
        <v>105</v>
      </c>
      <c r="AD11" s="40">
        <v>36</v>
      </c>
      <c r="AE11" s="630">
        <f>AF11-AD11</f>
        <v>56</v>
      </c>
      <c r="AF11" s="653">
        <v>92</v>
      </c>
      <c r="AG11" s="40">
        <v>28</v>
      </c>
      <c r="AH11" s="630">
        <f>AI11-AG11</f>
        <v>32</v>
      </c>
      <c r="AI11" s="653">
        <v>60</v>
      </c>
      <c r="AJ11" s="40">
        <v>14</v>
      </c>
      <c r="AK11" s="630">
        <f>AL11-AJ11</f>
        <v>13</v>
      </c>
      <c r="AL11" s="653">
        <v>27</v>
      </c>
      <c r="AM11" s="40">
        <v>19</v>
      </c>
      <c r="AN11" s="630">
        <f>AO11-AM11</f>
        <v>54</v>
      </c>
      <c r="AO11" s="653">
        <v>73</v>
      </c>
      <c r="AP11" s="40">
        <v>16</v>
      </c>
      <c r="AQ11" s="630">
        <f>AR11-AP11</f>
        <v>38</v>
      </c>
      <c r="AR11" s="653">
        <v>54</v>
      </c>
      <c r="AS11" s="40">
        <v>15</v>
      </c>
      <c r="AT11" s="630">
        <f>AU11-AS11</f>
        <v>62</v>
      </c>
      <c r="AU11" s="653">
        <v>77</v>
      </c>
      <c r="AV11" s="40">
        <v>30</v>
      </c>
      <c r="AW11" s="630">
        <f>AX11-AV11</f>
        <v>58</v>
      </c>
      <c r="AX11" s="653">
        <v>88</v>
      </c>
      <c r="AY11" s="40">
        <v>74</v>
      </c>
      <c r="AZ11" s="236">
        <f>BA11-AY11</f>
        <v>14</v>
      </c>
      <c r="BA11" s="605">
        <f>+AX11</f>
        <v>88</v>
      </c>
      <c r="BB11" s="56">
        <f>BD11/2</f>
        <v>44</v>
      </c>
      <c r="BC11" s="236">
        <f>BD11-BB11</f>
        <v>44</v>
      </c>
      <c r="BD11" s="605">
        <f>+BA11</f>
        <v>88</v>
      </c>
      <c r="BE11" s="56">
        <f>BG11/2</f>
        <v>44</v>
      </c>
      <c r="BF11" s="236">
        <f>BG11-BE11</f>
        <v>44</v>
      </c>
      <c r="BG11" s="605">
        <f>+BD11</f>
        <v>88</v>
      </c>
      <c r="BH11" s="56">
        <f>BJ11/2</f>
        <v>44</v>
      </c>
      <c r="BI11" s="236">
        <f>BJ11-BH11</f>
        <v>44</v>
      </c>
      <c r="BJ11" s="605">
        <f>+BG11</f>
        <v>88</v>
      </c>
      <c r="BK11" s="56">
        <f>BM11/2</f>
        <v>44</v>
      </c>
      <c r="BL11" s="236">
        <f>BM11-BK11</f>
        <v>44</v>
      </c>
      <c r="BM11" s="605">
        <f t="shared" ref="BM11" si="13">+BJ11</f>
        <v>88</v>
      </c>
    </row>
    <row r="12" spans="1:74">
      <c r="A12" s="66" t="s">
        <v>138</v>
      </c>
      <c r="B12" s="40">
        <f t="shared" ref="B12:T12" si="14">B13+B14+B16</f>
        <v>238</v>
      </c>
      <c r="C12" s="40">
        <f t="shared" si="14"/>
        <v>255</v>
      </c>
      <c r="D12" s="40">
        <f t="shared" si="14"/>
        <v>310</v>
      </c>
      <c r="E12" s="40">
        <f t="shared" si="14"/>
        <v>286</v>
      </c>
      <c r="F12" s="40">
        <f t="shared" si="14"/>
        <v>300</v>
      </c>
      <c r="G12" s="40">
        <f t="shared" si="14"/>
        <v>254</v>
      </c>
      <c r="H12" s="40">
        <f t="shared" si="14"/>
        <v>221</v>
      </c>
      <c r="I12" s="40">
        <f t="shared" si="14"/>
        <v>233</v>
      </c>
      <c r="J12" s="40">
        <f t="shared" si="14"/>
        <v>315</v>
      </c>
      <c r="K12" s="40">
        <f t="shared" si="14"/>
        <v>315</v>
      </c>
      <c r="L12" s="40">
        <f t="shared" si="14"/>
        <v>370</v>
      </c>
      <c r="M12" s="40">
        <f t="shared" si="14"/>
        <v>410</v>
      </c>
      <c r="N12" s="40">
        <f t="shared" si="14"/>
        <v>489</v>
      </c>
      <c r="O12" s="40">
        <f t="shared" si="14"/>
        <v>800</v>
      </c>
      <c r="P12" s="40">
        <f t="shared" si="14"/>
        <v>742</v>
      </c>
      <c r="Q12" s="40">
        <f t="shared" si="14"/>
        <v>812</v>
      </c>
      <c r="R12" s="40">
        <f t="shared" ref="R12:S12" si="15">R13+R14+R15+R16</f>
        <v>397</v>
      </c>
      <c r="S12" s="630">
        <f t="shared" si="15"/>
        <v>657</v>
      </c>
      <c r="T12" s="653">
        <f t="shared" si="14"/>
        <v>1054</v>
      </c>
      <c r="U12" s="40">
        <f t="shared" ref="U12:V12" si="16">U13+U14+U15+U16</f>
        <v>434</v>
      </c>
      <c r="V12" s="630">
        <f t="shared" si="16"/>
        <v>460</v>
      </c>
      <c r="W12" s="653">
        <f>W13+W14+W16</f>
        <v>894</v>
      </c>
      <c r="X12" s="40">
        <f t="shared" ref="X12:Y12" si="17">X13+X14+X15+X16</f>
        <v>393</v>
      </c>
      <c r="Y12" s="630">
        <f t="shared" si="17"/>
        <v>414</v>
      </c>
      <c r="Z12" s="653">
        <f>Z13+Z14+Z16</f>
        <v>807</v>
      </c>
      <c r="AA12" s="40">
        <f t="shared" ref="AA12:AB12" si="18">AA13+AA14+AA15+AA16</f>
        <v>564</v>
      </c>
      <c r="AB12" s="630">
        <f t="shared" si="18"/>
        <v>528</v>
      </c>
      <c r="AC12" s="653">
        <f>AC13+AC14+AC16</f>
        <v>1092</v>
      </c>
      <c r="AD12" s="40">
        <f t="shared" ref="AD12:AE12" si="19">AD13+AD14+AD15+AD16</f>
        <v>582</v>
      </c>
      <c r="AE12" s="630">
        <f t="shared" si="19"/>
        <v>734</v>
      </c>
      <c r="AF12" s="653">
        <f>AF13+AF14+AF16+AF15</f>
        <v>1316</v>
      </c>
      <c r="AG12" s="40">
        <f t="shared" ref="AG12:AH12" si="20">AG13+AG14+AG15+AG16</f>
        <v>1535</v>
      </c>
      <c r="AH12" s="630">
        <f t="shared" si="20"/>
        <v>842</v>
      </c>
      <c r="AI12" s="653">
        <f>AI13+AI14+AI15+AI16</f>
        <v>2377</v>
      </c>
      <c r="AJ12" s="40">
        <f t="shared" ref="AJ12:AK12" si="21">AJ13+AJ14+AJ15+AJ16</f>
        <v>529</v>
      </c>
      <c r="AK12" s="630">
        <f t="shared" si="21"/>
        <v>483</v>
      </c>
      <c r="AL12" s="653">
        <f>AL13+AL14+AL15+AL16</f>
        <v>1012</v>
      </c>
      <c r="AM12" s="40">
        <f t="shared" ref="AM12:AR12" si="22">AM13+AM14+AM15+AM16</f>
        <v>467</v>
      </c>
      <c r="AN12" s="630">
        <f t="shared" ref="AN12" si="23">AN13+AN14+AN15+AN16</f>
        <v>609</v>
      </c>
      <c r="AO12" s="653">
        <f t="shared" si="22"/>
        <v>1076</v>
      </c>
      <c r="AP12" s="40">
        <f t="shared" si="22"/>
        <v>513</v>
      </c>
      <c r="AQ12" s="630">
        <f t="shared" si="22"/>
        <v>506</v>
      </c>
      <c r="AR12" s="653">
        <f t="shared" si="22"/>
        <v>1019</v>
      </c>
      <c r="AS12" s="40">
        <f t="shared" ref="AS12:AV12" si="24">AS13+AS14+AS15+AS16</f>
        <v>51</v>
      </c>
      <c r="AT12" s="630">
        <f t="shared" si="24"/>
        <v>492</v>
      </c>
      <c r="AU12" s="653">
        <f t="shared" si="24"/>
        <v>543</v>
      </c>
      <c r="AV12" s="40">
        <f t="shared" si="24"/>
        <v>256</v>
      </c>
      <c r="AW12" s="630">
        <f t="shared" ref="AW12" si="25">AW13+AW14+AW15+AW16</f>
        <v>481</v>
      </c>
      <c r="AX12" s="653">
        <f t="shared" ref="AX12:AY12" si="26">AX13+AX14+AX15+AX16</f>
        <v>737</v>
      </c>
      <c r="AY12" s="40">
        <f t="shared" si="26"/>
        <v>434</v>
      </c>
      <c r="AZ12" s="236">
        <f>AZ13+AZ14+AZ15+AZ16</f>
        <v>527.55110038817838</v>
      </c>
      <c r="BA12" s="605">
        <f t="shared" ref="BA12:BM12" si="27">BA13+BA14+BA15+BA16</f>
        <v>961.55110038817838</v>
      </c>
      <c r="BB12" s="56">
        <f>BB13+BB14+BB15+BB16</f>
        <v>512.40354252963095</v>
      </c>
      <c r="BC12" s="236">
        <f>BC13+BC14+BC15+BC16</f>
        <v>536.67101020928067</v>
      </c>
      <c r="BD12" s="605">
        <f t="shared" si="27"/>
        <v>1049.0745527389117</v>
      </c>
      <c r="BE12" s="56">
        <f>BE13+BE14+BE15+BE16</f>
        <v>548.01791377871109</v>
      </c>
      <c r="BF12" s="236">
        <f>BF13+BF14+BF15+BF16</f>
        <v>582.70791662893203</v>
      </c>
      <c r="BG12" s="605">
        <f t="shared" si="27"/>
        <v>1130.7258304076431</v>
      </c>
      <c r="BH12" s="56">
        <f>BH13+BH14+BH15+BH16</f>
        <v>596.84050872677687</v>
      </c>
      <c r="BI12" s="236">
        <f>BI13+BI14+BI15+BI16</f>
        <v>635.58791233839008</v>
      </c>
      <c r="BJ12" s="605">
        <f t="shared" si="27"/>
        <v>1232.428421065167</v>
      </c>
      <c r="BK12" s="56">
        <f>BK13+BK14+BK15+BK16</f>
        <v>651.7466572907706</v>
      </c>
      <c r="BL12" s="236">
        <f>BL13+BL14+BL15+BL16</f>
        <v>694.17034685878616</v>
      </c>
      <c r="BM12" s="605">
        <f t="shared" si="27"/>
        <v>1345.9170041495568</v>
      </c>
    </row>
    <row r="13" spans="1:74">
      <c r="A13" s="150" t="s">
        <v>127</v>
      </c>
      <c r="B13" s="40">
        <v>60</v>
      </c>
      <c r="C13" s="40">
        <v>57</v>
      </c>
      <c r="D13" s="40">
        <v>74</v>
      </c>
      <c r="E13" s="40">
        <v>63</v>
      </c>
      <c r="F13" s="40">
        <v>58</v>
      </c>
      <c r="G13" s="40">
        <v>59</v>
      </c>
      <c r="H13" s="40">
        <v>60</v>
      </c>
      <c r="I13" s="40">
        <v>63</v>
      </c>
      <c r="J13" s="40">
        <v>107</v>
      </c>
      <c r="K13" s="40">
        <v>121</v>
      </c>
      <c r="L13" s="40">
        <v>130</v>
      </c>
      <c r="M13" s="40">
        <v>169</v>
      </c>
      <c r="N13" s="40">
        <v>231</v>
      </c>
      <c r="O13" s="40">
        <v>428</v>
      </c>
      <c r="P13" s="40">
        <v>367</v>
      </c>
      <c r="Q13" s="40">
        <v>432</v>
      </c>
      <c r="R13" s="40">
        <v>201</v>
      </c>
      <c r="S13" s="630">
        <f>T13-R13</f>
        <v>427</v>
      </c>
      <c r="T13" s="653">
        <v>628</v>
      </c>
      <c r="U13" s="40">
        <v>213</v>
      </c>
      <c r="V13" s="630">
        <f>W13-U13</f>
        <v>217</v>
      </c>
      <c r="W13" s="653">
        <v>430</v>
      </c>
      <c r="X13" s="40">
        <v>172</v>
      </c>
      <c r="Y13" s="630">
        <f>Z13-X13</f>
        <v>171</v>
      </c>
      <c r="Z13" s="653">
        <v>343</v>
      </c>
      <c r="AA13" s="40">
        <v>325</v>
      </c>
      <c r="AB13" s="630">
        <f>AC13-AA13</f>
        <v>240</v>
      </c>
      <c r="AC13" s="653">
        <v>565</v>
      </c>
      <c r="AD13" s="40">
        <v>153</v>
      </c>
      <c r="AE13" s="630">
        <f>AF13-AD13</f>
        <v>219</v>
      </c>
      <c r="AF13" s="653">
        <v>372</v>
      </c>
      <c r="AG13" s="40">
        <v>550</v>
      </c>
      <c r="AH13" s="630">
        <f>AI13-AG13</f>
        <v>352</v>
      </c>
      <c r="AI13" s="653">
        <v>902</v>
      </c>
      <c r="AJ13" s="40">
        <v>159</v>
      </c>
      <c r="AK13" s="630">
        <f>AL13-AJ13</f>
        <v>131</v>
      </c>
      <c r="AL13" s="653">
        <v>290</v>
      </c>
      <c r="AM13" s="40">
        <v>138</v>
      </c>
      <c r="AN13" s="630">
        <f>AO13-AM13</f>
        <v>149</v>
      </c>
      <c r="AO13" s="653">
        <v>287</v>
      </c>
      <c r="AP13" s="40">
        <v>139</v>
      </c>
      <c r="AQ13" s="630">
        <f>AR13-AP13</f>
        <v>133</v>
      </c>
      <c r="AR13" s="653">
        <v>272</v>
      </c>
      <c r="AS13" s="40">
        <v>-287</v>
      </c>
      <c r="AT13" s="630">
        <f>AU13-AS13</f>
        <v>167</v>
      </c>
      <c r="AU13" s="653">
        <v>-120</v>
      </c>
      <c r="AV13" s="40">
        <v>111</v>
      </c>
      <c r="AW13" s="630">
        <f>AX13-AV13</f>
        <v>130</v>
      </c>
      <c r="AX13" s="653">
        <v>241</v>
      </c>
      <c r="AY13" s="40">
        <v>110</v>
      </c>
      <c r="AZ13" s="236">
        <f>IS!AZ115</f>
        <v>166.64835705274334</v>
      </c>
      <c r="BA13" s="605">
        <f>IS!BA115</f>
        <v>276.64835705274334</v>
      </c>
      <c r="BB13" s="56">
        <f>IS!BB115</f>
        <v>151.29551918754501</v>
      </c>
      <c r="BC13" s="236">
        <f>IS!BC115</f>
        <v>161.24814554830886</v>
      </c>
      <c r="BD13" s="605">
        <f>IS!BD115</f>
        <v>312.54366473585389</v>
      </c>
      <c r="BE13" s="56">
        <f>IS!BE115</f>
        <v>165.90176219545742</v>
      </c>
      <c r="BF13" s="236">
        <f>IS!BF115</f>
        <v>180.12890123525136</v>
      </c>
      <c r="BG13" s="605">
        <f>IS!BG115</f>
        <v>346.03066343070878</v>
      </c>
      <c r="BH13" s="56">
        <f>IS!BH115</f>
        <v>185.92499049003939</v>
      </c>
      <c r="BI13" s="236">
        <f>IS!BI115</f>
        <v>201.81615951050904</v>
      </c>
      <c r="BJ13" s="605">
        <f>IS!BJ115</f>
        <v>387.74115000054843</v>
      </c>
      <c r="BK13" s="56">
        <f>IS!BK115</f>
        <v>208.443218958693</v>
      </c>
      <c r="BL13" s="236">
        <f>IS!BL115</f>
        <v>225.8421143312649</v>
      </c>
      <c r="BM13" s="605">
        <f>IS!BM115</f>
        <v>434.28533328995786</v>
      </c>
    </row>
    <row r="14" spans="1:74">
      <c r="A14" s="150" t="s">
        <v>140</v>
      </c>
      <c r="B14" s="40">
        <v>178</v>
      </c>
      <c r="C14" s="40">
        <v>198</v>
      </c>
      <c r="D14" s="40">
        <v>236</v>
      </c>
      <c r="E14" s="40">
        <v>223</v>
      </c>
      <c r="F14" s="40">
        <v>242</v>
      </c>
      <c r="G14" s="40">
        <v>195</v>
      </c>
      <c r="H14" s="40">
        <v>161</v>
      </c>
      <c r="I14" s="40">
        <v>170</v>
      </c>
      <c r="J14" s="40">
        <v>208</v>
      </c>
      <c r="K14" s="40">
        <v>194</v>
      </c>
      <c r="L14" s="40">
        <v>237</v>
      </c>
      <c r="M14" s="40">
        <v>241</v>
      </c>
      <c r="N14" s="40">
        <v>256</v>
      </c>
      <c r="O14" s="40">
        <v>372</v>
      </c>
      <c r="P14" s="40">
        <v>375</v>
      </c>
      <c r="Q14" s="40">
        <v>378</v>
      </c>
      <c r="R14" s="40">
        <v>196</v>
      </c>
      <c r="S14" s="630">
        <f>T14-R14</f>
        <v>230</v>
      </c>
      <c r="T14" s="653">
        <v>426</v>
      </c>
      <c r="U14" s="40">
        <v>221</v>
      </c>
      <c r="V14" s="630">
        <f>W14-U14</f>
        <v>229</v>
      </c>
      <c r="W14" s="653">
        <v>450</v>
      </c>
      <c r="X14" s="40">
        <v>221</v>
      </c>
      <c r="Y14" s="630">
        <f>Z14-X14</f>
        <v>229</v>
      </c>
      <c r="Z14" s="653">
        <v>450</v>
      </c>
      <c r="AA14" s="40">
        <v>239</v>
      </c>
      <c r="AB14" s="630">
        <f>AC14-AA14</f>
        <v>282</v>
      </c>
      <c r="AC14" s="653">
        <v>521</v>
      </c>
      <c r="AD14" s="40">
        <v>229</v>
      </c>
      <c r="AE14" s="630">
        <f>AF14-AD14</f>
        <v>303</v>
      </c>
      <c r="AF14" s="653">
        <v>532</v>
      </c>
      <c r="AG14" s="40">
        <v>495</v>
      </c>
      <c r="AH14" s="630">
        <f>AI14-AG14</f>
        <v>326</v>
      </c>
      <c r="AI14" s="653">
        <v>821</v>
      </c>
      <c r="AJ14" s="40">
        <v>243</v>
      </c>
      <c r="AK14" s="630">
        <f>AL14-AJ14</f>
        <v>219</v>
      </c>
      <c r="AL14" s="653">
        <v>462</v>
      </c>
      <c r="AM14" s="40">
        <v>203</v>
      </c>
      <c r="AN14" s="630">
        <f>AO14-AM14</f>
        <v>227</v>
      </c>
      <c r="AO14" s="653">
        <v>430</v>
      </c>
      <c r="AP14" s="40">
        <v>206</v>
      </c>
      <c r="AQ14" s="630">
        <f>AR14-AP14</f>
        <v>217</v>
      </c>
      <c r="AR14" s="653">
        <v>423</v>
      </c>
      <c r="AS14" s="40">
        <v>205</v>
      </c>
      <c r="AT14" s="630">
        <f>AU14-AS14</f>
        <v>195</v>
      </c>
      <c r="AU14" s="653">
        <v>400</v>
      </c>
      <c r="AV14" s="10">
        <v>132</v>
      </c>
      <c r="AW14" s="630">
        <f>AX14-AV14</f>
        <v>206</v>
      </c>
      <c r="AX14" s="653">
        <v>338</v>
      </c>
      <c r="AY14" s="10">
        <v>184</v>
      </c>
      <c r="AZ14" s="236">
        <f>IS!AZ113</f>
        <v>213.90274333543505</v>
      </c>
      <c r="BA14" s="605">
        <f>IS!BA113</f>
        <v>397.90274333543505</v>
      </c>
      <c r="BB14" s="56">
        <f>IS!BB113</f>
        <v>217.60802334208597</v>
      </c>
      <c r="BC14" s="236">
        <f>IS!BC113</f>
        <v>231.92286466097187</v>
      </c>
      <c r="BD14" s="605">
        <f>IS!BD113</f>
        <v>449.53088800305784</v>
      </c>
      <c r="BE14" s="56">
        <f>IS!BE113</f>
        <v>238.61615158325361</v>
      </c>
      <c r="BF14" s="236">
        <f>IS!BF113</f>
        <v>259.07901539368061</v>
      </c>
      <c r="BG14" s="605">
        <f>IS!BG113</f>
        <v>497.69516697693422</v>
      </c>
      <c r="BH14" s="56">
        <f>IS!BH113</f>
        <v>267.41551823673746</v>
      </c>
      <c r="BI14" s="236">
        <f>IS!BI113</f>
        <v>290.27175282788102</v>
      </c>
      <c r="BJ14" s="605">
        <f>IS!BJ113</f>
        <v>557.68727106461847</v>
      </c>
      <c r="BK14" s="56">
        <f>IS!BK113</f>
        <v>299.80343833207758</v>
      </c>
      <c r="BL14" s="236">
        <f>IS!BL113</f>
        <v>324.82823252752132</v>
      </c>
      <c r="BM14" s="605">
        <f>IS!BM113</f>
        <v>624.6316708595989</v>
      </c>
    </row>
    <row r="15" spans="1:74">
      <c r="A15" s="150" t="s">
        <v>770</v>
      </c>
      <c r="B15" s="40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>
        <v>0</v>
      </c>
      <c r="S15" s="630">
        <f>T15-R15</f>
        <v>0</v>
      </c>
      <c r="T15" s="653"/>
      <c r="U15" s="40">
        <v>0</v>
      </c>
      <c r="V15" s="630">
        <f>W15-U15</f>
        <v>0</v>
      </c>
      <c r="W15" s="653"/>
      <c r="X15" s="40">
        <v>0</v>
      </c>
      <c r="Y15" s="630">
        <f>Z15-X15</f>
        <v>0</v>
      </c>
      <c r="Z15" s="653"/>
      <c r="AA15" s="40">
        <v>0</v>
      </c>
      <c r="AB15" s="630">
        <f>AC15-AA15</f>
        <v>0</v>
      </c>
      <c r="AC15" s="653"/>
      <c r="AD15" s="40">
        <v>200</v>
      </c>
      <c r="AE15" s="630">
        <f>AF15-AD15</f>
        <v>211</v>
      </c>
      <c r="AF15" s="653">
        <v>411</v>
      </c>
      <c r="AG15" s="40">
        <f>513-42</f>
        <v>471</v>
      </c>
      <c r="AH15" s="630">
        <f>AI15-AG15</f>
        <v>261</v>
      </c>
      <c r="AI15" s="653">
        <v>732</v>
      </c>
      <c r="AJ15" s="40">
        <f>128-3</f>
        <v>125</v>
      </c>
      <c r="AK15" s="630">
        <f>AL15-AJ15</f>
        <v>128</v>
      </c>
      <c r="AL15" s="653">
        <f>257-4</f>
        <v>253</v>
      </c>
      <c r="AM15" s="40">
        <f>127-1</f>
        <v>126</v>
      </c>
      <c r="AN15" s="630">
        <f>AO15-AM15</f>
        <v>158</v>
      </c>
      <c r="AO15" s="653">
        <f>287-3</f>
        <v>284</v>
      </c>
      <c r="AP15" s="40">
        <f>170-2</f>
        <v>168</v>
      </c>
      <c r="AQ15" s="630">
        <f>AR15-AP15</f>
        <v>156</v>
      </c>
      <c r="AR15" s="653">
        <f>334-10</f>
        <v>324</v>
      </c>
      <c r="AS15" s="40">
        <v>129</v>
      </c>
      <c r="AT15" s="630">
        <f>AU15-AS15</f>
        <v>130</v>
      </c>
      <c r="AU15" s="653">
        <f>265-6</f>
        <v>259</v>
      </c>
      <c r="AV15" s="10">
        <v>13</v>
      </c>
      <c r="AW15" s="630">
        <f>AX15-AV15</f>
        <v>145</v>
      </c>
      <c r="AX15" s="653">
        <v>158</v>
      </c>
      <c r="AY15" s="10">
        <v>140</v>
      </c>
      <c r="AZ15" s="236">
        <f>BA15-AY15</f>
        <v>147</v>
      </c>
      <c r="BA15" s="605">
        <f>-BS!BA173</f>
        <v>287</v>
      </c>
      <c r="BB15" s="56">
        <f>-BS!BB173</f>
        <v>143.5</v>
      </c>
      <c r="BC15" s="236">
        <f>BD15-BB15</f>
        <v>143.5</v>
      </c>
      <c r="BD15" s="605">
        <f>-BS!BD173</f>
        <v>287</v>
      </c>
      <c r="BE15" s="56">
        <f>-BS!BE173</f>
        <v>143.5</v>
      </c>
      <c r="BF15" s="236">
        <f>BG15-BE15</f>
        <v>143.5</v>
      </c>
      <c r="BG15" s="605">
        <f>-BS!BG173</f>
        <v>287</v>
      </c>
      <c r="BH15" s="56">
        <f>-BS!BH173</f>
        <v>143.5</v>
      </c>
      <c r="BI15" s="236">
        <f>BJ15-BH15</f>
        <v>143.5</v>
      </c>
      <c r="BJ15" s="605">
        <f>-BS!BJ173</f>
        <v>287</v>
      </c>
      <c r="BK15" s="56">
        <f>-BS!BK173</f>
        <v>143.5</v>
      </c>
      <c r="BL15" s="236">
        <f>BM15-BK15</f>
        <v>143.5</v>
      </c>
      <c r="BM15" s="605">
        <f>-BS!BM173</f>
        <v>287</v>
      </c>
    </row>
    <row r="16" spans="1:74">
      <c r="A16" s="150" t="s">
        <v>128</v>
      </c>
      <c r="B16" s="40">
        <v>0</v>
      </c>
      <c r="C16" s="40">
        <v>0</v>
      </c>
      <c r="D16" s="40">
        <v>0</v>
      </c>
      <c r="E16" s="40">
        <v>0</v>
      </c>
      <c r="F16" s="40">
        <v>0</v>
      </c>
      <c r="G16" s="40">
        <v>0</v>
      </c>
      <c r="H16" s="40">
        <v>0</v>
      </c>
      <c r="I16" s="40">
        <v>0</v>
      </c>
      <c r="J16" s="40">
        <v>0</v>
      </c>
      <c r="K16" s="40">
        <v>0</v>
      </c>
      <c r="L16" s="40">
        <v>3</v>
      </c>
      <c r="M16" s="40">
        <v>0</v>
      </c>
      <c r="N16" s="40">
        <v>2</v>
      </c>
      <c r="O16" s="40">
        <v>0</v>
      </c>
      <c r="P16" s="40">
        <v>0</v>
      </c>
      <c r="Q16" s="40">
        <v>2</v>
      </c>
      <c r="R16" s="40">
        <v>0</v>
      </c>
      <c r="S16" s="630">
        <f>T16-R16</f>
        <v>0</v>
      </c>
      <c r="T16" s="653">
        <v>0</v>
      </c>
      <c r="U16" s="40">
        <v>0</v>
      </c>
      <c r="V16" s="630">
        <f>W16-U16</f>
        <v>14</v>
      </c>
      <c r="W16" s="653">
        <v>14</v>
      </c>
      <c r="X16" s="40">
        <v>0</v>
      </c>
      <c r="Y16" s="630">
        <f>Z16-X16</f>
        <v>14</v>
      </c>
      <c r="Z16" s="653">
        <v>14</v>
      </c>
      <c r="AA16" s="40">
        <v>0</v>
      </c>
      <c r="AB16" s="630">
        <f>AC16-AA16</f>
        <v>6</v>
      </c>
      <c r="AC16" s="653">
        <v>6</v>
      </c>
      <c r="AD16" s="40">
        <v>0</v>
      </c>
      <c r="AE16" s="630">
        <f>AF16-AD16</f>
        <v>1</v>
      </c>
      <c r="AF16" s="653">
        <v>1</v>
      </c>
      <c r="AG16" s="40">
        <v>19</v>
      </c>
      <c r="AH16" s="630">
        <f>AI16-AG16</f>
        <v>-97</v>
      </c>
      <c r="AI16" s="653">
        <f>24-102</f>
        <v>-78</v>
      </c>
      <c r="AJ16" s="40">
        <v>2</v>
      </c>
      <c r="AK16" s="630">
        <f>AL16-AJ16</f>
        <v>5</v>
      </c>
      <c r="AL16" s="653">
        <v>7</v>
      </c>
      <c r="AM16" s="40">
        <v>0</v>
      </c>
      <c r="AN16" s="630">
        <f>AO16-AM16</f>
        <v>75</v>
      </c>
      <c r="AO16" s="653">
        <v>75</v>
      </c>
      <c r="AP16" s="40">
        <v>0</v>
      </c>
      <c r="AQ16" s="630">
        <f>AR16-AP16</f>
        <v>0</v>
      </c>
      <c r="AR16" s="653">
        <v>0</v>
      </c>
      <c r="AS16" s="40">
        <v>4</v>
      </c>
      <c r="AT16" s="630">
        <f>AU16-AS16</f>
        <v>0</v>
      </c>
      <c r="AU16" s="653">
        <v>4</v>
      </c>
      <c r="AV16" s="10">
        <v>0</v>
      </c>
      <c r="AW16" s="630">
        <f>AX16-AV16</f>
        <v>0</v>
      </c>
      <c r="AX16" s="653">
        <v>0</v>
      </c>
      <c r="AY16" s="10">
        <v>0</v>
      </c>
      <c r="AZ16" s="236">
        <f>IS!AZ119</f>
        <v>0</v>
      </c>
      <c r="BA16" s="605">
        <f>IS!BA119</f>
        <v>0</v>
      </c>
      <c r="BB16" s="56">
        <f>IS!BB119</f>
        <v>0</v>
      </c>
      <c r="BC16" s="236">
        <f>IS!BC119</f>
        <v>0</v>
      </c>
      <c r="BD16" s="605">
        <f>IS!BD119</f>
        <v>0</v>
      </c>
      <c r="BE16" s="56">
        <f>IS!BE119</f>
        <v>0</v>
      </c>
      <c r="BF16" s="236">
        <f>IS!BF119</f>
        <v>0</v>
      </c>
      <c r="BG16" s="605">
        <f>IS!BG119</f>
        <v>0</v>
      </c>
      <c r="BH16" s="56">
        <f>IS!BH119</f>
        <v>0</v>
      </c>
      <c r="BI16" s="236">
        <f>IS!BI119</f>
        <v>0</v>
      </c>
      <c r="BJ16" s="605">
        <f>IS!BJ119</f>
        <v>0</v>
      </c>
      <c r="BK16" s="56">
        <f>IS!BK119</f>
        <v>0</v>
      </c>
      <c r="BL16" s="236">
        <f>IS!BL119</f>
        <v>0</v>
      </c>
      <c r="BM16" s="605">
        <f>IS!BM119</f>
        <v>0</v>
      </c>
    </row>
    <row r="17" spans="1:66">
      <c r="A17" s="66" t="s">
        <v>129</v>
      </c>
      <c r="B17" s="40">
        <v>49</v>
      </c>
      <c r="C17" s="40">
        <v>180</v>
      </c>
      <c r="D17" s="40">
        <v>-125</v>
      </c>
      <c r="E17" s="40">
        <v>3</v>
      </c>
      <c r="F17" s="40">
        <v>-8</v>
      </c>
      <c r="G17" s="40">
        <v>-31</v>
      </c>
      <c r="H17" s="40">
        <v>-36</v>
      </c>
      <c r="I17" s="40">
        <v>-42</v>
      </c>
      <c r="J17" s="40">
        <v>39</v>
      </c>
      <c r="K17" s="40">
        <v>81</v>
      </c>
      <c r="L17" s="40">
        <v>99</v>
      </c>
      <c r="M17" s="40">
        <v>-28</v>
      </c>
      <c r="N17" s="40">
        <v>-40</v>
      </c>
      <c r="O17" s="40">
        <v>-17</v>
      </c>
      <c r="P17" s="40">
        <v>129</v>
      </c>
      <c r="Q17" s="40">
        <v>-151</v>
      </c>
      <c r="R17" s="40">
        <v>86</v>
      </c>
      <c r="S17" s="630">
        <f t="shared" ref="S17:S18" si="28">T17-R17</f>
        <v>-42</v>
      </c>
      <c r="T17" s="653">
        <v>44</v>
      </c>
      <c r="U17" s="40">
        <v>-33</v>
      </c>
      <c r="V17" s="630">
        <f t="shared" ref="V17:V18" si="29">W17-U17</f>
        <v>91</v>
      </c>
      <c r="W17" s="653">
        <v>58</v>
      </c>
      <c r="X17" s="40">
        <v>-30</v>
      </c>
      <c r="Y17" s="630">
        <f t="shared" ref="Y17:Y18" si="30">Z17-X17</f>
        <v>29</v>
      </c>
      <c r="Z17" s="653">
        <v>-1</v>
      </c>
      <c r="AA17" s="40">
        <v>814</v>
      </c>
      <c r="AB17" s="630">
        <f t="shared" ref="AB17:AB18" si="31">AC17-AA17</f>
        <v>189</v>
      </c>
      <c r="AC17" s="653">
        <v>1003</v>
      </c>
      <c r="AD17" s="40">
        <v>-172</v>
      </c>
      <c r="AE17" s="630">
        <f t="shared" ref="AE17:AE18" si="32">AF17-AD17</f>
        <v>1280</v>
      </c>
      <c r="AF17" s="653">
        <v>1108</v>
      </c>
      <c r="AG17" s="40">
        <v>-130</v>
      </c>
      <c r="AH17" s="630">
        <f t="shared" ref="AH17:AH18" si="33">AI17-AG17</f>
        <v>-671</v>
      </c>
      <c r="AI17" s="653">
        <v>-801</v>
      </c>
      <c r="AJ17" s="40">
        <v>-211</v>
      </c>
      <c r="AK17" s="630">
        <f t="shared" ref="AK17:AK22" si="34">AL17-AJ17</f>
        <v>-183</v>
      </c>
      <c r="AL17" s="653">
        <v>-394</v>
      </c>
      <c r="AM17" s="40">
        <v>-94</v>
      </c>
      <c r="AN17" s="630">
        <f t="shared" ref="AN17:AN22" si="35">AO17-AM17</f>
        <v>-103</v>
      </c>
      <c r="AO17" s="653">
        <v>-197</v>
      </c>
      <c r="AP17" s="40">
        <v>-142</v>
      </c>
      <c r="AQ17" s="630">
        <f t="shared" ref="AQ17:AQ18" si="36">AR17-AP17</f>
        <v>-183</v>
      </c>
      <c r="AR17" s="653">
        <v>-325</v>
      </c>
      <c r="AS17" s="40">
        <v>38</v>
      </c>
      <c r="AT17" s="630">
        <f t="shared" ref="AT17:AT18" si="37">AU17-AS17</f>
        <v>-94</v>
      </c>
      <c r="AU17" s="653">
        <v>-56</v>
      </c>
      <c r="AV17" s="10">
        <v>-395</v>
      </c>
      <c r="AW17" s="630">
        <f t="shared" ref="AW17:AW18" si="38">AX17-AV17</f>
        <v>-91</v>
      </c>
      <c r="AX17" s="653">
        <v>-486</v>
      </c>
      <c r="AY17" s="10">
        <v>-130</v>
      </c>
      <c r="AZ17" s="236">
        <f t="shared" ref="AZ17:AZ22" si="39">BA17-AY17</f>
        <v>0</v>
      </c>
      <c r="BA17" s="580">
        <f>AY17</f>
        <v>-130</v>
      </c>
      <c r="BB17" s="56">
        <f>BD17/2</f>
        <v>0</v>
      </c>
      <c r="BC17" s="236">
        <f t="shared" ref="BC17:BC22" si="40">BD17-BB17</f>
        <v>0</v>
      </c>
      <c r="BD17" s="580">
        <v>0</v>
      </c>
      <c r="BE17" s="56">
        <f>BG17/2</f>
        <v>0</v>
      </c>
      <c r="BF17" s="236">
        <f t="shared" ref="BF17:BF22" si="41">BG17-BE17</f>
        <v>0</v>
      </c>
      <c r="BG17" s="580">
        <v>0</v>
      </c>
      <c r="BH17" s="56">
        <f>BJ17/2</f>
        <v>0</v>
      </c>
      <c r="BI17" s="236">
        <f t="shared" ref="BI17:BI22" si="42">BJ17-BH17</f>
        <v>0</v>
      </c>
      <c r="BJ17" s="580">
        <v>0</v>
      </c>
      <c r="BK17" s="56">
        <f>BM17/2</f>
        <v>0</v>
      </c>
      <c r="BL17" s="236">
        <f t="shared" ref="BL17:BL22" si="43">BM17-BK17</f>
        <v>0</v>
      </c>
      <c r="BM17" s="580">
        <v>0</v>
      </c>
    </row>
    <row r="18" spans="1:66">
      <c r="A18" s="66" t="s">
        <v>136</v>
      </c>
      <c r="B18" s="40">
        <v>0</v>
      </c>
      <c r="C18" s="40">
        <v>0</v>
      </c>
      <c r="D18" s="40">
        <v>0</v>
      </c>
      <c r="E18" s="40">
        <v>0</v>
      </c>
      <c r="F18" s="40">
        <v>0</v>
      </c>
      <c r="G18" s="40">
        <v>0</v>
      </c>
      <c r="H18" s="40">
        <v>0</v>
      </c>
      <c r="I18" s="40">
        <v>0</v>
      </c>
      <c r="J18" s="40">
        <v>0</v>
      </c>
      <c r="K18" s="40">
        <v>0</v>
      </c>
      <c r="L18" s="40">
        <v>0</v>
      </c>
      <c r="M18" s="40">
        <v>0</v>
      </c>
      <c r="N18" s="40">
        <v>0</v>
      </c>
      <c r="O18" s="40">
        <v>0</v>
      </c>
      <c r="P18" s="40">
        <v>0</v>
      </c>
      <c r="Q18" s="40">
        <v>0</v>
      </c>
      <c r="R18" s="40">
        <v>0</v>
      </c>
      <c r="S18" s="630">
        <f t="shared" si="28"/>
        <v>671</v>
      </c>
      <c r="T18" s="653">
        <v>671</v>
      </c>
      <c r="U18" s="40">
        <v>0</v>
      </c>
      <c r="V18" s="630">
        <f t="shared" si="29"/>
        <v>-286</v>
      </c>
      <c r="W18" s="653">
        <v>-286</v>
      </c>
      <c r="X18" s="40">
        <v>0</v>
      </c>
      <c r="Y18" s="630">
        <f t="shared" si="30"/>
        <v>-286</v>
      </c>
      <c r="Z18" s="653">
        <v>-286</v>
      </c>
      <c r="AA18" s="40">
        <v>0</v>
      </c>
      <c r="AB18" s="630">
        <f t="shared" si="31"/>
        <v>0</v>
      </c>
      <c r="AC18" s="653">
        <v>0</v>
      </c>
      <c r="AD18" s="40">
        <v>0</v>
      </c>
      <c r="AE18" s="630">
        <f t="shared" si="32"/>
        <v>-102</v>
      </c>
      <c r="AF18" s="653">
        <v>-102</v>
      </c>
      <c r="AG18" s="40">
        <v>0</v>
      </c>
      <c r="AH18" s="630">
        <f t="shared" si="33"/>
        <v>-135</v>
      </c>
      <c r="AI18" s="653">
        <v>-135</v>
      </c>
      <c r="AJ18" s="40">
        <v>0</v>
      </c>
      <c r="AK18" s="630">
        <f t="shared" si="34"/>
        <v>-156</v>
      </c>
      <c r="AL18" s="653">
        <v>-156</v>
      </c>
      <c r="AM18" s="40">
        <v>0</v>
      </c>
      <c r="AN18" s="630">
        <f t="shared" si="35"/>
        <v>0</v>
      </c>
      <c r="AO18" s="653">
        <v>0</v>
      </c>
      <c r="AP18" s="40">
        <v>0</v>
      </c>
      <c r="AQ18" s="630">
        <f t="shared" si="36"/>
        <v>0</v>
      </c>
      <c r="AR18" s="653">
        <v>0</v>
      </c>
      <c r="AS18" s="40">
        <v>0</v>
      </c>
      <c r="AT18" s="630">
        <f t="shared" si="37"/>
        <v>0</v>
      </c>
      <c r="AU18" s="653">
        <v>0</v>
      </c>
      <c r="AV18" s="40">
        <v>0</v>
      </c>
      <c r="AW18" s="630">
        <f t="shared" si="38"/>
        <v>0</v>
      </c>
      <c r="AX18" s="653">
        <v>0</v>
      </c>
      <c r="AY18" s="40">
        <v>0</v>
      </c>
      <c r="AZ18" s="236">
        <f t="shared" si="39"/>
        <v>0</v>
      </c>
      <c r="BA18" s="580">
        <v>0</v>
      </c>
      <c r="BB18" s="56">
        <f>BD18/2</f>
        <v>0</v>
      </c>
      <c r="BC18" s="236">
        <f t="shared" si="40"/>
        <v>0</v>
      </c>
      <c r="BD18" s="580">
        <v>0</v>
      </c>
      <c r="BE18" s="56">
        <f>BG18/2</f>
        <v>0</v>
      </c>
      <c r="BF18" s="236">
        <f t="shared" si="41"/>
        <v>0</v>
      </c>
      <c r="BG18" s="580">
        <v>0</v>
      </c>
      <c r="BH18" s="56">
        <f>BJ18/2</f>
        <v>0</v>
      </c>
      <c r="BI18" s="236">
        <f t="shared" si="42"/>
        <v>0</v>
      </c>
      <c r="BJ18" s="580">
        <v>0</v>
      </c>
      <c r="BK18" s="56">
        <f>BM18/2</f>
        <v>0</v>
      </c>
      <c r="BL18" s="236">
        <f t="shared" si="43"/>
        <v>0</v>
      </c>
      <c r="BM18" s="580">
        <v>0</v>
      </c>
      <c r="BN18" s="31"/>
    </row>
    <row r="19" spans="1:66">
      <c r="A19" s="144" t="s">
        <v>135</v>
      </c>
      <c r="B19" s="51">
        <f t="shared" ref="B19:BK19" si="44">B20+B21+B22</f>
        <v>-95</v>
      </c>
      <c r="C19" s="51">
        <f t="shared" si="44"/>
        <v>-251</v>
      </c>
      <c r="D19" s="51">
        <f t="shared" si="44"/>
        <v>258</v>
      </c>
      <c r="E19" s="51">
        <f t="shared" si="44"/>
        <v>161</v>
      </c>
      <c r="F19" s="51">
        <f t="shared" si="44"/>
        <v>32</v>
      </c>
      <c r="G19" s="51">
        <f t="shared" si="44"/>
        <v>247</v>
      </c>
      <c r="H19" s="51">
        <f t="shared" si="44"/>
        <v>256</v>
      </c>
      <c r="I19" s="51">
        <f t="shared" si="44"/>
        <v>225</v>
      </c>
      <c r="J19" s="51">
        <f t="shared" si="44"/>
        <v>-38</v>
      </c>
      <c r="K19" s="51">
        <f t="shared" si="44"/>
        <v>-78</v>
      </c>
      <c r="L19" s="51">
        <f t="shared" si="44"/>
        <v>328</v>
      </c>
      <c r="M19" s="51">
        <f t="shared" si="44"/>
        <v>214</v>
      </c>
      <c r="N19" s="51">
        <f t="shared" si="44"/>
        <v>-200</v>
      </c>
      <c r="O19" s="51">
        <f t="shared" si="44"/>
        <v>-38</v>
      </c>
      <c r="P19" s="51">
        <f t="shared" si="44"/>
        <v>-498</v>
      </c>
      <c r="Q19" s="51">
        <f t="shared" si="44"/>
        <v>-531</v>
      </c>
      <c r="R19" s="51">
        <f t="shared" ref="R19:S19" si="45">R20+R21+R22</f>
        <v>-284</v>
      </c>
      <c r="S19" s="629">
        <f t="shared" si="45"/>
        <v>411</v>
      </c>
      <c r="T19" s="652">
        <f t="shared" si="44"/>
        <v>127</v>
      </c>
      <c r="U19" s="51">
        <f t="shared" si="44"/>
        <v>-260</v>
      </c>
      <c r="V19" s="629">
        <f t="shared" si="44"/>
        <v>974</v>
      </c>
      <c r="W19" s="652">
        <f t="shared" si="44"/>
        <v>714</v>
      </c>
      <c r="X19" s="51">
        <f t="shared" ref="X19:Y19" si="46">X20+X21+X22</f>
        <v>197</v>
      </c>
      <c r="Y19" s="629">
        <f t="shared" si="46"/>
        <v>1167</v>
      </c>
      <c r="Z19" s="652">
        <f t="shared" si="44"/>
        <v>1364</v>
      </c>
      <c r="AA19" s="51">
        <f t="shared" si="44"/>
        <v>283</v>
      </c>
      <c r="AB19" s="629">
        <f t="shared" si="44"/>
        <v>1671</v>
      </c>
      <c r="AC19" s="652">
        <f t="shared" si="44"/>
        <v>1954</v>
      </c>
      <c r="AD19" s="51">
        <f t="shared" ref="AD19:AE19" si="47">AD20+AD21+AD22</f>
        <v>153</v>
      </c>
      <c r="AE19" s="629">
        <f t="shared" si="47"/>
        <v>1614</v>
      </c>
      <c r="AF19" s="652">
        <f t="shared" si="44"/>
        <v>1767</v>
      </c>
      <c r="AG19" s="51">
        <f t="shared" si="44"/>
        <v>-1584</v>
      </c>
      <c r="AH19" s="629">
        <f t="shared" si="44"/>
        <v>-224</v>
      </c>
      <c r="AI19" s="652">
        <f t="shared" si="44"/>
        <v>-1808</v>
      </c>
      <c r="AJ19" s="51">
        <f t="shared" ref="AJ19:AK19" si="48">AJ20+AJ21+AJ22</f>
        <v>-533</v>
      </c>
      <c r="AK19" s="629">
        <f t="shared" si="48"/>
        <v>-277</v>
      </c>
      <c r="AL19" s="652">
        <f t="shared" si="44"/>
        <v>-810</v>
      </c>
      <c r="AM19" s="51">
        <f t="shared" si="44"/>
        <v>173</v>
      </c>
      <c r="AN19" s="629">
        <f t="shared" ref="AN19" si="49">AN20+AN21+AN22</f>
        <v>637</v>
      </c>
      <c r="AO19" s="652">
        <f t="shared" si="44"/>
        <v>810</v>
      </c>
      <c r="AP19" s="51">
        <f t="shared" ref="AP19:AR19" si="50">AP20+AP21+AP22</f>
        <v>546</v>
      </c>
      <c r="AQ19" s="629">
        <f t="shared" si="50"/>
        <v>611</v>
      </c>
      <c r="AR19" s="652">
        <f t="shared" si="50"/>
        <v>1157</v>
      </c>
      <c r="AS19" s="51">
        <f t="shared" ref="AS19:AV19" si="51">AS20+AS21+AS22</f>
        <v>429</v>
      </c>
      <c r="AT19" s="629">
        <f t="shared" si="51"/>
        <v>833</v>
      </c>
      <c r="AU19" s="652">
        <f t="shared" si="51"/>
        <v>1262</v>
      </c>
      <c r="AV19" s="51">
        <f t="shared" si="51"/>
        <v>664</v>
      </c>
      <c r="AW19" s="629">
        <f t="shared" ref="AW19" si="52">AW20+AW21+AW22</f>
        <v>118</v>
      </c>
      <c r="AX19" s="652">
        <f t="shared" ref="AX19:AY19" si="53">AX20+AX21+AX22</f>
        <v>782</v>
      </c>
      <c r="AY19" s="51">
        <f t="shared" si="53"/>
        <v>150</v>
      </c>
      <c r="AZ19" s="237">
        <f t="shared" ref="AZ19" si="54">AZ20+AZ21+AZ22</f>
        <v>448.59595043737772</v>
      </c>
      <c r="BA19" s="576">
        <f t="shared" si="44"/>
        <v>598.59595043737772</v>
      </c>
      <c r="BB19" s="48">
        <f t="shared" si="44"/>
        <v>2149.4662750373345</v>
      </c>
      <c r="BC19" s="237">
        <f t="shared" ref="BC19" si="55">BC20+BC21+BC22</f>
        <v>-1387.399885833649</v>
      </c>
      <c r="BD19" s="576">
        <f t="shared" si="44"/>
        <v>762.0663892036855</v>
      </c>
      <c r="BE19" s="48">
        <f t="shared" si="44"/>
        <v>1013.0368394792113</v>
      </c>
      <c r="BF19" s="237">
        <f t="shared" ref="BF19" si="56">BF20+BF21+BF22</f>
        <v>51.69168167204225</v>
      </c>
      <c r="BG19" s="576">
        <f t="shared" si="44"/>
        <v>1064.7285211512535</v>
      </c>
      <c r="BH19" s="48">
        <f t="shared" si="44"/>
        <v>713.77838838361276</v>
      </c>
      <c r="BI19" s="237">
        <f t="shared" ref="BI19" si="57">BI20+BI21+BI22</f>
        <v>214.72415926395479</v>
      </c>
      <c r="BJ19" s="576">
        <f t="shared" si="44"/>
        <v>928.50254764756755</v>
      </c>
      <c r="BK19" s="48">
        <f t="shared" si="44"/>
        <v>648.39851208653999</v>
      </c>
      <c r="BL19" s="237">
        <f t="shared" ref="BL19" si="58">BL20+BL21+BL22</f>
        <v>286.26326957925176</v>
      </c>
      <c r="BM19" s="576">
        <f>BM20+BM21+BM22</f>
        <v>934.66178166579175</v>
      </c>
      <c r="BN19" s="2"/>
    </row>
    <row r="20" spans="1:66">
      <c r="A20" s="150" t="s">
        <v>130</v>
      </c>
      <c r="B20" s="40">
        <v>62</v>
      </c>
      <c r="C20" s="40">
        <v>-52</v>
      </c>
      <c r="D20" s="40">
        <v>19</v>
      </c>
      <c r="E20" s="40">
        <v>191</v>
      </c>
      <c r="F20" s="40">
        <v>-116</v>
      </c>
      <c r="G20" s="40">
        <v>-221</v>
      </c>
      <c r="H20" s="40">
        <v>-226</v>
      </c>
      <c r="I20" s="40">
        <v>-359</v>
      </c>
      <c r="J20" s="40">
        <v>-208</v>
      </c>
      <c r="K20" s="40">
        <v>119</v>
      </c>
      <c r="L20" s="40">
        <v>41</v>
      </c>
      <c r="M20" s="40">
        <v>-140</v>
      </c>
      <c r="N20" s="40">
        <v>-158</v>
      </c>
      <c r="O20" s="40">
        <v>119</v>
      </c>
      <c r="P20" s="40">
        <v>166</v>
      </c>
      <c r="Q20" s="40">
        <v>63</v>
      </c>
      <c r="R20" s="40">
        <v>-339</v>
      </c>
      <c r="S20" s="630">
        <f t="shared" ref="S20:S22" si="59">T20-R20</f>
        <v>178</v>
      </c>
      <c r="T20" s="653">
        <v>-161</v>
      </c>
      <c r="U20" s="40">
        <v>-421</v>
      </c>
      <c r="V20" s="630">
        <f t="shared" ref="V20:V22" si="60">W20-U20</f>
        <v>186</v>
      </c>
      <c r="W20" s="653">
        <v>-235</v>
      </c>
      <c r="X20" s="40">
        <v>-428</v>
      </c>
      <c r="Y20" s="630">
        <f t="shared" ref="Y20:Y22" si="61">Z20-X20</f>
        <v>234</v>
      </c>
      <c r="Z20" s="653">
        <v>-194</v>
      </c>
      <c r="AA20" s="40">
        <v>-427</v>
      </c>
      <c r="AB20" s="630">
        <f t="shared" ref="AB20:AB22" si="62">AC20-AA20</f>
        <v>-189</v>
      </c>
      <c r="AC20" s="653">
        <v>-616</v>
      </c>
      <c r="AD20" s="40">
        <v>-433</v>
      </c>
      <c r="AE20" s="630">
        <f t="shared" ref="AE20:AE22" si="63">AF20-AD20</f>
        <v>390</v>
      </c>
      <c r="AF20" s="653">
        <v>-43</v>
      </c>
      <c r="AG20" s="40">
        <v>-301</v>
      </c>
      <c r="AH20" s="630">
        <f t="shared" ref="AH20:AH22" si="64">AI20-AG20</f>
        <v>889</v>
      </c>
      <c r="AI20" s="653">
        <v>588</v>
      </c>
      <c r="AJ20" s="40">
        <v>-219</v>
      </c>
      <c r="AK20" s="630">
        <f t="shared" si="34"/>
        <v>50</v>
      </c>
      <c r="AL20" s="653">
        <v>-169</v>
      </c>
      <c r="AM20" s="40">
        <v>-692</v>
      </c>
      <c r="AN20" s="630">
        <f t="shared" si="35"/>
        <v>-195</v>
      </c>
      <c r="AO20" s="653">
        <v>-887</v>
      </c>
      <c r="AP20" s="40">
        <v>-557</v>
      </c>
      <c r="AQ20" s="630">
        <f t="shared" ref="AQ20:AQ22" si="65">AR20-AP20</f>
        <v>357</v>
      </c>
      <c r="AR20" s="653">
        <v>-200</v>
      </c>
      <c r="AS20" s="40">
        <v>-641</v>
      </c>
      <c r="AT20" s="630">
        <f t="shared" ref="AT20:AT22" si="66">AU20-AS20</f>
        <v>318</v>
      </c>
      <c r="AU20" s="653">
        <v>-323</v>
      </c>
      <c r="AV20" s="40">
        <v>-608</v>
      </c>
      <c r="AW20" s="630">
        <f t="shared" ref="AW20:AW22" si="67">AX20-AV20</f>
        <v>-77</v>
      </c>
      <c r="AX20" s="653">
        <v>-685</v>
      </c>
      <c r="AY20" s="40">
        <v>-491</v>
      </c>
      <c r="AZ20" s="236">
        <f t="shared" si="39"/>
        <v>430.62893932550378</v>
      </c>
      <c r="BA20" s="605">
        <f>-(BS!BA14-BS!AX14)</f>
        <v>-60.371060674496221</v>
      </c>
      <c r="BB20" s="56">
        <f>-(BS!BB14-BS!BA14)</f>
        <v>-341.10797465003907</v>
      </c>
      <c r="BC20" s="236">
        <f t="shared" si="40"/>
        <v>-153.97947555628161</v>
      </c>
      <c r="BD20" s="605">
        <f>-(BS!BD14-BS!BA14)</f>
        <v>-495.08745020632068</v>
      </c>
      <c r="BE20" s="56">
        <f>-(BS!BE14-BS!BD14)</f>
        <v>251.77746370743625</v>
      </c>
      <c r="BF20" s="236">
        <f t="shared" si="41"/>
        <v>-227.68872961372108</v>
      </c>
      <c r="BG20" s="605">
        <f>-(BS!BG14-BS!BD14)</f>
        <v>24.088734093715175</v>
      </c>
      <c r="BH20" s="56">
        <f>-(BS!BH14-BS!BG14)</f>
        <v>218.49996893651769</v>
      </c>
      <c r="BI20" s="236">
        <f t="shared" si="42"/>
        <v>-206.22158660923742</v>
      </c>
      <c r="BJ20" s="605">
        <f>-(BS!BJ14-BS!BG14)</f>
        <v>12.278382327280269</v>
      </c>
      <c r="BK20" s="56">
        <f>-(BS!BK14-BS!BJ14)</f>
        <v>161.9860411169193</v>
      </c>
      <c r="BL20" s="236">
        <f t="shared" si="43"/>
        <v>-197.74475985383378</v>
      </c>
      <c r="BM20" s="605">
        <f>-(BS!BM14-BS!BJ14)</f>
        <v>-35.758718736914489</v>
      </c>
    </row>
    <row r="21" spans="1:66">
      <c r="A21" s="150" t="s">
        <v>131</v>
      </c>
      <c r="B21" s="40">
        <v>-374</v>
      </c>
      <c r="C21" s="40">
        <v>-386</v>
      </c>
      <c r="D21" s="40">
        <v>27</v>
      </c>
      <c r="E21" s="40">
        <v>-188</v>
      </c>
      <c r="F21" s="40">
        <v>179</v>
      </c>
      <c r="G21" s="40">
        <v>-252</v>
      </c>
      <c r="H21" s="40">
        <v>-397</v>
      </c>
      <c r="I21" s="40">
        <v>-125</v>
      </c>
      <c r="J21" s="40">
        <v>-1072</v>
      </c>
      <c r="K21" s="40">
        <v>-14</v>
      </c>
      <c r="L21" s="40">
        <v>39</v>
      </c>
      <c r="M21" s="40">
        <v>-62</v>
      </c>
      <c r="N21" s="40">
        <v>-284</v>
      </c>
      <c r="O21" s="40">
        <v>-533</v>
      </c>
      <c r="P21" s="40">
        <v>-878</v>
      </c>
      <c r="Q21" s="40">
        <v>-836</v>
      </c>
      <c r="R21" s="40">
        <v>-459</v>
      </c>
      <c r="S21" s="630">
        <f t="shared" si="59"/>
        <v>513</v>
      </c>
      <c r="T21" s="653">
        <v>54</v>
      </c>
      <c r="U21" s="40">
        <v>-352</v>
      </c>
      <c r="V21" s="630">
        <f t="shared" si="60"/>
        <v>-110</v>
      </c>
      <c r="W21" s="653">
        <v>-462</v>
      </c>
      <c r="X21" s="40">
        <v>-482</v>
      </c>
      <c r="Y21" s="630">
        <f t="shared" si="61"/>
        <v>243</v>
      </c>
      <c r="Z21" s="653">
        <f>-169-70</f>
        <v>-239</v>
      </c>
      <c r="AA21" s="40">
        <v>-287</v>
      </c>
      <c r="AB21" s="630">
        <f t="shared" si="62"/>
        <v>-294</v>
      </c>
      <c r="AC21" s="653">
        <f>-469-112</f>
        <v>-581</v>
      </c>
      <c r="AD21" s="40">
        <f>-50-160</f>
        <v>-210</v>
      </c>
      <c r="AE21" s="630">
        <f t="shared" si="63"/>
        <v>-441</v>
      </c>
      <c r="AF21" s="653">
        <f>-610-41</f>
        <v>-651</v>
      </c>
      <c r="AG21" s="40">
        <v>-1925</v>
      </c>
      <c r="AH21" s="630">
        <f t="shared" si="64"/>
        <v>-730</v>
      </c>
      <c r="AI21" s="653">
        <v>-2655</v>
      </c>
      <c r="AJ21" s="40">
        <v>-136</v>
      </c>
      <c r="AK21" s="630">
        <f t="shared" si="34"/>
        <v>-371</v>
      </c>
      <c r="AL21" s="653">
        <v>-507</v>
      </c>
      <c r="AM21" s="40">
        <v>183</v>
      </c>
      <c r="AN21" s="630">
        <f t="shared" si="35"/>
        <v>-239</v>
      </c>
      <c r="AO21" s="653">
        <v>-56</v>
      </c>
      <c r="AP21" s="40">
        <v>-51</v>
      </c>
      <c r="AQ21" s="630">
        <f t="shared" si="65"/>
        <v>-1295</v>
      </c>
      <c r="AR21" s="653">
        <v>-1346</v>
      </c>
      <c r="AS21" s="40">
        <v>573</v>
      </c>
      <c r="AT21" s="630">
        <f t="shared" si="66"/>
        <v>260</v>
      </c>
      <c r="AU21" s="653">
        <v>833</v>
      </c>
      <c r="AV21" s="40">
        <v>300</v>
      </c>
      <c r="AW21" s="630">
        <f t="shared" si="67"/>
        <v>463</v>
      </c>
      <c r="AX21" s="653">
        <v>763</v>
      </c>
      <c r="AY21" s="40">
        <v>-130</v>
      </c>
      <c r="AZ21" s="236">
        <f t="shared" si="39"/>
        <v>783.39837278864252</v>
      </c>
      <c r="BA21" s="605">
        <f>-(BS!BA15-BS!AX15)</f>
        <v>653.39837278864252</v>
      </c>
      <c r="BB21" s="56">
        <f>-(BS!BB15-BS!BA15)</f>
        <v>1270.9557491610303</v>
      </c>
      <c r="BC21" s="236">
        <f t="shared" si="40"/>
        <v>-217.63125826050418</v>
      </c>
      <c r="BD21" s="605">
        <f>-(BS!BD15-BS!BA15)</f>
        <v>1053.3244909005261</v>
      </c>
      <c r="BE21" s="56">
        <f>-(BS!BE15-BS!BD15)</f>
        <v>577.46069332147272</v>
      </c>
      <c r="BF21" s="236">
        <f t="shared" si="41"/>
        <v>-318.21179271840265</v>
      </c>
      <c r="BG21" s="605">
        <f>-(BS!BG15-BS!BD15)</f>
        <v>259.24890060307007</v>
      </c>
      <c r="BH21" s="56">
        <f>-(BS!BH15-BS!BG15)</f>
        <v>196.70687589277804</v>
      </c>
      <c r="BI21" s="236">
        <f t="shared" si="42"/>
        <v>-296.56319930176323</v>
      </c>
      <c r="BJ21" s="605">
        <f>-(BS!BJ15-BS!BG15)</f>
        <v>-99.85632340898519</v>
      </c>
      <c r="BK21" s="56">
        <f>-(BS!BK15-BS!BJ15)</f>
        <v>129.94374288733343</v>
      </c>
      <c r="BL21" s="236">
        <f t="shared" si="43"/>
        <v>-293.48069402058718</v>
      </c>
      <c r="BM21" s="605">
        <f>-(BS!BM15-BS!BJ15)</f>
        <v>-163.53695113325375</v>
      </c>
    </row>
    <row r="22" spans="1:66">
      <c r="A22" s="150" t="s">
        <v>485</v>
      </c>
      <c r="B22" s="40">
        <v>217</v>
      </c>
      <c r="C22" s="40">
        <v>187</v>
      </c>
      <c r="D22" s="40">
        <v>212</v>
      </c>
      <c r="E22" s="40">
        <v>158</v>
      </c>
      <c r="F22" s="40">
        <v>-31</v>
      </c>
      <c r="G22" s="40">
        <v>720</v>
      </c>
      <c r="H22" s="40">
        <v>879</v>
      </c>
      <c r="I22" s="40">
        <v>709</v>
      </c>
      <c r="J22" s="40">
        <v>1242</v>
      </c>
      <c r="K22" s="40">
        <v>-183</v>
      </c>
      <c r="L22" s="40">
        <v>248</v>
      </c>
      <c r="M22" s="40">
        <v>416</v>
      </c>
      <c r="N22" s="40">
        <v>242</v>
      </c>
      <c r="O22" s="40">
        <v>376</v>
      </c>
      <c r="P22" s="40">
        <v>214</v>
      </c>
      <c r="Q22" s="40">
        <v>242</v>
      </c>
      <c r="R22" s="40">
        <v>514</v>
      </c>
      <c r="S22" s="630">
        <f t="shared" si="59"/>
        <v>-280</v>
      </c>
      <c r="T22" s="653">
        <v>234</v>
      </c>
      <c r="U22" s="40">
        <f>-267+780</f>
        <v>513</v>
      </c>
      <c r="V22" s="630">
        <f t="shared" si="60"/>
        <v>898</v>
      </c>
      <c r="W22" s="653">
        <v>1411</v>
      </c>
      <c r="X22" s="40">
        <f>-267+1374</f>
        <v>1107</v>
      </c>
      <c r="Y22" s="630">
        <f t="shared" si="61"/>
        <v>690</v>
      </c>
      <c r="Z22" s="653">
        <f>398+1399</f>
        <v>1797</v>
      </c>
      <c r="AA22" s="40">
        <v>997</v>
      </c>
      <c r="AB22" s="630">
        <f t="shared" si="62"/>
        <v>2154</v>
      </c>
      <c r="AC22" s="653">
        <f>1732+1419</f>
        <v>3151</v>
      </c>
      <c r="AD22" s="40">
        <f>-102+265+633</f>
        <v>796</v>
      </c>
      <c r="AE22" s="630">
        <f t="shared" si="63"/>
        <v>1665</v>
      </c>
      <c r="AF22" s="653">
        <f>1778+683</f>
        <v>2461</v>
      </c>
      <c r="AG22" s="40">
        <v>642</v>
      </c>
      <c r="AH22" s="630">
        <f t="shared" si="64"/>
        <v>-383</v>
      </c>
      <c r="AI22" s="653">
        <v>259</v>
      </c>
      <c r="AJ22" s="40">
        <v>-178</v>
      </c>
      <c r="AK22" s="630">
        <f t="shared" si="34"/>
        <v>44</v>
      </c>
      <c r="AL22" s="653">
        <v>-134</v>
      </c>
      <c r="AM22" s="40">
        <v>682</v>
      </c>
      <c r="AN22" s="630">
        <f t="shared" si="35"/>
        <v>1071</v>
      </c>
      <c r="AO22" s="653">
        <v>1753</v>
      </c>
      <c r="AP22" s="40">
        <v>1154</v>
      </c>
      <c r="AQ22" s="630">
        <f t="shared" si="65"/>
        <v>1549</v>
      </c>
      <c r="AR22" s="653">
        <v>2703</v>
      </c>
      <c r="AS22" s="40">
        <v>497</v>
      </c>
      <c r="AT22" s="630">
        <f t="shared" si="66"/>
        <v>255</v>
      </c>
      <c r="AU22" s="653">
        <v>752</v>
      </c>
      <c r="AV22" s="40">
        <v>972</v>
      </c>
      <c r="AW22" s="630">
        <f t="shared" si="67"/>
        <v>-268</v>
      </c>
      <c r="AX22" s="653">
        <v>704</v>
      </c>
      <c r="AY22" s="40">
        <v>771</v>
      </c>
      <c r="AZ22" s="236">
        <f t="shared" si="39"/>
        <v>-765.43136167676857</v>
      </c>
      <c r="BA22" s="605">
        <f>-(BS!BA78-BS!AX78)</f>
        <v>5.5686383232314256</v>
      </c>
      <c r="BB22" s="56">
        <f>-(BS!BB78-BS!BA78)</f>
        <v>1219.6185005263433</v>
      </c>
      <c r="BC22" s="236">
        <f t="shared" si="40"/>
        <v>-1015.7891520168632</v>
      </c>
      <c r="BD22" s="605">
        <f>-(BS!BD78-BS!BA78)</f>
        <v>203.82934850948004</v>
      </c>
      <c r="BE22" s="56">
        <f>-(BS!BE78-BS!BD78)</f>
        <v>183.79868245030229</v>
      </c>
      <c r="BF22" s="236">
        <f t="shared" si="41"/>
        <v>597.59220400416598</v>
      </c>
      <c r="BG22" s="605">
        <f>-(BS!BG78-BS!BD78)</f>
        <v>781.39088645446827</v>
      </c>
      <c r="BH22" s="56">
        <f>-(BS!BH78-BS!BG78)</f>
        <v>298.57154355431703</v>
      </c>
      <c r="BI22" s="236">
        <f t="shared" si="42"/>
        <v>717.50894517495544</v>
      </c>
      <c r="BJ22" s="605">
        <f>-(BS!BJ78-BS!BG78)</f>
        <v>1016.0804887292725</v>
      </c>
      <c r="BK22" s="56">
        <f>-(BS!BK78-BS!BJ78)</f>
        <v>356.46872808228727</v>
      </c>
      <c r="BL22" s="236">
        <f t="shared" si="43"/>
        <v>777.48872345367272</v>
      </c>
      <c r="BM22" s="605">
        <f>-(BS!BM78-BS!BJ78)</f>
        <v>1133.95745153596</v>
      </c>
    </row>
    <row r="23" spans="1:66">
      <c r="A23" s="66" t="s">
        <v>144</v>
      </c>
      <c r="B23" s="40">
        <v>0</v>
      </c>
      <c r="C23" s="40">
        <v>0</v>
      </c>
      <c r="D23" s="40">
        <v>0</v>
      </c>
      <c r="E23" s="40">
        <v>0</v>
      </c>
      <c r="F23" s="40">
        <v>0</v>
      </c>
      <c r="G23" s="40">
        <v>283</v>
      </c>
      <c r="H23" s="40">
        <v>250</v>
      </c>
      <c r="I23" s="40">
        <v>358</v>
      </c>
      <c r="J23" s="40">
        <v>144</v>
      </c>
      <c r="K23" s="40">
        <v>-303</v>
      </c>
      <c r="L23" s="40">
        <v>-299</v>
      </c>
      <c r="M23" s="40">
        <v>68</v>
      </c>
      <c r="N23" s="40">
        <v>-29</v>
      </c>
      <c r="O23" s="40">
        <v>9</v>
      </c>
      <c r="P23" s="40">
        <v>-30</v>
      </c>
      <c r="Q23" s="40">
        <v>-305</v>
      </c>
      <c r="R23" s="40">
        <v>-139</v>
      </c>
      <c r="S23" s="630">
        <f>T23-R23</f>
        <v>-469</v>
      </c>
      <c r="T23" s="653">
        <v>-608</v>
      </c>
      <c r="U23" s="40">
        <v>-341</v>
      </c>
      <c r="V23" s="630">
        <f>W23-U23</f>
        <v>-320</v>
      </c>
      <c r="W23" s="653">
        <v>-661</v>
      </c>
      <c r="X23" s="40">
        <v>-340</v>
      </c>
      <c r="Y23" s="630">
        <f>Z23-X23</f>
        <v>-324</v>
      </c>
      <c r="Z23" s="653">
        <v>-664</v>
      </c>
      <c r="AA23" s="40">
        <v>-261</v>
      </c>
      <c r="AB23" s="630">
        <f>AC23-AA23</f>
        <v>-471</v>
      </c>
      <c r="AC23" s="653">
        <v>-732</v>
      </c>
      <c r="AD23" s="40">
        <v>-314</v>
      </c>
      <c r="AE23" s="630">
        <f>AF23-AD23</f>
        <v>-412</v>
      </c>
      <c r="AF23" s="653">
        <f>-757+31</f>
        <v>-726</v>
      </c>
      <c r="AG23" s="40">
        <f>-135-35</f>
        <v>-170</v>
      </c>
      <c r="AH23" s="630">
        <f>AI23-AG23</f>
        <v>57</v>
      </c>
      <c r="AI23" s="653">
        <f>-126+13</f>
        <v>-113</v>
      </c>
      <c r="AJ23" s="40">
        <f>-156-45</f>
        <v>-201</v>
      </c>
      <c r="AK23" s="630">
        <f>AL23-AJ23</f>
        <v>116</v>
      </c>
      <c r="AL23" s="653">
        <v>-85</v>
      </c>
      <c r="AM23" s="40">
        <v>-167</v>
      </c>
      <c r="AN23" s="630">
        <f>AO23-AM23</f>
        <v>-493</v>
      </c>
      <c r="AO23" s="653">
        <f>-660</f>
        <v>-660</v>
      </c>
      <c r="AP23" s="40">
        <v>-516</v>
      </c>
      <c r="AQ23" s="630">
        <f>AR23-AP23</f>
        <v>-329</v>
      </c>
      <c r="AR23" s="653">
        <v>-845</v>
      </c>
      <c r="AS23" s="40">
        <v>-410</v>
      </c>
      <c r="AT23" s="630">
        <f>AU23-AS23</f>
        <v>-266</v>
      </c>
      <c r="AU23" s="653">
        <v>-676</v>
      </c>
      <c r="AV23" s="40">
        <v>-389</v>
      </c>
      <c r="AW23" s="630">
        <f>AX23-AV23</f>
        <v>-189</v>
      </c>
      <c r="AX23" s="653">
        <v>-578</v>
      </c>
      <c r="AY23" s="40">
        <f>-32</f>
        <v>-32</v>
      </c>
      <c r="AZ23" s="236">
        <f>-SUM(IS!AZ85:AZ88)-IS!AZ91</f>
        <v>0</v>
      </c>
      <c r="BA23" s="605">
        <f>-SUM(IS!BA85:BA88)-IS!BA91</f>
        <v>-9</v>
      </c>
      <c r="BB23" s="56">
        <f>-SUM(IS!BB85:BB88)-IS!BB91</f>
        <v>0</v>
      </c>
      <c r="BC23" s="236">
        <f>-SUM(IS!BC85:BC88)-IS!BC91</f>
        <v>0</v>
      </c>
      <c r="BD23" s="605">
        <f>-SUM(IS!BD85:BD88)-IS!BD91</f>
        <v>0</v>
      </c>
      <c r="BE23" s="56">
        <f>-SUM(IS!BE85:BE88)-IS!BE91</f>
        <v>0</v>
      </c>
      <c r="BF23" s="236">
        <f>-SUM(IS!BF85:BF88)-IS!BF91</f>
        <v>0</v>
      </c>
      <c r="BG23" s="605">
        <f>-SUM(IS!BG85:BG88)-IS!BG91</f>
        <v>0</v>
      </c>
      <c r="BH23" s="56">
        <f>-SUM(IS!BH85:BH88)-IS!BH91</f>
        <v>0</v>
      </c>
      <c r="BI23" s="236">
        <f>-SUM(IS!BI85:BI88)-IS!BI91</f>
        <v>0</v>
      </c>
      <c r="BJ23" s="605">
        <f>-SUM(IS!BJ85:BJ88)-IS!BJ91</f>
        <v>0</v>
      </c>
      <c r="BK23" s="56">
        <f>-SUM(IS!BK85:BK88)-IS!BK91</f>
        <v>0</v>
      </c>
      <c r="BL23" s="236">
        <f>-SUM(IS!BL85:BL88)-IS!BL91</f>
        <v>0</v>
      </c>
      <c r="BM23" s="605">
        <f>-SUM(IS!BM85:BM88)-IS!BM91</f>
        <v>0</v>
      </c>
    </row>
    <row r="24" spans="1:66">
      <c r="A24" s="66" t="s">
        <v>141</v>
      </c>
      <c r="B24" s="40">
        <v>0</v>
      </c>
      <c r="C24" s="40">
        <v>0</v>
      </c>
      <c r="D24" s="40">
        <v>0</v>
      </c>
      <c r="E24" s="40">
        <v>0</v>
      </c>
      <c r="F24" s="40">
        <v>-42</v>
      </c>
      <c r="G24" s="40">
        <v>-69</v>
      </c>
      <c r="H24" s="40">
        <v>-21</v>
      </c>
      <c r="I24" s="40">
        <v>-441</v>
      </c>
      <c r="J24" s="40">
        <v>-117</v>
      </c>
      <c r="K24" s="40">
        <v>-159</v>
      </c>
      <c r="L24" s="40">
        <f t="shared" ref="L24:BM24" si="68">L25+L26</f>
        <v>-135</v>
      </c>
      <c r="M24" s="40">
        <f t="shared" si="68"/>
        <v>-347</v>
      </c>
      <c r="N24" s="40">
        <f t="shared" si="68"/>
        <v>-126</v>
      </c>
      <c r="O24" s="40">
        <f t="shared" si="68"/>
        <v>-36</v>
      </c>
      <c r="P24" s="40">
        <f t="shared" si="68"/>
        <v>-152</v>
      </c>
      <c r="Q24" s="40">
        <f t="shared" si="68"/>
        <v>-46</v>
      </c>
      <c r="R24" s="40">
        <f t="shared" ref="R24:S24" si="69">R25+R26</f>
        <v>-10</v>
      </c>
      <c r="S24" s="630">
        <f t="shared" si="69"/>
        <v>249</v>
      </c>
      <c r="T24" s="653">
        <f t="shared" si="68"/>
        <v>239</v>
      </c>
      <c r="U24" s="40">
        <f t="shared" si="68"/>
        <v>-12</v>
      </c>
      <c r="V24" s="630">
        <f t="shared" si="68"/>
        <v>3</v>
      </c>
      <c r="W24" s="653">
        <f>W25+W26</f>
        <v>-9</v>
      </c>
      <c r="X24" s="40">
        <f t="shared" ref="X24:Y24" si="70">X25+X26</f>
        <v>-12</v>
      </c>
      <c r="Y24" s="630">
        <f t="shared" si="70"/>
        <v>3</v>
      </c>
      <c r="Z24" s="653">
        <f>Z25+Z26</f>
        <v>-9</v>
      </c>
      <c r="AA24" s="40">
        <f t="shared" ref="AA24:AB24" si="71">AA25+AA26</f>
        <v>31</v>
      </c>
      <c r="AB24" s="630">
        <f t="shared" si="71"/>
        <v>140</v>
      </c>
      <c r="AC24" s="653">
        <f t="shared" si="68"/>
        <v>171</v>
      </c>
      <c r="AD24" s="40">
        <f t="shared" si="68"/>
        <v>1</v>
      </c>
      <c r="AE24" s="630">
        <f t="shared" si="68"/>
        <v>-45</v>
      </c>
      <c r="AF24" s="653">
        <f>AF25+AF26</f>
        <v>-44</v>
      </c>
      <c r="AG24" s="40">
        <f t="shared" ref="AG24:AH24" si="72">AG25+AG26</f>
        <v>-154</v>
      </c>
      <c r="AH24" s="630">
        <f t="shared" si="72"/>
        <v>6</v>
      </c>
      <c r="AI24" s="653">
        <f>AI25+AI26</f>
        <v>-148</v>
      </c>
      <c r="AJ24" s="40">
        <f t="shared" ref="AJ24:AK24" si="73">AJ25+AJ26</f>
        <v>-105</v>
      </c>
      <c r="AK24" s="630">
        <f t="shared" si="73"/>
        <v>-34</v>
      </c>
      <c r="AL24" s="653">
        <f t="shared" si="68"/>
        <v>-139</v>
      </c>
      <c r="AM24" s="40">
        <f t="shared" si="68"/>
        <v>-2</v>
      </c>
      <c r="AN24" s="630">
        <f t="shared" ref="AN24" si="74">AN25+AN26</f>
        <v>-52</v>
      </c>
      <c r="AO24" s="653">
        <f t="shared" si="68"/>
        <v>-54</v>
      </c>
      <c r="AP24" s="40">
        <f t="shared" ref="AP24:AR24" si="75">AP25+AP26</f>
        <v>-13</v>
      </c>
      <c r="AQ24" s="630">
        <f t="shared" si="75"/>
        <v>-15</v>
      </c>
      <c r="AR24" s="653">
        <f t="shared" si="75"/>
        <v>-28</v>
      </c>
      <c r="AS24" s="40">
        <f t="shared" ref="AS24:AU24" si="76">AS25+AS26</f>
        <v>-18</v>
      </c>
      <c r="AT24" s="630">
        <f t="shared" si="76"/>
        <v>0</v>
      </c>
      <c r="AU24" s="653">
        <f t="shared" si="76"/>
        <v>-18</v>
      </c>
      <c r="AV24" s="40">
        <f t="shared" ref="AV24:AX24" si="77">AV25+AV26</f>
        <v>-6</v>
      </c>
      <c r="AW24" s="630">
        <f t="shared" si="77"/>
        <v>-36</v>
      </c>
      <c r="AX24" s="653">
        <f t="shared" si="77"/>
        <v>-42</v>
      </c>
      <c r="AY24" s="40">
        <f t="shared" ref="AY24" si="78">AY25+AY26</f>
        <v>88</v>
      </c>
      <c r="AZ24" s="236">
        <f t="shared" ref="AZ24" si="79">AZ25+AZ26</f>
        <v>-130</v>
      </c>
      <c r="BA24" s="605">
        <f t="shared" si="68"/>
        <v>-42</v>
      </c>
      <c r="BB24" s="56">
        <f t="shared" si="68"/>
        <v>-21</v>
      </c>
      <c r="BC24" s="236">
        <f t="shared" ref="BC24" si="80">BC25+BC26</f>
        <v>-21</v>
      </c>
      <c r="BD24" s="605">
        <f t="shared" si="68"/>
        <v>-42</v>
      </c>
      <c r="BE24" s="56">
        <f t="shared" si="68"/>
        <v>-21</v>
      </c>
      <c r="BF24" s="236">
        <f t="shared" ref="BF24" si="81">BF25+BF26</f>
        <v>-21</v>
      </c>
      <c r="BG24" s="605">
        <f t="shared" si="68"/>
        <v>-42</v>
      </c>
      <c r="BH24" s="56">
        <f t="shared" si="68"/>
        <v>-21</v>
      </c>
      <c r="BI24" s="236">
        <f t="shared" ref="BI24" si="82">BI25+BI26</f>
        <v>-21</v>
      </c>
      <c r="BJ24" s="605">
        <f t="shared" si="68"/>
        <v>-42</v>
      </c>
      <c r="BK24" s="56">
        <f t="shared" si="68"/>
        <v>-21</v>
      </c>
      <c r="BL24" s="236">
        <f t="shared" ref="BL24" si="83">BL25+BL26</f>
        <v>-21</v>
      </c>
      <c r="BM24" s="605">
        <f t="shared" si="68"/>
        <v>-42</v>
      </c>
    </row>
    <row r="25" spans="1:66">
      <c r="A25" s="150" t="s">
        <v>143</v>
      </c>
      <c r="B25" s="40"/>
      <c r="C25" s="40"/>
      <c r="D25" s="40"/>
      <c r="E25" s="40"/>
      <c r="F25" s="40"/>
      <c r="G25" s="40"/>
      <c r="H25" s="40"/>
      <c r="I25" s="40"/>
      <c r="J25" s="40"/>
      <c r="K25" s="40"/>
      <c r="L25" s="40">
        <v>147</v>
      </c>
      <c r="M25" s="40">
        <v>-43</v>
      </c>
      <c r="N25" s="40">
        <v>173</v>
      </c>
      <c r="O25" s="40">
        <v>279</v>
      </c>
      <c r="P25" s="40">
        <v>170</v>
      </c>
      <c r="Q25" s="40">
        <v>213</v>
      </c>
      <c r="R25" s="40">
        <v>118</v>
      </c>
      <c r="S25" s="630">
        <f>T25-R25</f>
        <v>392</v>
      </c>
      <c r="T25" s="653">
        <v>510</v>
      </c>
      <c r="U25" s="40">
        <v>118</v>
      </c>
      <c r="V25" s="630">
        <f>W25-U25</f>
        <v>122</v>
      </c>
      <c r="W25" s="653">
        <v>240</v>
      </c>
      <c r="X25" s="40">
        <v>118</v>
      </c>
      <c r="Y25" s="630">
        <f>Z25-X25</f>
        <v>122</v>
      </c>
      <c r="Z25" s="653">
        <v>240</v>
      </c>
      <c r="AA25" s="40">
        <v>118</v>
      </c>
      <c r="AB25" s="630">
        <f>AC25-AA25</f>
        <v>234</v>
      </c>
      <c r="AC25" s="653">
        <v>352</v>
      </c>
      <c r="AD25" s="40">
        <v>107</v>
      </c>
      <c r="AE25" s="630">
        <f>AF25-AD25</f>
        <v>115</v>
      </c>
      <c r="AF25" s="653">
        <v>222</v>
      </c>
      <c r="AG25" s="40">
        <v>-116</v>
      </c>
      <c r="AH25" s="630">
        <f>AI25-AG25</f>
        <v>48</v>
      </c>
      <c r="AI25" s="653">
        <v>-68</v>
      </c>
      <c r="AJ25" s="40">
        <v>26</v>
      </c>
      <c r="AK25" s="630">
        <f>AL25-AJ25</f>
        <v>-3</v>
      </c>
      <c r="AL25" s="653">
        <v>23</v>
      </c>
      <c r="AM25" s="40">
        <v>27</v>
      </c>
      <c r="AN25" s="630">
        <f>AO25-AM25</f>
        <v>0</v>
      </c>
      <c r="AO25" s="653">
        <v>27</v>
      </c>
      <c r="AP25" s="40">
        <v>25</v>
      </c>
      <c r="AQ25" s="630">
        <f>AR25-AP25</f>
        <v>16</v>
      </c>
      <c r="AR25" s="653">
        <v>41</v>
      </c>
      <c r="AS25" s="40">
        <v>21</v>
      </c>
      <c r="AT25" s="630">
        <f>AU25-AS25</f>
        <v>35</v>
      </c>
      <c r="AU25" s="653">
        <v>56</v>
      </c>
      <c r="AV25" s="40">
        <v>33</v>
      </c>
      <c r="AW25" s="630">
        <f>AX25-AV25</f>
        <v>9</v>
      </c>
      <c r="AX25" s="653">
        <v>42</v>
      </c>
      <c r="AY25" s="40">
        <v>136</v>
      </c>
      <c r="AZ25" s="236">
        <f>BA25-AY25</f>
        <v>-94</v>
      </c>
      <c r="BA25" s="605">
        <f>AX25</f>
        <v>42</v>
      </c>
      <c r="BB25" s="56">
        <f>BD25/2</f>
        <v>21</v>
      </c>
      <c r="BC25" s="236">
        <f>BD25-BB25</f>
        <v>21</v>
      </c>
      <c r="BD25" s="605">
        <f>BA25</f>
        <v>42</v>
      </c>
      <c r="BE25" s="56">
        <f>BG25/2</f>
        <v>21</v>
      </c>
      <c r="BF25" s="236">
        <f>BG25-BE25</f>
        <v>21</v>
      </c>
      <c r="BG25" s="605">
        <f>BD25</f>
        <v>42</v>
      </c>
      <c r="BH25" s="56">
        <f>BJ25/2</f>
        <v>21</v>
      </c>
      <c r="BI25" s="236">
        <f>BJ25-BH25</f>
        <v>21</v>
      </c>
      <c r="BJ25" s="605">
        <f>BG25</f>
        <v>42</v>
      </c>
      <c r="BK25" s="56">
        <f>BM25/2</f>
        <v>21</v>
      </c>
      <c r="BL25" s="236">
        <f>BM25-BK25</f>
        <v>21</v>
      </c>
      <c r="BM25" s="605">
        <f t="shared" ref="BM25" si="84">BJ25</f>
        <v>42</v>
      </c>
    </row>
    <row r="26" spans="1:66">
      <c r="A26" s="150" t="s">
        <v>142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>
        <v>-282</v>
      </c>
      <c r="M26" s="40">
        <v>-304</v>
      </c>
      <c r="N26" s="40">
        <v>-299</v>
      </c>
      <c r="O26" s="40">
        <v>-315</v>
      </c>
      <c r="P26" s="40">
        <v>-322</v>
      </c>
      <c r="Q26" s="40">
        <v>-259</v>
      </c>
      <c r="R26" s="40">
        <v>-128</v>
      </c>
      <c r="S26" s="630">
        <f>T26-R26</f>
        <v>-143</v>
      </c>
      <c r="T26" s="653">
        <v>-271</v>
      </c>
      <c r="U26" s="40">
        <v>-130</v>
      </c>
      <c r="V26" s="630">
        <f>W26-U26</f>
        <v>-119</v>
      </c>
      <c r="W26" s="653">
        <v>-249</v>
      </c>
      <c r="X26" s="40">
        <v>-130</v>
      </c>
      <c r="Y26" s="630">
        <f>Z26-X26</f>
        <v>-119</v>
      </c>
      <c r="Z26" s="653">
        <v>-249</v>
      </c>
      <c r="AA26" s="40">
        <v>-87</v>
      </c>
      <c r="AB26" s="630">
        <f>AC26-AA26</f>
        <v>-94</v>
      </c>
      <c r="AC26" s="653">
        <v>-181</v>
      </c>
      <c r="AD26" s="40">
        <v>-106</v>
      </c>
      <c r="AE26" s="630">
        <f>AF26-AD26</f>
        <v>-160</v>
      </c>
      <c r="AF26" s="653">
        <v>-266</v>
      </c>
      <c r="AG26" s="40">
        <v>-38</v>
      </c>
      <c r="AH26" s="630">
        <f>AI26-AG26</f>
        <v>-42</v>
      </c>
      <c r="AI26" s="653">
        <v>-80</v>
      </c>
      <c r="AJ26" s="40">
        <v>-131</v>
      </c>
      <c r="AK26" s="630">
        <f>AL26-AJ26</f>
        <v>-31</v>
      </c>
      <c r="AL26" s="653">
        <v>-162</v>
      </c>
      <c r="AM26" s="40">
        <v>-29</v>
      </c>
      <c r="AN26" s="630">
        <f>AO26-AM26</f>
        <v>-52</v>
      </c>
      <c r="AO26" s="653">
        <v>-81</v>
      </c>
      <c r="AP26" s="40">
        <v>-38</v>
      </c>
      <c r="AQ26" s="630">
        <f>AR26-AP26</f>
        <v>-31</v>
      </c>
      <c r="AR26" s="653">
        <v>-69</v>
      </c>
      <c r="AS26" s="40">
        <v>-39</v>
      </c>
      <c r="AT26" s="630">
        <f>AU26-AS26</f>
        <v>-35</v>
      </c>
      <c r="AU26" s="653">
        <v>-74</v>
      </c>
      <c r="AV26" s="40">
        <v>-39</v>
      </c>
      <c r="AW26" s="630">
        <f>AX26-AV26</f>
        <v>-45</v>
      </c>
      <c r="AX26" s="653">
        <v>-84</v>
      </c>
      <c r="AY26" s="40">
        <v>-48</v>
      </c>
      <c r="AZ26" s="236">
        <f>BA26-AY26</f>
        <v>-36</v>
      </c>
      <c r="BA26" s="605">
        <f>+AX26</f>
        <v>-84</v>
      </c>
      <c r="BB26" s="56">
        <f>BD26/2</f>
        <v>-42</v>
      </c>
      <c r="BC26" s="236">
        <f>BD26-BB26</f>
        <v>-42</v>
      </c>
      <c r="BD26" s="605">
        <f>+BA26</f>
        <v>-84</v>
      </c>
      <c r="BE26" s="56">
        <f>BG26/2</f>
        <v>-42</v>
      </c>
      <c r="BF26" s="236">
        <f>BG26-BE26</f>
        <v>-42</v>
      </c>
      <c r="BG26" s="605">
        <f>+BD26</f>
        <v>-84</v>
      </c>
      <c r="BH26" s="56">
        <f>BJ26/2</f>
        <v>-42</v>
      </c>
      <c r="BI26" s="236">
        <f>BJ26-BH26</f>
        <v>-42</v>
      </c>
      <c r="BJ26" s="605">
        <f>+BG26</f>
        <v>-84</v>
      </c>
      <c r="BK26" s="56">
        <f>BM26/2</f>
        <v>-42</v>
      </c>
      <c r="BL26" s="236">
        <f>BM26-BK26</f>
        <v>-42</v>
      </c>
      <c r="BM26" s="605">
        <f t="shared" ref="BM26" si="85">+BJ26</f>
        <v>-84</v>
      </c>
    </row>
    <row r="27" spans="1:66">
      <c r="A27" s="66" t="s">
        <v>132</v>
      </c>
      <c r="B27" s="40">
        <v>0</v>
      </c>
      <c r="C27" s="40">
        <v>0</v>
      </c>
      <c r="D27" s="40">
        <v>0</v>
      </c>
      <c r="E27" s="40">
        <v>0</v>
      </c>
      <c r="F27" s="40">
        <v>6</v>
      </c>
      <c r="G27" s="40">
        <v>26</v>
      </c>
      <c r="H27" s="40">
        <v>36</v>
      </c>
      <c r="I27" s="40">
        <v>36</v>
      </c>
      <c r="J27" s="40">
        <v>40</v>
      </c>
      <c r="K27" s="40">
        <v>31</v>
      </c>
      <c r="L27" s="40">
        <v>50</v>
      </c>
      <c r="M27" s="40">
        <v>59</v>
      </c>
      <c r="N27" s="40">
        <v>55</v>
      </c>
      <c r="O27" s="40">
        <v>79</v>
      </c>
      <c r="P27" s="40">
        <v>21</v>
      </c>
      <c r="Q27" s="40">
        <v>5</v>
      </c>
      <c r="R27" s="40">
        <v>14</v>
      </c>
      <c r="S27" s="630">
        <f>T27-R27</f>
        <v>21</v>
      </c>
      <c r="T27" s="653">
        <v>35</v>
      </c>
      <c r="U27" s="40">
        <v>15</v>
      </c>
      <c r="V27" s="630">
        <f>W27-U27</f>
        <v>19</v>
      </c>
      <c r="W27" s="653">
        <v>34</v>
      </c>
      <c r="X27" s="40">
        <v>15</v>
      </c>
      <c r="Y27" s="630">
        <f>Z27-X27</f>
        <v>19</v>
      </c>
      <c r="Z27" s="653">
        <v>34</v>
      </c>
      <c r="AA27" s="40">
        <v>22</v>
      </c>
      <c r="AB27" s="630">
        <f>AC27-AA27</f>
        <v>13</v>
      </c>
      <c r="AC27" s="653">
        <v>35</v>
      </c>
      <c r="AD27" s="40">
        <f>20-1</f>
        <v>19</v>
      </c>
      <c r="AE27" s="630">
        <f>AF27-AD27</f>
        <v>11</v>
      </c>
      <c r="AF27" s="653">
        <v>30</v>
      </c>
      <c r="AG27" s="40">
        <v>1</v>
      </c>
      <c r="AH27" s="630">
        <f>AI27-AG27</f>
        <v>23</v>
      </c>
      <c r="AI27" s="653">
        <f>25-1</f>
        <v>24</v>
      </c>
      <c r="AJ27" s="40">
        <v>18</v>
      </c>
      <c r="AK27" s="630">
        <f>AL27-AJ27</f>
        <v>10</v>
      </c>
      <c r="AL27" s="653">
        <v>28</v>
      </c>
      <c r="AM27" s="40">
        <v>24</v>
      </c>
      <c r="AN27" s="630">
        <f>AO27-AM27</f>
        <v>23</v>
      </c>
      <c r="AO27" s="653">
        <v>47</v>
      </c>
      <c r="AP27" s="40">
        <v>23</v>
      </c>
      <c r="AQ27" s="630">
        <f>AR27-AP27</f>
        <v>43</v>
      </c>
      <c r="AR27" s="653">
        <v>66</v>
      </c>
      <c r="AS27" s="40">
        <v>59</v>
      </c>
      <c r="AT27" s="630">
        <f>AU27-AS27</f>
        <v>77</v>
      </c>
      <c r="AU27" s="653">
        <v>136</v>
      </c>
      <c r="AV27" s="40">
        <v>60</v>
      </c>
      <c r="AW27" s="630">
        <f>AX27-AV27</f>
        <v>44</v>
      </c>
      <c r="AX27" s="653">
        <v>104</v>
      </c>
      <c r="AY27" s="40">
        <v>43</v>
      </c>
      <c r="AZ27" s="236">
        <f>BA27-AY27</f>
        <v>79.431613333980025</v>
      </c>
      <c r="BA27" s="605">
        <f>AX27*(1+Divisional!BA24)</f>
        <v>122.43161333398002</v>
      </c>
      <c r="BB27" s="56">
        <f>AY27*(1+Divisional!BB24)</f>
        <v>49.23402490920521</v>
      </c>
      <c r="BC27" s="236">
        <f>BD27-BB27</f>
        <v>89.083171399427982</v>
      </c>
      <c r="BD27" s="605">
        <f>BA27*(1+Divisional!BD24)</f>
        <v>138.31719630863319</v>
      </c>
      <c r="BE27" s="56">
        <f>BB27*(1+Divisional!BE24)</f>
        <v>53.987134161502638</v>
      </c>
      <c r="BF27" s="236">
        <f>BG27-BE27</f>
        <v>99.149840292938677</v>
      </c>
      <c r="BG27" s="605">
        <f>BD27*(1+Divisional!BG24)</f>
        <v>153.13697445444132</v>
      </c>
      <c r="BH27" s="56">
        <f>BE27*(1+Divisional!BH24)</f>
        <v>60.503018610110338</v>
      </c>
      <c r="BI27" s="236">
        <f>BJ27-BH27</f>
        <v>111.09306479438769</v>
      </c>
      <c r="BJ27" s="605">
        <f>BG27*(1+Divisional!BJ24)</f>
        <v>171.59608340449802</v>
      </c>
      <c r="BK27" s="56">
        <f>BH27*(1+Divisional!BK24)</f>
        <v>67.830816731894586</v>
      </c>
      <c r="BL27" s="236">
        <f>BM27-BK27</f>
        <v>124.36354353259743</v>
      </c>
      <c r="BM27" s="605">
        <f>BJ27*(1+Divisional!BM24)</f>
        <v>192.19436026449202</v>
      </c>
    </row>
    <row r="28" spans="1:66">
      <c r="A28" s="66" t="s">
        <v>218</v>
      </c>
      <c r="B28" s="40">
        <v>0</v>
      </c>
      <c r="C28" s="40">
        <v>0</v>
      </c>
      <c r="D28" s="40">
        <v>0</v>
      </c>
      <c r="E28" s="40">
        <v>0</v>
      </c>
      <c r="F28" s="40">
        <v>0</v>
      </c>
      <c r="G28" s="40">
        <v>-459</v>
      </c>
      <c r="H28" s="40">
        <v>-289</v>
      </c>
      <c r="I28" s="40">
        <v>-149</v>
      </c>
      <c r="J28" s="40">
        <v>-80</v>
      </c>
      <c r="K28" s="40">
        <v>-27</v>
      </c>
      <c r="L28" s="40">
        <v>0</v>
      </c>
      <c r="M28" s="40">
        <v>0</v>
      </c>
      <c r="N28" s="40">
        <v>0</v>
      </c>
      <c r="O28" s="40">
        <v>0</v>
      </c>
      <c r="P28" s="40">
        <v>0</v>
      </c>
      <c r="Q28" s="40">
        <v>0</v>
      </c>
      <c r="R28" s="40">
        <v>0</v>
      </c>
      <c r="S28" s="630">
        <f>T28-R28</f>
        <v>0</v>
      </c>
      <c r="T28" s="653">
        <v>0</v>
      </c>
      <c r="U28" s="40">
        <v>0</v>
      </c>
      <c r="V28" s="630">
        <f>W28-U28</f>
        <v>0</v>
      </c>
      <c r="W28" s="653">
        <v>0</v>
      </c>
      <c r="X28" s="40">
        <v>0</v>
      </c>
      <c r="Y28" s="630">
        <f>Z28-X28</f>
        <v>0</v>
      </c>
      <c r="Z28" s="653">
        <v>0</v>
      </c>
      <c r="AA28" s="40">
        <v>0</v>
      </c>
      <c r="AB28" s="630">
        <f>AC28-AA28</f>
        <v>0</v>
      </c>
      <c r="AC28" s="653">
        <v>0</v>
      </c>
      <c r="AD28" s="40">
        <v>0</v>
      </c>
      <c r="AE28" s="630">
        <f>AF28-AD28</f>
        <v>0</v>
      </c>
      <c r="AF28" s="653">
        <v>0</v>
      </c>
      <c r="AG28" s="40">
        <v>0</v>
      </c>
      <c r="AH28" s="630">
        <f>AI28-AG28</f>
        <v>0</v>
      </c>
      <c r="AI28" s="653">
        <v>0</v>
      </c>
      <c r="AJ28" s="40">
        <v>0</v>
      </c>
      <c r="AK28" s="630">
        <f>AL28-AJ28</f>
        <v>0</v>
      </c>
      <c r="AL28" s="653">
        <v>0</v>
      </c>
      <c r="AM28" s="40">
        <v>0</v>
      </c>
      <c r="AN28" s="630">
        <f>AO28-AM28</f>
        <v>0</v>
      </c>
      <c r="AO28" s="653">
        <v>0</v>
      </c>
      <c r="AP28" s="40">
        <v>0</v>
      </c>
      <c r="AQ28" s="630">
        <f>AR28-AP28</f>
        <v>0</v>
      </c>
      <c r="AR28" s="653">
        <v>0</v>
      </c>
      <c r="AS28" s="40">
        <v>0</v>
      </c>
      <c r="AT28" s="630">
        <f>AU28-AS28</f>
        <v>0</v>
      </c>
      <c r="AU28" s="653">
        <v>0</v>
      </c>
      <c r="AV28" s="40">
        <v>0</v>
      </c>
      <c r="AW28" s="630">
        <f>AX28-AV28</f>
        <v>0</v>
      </c>
      <c r="AX28" s="653">
        <v>0</v>
      </c>
      <c r="AY28" s="40">
        <v>0</v>
      </c>
      <c r="AZ28" s="236">
        <f>BA28-AY28</f>
        <v>0</v>
      </c>
      <c r="BA28" s="580">
        <v>0</v>
      </c>
      <c r="BB28" s="56">
        <f>BD28/2</f>
        <v>0</v>
      </c>
      <c r="BC28" s="236">
        <f>BD28-BB28</f>
        <v>0</v>
      </c>
      <c r="BD28" s="580">
        <v>0</v>
      </c>
      <c r="BE28" s="56">
        <f>BG28/2</f>
        <v>0</v>
      </c>
      <c r="BF28" s="236">
        <f>BG28-BE28</f>
        <v>0</v>
      </c>
      <c r="BG28" s="580">
        <v>0</v>
      </c>
      <c r="BH28" s="56">
        <f>BJ28/2</f>
        <v>0</v>
      </c>
      <c r="BI28" s="236">
        <f>BJ28-BH28</f>
        <v>0</v>
      </c>
      <c r="BJ28" s="580">
        <v>0</v>
      </c>
      <c r="BK28" s="56">
        <f>BM28/2</f>
        <v>0</v>
      </c>
      <c r="BL28" s="236">
        <f>BM28-BK28</f>
        <v>0</v>
      </c>
      <c r="BM28" s="580">
        <v>0</v>
      </c>
    </row>
    <row r="29" spans="1:66">
      <c r="A29" s="72" t="s">
        <v>155</v>
      </c>
      <c r="B29" s="51">
        <f t="shared" ref="B29:BK29" si="86">SUM(B5,B7:B9,B12,B17:B19,B23:B24,B27:B28)</f>
        <v>492</v>
      </c>
      <c r="C29" s="51">
        <f t="shared" si="86"/>
        <v>433</v>
      </c>
      <c r="D29" s="51">
        <f t="shared" si="86"/>
        <v>623</v>
      </c>
      <c r="E29" s="51">
        <f t="shared" si="86"/>
        <v>684</v>
      </c>
      <c r="F29" s="51">
        <f t="shared" si="86"/>
        <v>694</v>
      </c>
      <c r="G29" s="51">
        <f t="shared" si="86"/>
        <v>1120</v>
      </c>
      <c r="H29" s="51">
        <f t="shared" si="86"/>
        <v>1097</v>
      </c>
      <c r="I29" s="51">
        <f t="shared" si="86"/>
        <v>711</v>
      </c>
      <c r="J29" s="51">
        <f t="shared" si="86"/>
        <v>1132</v>
      </c>
      <c r="K29" s="51">
        <f t="shared" si="86"/>
        <v>978</v>
      </c>
      <c r="L29" s="51">
        <f t="shared" si="86"/>
        <v>1508</v>
      </c>
      <c r="M29" s="51">
        <f t="shared" si="86"/>
        <v>1514</v>
      </c>
      <c r="N29" s="51">
        <f t="shared" si="86"/>
        <v>1474</v>
      </c>
      <c r="O29" s="51">
        <f t="shared" si="86"/>
        <v>2289</v>
      </c>
      <c r="P29" s="51">
        <f t="shared" si="86"/>
        <v>1577</v>
      </c>
      <c r="Q29" s="51">
        <f t="shared" si="86"/>
        <v>1254</v>
      </c>
      <c r="R29" s="51">
        <f t="shared" ref="R29:S29" si="87">SUM(R5,R7:R9,R12,R17:R19,R23:R24,R27:R28)</f>
        <v>266</v>
      </c>
      <c r="S29" s="629">
        <f t="shared" si="87"/>
        <v>1302</v>
      </c>
      <c r="T29" s="652">
        <f t="shared" si="86"/>
        <v>1568</v>
      </c>
      <c r="U29" s="51">
        <f t="shared" si="86"/>
        <v>257</v>
      </c>
      <c r="V29" s="629">
        <f t="shared" si="86"/>
        <v>1733</v>
      </c>
      <c r="W29" s="652">
        <f t="shared" si="86"/>
        <v>1990</v>
      </c>
      <c r="X29" s="51">
        <f t="shared" ref="X29:Y29" si="88">SUM(X5,X7:X9,X12,X17:X19,X23:X24,X27:X28)</f>
        <v>103</v>
      </c>
      <c r="Y29" s="629">
        <f t="shared" si="88"/>
        <v>1589</v>
      </c>
      <c r="Z29" s="652">
        <f t="shared" si="86"/>
        <v>1692</v>
      </c>
      <c r="AA29" s="51">
        <f t="shared" si="86"/>
        <v>661</v>
      </c>
      <c r="AB29" s="629">
        <f t="shared" si="86"/>
        <v>1813</v>
      </c>
      <c r="AC29" s="652">
        <f t="shared" si="86"/>
        <v>2474</v>
      </c>
      <c r="AD29" s="51">
        <f t="shared" ref="AD29:AE29" si="89">SUM(AD5,AD7:AD9,AD12,AD17:AD19,AD23:AD24,AD27:AD28)</f>
        <v>343</v>
      </c>
      <c r="AE29" s="629">
        <f t="shared" si="89"/>
        <v>2129</v>
      </c>
      <c r="AF29" s="652">
        <f t="shared" si="86"/>
        <v>2472</v>
      </c>
      <c r="AG29" s="51">
        <f t="shared" si="86"/>
        <v>-2297</v>
      </c>
      <c r="AH29" s="629">
        <f t="shared" si="86"/>
        <v>-481</v>
      </c>
      <c r="AI29" s="652">
        <f t="shared" si="86"/>
        <v>-2778</v>
      </c>
      <c r="AJ29" s="51">
        <f t="shared" ref="AJ29:AK29" si="90">SUM(AJ5,AJ7:AJ9,AJ12,AJ17:AJ19,AJ23:AJ24,AJ27:AJ28)</f>
        <v>-580</v>
      </c>
      <c r="AK29" s="629">
        <f t="shared" si="90"/>
        <v>497</v>
      </c>
      <c r="AL29" s="652">
        <f t="shared" si="86"/>
        <v>-83</v>
      </c>
      <c r="AM29" s="51">
        <f t="shared" si="86"/>
        <v>679</v>
      </c>
      <c r="AN29" s="629">
        <f t="shared" ref="AN29" si="91">SUM(AN5,AN7:AN9,AN12,AN17:AN19,AN23:AN24,AN27:AN28)</f>
        <v>1309</v>
      </c>
      <c r="AO29" s="652">
        <f t="shared" si="86"/>
        <v>1988</v>
      </c>
      <c r="AP29" s="51">
        <f t="shared" ref="AP29:AR29" si="92">SUM(AP5,AP7:AP9,AP12,AP17:AP19,AP23:AP24,AP27:AP28)</f>
        <v>1134</v>
      </c>
      <c r="AQ29" s="629">
        <f t="shared" si="92"/>
        <v>1753</v>
      </c>
      <c r="AR29" s="652">
        <f t="shared" si="92"/>
        <v>2887</v>
      </c>
      <c r="AS29" s="51">
        <f t="shared" ref="AS29:AU29" si="93">SUM(AS5,AS7:AS9,AS12,AS17:AS19,AS23:AS24,AS27:AS28)</f>
        <v>1733</v>
      </c>
      <c r="AT29" s="629">
        <f t="shared" si="93"/>
        <v>2307</v>
      </c>
      <c r="AU29" s="652">
        <f t="shared" si="93"/>
        <v>4040</v>
      </c>
      <c r="AV29" s="51">
        <f t="shared" ref="AV29:AX29" si="94">SUM(AV5,AV7:AV9,AV12,AV17:AV19,AV23:AV24,AV27:AV28)</f>
        <v>2274</v>
      </c>
      <c r="AW29" s="629">
        <f t="shared" si="94"/>
        <v>2759</v>
      </c>
      <c r="AX29" s="652">
        <f t="shared" si="94"/>
        <v>5033</v>
      </c>
      <c r="AY29" s="51">
        <f t="shared" ref="AY29" si="95">SUM(AY5,AY7:AY9,AY12,AY17:AY19,AY23:AY24,AY27:AY28)</f>
        <v>3012</v>
      </c>
      <c r="AZ29" s="237">
        <f t="shared" ref="AZ29" si="96">SUM(AZ5,AZ7:AZ9,AZ12,AZ17:AZ19,AZ23:AZ24,AZ27:AZ28)</f>
        <v>3432.2428157542126</v>
      </c>
      <c r="BA29" s="576">
        <f t="shared" si="86"/>
        <v>6321.2428157542126</v>
      </c>
      <c r="BB29" s="48">
        <f t="shared" si="86"/>
        <v>5447.9697578473606</v>
      </c>
      <c r="BC29" s="237">
        <f t="shared" ref="BC29" si="97">SUM(BC5,BC7:BC9,BC12,BC17:BC19,BC23:BC24,BC27:BC28)</f>
        <v>2101.3391268134028</v>
      </c>
      <c r="BD29" s="576">
        <f t="shared" si="86"/>
        <v>7549.3088846607616</v>
      </c>
      <c r="BE29" s="48">
        <f t="shared" si="86"/>
        <v>4748.6854715739973</v>
      </c>
      <c r="BF29" s="237">
        <f t="shared" ref="BF29" si="98">SUM(BF5,BF7:BF9,BF12,BF17:BF19,BF23:BF24,BF27:BF28)</f>
        <v>4083.930724553446</v>
      </c>
      <c r="BG29" s="576">
        <f t="shared" si="86"/>
        <v>8832.6161961274429</v>
      </c>
      <c r="BH29" s="48">
        <f t="shared" si="86"/>
        <v>5038.3945018215063</v>
      </c>
      <c r="BI29" s="237">
        <f t="shared" ref="BI29" si="99">SUM(BI5,BI7:BI9,BI12,BI17:BI19,BI23:BI24,BI27:BI28)</f>
        <v>4893.5434515729594</v>
      </c>
      <c r="BJ29" s="576">
        <f t="shared" si="86"/>
        <v>9931.9379533944648</v>
      </c>
      <c r="BK29" s="48">
        <f t="shared" si="86"/>
        <v>5636.1337151073267</v>
      </c>
      <c r="BL29" s="237">
        <f t="shared" ref="BL29" si="100">SUM(BL5,BL7:BL9,BL12,BL17:BL19,BL23:BL24,BL27:BL28)</f>
        <v>5685.7045320280095</v>
      </c>
      <c r="BM29" s="576">
        <f>SUM(BM5,BM7:BM9,BM12,BM17:BM19,BM23:BM24,BM27:BM28)</f>
        <v>11321.838247135334</v>
      </c>
    </row>
    <row r="30" spans="1:66">
      <c r="A30" s="65" t="s">
        <v>133</v>
      </c>
      <c r="B30" s="40">
        <v>-25</v>
      </c>
      <c r="C30" s="40">
        <v>-24</v>
      </c>
      <c r="D30" s="40">
        <v>-41</v>
      </c>
      <c r="E30" s="40">
        <v>-43</v>
      </c>
      <c r="F30" s="40">
        <v>-84</v>
      </c>
      <c r="G30" s="40">
        <v>-60</v>
      </c>
      <c r="H30" s="40">
        <v>-25</v>
      </c>
      <c r="I30" s="40">
        <v>-71</v>
      </c>
      <c r="J30" s="40">
        <v>-117</v>
      </c>
      <c r="K30" s="40">
        <v>-119</v>
      </c>
      <c r="L30" s="40">
        <v>-168</v>
      </c>
      <c r="M30" s="40">
        <v>-208</v>
      </c>
      <c r="N30" s="40">
        <v>-219</v>
      </c>
      <c r="O30" s="40">
        <v>-238</v>
      </c>
      <c r="P30" s="40">
        <v>-276</v>
      </c>
      <c r="Q30" s="40">
        <v>-160</v>
      </c>
      <c r="R30" s="40">
        <v>-62</v>
      </c>
      <c r="S30" s="630">
        <f>T30-R30</f>
        <v>-95</v>
      </c>
      <c r="T30" s="653">
        <v>-157</v>
      </c>
      <c r="U30" s="40">
        <v>-71</v>
      </c>
      <c r="V30" s="630">
        <f>W30-U30</f>
        <v>-109</v>
      </c>
      <c r="W30" s="653">
        <v>-180</v>
      </c>
      <c r="X30" s="40">
        <v>-71</v>
      </c>
      <c r="Y30" s="630">
        <f>Z30-X30</f>
        <v>-109</v>
      </c>
      <c r="Z30" s="653">
        <v>-180</v>
      </c>
      <c r="AA30" s="40">
        <v>-77</v>
      </c>
      <c r="AB30" s="630">
        <f>AC30-AA30</f>
        <v>-171</v>
      </c>
      <c r="AC30" s="653">
        <v>-248</v>
      </c>
      <c r="AD30" s="40">
        <v>-100</v>
      </c>
      <c r="AE30" s="630">
        <f>AF30-AD30</f>
        <v>-75</v>
      </c>
      <c r="AF30" s="653">
        <v>-175</v>
      </c>
      <c r="AG30" s="40">
        <v>-34</v>
      </c>
      <c r="AH30" s="630">
        <f>AI30-AG30</f>
        <v>-197</v>
      </c>
      <c r="AI30" s="653">
        <v>-231</v>
      </c>
      <c r="AJ30" s="40">
        <v>-102</v>
      </c>
      <c r="AK30" s="630">
        <f>AL30-AJ30</f>
        <v>-83</v>
      </c>
      <c r="AL30" s="653">
        <v>-185</v>
      </c>
      <c r="AM30" s="40">
        <v>-88</v>
      </c>
      <c r="AN30" s="630">
        <f>AO30-AM30</f>
        <v>-86</v>
      </c>
      <c r="AO30" s="653">
        <v>-174</v>
      </c>
      <c r="AP30" s="40">
        <v>-59</v>
      </c>
      <c r="AQ30" s="630">
        <f>AR30-AP30</f>
        <v>-113</v>
      </c>
      <c r="AR30" s="653">
        <v>-172</v>
      </c>
      <c r="AS30" s="40">
        <v>-113</v>
      </c>
      <c r="AT30" s="630">
        <f>AU30-AS30</f>
        <v>-268</v>
      </c>
      <c r="AU30" s="653">
        <v>-381</v>
      </c>
      <c r="AV30" s="40">
        <v>-290</v>
      </c>
      <c r="AW30" s="630">
        <f>AX30-AV30</f>
        <v>-300</v>
      </c>
      <c r="AX30" s="653">
        <v>-590</v>
      </c>
      <c r="AY30" s="40">
        <v>-525</v>
      </c>
      <c r="AZ30" s="236">
        <f>IS!AZ155</f>
        <v>-384.57980332786656</v>
      </c>
      <c r="BA30" s="605">
        <f>IS!BA155</f>
        <v>-909.57980332786656</v>
      </c>
      <c r="BB30" s="56">
        <f>IS!BB155</f>
        <v>-511.87872401862785</v>
      </c>
      <c r="BC30" s="236">
        <f>IS!BC155</f>
        <v>-535.65307551082435</v>
      </c>
      <c r="BD30" s="605">
        <f>IS!BD155</f>
        <v>-1047.5317995294522</v>
      </c>
      <c r="BE30" s="56">
        <f>IS!BE155</f>
        <v>-590.91428586528434</v>
      </c>
      <c r="BF30" s="236">
        <f>IS!BF155</f>
        <v>-631.73422800528635</v>
      </c>
      <c r="BG30" s="605">
        <f>IS!BG155</f>
        <v>-1222.6485138705707</v>
      </c>
      <c r="BH30" s="56">
        <f>IS!BH155</f>
        <v>-700.08841354342781</v>
      </c>
      <c r="BI30" s="236">
        <f>IS!BI155</f>
        <v>-749.95360373252629</v>
      </c>
      <c r="BJ30" s="605">
        <f>IS!BJ155</f>
        <v>-1450.0420172759541</v>
      </c>
      <c r="BK30" s="56">
        <f>IS!BK155</f>
        <v>-837.20185344920321</v>
      </c>
      <c r="BL30" s="236">
        <f>IS!BL155</f>
        <v>-896.06452508076075</v>
      </c>
      <c r="BM30" s="605">
        <f>IS!BM155</f>
        <v>-1733.266378529964</v>
      </c>
    </row>
    <row r="31" spans="1:66">
      <c r="A31" s="37" t="s">
        <v>134</v>
      </c>
      <c r="B31" s="84">
        <f t="shared" ref="B31:BM31" si="101">B29+B30</f>
        <v>467</v>
      </c>
      <c r="C31" s="84">
        <f t="shared" si="101"/>
        <v>409</v>
      </c>
      <c r="D31" s="84">
        <f t="shared" si="101"/>
        <v>582</v>
      </c>
      <c r="E31" s="84">
        <f t="shared" si="101"/>
        <v>641</v>
      </c>
      <c r="F31" s="84">
        <f t="shared" si="101"/>
        <v>610</v>
      </c>
      <c r="G31" s="84">
        <f t="shared" si="101"/>
        <v>1060</v>
      </c>
      <c r="H31" s="84">
        <f t="shared" si="101"/>
        <v>1072</v>
      </c>
      <c r="I31" s="84">
        <f t="shared" si="101"/>
        <v>640</v>
      </c>
      <c r="J31" s="84">
        <f t="shared" si="101"/>
        <v>1015</v>
      </c>
      <c r="K31" s="84">
        <f t="shared" si="101"/>
        <v>859</v>
      </c>
      <c r="L31" s="84">
        <f t="shared" si="101"/>
        <v>1340</v>
      </c>
      <c r="M31" s="84">
        <f t="shared" si="101"/>
        <v>1306</v>
      </c>
      <c r="N31" s="84">
        <f t="shared" si="101"/>
        <v>1255</v>
      </c>
      <c r="O31" s="84">
        <f t="shared" si="101"/>
        <v>2051</v>
      </c>
      <c r="P31" s="84">
        <f t="shared" si="101"/>
        <v>1301</v>
      </c>
      <c r="Q31" s="84">
        <f>Q29+Q30</f>
        <v>1094</v>
      </c>
      <c r="R31" s="84">
        <f t="shared" ref="R31:S31" si="102">R29+R30</f>
        <v>204</v>
      </c>
      <c r="S31" s="227">
        <f t="shared" si="102"/>
        <v>1207</v>
      </c>
      <c r="T31" s="655">
        <f>T29+T30</f>
        <v>1411</v>
      </c>
      <c r="U31" s="84">
        <f t="shared" ref="U31:V31" si="103">U29+U30</f>
        <v>186</v>
      </c>
      <c r="V31" s="227">
        <f t="shared" si="103"/>
        <v>1624</v>
      </c>
      <c r="W31" s="655">
        <f t="shared" si="101"/>
        <v>1810</v>
      </c>
      <c r="X31" s="84">
        <f t="shared" si="101"/>
        <v>32</v>
      </c>
      <c r="Y31" s="227">
        <f t="shared" si="101"/>
        <v>1480</v>
      </c>
      <c r="Z31" s="655">
        <f>Z29+Z30</f>
        <v>1512</v>
      </c>
      <c r="AA31" s="84">
        <f t="shared" ref="AA31:AB31" si="104">AA29+AA30</f>
        <v>584</v>
      </c>
      <c r="AB31" s="227">
        <f t="shared" si="104"/>
        <v>1642</v>
      </c>
      <c r="AC31" s="655">
        <f>AC29+AC30</f>
        <v>2226</v>
      </c>
      <c r="AD31" s="84">
        <f t="shared" ref="AD31:AE31" si="105">AD29+AD30</f>
        <v>243</v>
      </c>
      <c r="AE31" s="227">
        <f t="shared" si="105"/>
        <v>2054</v>
      </c>
      <c r="AF31" s="655">
        <f>AF29+AF30</f>
        <v>2297</v>
      </c>
      <c r="AG31" s="84">
        <f t="shared" ref="AG31:AH31" si="106">AG29+AG30</f>
        <v>-2331</v>
      </c>
      <c r="AH31" s="227">
        <f t="shared" si="106"/>
        <v>-678</v>
      </c>
      <c r="AI31" s="655">
        <f t="shared" si="101"/>
        <v>-3009</v>
      </c>
      <c r="AJ31" s="84">
        <f t="shared" ref="AJ31:AK31" si="107">AJ29+AJ30</f>
        <v>-682</v>
      </c>
      <c r="AK31" s="227">
        <f t="shared" si="107"/>
        <v>414</v>
      </c>
      <c r="AL31" s="655">
        <f t="shared" si="101"/>
        <v>-268</v>
      </c>
      <c r="AM31" s="84">
        <f t="shared" si="101"/>
        <v>591</v>
      </c>
      <c r="AN31" s="227">
        <f t="shared" ref="AN31" si="108">AN29+AN30</f>
        <v>1223</v>
      </c>
      <c r="AO31" s="655">
        <f t="shared" si="101"/>
        <v>1814</v>
      </c>
      <c r="AP31" s="84">
        <f t="shared" ref="AP31:AT31" si="109">AP29+AP30</f>
        <v>1075</v>
      </c>
      <c r="AQ31" s="227">
        <f t="shared" si="109"/>
        <v>1640</v>
      </c>
      <c r="AR31" s="655">
        <f t="shared" si="101"/>
        <v>2715</v>
      </c>
      <c r="AS31" s="84">
        <f t="shared" si="109"/>
        <v>1620</v>
      </c>
      <c r="AT31" s="227">
        <f t="shared" si="109"/>
        <v>2039</v>
      </c>
      <c r="AU31" s="655">
        <f t="shared" si="101"/>
        <v>3659</v>
      </c>
      <c r="AV31" s="84">
        <f t="shared" si="101"/>
        <v>1984</v>
      </c>
      <c r="AW31" s="227">
        <f t="shared" si="101"/>
        <v>2459</v>
      </c>
      <c r="AX31" s="655">
        <f t="shared" ref="AX31:AY31" si="110">AX29+AX30</f>
        <v>4443</v>
      </c>
      <c r="AY31" s="84">
        <f t="shared" si="110"/>
        <v>2487</v>
      </c>
      <c r="AZ31" s="244">
        <f t="shared" ref="AZ31" si="111">AZ29+AZ30</f>
        <v>3047.6630124263461</v>
      </c>
      <c r="BA31" s="581">
        <f t="shared" si="101"/>
        <v>5411.6630124263465</v>
      </c>
      <c r="BB31" s="181">
        <f t="shared" si="101"/>
        <v>4936.0910338287331</v>
      </c>
      <c r="BC31" s="244">
        <f t="shared" ref="BC31" si="112">BC29+BC30</f>
        <v>1565.6860513025786</v>
      </c>
      <c r="BD31" s="581">
        <f t="shared" si="101"/>
        <v>6501.7770851313089</v>
      </c>
      <c r="BE31" s="181">
        <f t="shared" si="101"/>
        <v>4157.7711857087133</v>
      </c>
      <c r="BF31" s="244">
        <f t="shared" ref="BF31" si="113">BF29+BF30</f>
        <v>3452.1964965481598</v>
      </c>
      <c r="BG31" s="581">
        <f t="shared" si="101"/>
        <v>7609.9676822568726</v>
      </c>
      <c r="BH31" s="181">
        <f t="shared" si="101"/>
        <v>4338.3060882780783</v>
      </c>
      <c r="BI31" s="244">
        <f t="shared" ref="BI31" si="114">BI29+BI30</f>
        <v>4143.5898478404333</v>
      </c>
      <c r="BJ31" s="581">
        <f t="shared" si="101"/>
        <v>8481.8959361185116</v>
      </c>
      <c r="BK31" s="181">
        <f t="shared" si="101"/>
        <v>4798.9318616581231</v>
      </c>
      <c r="BL31" s="244">
        <f t="shared" ref="BL31" si="115">BL29+BL30</f>
        <v>4789.6400069472484</v>
      </c>
      <c r="BM31" s="581">
        <f t="shared" si="101"/>
        <v>9588.5718686053697</v>
      </c>
    </row>
    <row r="32" spans="1:66">
      <c r="B32" s="40"/>
      <c r="C32" s="40"/>
      <c r="D32" s="40"/>
      <c r="E32" s="40"/>
      <c r="F32" s="40"/>
      <c r="G32" s="40"/>
      <c r="H32" s="40"/>
      <c r="I32" s="40"/>
      <c r="J32" s="40"/>
      <c r="K32" s="40"/>
      <c r="L32" s="40"/>
      <c r="M32" s="40"/>
      <c r="N32" s="40"/>
      <c r="O32" s="40"/>
      <c r="P32" s="40"/>
      <c r="Q32" s="40"/>
      <c r="R32" s="87"/>
      <c r="S32" s="644"/>
      <c r="T32" s="653"/>
      <c r="U32" s="87"/>
      <c r="V32" s="644"/>
      <c r="W32" s="653"/>
      <c r="X32" s="87"/>
      <c r="Y32" s="644"/>
      <c r="Z32" s="653"/>
      <c r="AA32" s="87"/>
      <c r="AB32" s="644"/>
      <c r="AC32" s="668"/>
      <c r="AD32" s="87"/>
      <c r="AE32" s="644"/>
      <c r="AF32" s="668"/>
      <c r="AG32" s="87"/>
      <c r="AH32" s="644"/>
      <c r="AI32" s="668"/>
      <c r="AJ32" s="87"/>
      <c r="AK32" s="644"/>
      <c r="AL32" s="668"/>
      <c r="AM32" s="87"/>
      <c r="AN32" s="644"/>
      <c r="AO32" s="668"/>
      <c r="AP32" s="87"/>
      <c r="AQ32" s="214"/>
      <c r="AR32" s="560"/>
      <c r="AS32" s="54"/>
      <c r="AT32" s="214"/>
      <c r="AU32" s="560"/>
      <c r="AV32" s="54"/>
      <c r="AW32" s="214"/>
      <c r="AX32" s="560"/>
      <c r="AY32" s="54"/>
      <c r="AZ32" s="214"/>
      <c r="BA32" s="560"/>
      <c r="BB32" s="54"/>
      <c r="BC32" s="214"/>
      <c r="BD32" s="560"/>
      <c r="BE32" s="54"/>
      <c r="BF32" s="214"/>
      <c r="BG32" s="560"/>
      <c r="BH32" s="54"/>
      <c r="BI32" s="214"/>
      <c r="BJ32" s="560"/>
      <c r="BK32" s="54"/>
      <c r="BL32" s="214"/>
      <c r="BM32" s="560"/>
    </row>
    <row r="33" spans="1:65">
      <c r="A33" s="25" t="s">
        <v>205</v>
      </c>
      <c r="B33" s="40">
        <v>-2</v>
      </c>
      <c r="C33" s="40">
        <f>-1+2</f>
        <v>1</v>
      </c>
      <c r="D33" s="40">
        <v>-44</v>
      </c>
      <c r="E33" s="40">
        <v>5</v>
      </c>
      <c r="F33" s="40">
        <v>0</v>
      </c>
      <c r="G33" s="40">
        <v>5</v>
      </c>
      <c r="H33" s="40">
        <v>0</v>
      </c>
      <c r="I33" s="40">
        <v>-5</v>
      </c>
      <c r="J33" s="40">
        <f>-1+6</f>
        <v>5</v>
      </c>
      <c r="K33" s="40">
        <v>-2</v>
      </c>
      <c r="L33" s="40">
        <f>-1+46</f>
        <v>45</v>
      </c>
      <c r="M33" s="40">
        <v>1</v>
      </c>
      <c r="N33" s="40">
        <v>4</v>
      </c>
      <c r="O33" s="40">
        <f>-1+1</f>
        <v>0</v>
      </c>
      <c r="P33" s="40">
        <v>-11</v>
      </c>
      <c r="Q33" s="40">
        <v>-6</v>
      </c>
      <c r="R33" s="40">
        <v>0</v>
      </c>
      <c r="S33" s="630">
        <f>T33-R33</f>
        <v>0</v>
      </c>
      <c r="T33" s="653">
        <v>0</v>
      </c>
      <c r="U33" s="40">
        <v>0</v>
      </c>
      <c r="V33" s="630">
        <f>W33-U33</f>
        <v>-4</v>
      </c>
      <c r="W33" s="653">
        <v>-4</v>
      </c>
      <c r="X33" s="40">
        <v>0</v>
      </c>
      <c r="Y33" s="630">
        <f>Z33-X33</f>
        <v>-4</v>
      </c>
      <c r="Z33" s="653">
        <v>-4</v>
      </c>
      <c r="AA33" s="40">
        <v>-4</v>
      </c>
      <c r="AB33" s="630">
        <f>AC33-AA33</f>
        <v>-2</v>
      </c>
      <c r="AC33" s="653">
        <v>-6</v>
      </c>
      <c r="AD33" s="40">
        <f>-2+4</f>
        <v>2</v>
      </c>
      <c r="AE33" s="630">
        <f>AF33-AD33</f>
        <v>1</v>
      </c>
      <c r="AF33" s="653">
        <v>3</v>
      </c>
      <c r="AG33" s="40">
        <v>-14</v>
      </c>
      <c r="AH33" s="630">
        <f>AI33-AG33</f>
        <v>9</v>
      </c>
      <c r="AI33" s="653">
        <v>-5</v>
      </c>
      <c r="AJ33" s="40">
        <v>-6</v>
      </c>
      <c r="AK33" s="630">
        <f>AL33-AJ33</f>
        <v>-20</v>
      </c>
      <c r="AL33" s="653">
        <v>-26</v>
      </c>
      <c r="AM33" s="40">
        <v>-5</v>
      </c>
      <c r="AN33" s="630">
        <f>AO33-AM33</f>
        <v>0</v>
      </c>
      <c r="AO33" s="653">
        <v>-5</v>
      </c>
      <c r="AP33" s="40">
        <v>1</v>
      </c>
      <c r="AQ33" s="630">
        <f>AR33-AP33</f>
        <v>0</v>
      </c>
      <c r="AR33" s="653">
        <v>1</v>
      </c>
      <c r="AS33" s="40">
        <v>0</v>
      </c>
      <c r="AT33" s="630">
        <f>AU33-AS33</f>
        <v>0</v>
      </c>
      <c r="AU33" s="653">
        <v>0</v>
      </c>
      <c r="AV33" s="40">
        <v>0</v>
      </c>
      <c r="AW33" s="630">
        <f>AX33-AV33</f>
        <v>0</v>
      </c>
      <c r="AX33" s="653">
        <v>0</v>
      </c>
      <c r="AY33" s="40">
        <v>0</v>
      </c>
      <c r="AZ33" s="236">
        <f>BA33-AY33</f>
        <v>0</v>
      </c>
      <c r="BA33" s="580">
        <v>0</v>
      </c>
      <c r="BB33" s="56">
        <f>BD33/2</f>
        <v>0</v>
      </c>
      <c r="BC33" s="236">
        <f>BD33-BB33</f>
        <v>0</v>
      </c>
      <c r="BD33" s="580">
        <v>0</v>
      </c>
      <c r="BE33" s="56">
        <f>BG33/2</f>
        <v>0</v>
      </c>
      <c r="BF33" s="236">
        <f>BG33-BE33</f>
        <v>0</v>
      </c>
      <c r="BG33" s="580">
        <v>0</v>
      </c>
      <c r="BH33" s="56">
        <f>BJ33/2</f>
        <v>0</v>
      </c>
      <c r="BI33" s="236">
        <f>BJ33-BH33</f>
        <v>0</v>
      </c>
      <c r="BJ33" s="580">
        <v>0</v>
      </c>
      <c r="BK33" s="56">
        <f>BM33/2</f>
        <v>0</v>
      </c>
      <c r="BL33" s="236">
        <f>BM33-BK33</f>
        <v>0</v>
      </c>
      <c r="BM33" s="580">
        <v>0</v>
      </c>
    </row>
    <row r="34" spans="1:65">
      <c r="A34" s="25" t="s">
        <v>208</v>
      </c>
      <c r="B34" s="40">
        <f t="shared" ref="B34:BM34" si="116">B35+B36</f>
        <v>-10</v>
      </c>
      <c r="C34" s="40">
        <f t="shared" si="116"/>
        <v>-25</v>
      </c>
      <c r="D34" s="40">
        <f t="shared" si="116"/>
        <v>-50</v>
      </c>
      <c r="E34" s="40">
        <f t="shared" si="116"/>
        <v>-37</v>
      </c>
      <c r="F34" s="40">
        <f t="shared" si="116"/>
        <v>-142</v>
      </c>
      <c r="G34" s="40">
        <f t="shared" si="116"/>
        <v>-132</v>
      </c>
      <c r="H34" s="40">
        <f t="shared" si="116"/>
        <v>-212</v>
      </c>
      <c r="I34" s="40">
        <f t="shared" si="116"/>
        <v>-294</v>
      </c>
      <c r="J34" s="40">
        <f t="shared" si="116"/>
        <v>-389</v>
      </c>
      <c r="K34" s="40">
        <f t="shared" si="116"/>
        <v>-337</v>
      </c>
      <c r="L34" s="40">
        <f t="shared" si="116"/>
        <v>-321</v>
      </c>
      <c r="M34" s="40">
        <f t="shared" si="116"/>
        <v>-357</v>
      </c>
      <c r="N34" s="40">
        <f t="shared" si="116"/>
        <v>-249</v>
      </c>
      <c r="O34" s="40">
        <f t="shared" si="116"/>
        <v>-503</v>
      </c>
      <c r="P34" s="40">
        <f t="shared" si="116"/>
        <v>-477</v>
      </c>
      <c r="Q34" s="40">
        <f t="shared" si="116"/>
        <v>-404</v>
      </c>
      <c r="R34" s="40">
        <f t="shared" ref="R34:S34" si="117">R35+R36</f>
        <v>-232</v>
      </c>
      <c r="S34" s="630">
        <f t="shared" si="117"/>
        <v>-391</v>
      </c>
      <c r="T34" s="653">
        <f t="shared" si="116"/>
        <v>-623</v>
      </c>
      <c r="U34" s="40">
        <f t="shared" si="116"/>
        <v>-375</v>
      </c>
      <c r="V34" s="630">
        <f t="shared" si="116"/>
        <v>-591</v>
      </c>
      <c r="W34" s="653">
        <f t="shared" si="116"/>
        <v>-966</v>
      </c>
      <c r="X34" s="40">
        <f t="shared" ref="X34:Y34" si="118">X35+X36</f>
        <v>-213</v>
      </c>
      <c r="Y34" s="630">
        <f t="shared" si="118"/>
        <v>-427</v>
      </c>
      <c r="Z34" s="653">
        <f t="shared" si="116"/>
        <v>-640</v>
      </c>
      <c r="AA34" s="40">
        <f t="shared" si="116"/>
        <v>-325</v>
      </c>
      <c r="AB34" s="630">
        <f t="shared" si="116"/>
        <v>-342</v>
      </c>
      <c r="AC34" s="653">
        <f t="shared" si="116"/>
        <v>-667</v>
      </c>
      <c r="AD34" s="40">
        <f t="shared" ref="AD34:AE34" si="119">AD35+AD36</f>
        <v>-281</v>
      </c>
      <c r="AE34" s="630">
        <f t="shared" si="119"/>
        <v>-346</v>
      </c>
      <c r="AF34" s="653">
        <f t="shared" si="116"/>
        <v>-627</v>
      </c>
      <c r="AG34" s="40">
        <f t="shared" si="116"/>
        <v>-194</v>
      </c>
      <c r="AH34" s="630">
        <f t="shared" si="116"/>
        <v>-153</v>
      </c>
      <c r="AI34" s="653">
        <f t="shared" si="116"/>
        <v>-347</v>
      </c>
      <c r="AJ34" s="40">
        <f t="shared" ref="AJ34:AK34" si="120">AJ35+AJ36</f>
        <v>-87</v>
      </c>
      <c r="AK34" s="630">
        <f t="shared" si="120"/>
        <v>-139</v>
      </c>
      <c r="AL34" s="653">
        <f t="shared" si="116"/>
        <v>-226</v>
      </c>
      <c r="AM34" s="40">
        <f t="shared" si="116"/>
        <v>-89</v>
      </c>
      <c r="AN34" s="630">
        <f t="shared" ref="AN34" si="121">AN35+AN36</f>
        <v>-140</v>
      </c>
      <c r="AO34" s="653">
        <f t="shared" si="116"/>
        <v>-229</v>
      </c>
      <c r="AP34" s="40">
        <f t="shared" ref="AP34:AR34" si="122">AP35+AP36</f>
        <v>-122</v>
      </c>
      <c r="AQ34" s="630">
        <f t="shared" si="122"/>
        <v>-158</v>
      </c>
      <c r="AR34" s="653">
        <f t="shared" si="122"/>
        <v>-280</v>
      </c>
      <c r="AS34" s="40">
        <f t="shared" ref="AS34:AU34" si="123">AS35+AS36</f>
        <v>-165</v>
      </c>
      <c r="AT34" s="630">
        <f t="shared" si="123"/>
        <v>-197</v>
      </c>
      <c r="AU34" s="653">
        <f t="shared" si="123"/>
        <v>-362</v>
      </c>
      <c r="AV34" s="40">
        <f t="shared" ref="AV34:AW34" si="124">AV35+AV36</f>
        <v>-153</v>
      </c>
      <c r="AW34" s="630">
        <f t="shared" si="124"/>
        <v>-206</v>
      </c>
      <c r="AX34" s="653">
        <f t="shared" ref="AX34:AY34" si="125">AX35+AX36</f>
        <v>-359</v>
      </c>
      <c r="AY34" s="40">
        <f t="shared" si="125"/>
        <v>-152</v>
      </c>
      <c r="AZ34" s="236">
        <f t="shared" ref="AZ34" si="126">AZ35+AZ36</f>
        <v>-239.01660807899378</v>
      </c>
      <c r="BA34" s="605">
        <f t="shared" si="116"/>
        <v>-391.01660807899378</v>
      </c>
      <c r="BB34" s="56">
        <f t="shared" si="116"/>
        <v>-214.38896974235101</v>
      </c>
      <c r="BC34" s="236">
        <f t="shared" ref="BC34" si="127">BC35+BC36</f>
        <v>-228.49205305356108</v>
      </c>
      <c r="BD34" s="605">
        <f t="shared" si="116"/>
        <v>-442.88102279591209</v>
      </c>
      <c r="BE34" s="56">
        <f t="shared" si="116"/>
        <v>-235.08632685569071</v>
      </c>
      <c r="BF34" s="236">
        <f t="shared" ref="BF34" si="128">BF35+BF36</f>
        <v>-255.24648558016466</v>
      </c>
      <c r="BG34" s="605">
        <f t="shared" si="116"/>
        <v>-490.33281243585537</v>
      </c>
      <c r="BH34" s="56">
        <f t="shared" si="116"/>
        <v>-263.45966737524731</v>
      </c>
      <c r="BI34" s="236">
        <f t="shared" ref="BI34" si="129">BI35+BI36</f>
        <v>-285.97779198723191</v>
      </c>
      <c r="BJ34" s="605">
        <f t="shared" si="116"/>
        <v>-549.43745936247922</v>
      </c>
      <c r="BK34" s="56">
        <f t="shared" si="116"/>
        <v>-295.36847622657348</v>
      </c>
      <c r="BL34" s="236">
        <f t="shared" ref="BL34" si="130">BL35+BL36</f>
        <v>-320.02308115877105</v>
      </c>
      <c r="BM34" s="605">
        <f t="shared" si="116"/>
        <v>-615.39155738534453</v>
      </c>
    </row>
    <row r="35" spans="1:65">
      <c r="A35" s="93" t="s">
        <v>146</v>
      </c>
      <c r="B35" s="40">
        <v>-10</v>
      </c>
      <c r="C35" s="40">
        <v>-25</v>
      </c>
      <c r="D35" s="40">
        <v>-50</v>
      </c>
      <c r="E35" s="40">
        <v>-37</v>
      </c>
      <c r="F35" s="40">
        <v>-142</v>
      </c>
      <c r="G35" s="40">
        <v>-132</v>
      </c>
      <c r="H35" s="40">
        <v>-219</v>
      </c>
      <c r="I35" s="40">
        <v>-294</v>
      </c>
      <c r="J35" s="40">
        <v>-389</v>
      </c>
      <c r="K35" s="40">
        <v>-339</v>
      </c>
      <c r="L35" s="40">
        <v>-321</v>
      </c>
      <c r="M35" s="40">
        <v>-363</v>
      </c>
      <c r="N35" s="40">
        <v>-250</v>
      </c>
      <c r="O35" s="40">
        <v>-503</v>
      </c>
      <c r="P35" s="40">
        <v>-477</v>
      </c>
      <c r="Q35" s="40">
        <v>-408</v>
      </c>
      <c r="R35" s="40">
        <v>-232</v>
      </c>
      <c r="S35" s="630">
        <f>T35-R35</f>
        <v>-399</v>
      </c>
      <c r="T35" s="653">
        <v>-631</v>
      </c>
      <c r="U35" s="40">
        <v>-375</v>
      </c>
      <c r="V35" s="630">
        <f>W35-U35</f>
        <v>-598</v>
      </c>
      <c r="W35" s="653">
        <v>-973</v>
      </c>
      <c r="X35" s="40">
        <v>-213</v>
      </c>
      <c r="Y35" s="630">
        <f>Z35-X35</f>
        <v>-434</v>
      </c>
      <c r="Z35" s="653">
        <v>-647</v>
      </c>
      <c r="AA35" s="40">
        <v>-327</v>
      </c>
      <c r="AB35" s="630">
        <f>AC35-AA35</f>
        <v>-353</v>
      </c>
      <c r="AC35" s="653">
        <v>-680</v>
      </c>
      <c r="AD35" s="40">
        <v>-283</v>
      </c>
      <c r="AE35" s="630">
        <f>AF35-AD35</f>
        <v>-357</v>
      </c>
      <c r="AF35" s="653">
        <v>-640</v>
      </c>
      <c r="AG35" s="40">
        <v>-204</v>
      </c>
      <c r="AH35" s="630">
        <f>AI35-AG35</f>
        <v>-161</v>
      </c>
      <c r="AI35" s="653">
        <v>-365</v>
      </c>
      <c r="AJ35" s="40">
        <v>-89</v>
      </c>
      <c r="AK35" s="630">
        <f>AL35-AJ35</f>
        <v>-142</v>
      </c>
      <c r="AL35" s="653">
        <v>-231</v>
      </c>
      <c r="AM35" s="40">
        <v>-94</v>
      </c>
      <c r="AN35" s="630">
        <f>AO35-AM35</f>
        <v>-143</v>
      </c>
      <c r="AO35" s="653">
        <v>-237</v>
      </c>
      <c r="AP35" s="40">
        <v>-123</v>
      </c>
      <c r="AQ35" s="630">
        <f>AR35-AP35</f>
        <v>-161</v>
      </c>
      <c r="AR35" s="653">
        <v>-284</v>
      </c>
      <c r="AS35" s="40">
        <v>-165</v>
      </c>
      <c r="AT35" s="630">
        <f>AU35-AS35</f>
        <v>-202</v>
      </c>
      <c r="AU35" s="653">
        <v>-367</v>
      </c>
      <c r="AV35" s="40">
        <v>-167</v>
      </c>
      <c r="AW35" s="630">
        <f>AX35-AV35</f>
        <v>-197</v>
      </c>
      <c r="AX35" s="653">
        <v>-364</v>
      </c>
      <c r="AY35" s="40">
        <v>-153</v>
      </c>
      <c r="AZ35" s="236">
        <f>-BS!AZ136</f>
        <v>-239.01660807899378</v>
      </c>
      <c r="BA35" s="605">
        <f>-BS!BA136</f>
        <v>-392.01660807899378</v>
      </c>
      <c r="BB35" s="56">
        <f>-BS!BB136</f>
        <v>-214.38896974235101</v>
      </c>
      <c r="BC35" s="236">
        <f>-BS!BC136</f>
        <v>-228.49205305356108</v>
      </c>
      <c r="BD35" s="605">
        <f>-BS!BD136</f>
        <v>-442.88102279591209</v>
      </c>
      <c r="BE35" s="56">
        <f>-BS!BE136</f>
        <v>-235.08632685569071</v>
      </c>
      <c r="BF35" s="236">
        <f>-BS!BF136</f>
        <v>-255.24648558016466</v>
      </c>
      <c r="BG35" s="605">
        <f>-BS!BG136</f>
        <v>-490.33281243585537</v>
      </c>
      <c r="BH35" s="56">
        <f>-BS!BH136</f>
        <v>-263.45966737524731</v>
      </c>
      <c r="BI35" s="236">
        <f>-BS!BI136</f>
        <v>-285.97779198723191</v>
      </c>
      <c r="BJ35" s="605">
        <f>-BS!BJ136</f>
        <v>-549.43745936247922</v>
      </c>
      <c r="BK35" s="56">
        <f>-BS!BK136</f>
        <v>-295.36847622657348</v>
      </c>
      <c r="BL35" s="236">
        <f>-BS!BL136</f>
        <v>-320.02308115877105</v>
      </c>
      <c r="BM35" s="605">
        <f>-BS!BM136</f>
        <v>-615.39155738534453</v>
      </c>
    </row>
    <row r="36" spans="1:65">
      <c r="A36" s="93" t="s">
        <v>147</v>
      </c>
      <c r="B36" s="40">
        <v>0</v>
      </c>
      <c r="C36" s="40">
        <v>0</v>
      </c>
      <c r="D36" s="40">
        <v>0</v>
      </c>
      <c r="E36" s="40">
        <v>0</v>
      </c>
      <c r="F36" s="40">
        <v>0</v>
      </c>
      <c r="G36" s="40">
        <v>0</v>
      </c>
      <c r="H36" s="40">
        <v>7</v>
      </c>
      <c r="I36" s="40">
        <v>0</v>
      </c>
      <c r="J36" s="40">
        <v>0</v>
      </c>
      <c r="K36" s="40">
        <v>2</v>
      </c>
      <c r="L36" s="40">
        <v>0</v>
      </c>
      <c r="M36" s="40">
        <v>6</v>
      </c>
      <c r="N36" s="40">
        <v>1</v>
      </c>
      <c r="O36" s="40">
        <v>0</v>
      </c>
      <c r="P36" s="40">
        <v>0</v>
      </c>
      <c r="Q36" s="40">
        <v>4</v>
      </c>
      <c r="R36" s="40">
        <v>0</v>
      </c>
      <c r="S36" s="630">
        <f>T36-R36</f>
        <v>8</v>
      </c>
      <c r="T36" s="653">
        <v>8</v>
      </c>
      <c r="U36" s="40">
        <v>0</v>
      </c>
      <c r="V36" s="630">
        <f>W36-U36</f>
        <v>7</v>
      </c>
      <c r="W36" s="653">
        <v>7</v>
      </c>
      <c r="X36" s="40">
        <v>0</v>
      </c>
      <c r="Y36" s="630">
        <f>Z36-X36</f>
        <v>7</v>
      </c>
      <c r="Z36" s="653">
        <v>7</v>
      </c>
      <c r="AA36" s="40">
        <v>2</v>
      </c>
      <c r="AB36" s="630">
        <f>AC36-AA36</f>
        <v>11</v>
      </c>
      <c r="AC36" s="653">
        <v>13</v>
      </c>
      <c r="AD36" s="40">
        <v>2</v>
      </c>
      <c r="AE36" s="630">
        <f>AF36-AD36</f>
        <v>11</v>
      </c>
      <c r="AF36" s="653">
        <v>13</v>
      </c>
      <c r="AG36" s="40">
        <v>10</v>
      </c>
      <c r="AH36" s="630">
        <f>AI36-AG36</f>
        <v>8</v>
      </c>
      <c r="AI36" s="653">
        <v>18</v>
      </c>
      <c r="AJ36" s="40">
        <v>2</v>
      </c>
      <c r="AK36" s="630">
        <f>AL36-AJ36</f>
        <v>3</v>
      </c>
      <c r="AL36" s="653">
        <v>5</v>
      </c>
      <c r="AM36" s="40">
        <v>5</v>
      </c>
      <c r="AN36" s="630">
        <f>AO36-AM36</f>
        <v>3</v>
      </c>
      <c r="AO36" s="653">
        <v>8</v>
      </c>
      <c r="AP36" s="40">
        <v>1</v>
      </c>
      <c r="AQ36" s="630">
        <f>AR36-AP36</f>
        <v>3</v>
      </c>
      <c r="AR36" s="653">
        <v>4</v>
      </c>
      <c r="AS36" s="40">
        <v>0</v>
      </c>
      <c r="AT36" s="630">
        <f>AU36-AS36</f>
        <v>5</v>
      </c>
      <c r="AU36" s="653">
        <v>5</v>
      </c>
      <c r="AV36" s="40">
        <f>1+13</f>
        <v>14</v>
      </c>
      <c r="AW36" s="630">
        <f>AX36-AV36</f>
        <v>-9</v>
      </c>
      <c r="AX36" s="653">
        <v>5</v>
      </c>
      <c r="AY36" s="40">
        <v>1</v>
      </c>
      <c r="AZ36" s="236">
        <f>BA36-AY36</f>
        <v>0</v>
      </c>
      <c r="BA36" s="580">
        <f>AY36</f>
        <v>1</v>
      </c>
      <c r="BB36" s="56">
        <f>BD36/2</f>
        <v>0</v>
      </c>
      <c r="BC36" s="236">
        <f>BD36-BB36</f>
        <v>0</v>
      </c>
      <c r="BD36" s="580">
        <v>0</v>
      </c>
      <c r="BE36" s="56">
        <f>BG36/2</f>
        <v>0</v>
      </c>
      <c r="BF36" s="236">
        <f>BG36-BE36</f>
        <v>0</v>
      </c>
      <c r="BG36" s="580">
        <v>0</v>
      </c>
      <c r="BH36" s="56">
        <f>BJ36/2</f>
        <v>0</v>
      </c>
      <c r="BI36" s="236">
        <f>BJ36-BH36</f>
        <v>0</v>
      </c>
      <c r="BJ36" s="580">
        <v>0</v>
      </c>
      <c r="BK36" s="56">
        <f>BM36/2</f>
        <v>0</v>
      </c>
      <c r="BL36" s="236">
        <f>BM36-BK36</f>
        <v>0</v>
      </c>
      <c r="BM36" s="580">
        <v>0</v>
      </c>
    </row>
    <row r="37" spans="1:65">
      <c r="A37" s="25" t="s">
        <v>209</v>
      </c>
      <c r="B37" s="40">
        <f t="shared" ref="B37:BM37" si="131">B38+B39+B40</f>
        <v>-241</v>
      </c>
      <c r="C37" s="40">
        <f t="shared" si="131"/>
        <v>-155</v>
      </c>
      <c r="D37" s="40">
        <f t="shared" si="131"/>
        <v>-287</v>
      </c>
      <c r="E37" s="40">
        <f t="shared" si="131"/>
        <v>-166</v>
      </c>
      <c r="F37" s="40">
        <f t="shared" si="131"/>
        <v>-109</v>
      </c>
      <c r="G37" s="40">
        <f t="shared" si="131"/>
        <v>-150</v>
      </c>
      <c r="H37" s="40">
        <f t="shared" si="131"/>
        <v>-243</v>
      </c>
      <c r="I37" s="40">
        <f t="shared" si="131"/>
        <v>-257</v>
      </c>
      <c r="J37" s="40">
        <f t="shared" si="131"/>
        <v>-218</v>
      </c>
      <c r="K37" s="40">
        <f t="shared" si="131"/>
        <v>-176</v>
      </c>
      <c r="L37" s="40">
        <f t="shared" si="131"/>
        <v>-278</v>
      </c>
      <c r="M37" s="40">
        <f t="shared" si="131"/>
        <v>-343</v>
      </c>
      <c r="N37" s="40">
        <f t="shared" si="131"/>
        <v>-395</v>
      </c>
      <c r="O37" s="40">
        <f t="shared" si="131"/>
        <v>-641</v>
      </c>
      <c r="P37" s="40">
        <f t="shared" si="131"/>
        <v>-572</v>
      </c>
      <c r="Q37" s="40">
        <f t="shared" si="131"/>
        <v>-446</v>
      </c>
      <c r="R37" s="40">
        <f t="shared" ref="R37:S37" si="132">R38+R39+R40</f>
        <v>-297</v>
      </c>
      <c r="S37" s="630">
        <f t="shared" si="132"/>
        <v>-265</v>
      </c>
      <c r="T37" s="653">
        <f t="shared" si="131"/>
        <v>-562</v>
      </c>
      <c r="U37" s="40">
        <f t="shared" si="131"/>
        <v>-369</v>
      </c>
      <c r="V37" s="630">
        <f t="shared" si="131"/>
        <v>-386</v>
      </c>
      <c r="W37" s="653">
        <f t="shared" si="131"/>
        <v>-755</v>
      </c>
      <c r="X37" s="40">
        <f t="shared" ref="X37:Y37" si="133">X38+X39+X40</f>
        <v>-377</v>
      </c>
      <c r="Y37" s="630">
        <f t="shared" si="133"/>
        <v>-349</v>
      </c>
      <c r="Z37" s="653">
        <f t="shared" si="131"/>
        <v>-726</v>
      </c>
      <c r="AA37" s="40">
        <f t="shared" si="131"/>
        <v>-282</v>
      </c>
      <c r="AB37" s="630">
        <f t="shared" si="131"/>
        <v>-580</v>
      </c>
      <c r="AC37" s="653">
        <f t="shared" si="131"/>
        <v>-862</v>
      </c>
      <c r="AD37" s="40">
        <f t="shared" ref="AD37:AE37" si="134">AD38+AD39+AD40</f>
        <v>-342</v>
      </c>
      <c r="AE37" s="630">
        <f t="shared" si="134"/>
        <v>-355</v>
      </c>
      <c r="AF37" s="653">
        <f t="shared" si="131"/>
        <v>-697</v>
      </c>
      <c r="AG37" s="40">
        <f t="shared" si="131"/>
        <v>-218</v>
      </c>
      <c r="AH37" s="630">
        <f t="shared" si="131"/>
        <v>-344</v>
      </c>
      <c r="AI37" s="653">
        <f>AI38+AI39+AI40</f>
        <v>-562</v>
      </c>
      <c r="AJ37" s="40">
        <f t="shared" ref="AJ37:AK37" si="135">AJ38+AJ39+AJ40</f>
        <v>-121</v>
      </c>
      <c r="AK37" s="630">
        <f t="shared" si="135"/>
        <v>-146</v>
      </c>
      <c r="AL37" s="653">
        <f t="shared" si="131"/>
        <v>-267</v>
      </c>
      <c r="AM37" s="40">
        <f t="shared" si="131"/>
        <v>-100</v>
      </c>
      <c r="AN37" s="630">
        <f t="shared" ref="AN37" si="136">AN38+AN39+AN40</f>
        <v>-211</v>
      </c>
      <c r="AO37" s="653">
        <f t="shared" si="131"/>
        <v>-311</v>
      </c>
      <c r="AP37" s="40">
        <f t="shared" ref="AP37:AR37" si="137">AP38+AP39+AP40</f>
        <v>-165</v>
      </c>
      <c r="AQ37" s="630">
        <f t="shared" si="137"/>
        <v>-254</v>
      </c>
      <c r="AR37" s="653">
        <f t="shared" si="137"/>
        <v>-419</v>
      </c>
      <c r="AS37" s="40">
        <f t="shared" ref="AS37:AU37" si="138">AS38+AS39+AS40</f>
        <v>-126</v>
      </c>
      <c r="AT37" s="630">
        <f t="shared" si="138"/>
        <v>-388</v>
      </c>
      <c r="AU37" s="653">
        <f t="shared" si="138"/>
        <v>-514</v>
      </c>
      <c r="AV37" s="40">
        <f t="shared" ref="AV37:AW37" si="139">AV38+AV39+AV40</f>
        <v>-196</v>
      </c>
      <c r="AW37" s="630">
        <f t="shared" si="139"/>
        <v>-423</v>
      </c>
      <c r="AX37" s="653">
        <f t="shared" ref="AX37:AY37" si="140">AX38+AX39+AX40</f>
        <v>-619</v>
      </c>
      <c r="AY37" s="40">
        <f t="shared" si="140"/>
        <v>-210</v>
      </c>
      <c r="AZ37" s="236">
        <f t="shared" ref="AZ37" si="141">AZ38+AZ39+AZ40</f>
        <v>-471.41992265374188</v>
      </c>
      <c r="BA37" s="605">
        <f t="shared" si="131"/>
        <v>-681.41992265374188</v>
      </c>
      <c r="BB37" s="56">
        <f t="shared" si="131"/>
        <v>-387.42597694250617</v>
      </c>
      <c r="BC37" s="236">
        <f t="shared" ref="BC37" si="142">BC38+BC39+BC40</f>
        <v>-412.91190019832266</v>
      </c>
      <c r="BD37" s="605">
        <f t="shared" si="131"/>
        <v>-800.33787714082882</v>
      </c>
      <c r="BE37" s="56">
        <f t="shared" si="131"/>
        <v>-424.8285252611081</v>
      </c>
      <c r="BF37" s="236">
        <f t="shared" ref="BF37" si="143">BF38+BF39+BF40</f>
        <v>-461.26029317590292</v>
      </c>
      <c r="BG37" s="605">
        <f t="shared" si="131"/>
        <v>-886.08881843701101</v>
      </c>
      <c r="BH37" s="56">
        <f t="shared" si="131"/>
        <v>-476.10247458379149</v>
      </c>
      <c r="BI37" s="236">
        <f t="shared" ref="BI37" si="144">BI38+BI39+BI40</f>
        <v>-516.79536301548512</v>
      </c>
      <c r="BJ37" s="605">
        <f t="shared" si="131"/>
        <v>-992.89783759927661</v>
      </c>
      <c r="BK37" s="56">
        <f t="shared" si="131"/>
        <v>-533.76542924584123</v>
      </c>
      <c r="BL37" s="236">
        <f t="shared" ref="BL37" si="145">BL38+BL39+BL40</f>
        <v>-578.31918783457536</v>
      </c>
      <c r="BM37" s="605">
        <f t="shared" si="131"/>
        <v>-1112.0846170804166</v>
      </c>
    </row>
    <row r="38" spans="1:65">
      <c r="A38" s="93" t="s">
        <v>148</v>
      </c>
      <c r="B38" s="40">
        <v>-292</v>
      </c>
      <c r="C38" s="40">
        <v>-211</v>
      </c>
      <c r="D38" s="40">
        <v>-314</v>
      </c>
      <c r="E38" s="40">
        <v>-182</v>
      </c>
      <c r="F38" s="40">
        <v>-175</v>
      </c>
      <c r="G38" s="40">
        <v>-219</v>
      </c>
      <c r="H38" s="40">
        <v>-298</v>
      </c>
      <c r="I38" s="40">
        <v>-304</v>
      </c>
      <c r="J38" s="40">
        <v>-286</v>
      </c>
      <c r="K38" s="40">
        <v>-258</v>
      </c>
      <c r="L38" s="40">
        <v>-354</v>
      </c>
      <c r="M38" s="40">
        <v>-412</v>
      </c>
      <c r="N38" s="40">
        <v>-435</v>
      </c>
      <c r="O38" s="40">
        <v>-669</v>
      </c>
      <c r="P38" s="40">
        <v>-648</v>
      </c>
      <c r="Q38" s="40">
        <v>-487</v>
      </c>
      <c r="R38" s="40">
        <v>-307</v>
      </c>
      <c r="S38" s="630">
        <f>T38-R38</f>
        <v>-278</v>
      </c>
      <c r="T38" s="653">
        <v>-585</v>
      </c>
      <c r="U38" s="40">
        <v>-381</v>
      </c>
      <c r="V38" s="630">
        <f>W38-U38</f>
        <v>-392</v>
      </c>
      <c r="W38" s="653">
        <v>-773</v>
      </c>
      <c r="X38" s="40">
        <v>-389</v>
      </c>
      <c r="Y38" s="630">
        <f>Z38-X38</f>
        <v>-341</v>
      </c>
      <c r="Z38" s="653">
        <v>-730</v>
      </c>
      <c r="AA38" s="40">
        <v>-343</v>
      </c>
      <c r="AB38" s="630">
        <f>AC38-AA38</f>
        <v>-562</v>
      </c>
      <c r="AC38" s="653">
        <v>-905</v>
      </c>
      <c r="AD38" s="40">
        <v>-349</v>
      </c>
      <c r="AE38" s="630">
        <f>AF38-AD38</f>
        <v>-398</v>
      </c>
      <c r="AF38" s="653">
        <v>-747</v>
      </c>
      <c r="AG38" s="40">
        <v>-226</v>
      </c>
      <c r="AH38" s="630">
        <f>AI38-AG38</f>
        <v>-359</v>
      </c>
      <c r="AI38" s="653">
        <v>-585</v>
      </c>
      <c r="AJ38" s="40">
        <v>-126</v>
      </c>
      <c r="AK38" s="630">
        <f>AL38-AJ38</f>
        <v>-202</v>
      </c>
      <c r="AL38" s="653">
        <v>-328</v>
      </c>
      <c r="AM38" s="40">
        <v>-125</v>
      </c>
      <c r="AN38" s="630">
        <f>AO38-AM38</f>
        <v>-234</v>
      </c>
      <c r="AO38" s="653">
        <v>-359</v>
      </c>
      <c r="AP38" s="40">
        <v>-177</v>
      </c>
      <c r="AQ38" s="630">
        <f>AR38-AP38</f>
        <v>-252</v>
      </c>
      <c r="AR38" s="653">
        <v>-429</v>
      </c>
      <c r="AS38" s="40">
        <v>-133</v>
      </c>
      <c r="AT38" s="630">
        <f>AU38-AS38</f>
        <v>-386</v>
      </c>
      <c r="AU38" s="653">
        <v>-519</v>
      </c>
      <c r="AV38" s="40">
        <v>-202</v>
      </c>
      <c r="AW38" s="630">
        <f>AX38-AV38</f>
        <v>-419</v>
      </c>
      <c r="AX38" s="653">
        <v>-621</v>
      </c>
      <c r="AY38" s="40">
        <v>-237</v>
      </c>
      <c r="AZ38" s="236">
        <f>-BS!AZ159</f>
        <v>-471.41992265374188</v>
      </c>
      <c r="BA38" s="605">
        <f>-BS!BA159</f>
        <v>-708.41992265374188</v>
      </c>
      <c r="BB38" s="56">
        <f>-BS!BB159</f>
        <v>-387.42597694250617</v>
      </c>
      <c r="BC38" s="236">
        <f>-BS!BC159</f>
        <v>-412.91190019832266</v>
      </c>
      <c r="BD38" s="605">
        <f>-BS!BD159</f>
        <v>-800.33787714082882</v>
      </c>
      <c r="BE38" s="56">
        <f>-BS!BE159</f>
        <v>-424.8285252611081</v>
      </c>
      <c r="BF38" s="236">
        <f>-BS!BF159</f>
        <v>-461.26029317590292</v>
      </c>
      <c r="BG38" s="605">
        <f>-BS!BG159</f>
        <v>-886.08881843701101</v>
      </c>
      <c r="BH38" s="56">
        <f>-BS!BH159</f>
        <v>-476.10247458379149</v>
      </c>
      <c r="BI38" s="236">
        <f>-BS!BI159</f>
        <v>-516.79536301548512</v>
      </c>
      <c r="BJ38" s="605">
        <f>-BS!BJ159</f>
        <v>-992.89783759927661</v>
      </c>
      <c r="BK38" s="56">
        <f>-BS!BK159</f>
        <v>-533.76542924584123</v>
      </c>
      <c r="BL38" s="236">
        <f>-BS!BL159</f>
        <v>-578.31918783457536</v>
      </c>
      <c r="BM38" s="605">
        <f>-BS!BM159</f>
        <v>-1112.0846170804166</v>
      </c>
    </row>
    <row r="39" spans="1:65">
      <c r="A39" s="93" t="s">
        <v>149</v>
      </c>
      <c r="B39" s="40">
        <v>0</v>
      </c>
      <c r="C39" s="40">
        <v>0</v>
      </c>
      <c r="D39" s="40">
        <v>0</v>
      </c>
      <c r="E39" s="40">
        <v>0</v>
      </c>
      <c r="F39" s="40">
        <v>0</v>
      </c>
      <c r="G39" s="40">
        <v>0</v>
      </c>
      <c r="H39" s="40">
        <v>0</v>
      </c>
      <c r="I39" s="40">
        <v>0</v>
      </c>
      <c r="J39" s="40">
        <v>0</v>
      </c>
      <c r="K39" s="40">
        <v>0</v>
      </c>
      <c r="L39" s="40">
        <v>38</v>
      </c>
      <c r="M39" s="40">
        <v>38</v>
      </c>
      <c r="N39" s="40">
        <v>10</v>
      </c>
      <c r="O39" s="40">
        <v>21</v>
      </c>
      <c r="P39" s="40">
        <v>11</v>
      </c>
      <c r="Q39" s="40">
        <v>8</v>
      </c>
      <c r="R39" s="40">
        <v>0</v>
      </c>
      <c r="S39" s="630">
        <f>T39-R39</f>
        <v>15</v>
      </c>
      <c r="T39" s="653">
        <v>15</v>
      </c>
      <c r="U39" s="40">
        <v>3</v>
      </c>
      <c r="V39" s="630">
        <f>W39-U39</f>
        <v>11</v>
      </c>
      <c r="W39" s="653">
        <v>14</v>
      </c>
      <c r="X39" s="40">
        <v>3</v>
      </c>
      <c r="Y39" s="630">
        <f>Z39-X39</f>
        <v>-3</v>
      </c>
      <c r="Z39" s="653">
        <v>0</v>
      </c>
      <c r="AA39" s="40">
        <v>1</v>
      </c>
      <c r="AB39" s="630">
        <f>AC39-AA39</f>
        <v>-1</v>
      </c>
      <c r="AC39" s="653">
        <f>Z39/Z38*AC38</f>
        <v>0</v>
      </c>
      <c r="AD39" s="40">
        <v>0</v>
      </c>
      <c r="AE39" s="630">
        <f>AF39-AD39</f>
        <v>0</v>
      </c>
      <c r="AF39" s="653">
        <v>0</v>
      </c>
      <c r="AG39" s="40">
        <v>0</v>
      </c>
      <c r="AH39" s="630">
        <f>AI39-AG39</f>
        <v>0</v>
      </c>
      <c r="AI39" s="653">
        <v>0</v>
      </c>
      <c r="AJ39" s="40">
        <v>0</v>
      </c>
      <c r="AK39" s="630">
        <f>AL39-AJ39</f>
        <v>0</v>
      </c>
      <c r="AL39" s="653">
        <f t="shared" ref="AL39" si="146">AI39/AI38*AL38</f>
        <v>0</v>
      </c>
      <c r="AM39" s="40">
        <v>0</v>
      </c>
      <c r="AN39" s="630">
        <f>AO39-AM39</f>
        <v>0</v>
      </c>
      <c r="AO39" s="653">
        <f>AL39/AL38*AO38</f>
        <v>0</v>
      </c>
      <c r="AP39" s="40">
        <v>0</v>
      </c>
      <c r="AQ39" s="630">
        <f>AR39-AP39</f>
        <v>0</v>
      </c>
      <c r="AR39" s="653">
        <f>AO39/AO38*AR38</f>
        <v>0</v>
      </c>
      <c r="AS39" s="40">
        <v>0</v>
      </c>
      <c r="AT39" s="630">
        <f>AU39-AS39</f>
        <v>0</v>
      </c>
      <c r="AU39" s="653">
        <f>AR39/AR38*AU38</f>
        <v>0</v>
      </c>
      <c r="AV39" s="40">
        <v>0</v>
      </c>
      <c r="AW39" s="630">
        <f>AX39-AV39</f>
        <v>0</v>
      </c>
      <c r="AX39" s="653">
        <f>AU39/AU38*AX38</f>
        <v>0</v>
      </c>
      <c r="AY39" s="40">
        <v>0</v>
      </c>
      <c r="AZ39" s="236">
        <f>BA39-AY39</f>
        <v>0</v>
      </c>
      <c r="BA39" s="605">
        <f>AX39/AX38*BA38</f>
        <v>0</v>
      </c>
      <c r="BB39" s="56">
        <f>BD39/2</f>
        <v>0</v>
      </c>
      <c r="BC39" s="236">
        <f>BD39-BB39</f>
        <v>0</v>
      </c>
      <c r="BD39" s="605">
        <f>BA39/BA38*BD38</f>
        <v>0</v>
      </c>
      <c r="BE39" s="56">
        <f>BG39/2</f>
        <v>0</v>
      </c>
      <c r="BF39" s="236">
        <f>BG39-BE39</f>
        <v>0</v>
      </c>
      <c r="BG39" s="605">
        <f>BD39/BD38*BG38</f>
        <v>0</v>
      </c>
      <c r="BH39" s="56">
        <f>BJ39/2</f>
        <v>0</v>
      </c>
      <c r="BI39" s="236">
        <f>BJ39-BH39</f>
        <v>0</v>
      </c>
      <c r="BJ39" s="605">
        <f>BG39/BG38*BJ38</f>
        <v>0</v>
      </c>
      <c r="BK39" s="56">
        <f>BM39/2</f>
        <v>0</v>
      </c>
      <c r="BL39" s="236">
        <f>BM39-BK39</f>
        <v>0</v>
      </c>
      <c r="BM39" s="605">
        <f>BJ39/BJ38*BM38</f>
        <v>0</v>
      </c>
    </row>
    <row r="40" spans="1:65">
      <c r="A40" s="93" t="s">
        <v>150</v>
      </c>
      <c r="B40" s="40">
        <v>51</v>
      </c>
      <c r="C40" s="40">
        <v>56</v>
      </c>
      <c r="D40" s="40">
        <v>27</v>
      </c>
      <c r="E40" s="40">
        <v>16</v>
      </c>
      <c r="F40" s="40">
        <v>66</v>
      </c>
      <c r="G40" s="40">
        <v>69</v>
      </c>
      <c r="H40" s="40">
        <v>55</v>
      </c>
      <c r="I40" s="40">
        <v>47</v>
      </c>
      <c r="J40" s="40">
        <v>68</v>
      </c>
      <c r="K40" s="40">
        <v>82</v>
      </c>
      <c r="L40" s="40">
        <v>38</v>
      </c>
      <c r="M40" s="40">
        <v>31</v>
      </c>
      <c r="N40" s="40">
        <v>30</v>
      </c>
      <c r="O40" s="40">
        <v>7</v>
      </c>
      <c r="P40" s="40">
        <v>65</v>
      </c>
      <c r="Q40" s="40">
        <v>33</v>
      </c>
      <c r="R40" s="40">
        <v>10</v>
      </c>
      <c r="S40" s="630">
        <f>T40-R40</f>
        <v>-2</v>
      </c>
      <c r="T40" s="653">
        <v>8</v>
      </c>
      <c r="U40" s="40">
        <v>9</v>
      </c>
      <c r="V40" s="630">
        <f>W40-U40</f>
        <v>-5</v>
      </c>
      <c r="W40" s="653">
        <v>4</v>
      </c>
      <c r="X40" s="40">
        <v>9</v>
      </c>
      <c r="Y40" s="630">
        <f>Z40-X40</f>
        <v>-5</v>
      </c>
      <c r="Z40" s="653">
        <v>4</v>
      </c>
      <c r="AA40" s="40">
        <v>60</v>
      </c>
      <c r="AB40" s="630">
        <f>AC40-AA40</f>
        <v>-17</v>
      </c>
      <c r="AC40" s="653">
        <v>43</v>
      </c>
      <c r="AD40" s="40">
        <v>7</v>
      </c>
      <c r="AE40" s="630">
        <f>AF40-AD40</f>
        <v>43</v>
      </c>
      <c r="AF40" s="653">
        <v>50</v>
      </c>
      <c r="AG40" s="40">
        <f>1+7</f>
        <v>8</v>
      </c>
      <c r="AH40" s="630">
        <f>AI40-AG40</f>
        <v>15</v>
      </c>
      <c r="AI40" s="653">
        <v>23</v>
      </c>
      <c r="AJ40" s="40">
        <v>5</v>
      </c>
      <c r="AK40" s="630">
        <f>AL40-AJ40</f>
        <v>56</v>
      </c>
      <c r="AL40" s="653">
        <v>61</v>
      </c>
      <c r="AM40" s="40">
        <v>25</v>
      </c>
      <c r="AN40" s="630">
        <f>AO40-AM40</f>
        <v>23</v>
      </c>
      <c r="AO40" s="653">
        <v>48</v>
      </c>
      <c r="AP40" s="40">
        <v>12</v>
      </c>
      <c r="AQ40" s="630">
        <f>AR40-AP40</f>
        <v>-2</v>
      </c>
      <c r="AR40" s="653">
        <v>10</v>
      </c>
      <c r="AS40" s="40">
        <v>7</v>
      </c>
      <c r="AT40" s="630">
        <f>AU40-AS40</f>
        <v>-2</v>
      </c>
      <c r="AU40" s="653">
        <v>5</v>
      </c>
      <c r="AV40" s="40">
        <v>6</v>
      </c>
      <c r="AW40" s="630">
        <f>AX40-AV40</f>
        <v>-4</v>
      </c>
      <c r="AX40" s="653">
        <v>2</v>
      </c>
      <c r="AY40" s="40">
        <v>27</v>
      </c>
      <c r="AZ40" s="236">
        <f>BA40-AY40</f>
        <v>0</v>
      </c>
      <c r="BA40" s="580">
        <f>AY40</f>
        <v>27</v>
      </c>
      <c r="BB40" s="56">
        <f>BD40/2</f>
        <v>0</v>
      </c>
      <c r="BC40" s="236">
        <f>BD40-BB40</f>
        <v>0</v>
      </c>
      <c r="BD40" s="580">
        <v>0</v>
      </c>
      <c r="BE40" s="56">
        <f>BG40/2</f>
        <v>0</v>
      </c>
      <c r="BF40" s="236">
        <f>BG40-BE40</f>
        <v>0</v>
      </c>
      <c r="BG40" s="580">
        <v>0</v>
      </c>
      <c r="BH40" s="56">
        <f>BJ40/2</f>
        <v>0</v>
      </c>
      <c r="BI40" s="236">
        <f>BJ40-BH40</f>
        <v>0</v>
      </c>
      <c r="BJ40" s="580">
        <v>0</v>
      </c>
      <c r="BK40" s="56">
        <f>BM40/2</f>
        <v>0</v>
      </c>
      <c r="BL40" s="236">
        <f>BM40-BK40</f>
        <v>0</v>
      </c>
      <c r="BM40" s="580">
        <v>0</v>
      </c>
    </row>
    <row r="41" spans="1:65">
      <c r="A41" s="25" t="s">
        <v>210</v>
      </c>
      <c r="B41" s="40">
        <f t="shared" ref="B41:BM41" si="147">B42+B44+B45+B43+B47+B46+B48</f>
        <v>-50</v>
      </c>
      <c r="C41" s="40">
        <f t="shared" si="147"/>
        <v>101</v>
      </c>
      <c r="D41" s="40">
        <f t="shared" si="147"/>
        <v>-14</v>
      </c>
      <c r="E41" s="40">
        <f t="shared" si="147"/>
        <v>-8</v>
      </c>
      <c r="F41" s="40">
        <f t="shared" si="147"/>
        <v>16</v>
      </c>
      <c r="G41" s="40">
        <f t="shared" si="147"/>
        <v>1</v>
      </c>
      <c r="H41" s="40">
        <f t="shared" si="147"/>
        <v>-4</v>
      </c>
      <c r="I41" s="40">
        <f t="shared" si="147"/>
        <v>-3</v>
      </c>
      <c r="J41" s="40">
        <f t="shared" si="147"/>
        <v>-41</v>
      </c>
      <c r="K41" s="40">
        <f t="shared" si="147"/>
        <v>-4</v>
      </c>
      <c r="L41" s="40">
        <f t="shared" si="147"/>
        <v>-148</v>
      </c>
      <c r="M41" s="40">
        <f t="shared" si="147"/>
        <v>-12</v>
      </c>
      <c r="N41" s="40">
        <f t="shared" si="147"/>
        <v>921</v>
      </c>
      <c r="O41" s="40">
        <f t="shared" si="147"/>
        <v>447</v>
      </c>
      <c r="P41" s="40">
        <f t="shared" si="147"/>
        <v>-889</v>
      </c>
      <c r="Q41" s="40">
        <f t="shared" si="147"/>
        <v>-124</v>
      </c>
      <c r="R41" s="40">
        <f t="shared" si="147"/>
        <v>1</v>
      </c>
      <c r="S41" s="630">
        <f t="shared" si="147"/>
        <v>0</v>
      </c>
      <c r="T41" s="653">
        <f>T42+T44+T45+T43+T47+T46+T48</f>
        <v>1</v>
      </c>
      <c r="U41" s="40">
        <f t="shared" ref="U41:V41" si="148">U42+U44+U45+U43+U47+U46+U48</f>
        <v>0</v>
      </c>
      <c r="V41" s="630">
        <f t="shared" si="148"/>
        <v>264</v>
      </c>
      <c r="W41" s="653">
        <f>W42+W44+W45+W43+W47+W46+W48</f>
        <v>264</v>
      </c>
      <c r="X41" s="40">
        <f t="shared" ref="X41:Y41" si="149">X42+X44+X45+X43+X47+X46+X48</f>
        <v>0</v>
      </c>
      <c r="Y41" s="630">
        <f t="shared" si="149"/>
        <v>263</v>
      </c>
      <c r="Z41" s="653">
        <f>Z42+Z44+Z45+Z43+Z47+Z46+Z48</f>
        <v>263</v>
      </c>
      <c r="AA41" s="40">
        <f t="shared" ref="AA41:AB41" si="150">AA42+AA44+AA45+AA43+AA47+AA46+AA48</f>
        <v>584</v>
      </c>
      <c r="AB41" s="630">
        <f t="shared" si="150"/>
        <v>-11</v>
      </c>
      <c r="AC41" s="653">
        <f>AC42+AC44+AC45+AC43+AC47+AC46+AC48</f>
        <v>573</v>
      </c>
      <c r="AD41" s="40">
        <f t="shared" ref="AD41:AE41" si="151">AD42+AD44+AD45+AD43+AD47+AD46+AD48</f>
        <v>458</v>
      </c>
      <c r="AE41" s="630">
        <f t="shared" si="151"/>
        <v>-48</v>
      </c>
      <c r="AF41" s="653">
        <f t="shared" si="147"/>
        <v>410</v>
      </c>
      <c r="AG41" s="40">
        <f t="shared" si="147"/>
        <v>2</v>
      </c>
      <c r="AH41" s="630">
        <f t="shared" si="147"/>
        <v>-85</v>
      </c>
      <c r="AI41" s="653">
        <f t="shared" si="147"/>
        <v>-83</v>
      </c>
      <c r="AJ41" s="40">
        <f t="shared" ref="AJ41:AK41" si="152">AJ42+AJ44+AJ45+AJ43+AJ47+AJ46+AJ48</f>
        <v>-8</v>
      </c>
      <c r="AK41" s="630">
        <f t="shared" si="152"/>
        <v>107</v>
      </c>
      <c r="AL41" s="653">
        <f t="shared" si="147"/>
        <v>99</v>
      </c>
      <c r="AM41" s="40">
        <f t="shared" si="147"/>
        <v>179</v>
      </c>
      <c r="AN41" s="630">
        <f t="shared" ref="AN41" si="153">AN42+AN44+AN45+AN43+AN47+AN46+AN48</f>
        <v>1219</v>
      </c>
      <c r="AO41" s="653">
        <f t="shared" si="147"/>
        <v>1398</v>
      </c>
      <c r="AP41" s="40">
        <f t="shared" ref="AP41:AR41" si="154">AP42+AP44+AP45+AP43+AP47+AP46+AP48</f>
        <v>-9</v>
      </c>
      <c r="AQ41" s="630">
        <f t="shared" si="154"/>
        <v>-9</v>
      </c>
      <c r="AR41" s="653">
        <f t="shared" si="154"/>
        <v>-18</v>
      </c>
      <c r="AS41" s="40">
        <f t="shared" ref="AS41:AU41" si="155">AS42+AS44+AS45+AS43+AS47+AS46+AS48</f>
        <v>0</v>
      </c>
      <c r="AT41" s="630">
        <f t="shared" si="155"/>
        <v>62</v>
      </c>
      <c r="AU41" s="653">
        <f t="shared" si="155"/>
        <v>62</v>
      </c>
      <c r="AV41" s="40">
        <f t="shared" ref="AV41:AW41" si="156">AV42+AV44+AV45+AV43+AV47+AV46+AV48</f>
        <v>-85</v>
      </c>
      <c r="AW41" s="630">
        <f t="shared" si="156"/>
        <v>165</v>
      </c>
      <c r="AX41" s="653">
        <f t="shared" ref="AX41:AY41" si="157">AX42+AX44+AX45+AX43+AX47+AX46+AX48</f>
        <v>80</v>
      </c>
      <c r="AY41" s="40">
        <f t="shared" si="157"/>
        <v>0</v>
      </c>
      <c r="AZ41" s="236">
        <f t="shared" ref="AZ41" si="158">AZ42+AZ44+AZ45+AZ43+AZ47+AZ46+AZ48</f>
        <v>0</v>
      </c>
      <c r="BA41" s="605">
        <f t="shared" si="147"/>
        <v>0</v>
      </c>
      <c r="BB41" s="56">
        <f t="shared" si="147"/>
        <v>0</v>
      </c>
      <c r="BC41" s="236">
        <f t="shared" ref="BC41" si="159">BC42+BC44+BC45+BC43+BC47+BC46+BC48</f>
        <v>0</v>
      </c>
      <c r="BD41" s="605">
        <f t="shared" si="147"/>
        <v>0</v>
      </c>
      <c r="BE41" s="56">
        <f t="shared" si="147"/>
        <v>0</v>
      </c>
      <c r="BF41" s="236">
        <f t="shared" ref="BF41" si="160">BF42+BF44+BF45+BF43+BF47+BF46+BF48</f>
        <v>0</v>
      </c>
      <c r="BG41" s="605">
        <f t="shared" si="147"/>
        <v>0</v>
      </c>
      <c r="BH41" s="56">
        <f t="shared" si="147"/>
        <v>0</v>
      </c>
      <c r="BI41" s="236">
        <f t="shared" ref="BI41" si="161">BI42+BI44+BI45+BI43+BI47+BI46+BI48</f>
        <v>0</v>
      </c>
      <c r="BJ41" s="605">
        <f t="shared" si="147"/>
        <v>0</v>
      </c>
      <c r="BK41" s="56">
        <f t="shared" si="147"/>
        <v>0</v>
      </c>
      <c r="BL41" s="236">
        <f t="shared" ref="BL41" si="162">BL42+BL44+BL45+BL43+BL47+BL46+BL48</f>
        <v>0</v>
      </c>
      <c r="BM41" s="605">
        <f t="shared" si="147"/>
        <v>0</v>
      </c>
    </row>
    <row r="42" spans="1:65">
      <c r="A42" s="93" t="s">
        <v>151</v>
      </c>
      <c r="B42" s="40">
        <v>-45</v>
      </c>
      <c r="C42" s="40">
        <v>-1</v>
      </c>
      <c r="D42" s="40">
        <v>-28</v>
      </c>
      <c r="E42" s="40">
        <v>-9</v>
      </c>
      <c r="F42" s="40">
        <v>0</v>
      </c>
      <c r="G42" s="40">
        <v>0</v>
      </c>
      <c r="H42" s="40">
        <v>-5</v>
      </c>
      <c r="I42" s="40">
        <v>-6</v>
      </c>
      <c r="J42" s="40">
        <v>-47</v>
      </c>
      <c r="K42" s="40">
        <v>-7</v>
      </c>
      <c r="L42" s="40">
        <v>-150</v>
      </c>
      <c r="M42" s="40">
        <v>-19</v>
      </c>
      <c r="N42" s="40">
        <v>-20</v>
      </c>
      <c r="O42" s="40">
        <v>-37</v>
      </c>
      <c r="P42" s="40">
        <v>-3</v>
      </c>
      <c r="Q42" s="40">
        <v>-5</v>
      </c>
      <c r="R42" s="40">
        <v>0</v>
      </c>
      <c r="S42" s="630">
        <f t="shared" ref="S42:S48" si="163">T42-R42</f>
        <v>-6</v>
      </c>
      <c r="T42" s="653">
        <v>-6</v>
      </c>
      <c r="U42" s="40">
        <v>0</v>
      </c>
      <c r="V42" s="630">
        <f t="shared" ref="V42:V48" si="164">W42-U42</f>
        <v>263</v>
      </c>
      <c r="W42" s="653">
        <v>263</v>
      </c>
      <c r="X42" s="40">
        <v>0</v>
      </c>
      <c r="Y42" s="630">
        <f t="shared" ref="Y42:Y48" si="165">Z42-X42</f>
        <v>263</v>
      </c>
      <c r="Z42" s="653">
        <v>263</v>
      </c>
      <c r="AA42" s="40">
        <v>0</v>
      </c>
      <c r="AB42" s="630">
        <f t="shared" ref="AB42:AB48" si="166">AC42-AA42</f>
        <v>0</v>
      </c>
      <c r="AC42" s="653">
        <v>0</v>
      </c>
      <c r="AD42" s="40">
        <v>0</v>
      </c>
      <c r="AE42" s="630">
        <f t="shared" ref="AE42:AE48" si="167">AF42-AD42</f>
        <v>-43</v>
      </c>
      <c r="AF42" s="653">
        <v>-43</v>
      </c>
      <c r="AG42" s="40">
        <v>-8</v>
      </c>
      <c r="AH42" s="630">
        <f t="shared" ref="AH42:AH48" si="168">AI42-AG42</f>
        <v>-98</v>
      </c>
      <c r="AI42" s="653">
        <v>-106</v>
      </c>
      <c r="AJ42" s="40">
        <v>0</v>
      </c>
      <c r="AK42" s="630">
        <f t="shared" ref="AK42:AK53" si="169">AL42-AJ42</f>
        <v>0</v>
      </c>
      <c r="AL42" s="653">
        <v>0</v>
      </c>
      <c r="AM42" s="40">
        <v>0</v>
      </c>
      <c r="AN42" s="630">
        <f t="shared" ref="AN42:AN53" si="170">AO42-AM42</f>
        <v>0</v>
      </c>
      <c r="AO42" s="653">
        <v>0</v>
      </c>
      <c r="AP42" s="40">
        <v>-12</v>
      </c>
      <c r="AQ42" s="630">
        <f t="shared" ref="AQ42:AQ48" si="171">AR42-AP42</f>
        <v>-2</v>
      </c>
      <c r="AR42" s="653">
        <v>-14</v>
      </c>
      <c r="AS42" s="40">
        <v>0</v>
      </c>
      <c r="AT42" s="630">
        <f t="shared" ref="AT42:AT48" si="172">AU42-AS42</f>
        <v>0</v>
      </c>
      <c r="AU42" s="653">
        <v>0</v>
      </c>
      <c r="AV42" s="40">
        <v>0</v>
      </c>
      <c r="AW42" s="630">
        <f t="shared" ref="AW42:AW48" si="173">AX42-AV42</f>
        <v>0</v>
      </c>
      <c r="AX42" s="653">
        <v>0</v>
      </c>
      <c r="AY42" s="40">
        <v>0</v>
      </c>
      <c r="AZ42" s="236">
        <f t="shared" ref="AZ42:AZ53" si="174">BA42-AY42</f>
        <v>0</v>
      </c>
      <c r="BA42" s="580">
        <v>0</v>
      </c>
      <c r="BB42" s="56">
        <f t="shared" ref="BB42:BB47" si="175">BD42/2</f>
        <v>0</v>
      </c>
      <c r="BC42" s="236">
        <f t="shared" ref="BC42:BC53" si="176">BD42-BB42</f>
        <v>0</v>
      </c>
      <c r="BD42" s="580">
        <v>0</v>
      </c>
      <c r="BE42" s="56">
        <f t="shared" ref="BE42:BE47" si="177">BG42/2</f>
        <v>0</v>
      </c>
      <c r="BF42" s="236">
        <f t="shared" ref="BF42:BF53" si="178">BG42-BE42</f>
        <v>0</v>
      </c>
      <c r="BG42" s="580">
        <v>0</v>
      </c>
      <c r="BH42" s="56">
        <f t="shared" ref="BH42:BH47" si="179">BJ42/2</f>
        <v>0</v>
      </c>
      <c r="BI42" s="236">
        <f t="shared" ref="BI42:BI53" si="180">BJ42-BH42</f>
        <v>0</v>
      </c>
      <c r="BJ42" s="580">
        <v>0</v>
      </c>
      <c r="BK42" s="56">
        <f t="shared" ref="BK42:BK47" si="181">BM42/2</f>
        <v>0</v>
      </c>
      <c r="BL42" s="236">
        <f t="shared" ref="BL42:BL53" si="182">BM42-BK42</f>
        <v>0</v>
      </c>
      <c r="BM42" s="580">
        <v>0</v>
      </c>
    </row>
    <row r="43" spans="1:65">
      <c r="A43" s="93" t="s">
        <v>211</v>
      </c>
      <c r="B43" s="40">
        <v>-5</v>
      </c>
      <c r="C43" s="40">
        <v>102</v>
      </c>
      <c r="D43" s="40">
        <v>14</v>
      </c>
      <c r="E43" s="40">
        <v>1</v>
      </c>
      <c r="F43" s="40">
        <v>16</v>
      </c>
      <c r="G43" s="40">
        <v>1</v>
      </c>
      <c r="H43" s="40">
        <v>1</v>
      </c>
      <c r="I43" s="40">
        <v>3</v>
      </c>
      <c r="J43" s="40">
        <v>6</v>
      </c>
      <c r="K43" s="40">
        <v>3</v>
      </c>
      <c r="L43" s="40">
        <v>2</v>
      </c>
      <c r="M43" s="40">
        <v>7</v>
      </c>
      <c r="N43" s="40">
        <v>0</v>
      </c>
      <c r="O43" s="40">
        <v>273</v>
      </c>
      <c r="P43" s="40">
        <v>24</v>
      </c>
      <c r="Q43" s="40">
        <v>2</v>
      </c>
      <c r="R43" s="40">
        <v>1</v>
      </c>
      <c r="S43" s="630">
        <f t="shared" si="163"/>
        <v>6</v>
      </c>
      <c r="T43" s="653">
        <v>7</v>
      </c>
      <c r="U43" s="40">
        <v>0</v>
      </c>
      <c r="V43" s="630">
        <f t="shared" si="164"/>
        <v>0</v>
      </c>
      <c r="W43" s="653">
        <v>0</v>
      </c>
      <c r="X43" s="40">
        <v>0</v>
      </c>
      <c r="Y43" s="630">
        <f t="shared" si="165"/>
        <v>0</v>
      </c>
      <c r="Z43" s="653">
        <v>0</v>
      </c>
      <c r="AA43" s="40">
        <v>584</v>
      </c>
      <c r="AB43" s="630">
        <f t="shared" si="166"/>
        <v>-11</v>
      </c>
      <c r="AC43" s="653">
        <v>573</v>
      </c>
      <c r="AD43" s="40">
        <v>458</v>
      </c>
      <c r="AE43" s="630">
        <f t="shared" si="167"/>
        <v>-5</v>
      </c>
      <c r="AF43" s="653">
        <v>453</v>
      </c>
      <c r="AG43" s="40">
        <v>10</v>
      </c>
      <c r="AH43" s="630">
        <f t="shared" si="168"/>
        <v>13</v>
      </c>
      <c r="AI43" s="653">
        <v>23</v>
      </c>
      <c r="AJ43" s="40">
        <v>-8</v>
      </c>
      <c r="AK43" s="630">
        <f t="shared" si="169"/>
        <v>107</v>
      </c>
      <c r="AL43" s="653">
        <v>99</v>
      </c>
      <c r="AM43" s="40">
        <v>179</v>
      </c>
      <c r="AN43" s="630">
        <f t="shared" si="170"/>
        <v>1219</v>
      </c>
      <c r="AO43" s="653">
        <v>1398</v>
      </c>
      <c r="AP43" s="40">
        <v>3</v>
      </c>
      <c r="AQ43" s="630">
        <f t="shared" si="171"/>
        <v>-7</v>
      </c>
      <c r="AR43" s="653">
        <v>-4</v>
      </c>
      <c r="AS43" s="40">
        <v>0</v>
      </c>
      <c r="AT43" s="630">
        <f t="shared" si="172"/>
        <v>62</v>
      </c>
      <c r="AU43" s="653">
        <v>62</v>
      </c>
      <c r="AV43" s="40">
        <v>-85</v>
      </c>
      <c r="AW43" s="630">
        <f t="shared" si="173"/>
        <v>165</v>
      </c>
      <c r="AX43" s="653">
        <v>80</v>
      </c>
      <c r="AY43" s="40">
        <v>0</v>
      </c>
      <c r="AZ43" s="236">
        <f t="shared" si="174"/>
        <v>0</v>
      </c>
      <c r="BA43" s="580">
        <v>0</v>
      </c>
      <c r="BB43" s="56">
        <f t="shared" si="175"/>
        <v>0</v>
      </c>
      <c r="BC43" s="236">
        <f t="shared" si="176"/>
        <v>0</v>
      </c>
      <c r="BD43" s="580">
        <v>0</v>
      </c>
      <c r="BE43" s="56">
        <f t="shared" si="177"/>
        <v>0</v>
      </c>
      <c r="BF43" s="236">
        <f t="shared" si="178"/>
        <v>0</v>
      </c>
      <c r="BG43" s="580">
        <v>0</v>
      </c>
      <c r="BH43" s="56">
        <f t="shared" si="179"/>
        <v>0</v>
      </c>
      <c r="BI43" s="236">
        <f t="shared" si="180"/>
        <v>0</v>
      </c>
      <c r="BJ43" s="580">
        <v>0</v>
      </c>
      <c r="BK43" s="56">
        <f t="shared" si="181"/>
        <v>0</v>
      </c>
      <c r="BL43" s="236">
        <f t="shared" si="182"/>
        <v>0</v>
      </c>
      <c r="BM43" s="580">
        <v>0</v>
      </c>
    </row>
    <row r="44" spans="1:65">
      <c r="A44" s="93" t="s">
        <v>152</v>
      </c>
      <c r="B44" s="40">
        <v>0</v>
      </c>
      <c r="C44" s="40">
        <v>0</v>
      </c>
      <c r="D44" s="40">
        <v>0</v>
      </c>
      <c r="E44" s="40">
        <v>0</v>
      </c>
      <c r="F44" s="40">
        <v>0</v>
      </c>
      <c r="G44" s="40">
        <v>0</v>
      </c>
      <c r="H44" s="40">
        <v>0</v>
      </c>
      <c r="I44" s="40">
        <v>0</v>
      </c>
      <c r="J44" s="40">
        <v>0</v>
      </c>
      <c r="K44" s="40">
        <v>0</v>
      </c>
      <c r="L44" s="40">
        <v>0</v>
      </c>
      <c r="M44" s="40">
        <v>0</v>
      </c>
      <c r="N44" s="40">
        <v>0</v>
      </c>
      <c r="O44" s="40">
        <v>0</v>
      </c>
      <c r="P44" s="40">
        <v>1027</v>
      </c>
      <c r="Q44" s="40">
        <v>-121</v>
      </c>
      <c r="R44" s="40">
        <v>0</v>
      </c>
      <c r="S44" s="630">
        <f t="shared" si="163"/>
        <v>0</v>
      </c>
      <c r="T44" s="653">
        <v>0</v>
      </c>
      <c r="U44" s="40">
        <v>0</v>
      </c>
      <c r="V44" s="630">
        <f t="shared" si="164"/>
        <v>0</v>
      </c>
      <c r="W44" s="653">
        <v>0</v>
      </c>
      <c r="X44" s="40">
        <v>0</v>
      </c>
      <c r="Y44" s="630">
        <f t="shared" si="165"/>
        <v>0</v>
      </c>
      <c r="Z44" s="653">
        <v>0</v>
      </c>
      <c r="AA44" s="40">
        <v>0</v>
      </c>
      <c r="AB44" s="630">
        <f t="shared" si="166"/>
        <v>0</v>
      </c>
      <c r="AC44" s="653">
        <v>0</v>
      </c>
      <c r="AD44" s="40">
        <v>0</v>
      </c>
      <c r="AE44" s="630">
        <f t="shared" si="167"/>
        <v>0</v>
      </c>
      <c r="AF44" s="653">
        <v>0</v>
      </c>
      <c r="AG44" s="40">
        <v>0</v>
      </c>
      <c r="AH44" s="630">
        <f t="shared" si="168"/>
        <v>0</v>
      </c>
      <c r="AI44" s="653">
        <v>0</v>
      </c>
      <c r="AJ44" s="40">
        <v>0</v>
      </c>
      <c r="AK44" s="630">
        <f t="shared" si="169"/>
        <v>0</v>
      </c>
      <c r="AL44" s="653">
        <v>0</v>
      </c>
      <c r="AM44" s="40">
        <v>0</v>
      </c>
      <c r="AN44" s="630">
        <f t="shared" si="170"/>
        <v>0</v>
      </c>
      <c r="AO44" s="653">
        <v>0</v>
      </c>
      <c r="AP44" s="40">
        <v>0</v>
      </c>
      <c r="AQ44" s="630">
        <f t="shared" si="171"/>
        <v>0</v>
      </c>
      <c r="AR44" s="653">
        <v>0</v>
      </c>
      <c r="AS44" s="40">
        <v>0</v>
      </c>
      <c r="AT44" s="630">
        <f t="shared" si="172"/>
        <v>0</v>
      </c>
      <c r="AU44" s="653">
        <v>0</v>
      </c>
      <c r="AV44" s="40">
        <v>0</v>
      </c>
      <c r="AW44" s="630">
        <f t="shared" si="173"/>
        <v>0</v>
      </c>
      <c r="AX44" s="653">
        <v>0</v>
      </c>
      <c r="AY44" s="40">
        <v>0</v>
      </c>
      <c r="AZ44" s="236">
        <f t="shared" si="174"/>
        <v>0</v>
      </c>
      <c r="BA44" s="580">
        <v>0</v>
      </c>
      <c r="BB44" s="56">
        <f t="shared" si="175"/>
        <v>0</v>
      </c>
      <c r="BC44" s="236">
        <f t="shared" si="176"/>
        <v>0</v>
      </c>
      <c r="BD44" s="580">
        <v>0</v>
      </c>
      <c r="BE44" s="56">
        <f t="shared" si="177"/>
        <v>0</v>
      </c>
      <c r="BF44" s="236">
        <f t="shared" si="178"/>
        <v>0</v>
      </c>
      <c r="BG44" s="580">
        <v>0</v>
      </c>
      <c r="BH44" s="56">
        <f t="shared" si="179"/>
        <v>0</v>
      </c>
      <c r="BI44" s="236">
        <f t="shared" si="180"/>
        <v>0</v>
      </c>
      <c r="BJ44" s="580">
        <v>0</v>
      </c>
      <c r="BK44" s="56">
        <f t="shared" si="181"/>
        <v>0</v>
      </c>
      <c r="BL44" s="236">
        <f t="shared" si="182"/>
        <v>0</v>
      </c>
      <c r="BM44" s="580">
        <v>0</v>
      </c>
    </row>
    <row r="45" spans="1:65">
      <c r="A45" s="93" t="s">
        <v>194</v>
      </c>
      <c r="B45" s="40">
        <v>0</v>
      </c>
      <c r="C45" s="40">
        <v>0</v>
      </c>
      <c r="D45" s="40">
        <v>0</v>
      </c>
      <c r="E45" s="40">
        <v>0</v>
      </c>
      <c r="F45" s="40">
        <v>0</v>
      </c>
      <c r="G45" s="40">
        <v>0</v>
      </c>
      <c r="H45" s="40">
        <v>0</v>
      </c>
      <c r="I45" s="40">
        <v>0</v>
      </c>
      <c r="J45" s="40">
        <v>0</v>
      </c>
      <c r="K45" s="40">
        <v>0</v>
      </c>
      <c r="L45" s="40">
        <v>0</v>
      </c>
      <c r="M45" s="40">
        <v>0</v>
      </c>
      <c r="N45" s="40">
        <v>0</v>
      </c>
      <c r="O45" s="40">
        <v>0</v>
      </c>
      <c r="P45" s="40">
        <v>-1937</v>
      </c>
      <c r="Q45" s="40">
        <v>0</v>
      </c>
      <c r="R45" s="40">
        <v>0</v>
      </c>
      <c r="S45" s="630">
        <f t="shared" si="163"/>
        <v>0</v>
      </c>
      <c r="T45" s="653">
        <v>0</v>
      </c>
      <c r="U45" s="40">
        <v>0</v>
      </c>
      <c r="V45" s="630">
        <f t="shared" si="164"/>
        <v>0</v>
      </c>
      <c r="W45" s="653">
        <v>0</v>
      </c>
      <c r="X45" s="40">
        <v>0</v>
      </c>
      <c r="Y45" s="630">
        <f t="shared" si="165"/>
        <v>0</v>
      </c>
      <c r="Z45" s="653">
        <v>0</v>
      </c>
      <c r="AA45" s="40">
        <v>0</v>
      </c>
      <c r="AB45" s="630">
        <f t="shared" si="166"/>
        <v>0</v>
      </c>
      <c r="AC45" s="653">
        <v>0</v>
      </c>
      <c r="AD45" s="40">
        <v>0</v>
      </c>
      <c r="AE45" s="630">
        <f t="shared" si="167"/>
        <v>0</v>
      </c>
      <c r="AF45" s="653">
        <v>0</v>
      </c>
      <c r="AG45" s="40">
        <v>0</v>
      </c>
      <c r="AH45" s="630">
        <f t="shared" si="168"/>
        <v>0</v>
      </c>
      <c r="AI45" s="653">
        <v>0</v>
      </c>
      <c r="AJ45" s="40">
        <v>0</v>
      </c>
      <c r="AK45" s="630">
        <f t="shared" si="169"/>
        <v>0</v>
      </c>
      <c r="AL45" s="653">
        <v>0</v>
      </c>
      <c r="AM45" s="40">
        <v>0</v>
      </c>
      <c r="AN45" s="630">
        <f t="shared" si="170"/>
        <v>0</v>
      </c>
      <c r="AO45" s="653">
        <v>0</v>
      </c>
      <c r="AP45" s="40">
        <v>0</v>
      </c>
      <c r="AQ45" s="630">
        <f t="shared" si="171"/>
        <v>0</v>
      </c>
      <c r="AR45" s="653">
        <v>0</v>
      </c>
      <c r="AS45" s="40">
        <v>0</v>
      </c>
      <c r="AT45" s="630">
        <f t="shared" si="172"/>
        <v>0</v>
      </c>
      <c r="AU45" s="653">
        <v>0</v>
      </c>
      <c r="AV45" s="40">
        <v>0</v>
      </c>
      <c r="AW45" s="630">
        <f t="shared" si="173"/>
        <v>0</v>
      </c>
      <c r="AX45" s="653">
        <v>0</v>
      </c>
      <c r="AY45" s="40">
        <v>0</v>
      </c>
      <c r="AZ45" s="236">
        <f t="shared" si="174"/>
        <v>0</v>
      </c>
      <c r="BA45" s="580">
        <v>0</v>
      </c>
      <c r="BB45" s="56">
        <f t="shared" si="175"/>
        <v>0</v>
      </c>
      <c r="BC45" s="236">
        <f t="shared" si="176"/>
        <v>0</v>
      </c>
      <c r="BD45" s="580">
        <v>0</v>
      </c>
      <c r="BE45" s="56">
        <f t="shared" si="177"/>
        <v>0</v>
      </c>
      <c r="BF45" s="236">
        <f t="shared" si="178"/>
        <v>0</v>
      </c>
      <c r="BG45" s="580">
        <v>0</v>
      </c>
      <c r="BH45" s="56">
        <f t="shared" si="179"/>
        <v>0</v>
      </c>
      <c r="BI45" s="236">
        <f t="shared" si="180"/>
        <v>0</v>
      </c>
      <c r="BJ45" s="580">
        <v>0</v>
      </c>
      <c r="BK45" s="56">
        <f t="shared" si="181"/>
        <v>0</v>
      </c>
      <c r="BL45" s="236">
        <f t="shared" si="182"/>
        <v>0</v>
      </c>
      <c r="BM45" s="580">
        <v>0</v>
      </c>
    </row>
    <row r="46" spans="1:65">
      <c r="A46" s="93" t="s">
        <v>207</v>
      </c>
      <c r="B46" s="40">
        <v>0</v>
      </c>
      <c r="C46" s="40">
        <v>0</v>
      </c>
      <c r="D46" s="40">
        <v>0</v>
      </c>
      <c r="E46" s="40">
        <v>0</v>
      </c>
      <c r="F46" s="40">
        <v>0</v>
      </c>
      <c r="G46" s="40">
        <v>0</v>
      </c>
      <c r="H46" s="40">
        <v>0</v>
      </c>
      <c r="I46" s="40">
        <v>0</v>
      </c>
      <c r="J46" s="40">
        <v>0</v>
      </c>
      <c r="K46" s="40">
        <v>0</v>
      </c>
      <c r="L46" s="40">
        <v>0</v>
      </c>
      <c r="M46" s="40">
        <v>0</v>
      </c>
      <c r="N46" s="40">
        <v>0</v>
      </c>
      <c r="O46" s="40">
        <v>-34</v>
      </c>
      <c r="P46" s="40">
        <v>0</v>
      </c>
      <c r="Q46" s="40">
        <v>0</v>
      </c>
      <c r="R46" s="40">
        <v>0</v>
      </c>
      <c r="S46" s="630">
        <f t="shared" si="163"/>
        <v>0</v>
      </c>
      <c r="T46" s="653">
        <v>0</v>
      </c>
      <c r="U46" s="40">
        <v>0</v>
      </c>
      <c r="V46" s="630">
        <f t="shared" si="164"/>
        <v>0</v>
      </c>
      <c r="W46" s="653">
        <v>0</v>
      </c>
      <c r="X46" s="40">
        <v>0</v>
      </c>
      <c r="Y46" s="630">
        <f t="shared" si="165"/>
        <v>0</v>
      </c>
      <c r="Z46" s="653">
        <v>0</v>
      </c>
      <c r="AA46" s="40">
        <v>0</v>
      </c>
      <c r="AB46" s="630">
        <f t="shared" si="166"/>
        <v>0</v>
      </c>
      <c r="AC46" s="653">
        <v>0</v>
      </c>
      <c r="AD46" s="40">
        <v>0</v>
      </c>
      <c r="AE46" s="630">
        <f t="shared" si="167"/>
        <v>0</v>
      </c>
      <c r="AF46" s="653">
        <v>0</v>
      </c>
      <c r="AG46" s="40">
        <v>0</v>
      </c>
      <c r="AH46" s="630">
        <f t="shared" si="168"/>
        <v>0</v>
      </c>
      <c r="AI46" s="653">
        <v>0</v>
      </c>
      <c r="AJ46" s="40">
        <v>0</v>
      </c>
      <c r="AK46" s="630">
        <f t="shared" si="169"/>
        <v>0</v>
      </c>
      <c r="AL46" s="653">
        <v>0</v>
      </c>
      <c r="AM46" s="40">
        <v>0</v>
      </c>
      <c r="AN46" s="630">
        <f t="shared" si="170"/>
        <v>0</v>
      </c>
      <c r="AO46" s="653">
        <v>0</v>
      </c>
      <c r="AP46" s="40">
        <v>0</v>
      </c>
      <c r="AQ46" s="630">
        <f t="shared" si="171"/>
        <v>0</v>
      </c>
      <c r="AR46" s="653">
        <v>0</v>
      </c>
      <c r="AS46" s="40">
        <v>0</v>
      </c>
      <c r="AT46" s="630">
        <f t="shared" si="172"/>
        <v>0</v>
      </c>
      <c r="AU46" s="653">
        <v>0</v>
      </c>
      <c r="AV46" s="40">
        <v>0</v>
      </c>
      <c r="AW46" s="630">
        <f t="shared" si="173"/>
        <v>0</v>
      </c>
      <c r="AX46" s="653">
        <v>0</v>
      </c>
      <c r="AY46" s="40">
        <v>0</v>
      </c>
      <c r="AZ46" s="236">
        <f t="shared" si="174"/>
        <v>0</v>
      </c>
      <c r="BA46" s="580">
        <v>0</v>
      </c>
      <c r="BB46" s="56">
        <f t="shared" si="175"/>
        <v>0</v>
      </c>
      <c r="BC46" s="236">
        <f t="shared" si="176"/>
        <v>0</v>
      </c>
      <c r="BD46" s="580">
        <v>0</v>
      </c>
      <c r="BE46" s="56">
        <f t="shared" si="177"/>
        <v>0</v>
      </c>
      <c r="BF46" s="236">
        <f t="shared" si="178"/>
        <v>0</v>
      </c>
      <c r="BG46" s="580">
        <v>0</v>
      </c>
      <c r="BH46" s="56">
        <f t="shared" si="179"/>
        <v>0</v>
      </c>
      <c r="BI46" s="236">
        <f t="shared" si="180"/>
        <v>0</v>
      </c>
      <c r="BJ46" s="580">
        <v>0</v>
      </c>
      <c r="BK46" s="56">
        <f t="shared" si="181"/>
        <v>0</v>
      </c>
      <c r="BL46" s="236">
        <f t="shared" si="182"/>
        <v>0</v>
      </c>
      <c r="BM46" s="580">
        <v>0</v>
      </c>
    </row>
    <row r="47" spans="1:65">
      <c r="A47" s="93" t="s">
        <v>206</v>
      </c>
      <c r="B47" s="40">
        <v>0</v>
      </c>
      <c r="C47" s="40">
        <v>0</v>
      </c>
      <c r="D47" s="40">
        <v>0</v>
      </c>
      <c r="E47" s="40">
        <v>0</v>
      </c>
      <c r="F47" s="40">
        <v>0</v>
      </c>
      <c r="G47" s="40">
        <v>0</v>
      </c>
      <c r="H47" s="40">
        <v>0</v>
      </c>
      <c r="I47" s="40">
        <v>0</v>
      </c>
      <c r="J47" s="40">
        <v>0</v>
      </c>
      <c r="K47" s="40">
        <v>0</v>
      </c>
      <c r="L47" s="40">
        <v>0</v>
      </c>
      <c r="M47" s="40">
        <v>0</v>
      </c>
      <c r="N47" s="40">
        <v>-1</v>
      </c>
      <c r="O47" s="40">
        <v>245</v>
      </c>
      <c r="P47" s="40">
        <v>0</v>
      </c>
      <c r="Q47" s="40">
        <v>0</v>
      </c>
      <c r="R47" s="40">
        <v>0</v>
      </c>
      <c r="S47" s="630">
        <f t="shared" si="163"/>
        <v>0</v>
      </c>
      <c r="T47" s="653">
        <v>0</v>
      </c>
      <c r="U47" s="40">
        <v>0</v>
      </c>
      <c r="V47" s="630">
        <f t="shared" si="164"/>
        <v>1</v>
      </c>
      <c r="W47" s="653">
        <v>1</v>
      </c>
      <c r="X47" s="40">
        <v>0</v>
      </c>
      <c r="Y47" s="630">
        <f t="shared" si="165"/>
        <v>0</v>
      </c>
      <c r="Z47" s="653">
        <v>0</v>
      </c>
      <c r="AA47" s="40">
        <v>0</v>
      </c>
      <c r="AB47" s="630">
        <f t="shared" si="166"/>
        <v>0</v>
      </c>
      <c r="AC47" s="653">
        <v>0</v>
      </c>
      <c r="AD47" s="40">
        <v>0</v>
      </c>
      <c r="AE47" s="630">
        <f t="shared" si="167"/>
        <v>0</v>
      </c>
      <c r="AF47" s="653">
        <v>0</v>
      </c>
      <c r="AG47" s="40">
        <v>0</v>
      </c>
      <c r="AH47" s="630">
        <f t="shared" si="168"/>
        <v>0</v>
      </c>
      <c r="AI47" s="653">
        <v>0</v>
      </c>
      <c r="AJ47" s="40">
        <v>0</v>
      </c>
      <c r="AK47" s="630">
        <f t="shared" si="169"/>
        <v>0</v>
      </c>
      <c r="AL47" s="653">
        <v>0</v>
      </c>
      <c r="AM47" s="40">
        <v>0</v>
      </c>
      <c r="AN47" s="630">
        <f t="shared" si="170"/>
        <v>0</v>
      </c>
      <c r="AO47" s="653">
        <v>0</v>
      </c>
      <c r="AP47" s="40">
        <v>0</v>
      </c>
      <c r="AQ47" s="630">
        <f t="shared" si="171"/>
        <v>0</v>
      </c>
      <c r="AR47" s="653">
        <v>0</v>
      </c>
      <c r="AS47" s="40">
        <v>0</v>
      </c>
      <c r="AT47" s="630">
        <f t="shared" si="172"/>
        <v>0</v>
      </c>
      <c r="AU47" s="653">
        <v>0</v>
      </c>
      <c r="AV47" s="40">
        <v>0</v>
      </c>
      <c r="AW47" s="630">
        <f t="shared" si="173"/>
        <v>0</v>
      </c>
      <c r="AX47" s="653">
        <v>0</v>
      </c>
      <c r="AY47" s="40">
        <v>0</v>
      </c>
      <c r="AZ47" s="236">
        <f t="shared" si="174"/>
        <v>0</v>
      </c>
      <c r="BA47" s="580">
        <v>0</v>
      </c>
      <c r="BB47" s="56">
        <f t="shared" si="175"/>
        <v>0</v>
      </c>
      <c r="BC47" s="236">
        <f t="shared" si="176"/>
        <v>0</v>
      </c>
      <c r="BD47" s="580">
        <v>0</v>
      </c>
      <c r="BE47" s="56">
        <f t="shared" si="177"/>
        <v>0</v>
      </c>
      <c r="BF47" s="236">
        <f t="shared" si="178"/>
        <v>0</v>
      </c>
      <c r="BG47" s="580">
        <v>0</v>
      </c>
      <c r="BH47" s="56">
        <f t="shared" si="179"/>
        <v>0</v>
      </c>
      <c r="BI47" s="236">
        <f t="shared" si="180"/>
        <v>0</v>
      </c>
      <c r="BJ47" s="580">
        <v>0</v>
      </c>
      <c r="BK47" s="56">
        <f t="shared" si="181"/>
        <v>0</v>
      </c>
      <c r="BL47" s="236">
        <f t="shared" si="182"/>
        <v>0</v>
      </c>
      <c r="BM47" s="580">
        <v>0</v>
      </c>
    </row>
    <row r="48" spans="1:65">
      <c r="A48" s="93" t="s">
        <v>213</v>
      </c>
      <c r="B48" s="40">
        <v>0</v>
      </c>
      <c r="C48" s="40">
        <v>0</v>
      </c>
      <c r="D48" s="40">
        <v>0</v>
      </c>
      <c r="E48" s="40">
        <v>0</v>
      </c>
      <c r="F48" s="40">
        <v>0</v>
      </c>
      <c r="G48" s="40">
        <v>0</v>
      </c>
      <c r="H48" s="40">
        <v>0</v>
      </c>
      <c r="I48" s="40">
        <v>0</v>
      </c>
      <c r="J48" s="40">
        <v>0</v>
      </c>
      <c r="K48" s="40">
        <v>0</v>
      </c>
      <c r="L48" s="40">
        <v>0</v>
      </c>
      <c r="M48" s="40">
        <v>0</v>
      </c>
      <c r="N48" s="40">
        <v>942</v>
      </c>
      <c r="O48" s="40">
        <v>0</v>
      </c>
      <c r="P48" s="40">
        <v>0</v>
      </c>
      <c r="Q48" s="40">
        <v>0</v>
      </c>
      <c r="R48" s="40">
        <v>0</v>
      </c>
      <c r="S48" s="630">
        <f t="shared" si="163"/>
        <v>0</v>
      </c>
      <c r="T48" s="653">
        <v>0</v>
      </c>
      <c r="U48" s="40">
        <v>0</v>
      </c>
      <c r="V48" s="630">
        <f t="shared" si="164"/>
        <v>0</v>
      </c>
      <c r="W48" s="653">
        <v>0</v>
      </c>
      <c r="X48" s="40">
        <v>0</v>
      </c>
      <c r="Y48" s="630">
        <f t="shared" si="165"/>
        <v>0</v>
      </c>
      <c r="Z48" s="653">
        <v>0</v>
      </c>
      <c r="AA48" s="40">
        <v>0</v>
      </c>
      <c r="AB48" s="630">
        <f t="shared" si="166"/>
        <v>0</v>
      </c>
      <c r="AC48" s="653">
        <v>0</v>
      </c>
      <c r="AD48" s="40">
        <v>0</v>
      </c>
      <c r="AE48" s="630">
        <f t="shared" si="167"/>
        <v>0</v>
      </c>
      <c r="AF48" s="653">
        <v>0</v>
      </c>
      <c r="AG48" s="40">
        <v>0</v>
      </c>
      <c r="AH48" s="630">
        <f t="shared" si="168"/>
        <v>0</v>
      </c>
      <c r="AI48" s="653">
        <v>0</v>
      </c>
      <c r="AJ48" s="40">
        <v>0</v>
      </c>
      <c r="AK48" s="630">
        <f t="shared" si="169"/>
        <v>0</v>
      </c>
      <c r="AL48" s="653">
        <v>0</v>
      </c>
      <c r="AM48" s="40">
        <v>0</v>
      </c>
      <c r="AN48" s="630">
        <f t="shared" si="170"/>
        <v>0</v>
      </c>
      <c r="AO48" s="653">
        <v>0</v>
      </c>
      <c r="AP48" s="40">
        <v>0</v>
      </c>
      <c r="AQ48" s="630">
        <f t="shared" si="171"/>
        <v>0</v>
      </c>
      <c r="AR48" s="653">
        <v>0</v>
      </c>
      <c r="AS48" s="40">
        <v>0</v>
      </c>
      <c r="AT48" s="630">
        <f t="shared" si="172"/>
        <v>0</v>
      </c>
      <c r="AU48" s="653">
        <v>0</v>
      </c>
      <c r="AV48" s="40">
        <v>0</v>
      </c>
      <c r="AW48" s="630">
        <f t="shared" si="173"/>
        <v>0</v>
      </c>
      <c r="AX48" s="653">
        <v>0</v>
      </c>
      <c r="AY48" s="40">
        <v>0</v>
      </c>
      <c r="AZ48" s="236">
        <f t="shared" si="174"/>
        <v>0</v>
      </c>
      <c r="BA48" s="580">
        <v>0</v>
      </c>
      <c r="BB48" s="56">
        <f>BD48/2</f>
        <v>0</v>
      </c>
      <c r="BC48" s="236">
        <f t="shared" si="176"/>
        <v>0</v>
      </c>
      <c r="BD48" s="580">
        <v>0</v>
      </c>
      <c r="BE48" s="56">
        <f>BG48/2</f>
        <v>0</v>
      </c>
      <c r="BF48" s="236">
        <f t="shared" si="178"/>
        <v>0</v>
      </c>
      <c r="BG48" s="580">
        <v>0</v>
      </c>
      <c r="BH48" s="56">
        <f>BJ48/2</f>
        <v>0</v>
      </c>
      <c r="BI48" s="236">
        <f t="shared" si="180"/>
        <v>0</v>
      </c>
      <c r="BJ48" s="580">
        <v>0</v>
      </c>
      <c r="BK48" s="56">
        <f>BM48/2</f>
        <v>0</v>
      </c>
      <c r="BL48" s="236">
        <f t="shared" si="182"/>
        <v>0</v>
      </c>
      <c r="BM48" s="580">
        <v>0</v>
      </c>
    </row>
    <row r="49" spans="1:65">
      <c r="A49" s="25" t="s">
        <v>227</v>
      </c>
      <c r="B49" s="40">
        <f t="shared" ref="B49:BM49" si="183">B50+B51+B52+B53</f>
        <v>-3</v>
      </c>
      <c r="C49" s="40">
        <f t="shared" si="183"/>
        <v>-22</v>
      </c>
      <c r="D49" s="40">
        <f t="shared" si="183"/>
        <v>-6</v>
      </c>
      <c r="E49" s="40">
        <f t="shared" si="183"/>
        <v>-8</v>
      </c>
      <c r="F49" s="40">
        <f t="shared" si="183"/>
        <v>-2</v>
      </c>
      <c r="G49" s="40">
        <f t="shared" si="183"/>
        <v>-13</v>
      </c>
      <c r="H49" s="40">
        <f t="shared" si="183"/>
        <v>-10</v>
      </c>
      <c r="I49" s="40">
        <f t="shared" si="183"/>
        <v>-13</v>
      </c>
      <c r="J49" s="40">
        <f t="shared" si="183"/>
        <v>-2</v>
      </c>
      <c r="K49" s="40">
        <f t="shared" si="183"/>
        <v>-87</v>
      </c>
      <c r="L49" s="40">
        <f t="shared" si="183"/>
        <v>-19</v>
      </c>
      <c r="M49" s="40">
        <f t="shared" si="183"/>
        <v>-1496</v>
      </c>
      <c r="N49" s="40">
        <f t="shared" si="183"/>
        <v>143</v>
      </c>
      <c r="O49" s="40">
        <f t="shared" si="183"/>
        <v>-43</v>
      </c>
      <c r="P49" s="40">
        <f t="shared" si="183"/>
        <v>-17</v>
      </c>
      <c r="Q49" s="40">
        <f t="shared" si="183"/>
        <v>-15</v>
      </c>
      <c r="R49" s="40">
        <f t="shared" si="183"/>
        <v>-160</v>
      </c>
      <c r="S49" s="630">
        <f t="shared" si="183"/>
        <v>-19</v>
      </c>
      <c r="T49" s="653">
        <f t="shared" si="183"/>
        <v>-179</v>
      </c>
      <c r="U49" s="40">
        <f t="shared" ref="U49:V49" si="184">U50+U51+U52+U53</f>
        <v>-8</v>
      </c>
      <c r="V49" s="630">
        <f t="shared" si="184"/>
        <v>-40</v>
      </c>
      <c r="W49" s="653">
        <f t="shared" si="183"/>
        <v>-48</v>
      </c>
      <c r="X49" s="40">
        <f t="shared" si="183"/>
        <v>-8</v>
      </c>
      <c r="Y49" s="630">
        <f t="shared" si="183"/>
        <v>-39</v>
      </c>
      <c r="Z49" s="653">
        <f>Z50+Z51+Z52+Z53</f>
        <v>-47</v>
      </c>
      <c r="AA49" s="40">
        <f t="shared" ref="AA49:AB49" si="185">AA50+AA51+AA52+AA53</f>
        <v>4</v>
      </c>
      <c r="AB49" s="630">
        <f t="shared" si="185"/>
        <v>-17</v>
      </c>
      <c r="AC49" s="653">
        <f t="shared" si="183"/>
        <v>-13</v>
      </c>
      <c r="AD49" s="40">
        <f t="shared" ref="AD49:AE49" si="186">AD50+AD51+AD52+AD53</f>
        <v>-3</v>
      </c>
      <c r="AE49" s="630">
        <f t="shared" si="186"/>
        <v>-4</v>
      </c>
      <c r="AF49" s="653">
        <f t="shared" si="183"/>
        <v>-7</v>
      </c>
      <c r="AG49" s="40">
        <f t="shared" si="183"/>
        <v>-4</v>
      </c>
      <c r="AH49" s="630">
        <f t="shared" si="183"/>
        <v>-9</v>
      </c>
      <c r="AI49" s="653">
        <f t="shared" si="183"/>
        <v>-13</v>
      </c>
      <c r="AJ49" s="40">
        <f t="shared" ref="AJ49:AK49" si="187">AJ50+AJ51+AJ52+AJ53</f>
        <v>-3</v>
      </c>
      <c r="AK49" s="630">
        <f t="shared" si="187"/>
        <v>-5</v>
      </c>
      <c r="AL49" s="653">
        <f t="shared" si="183"/>
        <v>-8</v>
      </c>
      <c r="AM49" s="40">
        <f t="shared" si="183"/>
        <v>-7</v>
      </c>
      <c r="AN49" s="630">
        <f t="shared" ref="AN49" si="188">AN50+AN51+AN52+AN53</f>
        <v>-20</v>
      </c>
      <c r="AO49" s="653">
        <f t="shared" si="183"/>
        <v>-27</v>
      </c>
      <c r="AP49" s="40">
        <f t="shared" ref="AP49:AR49" si="189">AP50+AP51+AP52+AP53</f>
        <v>3</v>
      </c>
      <c r="AQ49" s="630">
        <f t="shared" si="189"/>
        <v>-13</v>
      </c>
      <c r="AR49" s="653">
        <f t="shared" si="189"/>
        <v>-10</v>
      </c>
      <c r="AS49" s="40">
        <f t="shared" ref="AS49:AU49" si="190">AS50+AS51+AS52+AS53</f>
        <v>-28</v>
      </c>
      <c r="AT49" s="630">
        <f t="shared" si="190"/>
        <v>11</v>
      </c>
      <c r="AU49" s="653">
        <f t="shared" si="190"/>
        <v>-17</v>
      </c>
      <c r="AV49" s="40">
        <f t="shared" ref="AV49:AW49" si="191">AV50+AV51+AV52+AV53</f>
        <v>-4</v>
      </c>
      <c r="AW49" s="630">
        <f t="shared" si="191"/>
        <v>-37</v>
      </c>
      <c r="AX49" s="653">
        <f t="shared" ref="AX49:AY49" si="192">AX50+AX51+AX52+AX53</f>
        <v>-41</v>
      </c>
      <c r="AY49" s="40">
        <f t="shared" si="192"/>
        <v>-5</v>
      </c>
      <c r="AZ49" s="236">
        <f t="shared" ref="AZ49" si="193">AZ50+AZ51+AZ52+AZ53</f>
        <v>0</v>
      </c>
      <c r="BA49" s="605">
        <f t="shared" si="183"/>
        <v>-5</v>
      </c>
      <c r="BB49" s="56">
        <f t="shared" si="183"/>
        <v>0</v>
      </c>
      <c r="BC49" s="236">
        <f t="shared" ref="BC49" si="194">BC50+BC51+BC52+BC53</f>
        <v>0</v>
      </c>
      <c r="BD49" s="605">
        <f t="shared" si="183"/>
        <v>0</v>
      </c>
      <c r="BE49" s="56">
        <f t="shared" si="183"/>
        <v>0</v>
      </c>
      <c r="BF49" s="236">
        <f t="shared" ref="BF49" si="195">BF50+BF51+BF52+BF53</f>
        <v>0</v>
      </c>
      <c r="BG49" s="605">
        <f t="shared" si="183"/>
        <v>0</v>
      </c>
      <c r="BH49" s="56">
        <f t="shared" si="183"/>
        <v>0</v>
      </c>
      <c r="BI49" s="236">
        <f t="shared" ref="BI49" si="196">BI50+BI51+BI52+BI53</f>
        <v>0</v>
      </c>
      <c r="BJ49" s="605">
        <f t="shared" si="183"/>
        <v>0</v>
      </c>
      <c r="BK49" s="56">
        <f t="shared" si="183"/>
        <v>0</v>
      </c>
      <c r="BL49" s="236">
        <f t="shared" ref="BL49" si="197">BL50+BL51+BL52+BL53</f>
        <v>0</v>
      </c>
      <c r="BM49" s="605">
        <f t="shared" si="183"/>
        <v>0</v>
      </c>
    </row>
    <row r="50" spans="1:65">
      <c r="A50" s="93" t="s">
        <v>221</v>
      </c>
      <c r="B50" s="40">
        <v>0</v>
      </c>
      <c r="C50" s="40">
        <v>0</v>
      </c>
      <c r="D50" s="40">
        <v>0</v>
      </c>
      <c r="E50" s="40">
        <v>0</v>
      </c>
      <c r="F50" s="40">
        <v>0</v>
      </c>
      <c r="G50" s="40">
        <v>0</v>
      </c>
      <c r="H50" s="40">
        <v>1</v>
      </c>
      <c r="I50" s="40">
        <v>0</v>
      </c>
      <c r="J50" s="40">
        <v>30</v>
      </c>
      <c r="K50" s="40">
        <v>0</v>
      </c>
      <c r="L50" s="40">
        <v>0</v>
      </c>
      <c r="M50" s="40">
        <v>-1329</v>
      </c>
      <c r="N50" s="40">
        <v>0</v>
      </c>
      <c r="O50" s="40">
        <v>0</v>
      </c>
      <c r="P50" s="40">
        <v>0</v>
      </c>
      <c r="Q50" s="40">
        <v>0</v>
      </c>
      <c r="R50" s="40">
        <v>-154</v>
      </c>
      <c r="S50" s="630">
        <f t="shared" ref="S50:S53" si="198">T50-R50</f>
        <v>0</v>
      </c>
      <c r="T50" s="653">
        <v>-154</v>
      </c>
      <c r="U50" s="40">
        <v>0</v>
      </c>
      <c r="V50" s="630">
        <f t="shared" ref="V50:V53" si="199">W50-U50</f>
        <v>0</v>
      </c>
      <c r="W50" s="653">
        <v>0</v>
      </c>
      <c r="X50" s="40">
        <v>0</v>
      </c>
      <c r="Y50" s="630">
        <f t="shared" ref="Y50:Y53" si="200">Z50-X50</f>
        <v>0</v>
      </c>
      <c r="Z50" s="653">
        <v>0</v>
      </c>
      <c r="AA50" s="40">
        <v>0</v>
      </c>
      <c r="AB50" s="630">
        <f t="shared" ref="AB50:AB53" si="201">AC50-AA50</f>
        <v>0</v>
      </c>
      <c r="AC50" s="653">
        <v>0</v>
      </c>
      <c r="AD50" s="40">
        <v>-2</v>
      </c>
      <c r="AE50" s="630">
        <f t="shared" ref="AE50:AE53" si="202">AF50-AD50</f>
        <v>3</v>
      </c>
      <c r="AF50" s="653">
        <v>1</v>
      </c>
      <c r="AG50" s="40">
        <v>-4</v>
      </c>
      <c r="AH50" s="630">
        <f t="shared" ref="AH50:AH53" si="203">AI50-AG50</f>
        <v>-15</v>
      </c>
      <c r="AI50" s="653">
        <v>-19</v>
      </c>
      <c r="AJ50" s="40">
        <v>-2</v>
      </c>
      <c r="AK50" s="630">
        <f t="shared" si="169"/>
        <v>2</v>
      </c>
      <c r="AL50" s="653">
        <v>0</v>
      </c>
      <c r="AM50" s="40">
        <v>-14</v>
      </c>
      <c r="AN50" s="630">
        <f t="shared" si="170"/>
        <v>-10</v>
      </c>
      <c r="AO50" s="653">
        <v>-24</v>
      </c>
      <c r="AP50" s="40">
        <v>-8</v>
      </c>
      <c r="AQ50" s="630">
        <f t="shared" ref="AQ50:AQ53" si="204">AR50-AP50</f>
        <v>-1</v>
      </c>
      <c r="AR50" s="653">
        <v>-9</v>
      </c>
      <c r="AS50" s="40">
        <v>-16</v>
      </c>
      <c r="AT50" s="630">
        <f t="shared" ref="AT50:AT53" si="205">AU50-AS50</f>
        <v>-1</v>
      </c>
      <c r="AU50" s="653">
        <v>-17</v>
      </c>
      <c r="AV50" s="40">
        <v>-4</v>
      </c>
      <c r="AW50" s="630">
        <f t="shared" ref="AW50:AW53" si="206">AX50-AV50</f>
        <v>-37</v>
      </c>
      <c r="AX50" s="653">
        <v>-41</v>
      </c>
      <c r="AY50" s="40">
        <v>-5</v>
      </c>
      <c r="AZ50" s="236">
        <f t="shared" si="174"/>
        <v>0</v>
      </c>
      <c r="BA50" s="580">
        <f>AY50</f>
        <v>-5</v>
      </c>
      <c r="BB50" s="56">
        <f>BD50/2</f>
        <v>0</v>
      </c>
      <c r="BC50" s="236">
        <f t="shared" si="176"/>
        <v>0</v>
      </c>
      <c r="BD50" s="580">
        <v>0</v>
      </c>
      <c r="BE50" s="56">
        <f>BG50/2</f>
        <v>0</v>
      </c>
      <c r="BF50" s="236">
        <f t="shared" si="178"/>
        <v>0</v>
      </c>
      <c r="BG50" s="580">
        <v>0</v>
      </c>
      <c r="BH50" s="56">
        <f>BJ50/2</f>
        <v>0</v>
      </c>
      <c r="BI50" s="236">
        <f t="shared" si="180"/>
        <v>0</v>
      </c>
      <c r="BJ50" s="580">
        <v>0</v>
      </c>
      <c r="BK50" s="56">
        <f>BM50/2</f>
        <v>0</v>
      </c>
      <c r="BL50" s="236">
        <f t="shared" si="182"/>
        <v>0</v>
      </c>
      <c r="BM50" s="580">
        <v>0</v>
      </c>
    </row>
    <row r="51" spans="1:65">
      <c r="A51" s="93" t="s">
        <v>153</v>
      </c>
      <c r="B51" s="40">
        <v>-13</v>
      </c>
      <c r="C51" s="40">
        <v>-24</v>
      </c>
      <c r="D51" s="40">
        <v>-6</v>
      </c>
      <c r="E51" s="40">
        <v>-8</v>
      </c>
      <c r="F51" s="40">
        <v>-2</v>
      </c>
      <c r="G51" s="40">
        <v>-13</v>
      </c>
      <c r="H51" s="40">
        <v>-11</v>
      </c>
      <c r="I51" s="40">
        <v>-13</v>
      </c>
      <c r="J51" s="40">
        <v>-32</v>
      </c>
      <c r="K51" s="40">
        <v>-87</v>
      </c>
      <c r="L51" s="40">
        <v>-19</v>
      </c>
      <c r="M51" s="40">
        <v>0</v>
      </c>
      <c r="N51" s="40">
        <v>-24</v>
      </c>
      <c r="O51" s="40">
        <v>-43</v>
      </c>
      <c r="P51" s="40">
        <v>-17</v>
      </c>
      <c r="Q51" s="40">
        <v>-15</v>
      </c>
      <c r="R51" s="40">
        <v>-11</v>
      </c>
      <c r="S51" s="630">
        <f t="shared" si="198"/>
        <v>-19</v>
      </c>
      <c r="T51" s="653">
        <v>-30</v>
      </c>
      <c r="U51" s="40">
        <v>-8</v>
      </c>
      <c r="V51" s="630">
        <f t="shared" si="199"/>
        <v>-40</v>
      </c>
      <c r="W51" s="653">
        <v>-48</v>
      </c>
      <c r="X51" s="40">
        <v>-8</v>
      </c>
      <c r="Y51" s="630">
        <f t="shared" si="200"/>
        <v>-39</v>
      </c>
      <c r="Z51" s="653">
        <v>-47</v>
      </c>
      <c r="AA51" s="40">
        <v>4</v>
      </c>
      <c r="AB51" s="630">
        <f t="shared" si="201"/>
        <v>-17</v>
      </c>
      <c r="AC51" s="653">
        <v>-13</v>
      </c>
      <c r="AD51" s="40">
        <v>-1</v>
      </c>
      <c r="AE51" s="630">
        <f t="shared" si="202"/>
        <v>-7</v>
      </c>
      <c r="AF51" s="653">
        <v>-8</v>
      </c>
      <c r="AG51" s="40">
        <v>0</v>
      </c>
      <c r="AH51" s="630">
        <f t="shared" si="203"/>
        <v>6</v>
      </c>
      <c r="AI51" s="653">
        <v>6</v>
      </c>
      <c r="AJ51" s="40">
        <v>-1</v>
      </c>
      <c r="AK51" s="630">
        <f t="shared" si="169"/>
        <v>-7</v>
      </c>
      <c r="AL51" s="653">
        <v>-8</v>
      </c>
      <c r="AM51" s="40">
        <v>7</v>
      </c>
      <c r="AN51" s="630">
        <f t="shared" si="170"/>
        <v>-10</v>
      </c>
      <c r="AO51" s="653">
        <v>-3</v>
      </c>
      <c r="AP51" s="40">
        <v>11</v>
      </c>
      <c r="AQ51" s="630">
        <f t="shared" si="204"/>
        <v>0</v>
      </c>
      <c r="AR51" s="653">
        <v>11</v>
      </c>
      <c r="AS51" s="40">
        <v>0</v>
      </c>
      <c r="AT51" s="630">
        <f t="shared" si="205"/>
        <v>0</v>
      </c>
      <c r="AU51" s="653">
        <v>0</v>
      </c>
      <c r="AV51" s="40">
        <v>0</v>
      </c>
      <c r="AW51" s="630">
        <f t="shared" si="206"/>
        <v>0</v>
      </c>
      <c r="AX51" s="653">
        <v>0</v>
      </c>
      <c r="AY51" s="40">
        <v>0</v>
      </c>
      <c r="AZ51" s="236">
        <f t="shared" si="174"/>
        <v>0</v>
      </c>
      <c r="BA51" s="605">
        <f>AX51</f>
        <v>0</v>
      </c>
      <c r="BB51" s="56">
        <f>BD51/2</f>
        <v>0</v>
      </c>
      <c r="BC51" s="236">
        <f t="shared" si="176"/>
        <v>0</v>
      </c>
      <c r="BD51" s="605">
        <f>BA51</f>
        <v>0</v>
      </c>
      <c r="BE51" s="56">
        <f>BG51/2</f>
        <v>0</v>
      </c>
      <c r="BF51" s="236">
        <f t="shared" si="178"/>
        <v>0</v>
      </c>
      <c r="BG51" s="605">
        <f>BD51</f>
        <v>0</v>
      </c>
      <c r="BH51" s="56">
        <f>BJ51/2</f>
        <v>0</v>
      </c>
      <c r="BI51" s="236">
        <f t="shared" si="180"/>
        <v>0</v>
      </c>
      <c r="BJ51" s="605">
        <f>BG51</f>
        <v>0</v>
      </c>
      <c r="BK51" s="56">
        <f>BM51/2</f>
        <v>0</v>
      </c>
      <c r="BL51" s="236">
        <f t="shared" si="182"/>
        <v>0</v>
      </c>
      <c r="BM51" s="605">
        <f t="shared" ref="BM51" si="207">BJ51</f>
        <v>0</v>
      </c>
    </row>
    <row r="52" spans="1:65">
      <c r="A52" s="93" t="s">
        <v>235</v>
      </c>
      <c r="B52" s="40">
        <v>10</v>
      </c>
      <c r="C52" s="40">
        <v>2</v>
      </c>
      <c r="D52" s="40">
        <v>0</v>
      </c>
      <c r="E52" s="40">
        <v>0</v>
      </c>
      <c r="F52" s="40">
        <v>0</v>
      </c>
      <c r="G52" s="40">
        <v>0</v>
      </c>
      <c r="H52" s="40">
        <v>0</v>
      </c>
      <c r="I52" s="40">
        <v>0</v>
      </c>
      <c r="J52" s="40">
        <v>0</v>
      </c>
      <c r="K52" s="40">
        <v>0</v>
      </c>
      <c r="L52" s="40">
        <v>0</v>
      </c>
      <c r="M52" s="40">
        <v>-167</v>
      </c>
      <c r="N52" s="40">
        <v>167</v>
      </c>
      <c r="O52" s="40">
        <v>0</v>
      </c>
      <c r="P52" s="40">
        <v>0</v>
      </c>
      <c r="Q52" s="40">
        <v>0</v>
      </c>
      <c r="R52" s="40">
        <v>0</v>
      </c>
      <c r="S52" s="630">
        <f t="shared" si="198"/>
        <v>0</v>
      </c>
      <c r="T52" s="653">
        <v>0</v>
      </c>
      <c r="U52" s="40">
        <v>0</v>
      </c>
      <c r="V52" s="630">
        <f t="shared" si="199"/>
        <v>0</v>
      </c>
      <c r="W52" s="653">
        <v>0</v>
      </c>
      <c r="X52" s="40">
        <v>0</v>
      </c>
      <c r="Y52" s="630">
        <f t="shared" si="200"/>
        <v>0</v>
      </c>
      <c r="Z52" s="653">
        <v>0</v>
      </c>
      <c r="AA52" s="40">
        <v>0</v>
      </c>
      <c r="AB52" s="630">
        <f t="shared" si="201"/>
        <v>0</v>
      </c>
      <c r="AC52" s="653">
        <v>0</v>
      </c>
      <c r="AD52" s="40">
        <v>0</v>
      </c>
      <c r="AE52" s="630">
        <f t="shared" si="202"/>
        <v>0</v>
      </c>
      <c r="AF52" s="653">
        <v>0</v>
      </c>
      <c r="AG52" s="40">
        <v>0</v>
      </c>
      <c r="AH52" s="630">
        <f t="shared" si="203"/>
        <v>0</v>
      </c>
      <c r="AI52" s="653">
        <v>0</v>
      </c>
      <c r="AJ52" s="40">
        <v>0</v>
      </c>
      <c r="AK52" s="630">
        <f t="shared" si="169"/>
        <v>0</v>
      </c>
      <c r="AL52" s="653">
        <v>0</v>
      </c>
      <c r="AM52" s="40">
        <v>0</v>
      </c>
      <c r="AN52" s="630">
        <f t="shared" si="170"/>
        <v>0</v>
      </c>
      <c r="AO52" s="653">
        <v>0</v>
      </c>
      <c r="AP52" s="40">
        <v>0</v>
      </c>
      <c r="AQ52" s="630">
        <f t="shared" si="204"/>
        <v>0</v>
      </c>
      <c r="AR52" s="653">
        <v>0</v>
      </c>
      <c r="AS52" s="40">
        <v>0</v>
      </c>
      <c r="AT52" s="630">
        <f t="shared" si="205"/>
        <v>0</v>
      </c>
      <c r="AU52" s="653">
        <v>0</v>
      </c>
      <c r="AV52" s="40">
        <v>0</v>
      </c>
      <c r="AW52" s="630">
        <f t="shared" si="206"/>
        <v>0</v>
      </c>
      <c r="AX52" s="653">
        <v>0</v>
      </c>
      <c r="AY52" s="40">
        <v>0</v>
      </c>
      <c r="AZ52" s="236">
        <f t="shared" si="174"/>
        <v>0</v>
      </c>
      <c r="BA52" s="580">
        <v>0</v>
      </c>
      <c r="BB52" s="56">
        <f t="shared" ref="BB52:BB53" si="208">BD52/2</f>
        <v>0</v>
      </c>
      <c r="BC52" s="236">
        <f t="shared" si="176"/>
        <v>0</v>
      </c>
      <c r="BD52" s="580">
        <v>0</v>
      </c>
      <c r="BE52" s="56">
        <f t="shared" ref="BE52:BE53" si="209">BG52/2</f>
        <v>0</v>
      </c>
      <c r="BF52" s="236">
        <f t="shared" si="178"/>
        <v>0</v>
      </c>
      <c r="BG52" s="580">
        <v>0</v>
      </c>
      <c r="BH52" s="56">
        <f t="shared" ref="BH52:BH53" si="210">BJ52/2</f>
        <v>0</v>
      </c>
      <c r="BI52" s="236">
        <f t="shared" si="180"/>
        <v>0</v>
      </c>
      <c r="BJ52" s="580">
        <v>0</v>
      </c>
      <c r="BK52" s="56">
        <f t="shared" ref="BK52:BK53" si="211">BM52/2</f>
        <v>0</v>
      </c>
      <c r="BL52" s="236">
        <f t="shared" si="182"/>
        <v>0</v>
      </c>
      <c r="BM52" s="580">
        <v>0</v>
      </c>
    </row>
    <row r="53" spans="1:65">
      <c r="A53" s="93" t="s">
        <v>168</v>
      </c>
      <c r="B53" s="40">
        <v>0</v>
      </c>
      <c r="C53" s="40">
        <v>0</v>
      </c>
      <c r="D53" s="40">
        <v>0</v>
      </c>
      <c r="E53" s="40">
        <v>0</v>
      </c>
      <c r="F53" s="40">
        <v>0</v>
      </c>
      <c r="G53" s="40">
        <v>0</v>
      </c>
      <c r="H53" s="40">
        <v>0</v>
      </c>
      <c r="I53" s="40">
        <v>0</v>
      </c>
      <c r="J53" s="40">
        <v>0</v>
      </c>
      <c r="K53" s="40">
        <v>0</v>
      </c>
      <c r="L53" s="40">
        <v>0</v>
      </c>
      <c r="M53" s="40">
        <v>0</v>
      </c>
      <c r="N53" s="40">
        <v>0</v>
      </c>
      <c r="O53" s="40">
        <v>0</v>
      </c>
      <c r="P53" s="40">
        <v>0</v>
      </c>
      <c r="Q53" s="40">
        <v>0</v>
      </c>
      <c r="R53" s="40">
        <v>5</v>
      </c>
      <c r="S53" s="630">
        <f t="shared" si="198"/>
        <v>0</v>
      </c>
      <c r="T53" s="653">
        <v>5</v>
      </c>
      <c r="U53" s="40">
        <v>0</v>
      </c>
      <c r="V53" s="630">
        <f t="shared" si="199"/>
        <v>0</v>
      </c>
      <c r="W53" s="653">
        <v>0</v>
      </c>
      <c r="X53" s="40">
        <v>0</v>
      </c>
      <c r="Y53" s="630">
        <f t="shared" si="200"/>
        <v>0</v>
      </c>
      <c r="Z53" s="653">
        <v>0</v>
      </c>
      <c r="AA53" s="40">
        <v>0</v>
      </c>
      <c r="AB53" s="630">
        <f t="shared" si="201"/>
        <v>0</v>
      </c>
      <c r="AC53" s="653">
        <v>0</v>
      </c>
      <c r="AD53" s="40">
        <v>0</v>
      </c>
      <c r="AE53" s="630">
        <f t="shared" si="202"/>
        <v>0</v>
      </c>
      <c r="AF53" s="653">
        <v>0</v>
      </c>
      <c r="AG53" s="40">
        <v>0</v>
      </c>
      <c r="AH53" s="630">
        <f t="shared" si="203"/>
        <v>0</v>
      </c>
      <c r="AI53" s="653">
        <v>0</v>
      </c>
      <c r="AJ53" s="40">
        <v>0</v>
      </c>
      <c r="AK53" s="630">
        <f t="shared" si="169"/>
        <v>0</v>
      </c>
      <c r="AL53" s="653">
        <v>0</v>
      </c>
      <c r="AM53" s="40">
        <v>0</v>
      </c>
      <c r="AN53" s="630">
        <f t="shared" si="170"/>
        <v>0</v>
      </c>
      <c r="AO53" s="653">
        <v>0</v>
      </c>
      <c r="AP53" s="40">
        <v>0</v>
      </c>
      <c r="AQ53" s="630">
        <f t="shared" si="204"/>
        <v>-12</v>
      </c>
      <c r="AR53" s="653">
        <v>-12</v>
      </c>
      <c r="AS53" s="40">
        <v>-12</v>
      </c>
      <c r="AT53" s="630">
        <f t="shared" si="205"/>
        <v>12</v>
      </c>
      <c r="AU53" s="653">
        <v>0</v>
      </c>
      <c r="AV53" s="40">
        <v>0</v>
      </c>
      <c r="AW53" s="630">
        <f t="shared" si="206"/>
        <v>0</v>
      </c>
      <c r="AX53" s="653">
        <v>0</v>
      </c>
      <c r="AY53" s="40">
        <v>0</v>
      </c>
      <c r="AZ53" s="236">
        <f t="shared" si="174"/>
        <v>0</v>
      </c>
      <c r="BA53" s="580">
        <v>0</v>
      </c>
      <c r="BB53" s="56">
        <f t="shared" si="208"/>
        <v>0</v>
      </c>
      <c r="BC53" s="236">
        <f t="shared" si="176"/>
        <v>0</v>
      </c>
      <c r="BD53" s="580">
        <v>0</v>
      </c>
      <c r="BE53" s="56">
        <f t="shared" si="209"/>
        <v>0</v>
      </c>
      <c r="BF53" s="236">
        <f t="shared" si="178"/>
        <v>0</v>
      </c>
      <c r="BG53" s="580">
        <v>0</v>
      </c>
      <c r="BH53" s="56">
        <f t="shared" si="210"/>
        <v>0</v>
      </c>
      <c r="BI53" s="236">
        <f t="shared" si="180"/>
        <v>0</v>
      </c>
      <c r="BJ53" s="580">
        <v>0</v>
      </c>
      <c r="BK53" s="56">
        <f t="shared" si="211"/>
        <v>0</v>
      </c>
      <c r="BL53" s="236">
        <f t="shared" si="182"/>
        <v>0</v>
      </c>
      <c r="BM53" s="580">
        <v>0</v>
      </c>
    </row>
    <row r="54" spans="1:65">
      <c r="A54" s="37" t="s">
        <v>154</v>
      </c>
      <c r="B54" s="84">
        <f t="shared" ref="B54:BM54" si="212">B33+B34+B37+B41+B49</f>
        <v>-306</v>
      </c>
      <c r="C54" s="84">
        <f t="shared" si="212"/>
        <v>-100</v>
      </c>
      <c r="D54" s="84">
        <f t="shared" si="212"/>
        <v>-401</v>
      </c>
      <c r="E54" s="84">
        <f t="shared" si="212"/>
        <v>-214</v>
      </c>
      <c r="F54" s="84">
        <f t="shared" si="212"/>
        <v>-237</v>
      </c>
      <c r="G54" s="84">
        <f t="shared" si="212"/>
        <v>-289</v>
      </c>
      <c r="H54" s="84">
        <f t="shared" si="212"/>
        <v>-469</v>
      </c>
      <c r="I54" s="84">
        <f t="shared" si="212"/>
        <v>-572</v>
      </c>
      <c r="J54" s="84">
        <f t="shared" si="212"/>
        <v>-645</v>
      </c>
      <c r="K54" s="84">
        <f t="shared" si="212"/>
        <v>-606</v>
      </c>
      <c r="L54" s="84">
        <f t="shared" si="212"/>
        <v>-721</v>
      </c>
      <c r="M54" s="84">
        <f t="shared" si="212"/>
        <v>-2207</v>
      </c>
      <c r="N54" s="84">
        <f t="shared" si="212"/>
        <v>424</v>
      </c>
      <c r="O54" s="84">
        <f t="shared" si="212"/>
        <v>-740</v>
      </c>
      <c r="P54" s="84">
        <f t="shared" si="212"/>
        <v>-1966</v>
      </c>
      <c r="Q54" s="84">
        <f t="shared" si="212"/>
        <v>-995</v>
      </c>
      <c r="R54" s="84">
        <f t="shared" ref="R54:S54" si="213">R33+R34+R37+R41+R49</f>
        <v>-688</v>
      </c>
      <c r="S54" s="632">
        <f t="shared" si="213"/>
        <v>-675</v>
      </c>
      <c r="T54" s="655">
        <f t="shared" si="212"/>
        <v>-1363</v>
      </c>
      <c r="U54" s="84">
        <f t="shared" si="212"/>
        <v>-752</v>
      </c>
      <c r="V54" s="632">
        <f t="shared" si="212"/>
        <v>-757</v>
      </c>
      <c r="W54" s="655">
        <f>W33+W34+W37+W41+W49</f>
        <v>-1509</v>
      </c>
      <c r="X54" s="84">
        <f t="shared" ref="X54:Y54" si="214">X33+X34+X37+X41+X49</f>
        <v>-598</v>
      </c>
      <c r="Y54" s="632">
        <f t="shared" si="214"/>
        <v>-556</v>
      </c>
      <c r="Z54" s="655">
        <f>Z33+Z34+Z37+Z41+Z49</f>
        <v>-1154</v>
      </c>
      <c r="AA54" s="84">
        <f t="shared" ref="AA54:AB54" si="215">AA33+AA34+AA37+AA41+AA49</f>
        <v>-23</v>
      </c>
      <c r="AB54" s="632">
        <f t="shared" si="215"/>
        <v>-952</v>
      </c>
      <c r="AC54" s="655">
        <f t="shared" si="212"/>
        <v>-975</v>
      </c>
      <c r="AD54" s="84">
        <f t="shared" ref="AD54:AE54" si="216">AD33+AD34+AD37+AD41+AD49</f>
        <v>-166</v>
      </c>
      <c r="AE54" s="632">
        <f t="shared" si="216"/>
        <v>-752</v>
      </c>
      <c r="AF54" s="655">
        <f t="shared" si="212"/>
        <v>-918</v>
      </c>
      <c r="AG54" s="84">
        <f t="shared" si="212"/>
        <v>-428</v>
      </c>
      <c r="AH54" s="632">
        <f t="shared" si="212"/>
        <v>-582</v>
      </c>
      <c r="AI54" s="655">
        <f t="shared" si="212"/>
        <v>-1010</v>
      </c>
      <c r="AJ54" s="84">
        <f t="shared" ref="AJ54:AK54" si="217">AJ33+AJ34+AJ37+AJ41+AJ49</f>
        <v>-225</v>
      </c>
      <c r="AK54" s="632">
        <f t="shared" si="217"/>
        <v>-203</v>
      </c>
      <c r="AL54" s="655">
        <f t="shared" si="212"/>
        <v>-428</v>
      </c>
      <c r="AM54" s="84">
        <f t="shared" si="212"/>
        <v>-22</v>
      </c>
      <c r="AN54" s="632">
        <f t="shared" ref="AN54" si="218">AN33+AN34+AN37+AN41+AN49</f>
        <v>848</v>
      </c>
      <c r="AO54" s="655">
        <f t="shared" si="212"/>
        <v>826</v>
      </c>
      <c r="AP54" s="84">
        <f t="shared" ref="AP54:AQ54" si="219">AP33+AP34+AP37+AP41+AP49</f>
        <v>-292</v>
      </c>
      <c r="AQ54" s="632">
        <f t="shared" si="219"/>
        <v>-434</v>
      </c>
      <c r="AR54" s="655">
        <f t="shared" si="212"/>
        <v>-726</v>
      </c>
      <c r="AS54" s="84">
        <f t="shared" si="212"/>
        <v>-319</v>
      </c>
      <c r="AT54" s="632">
        <f t="shared" si="212"/>
        <v>-512</v>
      </c>
      <c r="AU54" s="655">
        <f t="shared" ref="AU54:AW54" si="220">AU33+AU34+AU37+AU41+AU49</f>
        <v>-831</v>
      </c>
      <c r="AV54" s="84">
        <f t="shared" si="220"/>
        <v>-438</v>
      </c>
      <c r="AW54" s="632">
        <f t="shared" si="220"/>
        <v>-501</v>
      </c>
      <c r="AX54" s="655">
        <f t="shared" ref="AX54:AY54" si="221">AX33+AX34+AX37+AX41+AX49</f>
        <v>-939</v>
      </c>
      <c r="AY54" s="84">
        <f t="shared" si="221"/>
        <v>-367</v>
      </c>
      <c r="AZ54" s="244">
        <f t="shared" ref="AZ54" si="222">AZ33+AZ34+AZ37+AZ41+AZ49</f>
        <v>-710.43653073273572</v>
      </c>
      <c r="BA54" s="581">
        <f t="shared" si="212"/>
        <v>-1077.4365307327357</v>
      </c>
      <c r="BB54" s="181">
        <f t="shared" si="212"/>
        <v>-601.8149466848572</v>
      </c>
      <c r="BC54" s="244">
        <f t="shared" ref="BC54" si="223">BC33+BC34+BC37+BC41+BC49</f>
        <v>-641.40395325188376</v>
      </c>
      <c r="BD54" s="581">
        <f t="shared" si="212"/>
        <v>-1243.2188999367409</v>
      </c>
      <c r="BE54" s="181">
        <f t="shared" si="212"/>
        <v>-659.91485211679878</v>
      </c>
      <c r="BF54" s="244">
        <f t="shared" ref="BF54" si="224">BF33+BF34+BF37+BF41+BF49</f>
        <v>-716.50677875606755</v>
      </c>
      <c r="BG54" s="581">
        <f t="shared" si="212"/>
        <v>-1376.4216308728664</v>
      </c>
      <c r="BH54" s="181">
        <f t="shared" si="212"/>
        <v>-739.56214195903885</v>
      </c>
      <c r="BI54" s="244">
        <f t="shared" ref="BI54" si="225">BI33+BI34+BI37+BI41+BI49</f>
        <v>-802.77315500271698</v>
      </c>
      <c r="BJ54" s="581">
        <f t="shared" si="212"/>
        <v>-1542.3352969617558</v>
      </c>
      <c r="BK54" s="181">
        <f t="shared" si="212"/>
        <v>-829.13390547241465</v>
      </c>
      <c r="BL54" s="244">
        <f t="shared" ref="BL54" si="226">BL33+BL34+BL37+BL41+BL49</f>
        <v>-898.34226899334635</v>
      </c>
      <c r="BM54" s="581">
        <f t="shared" si="212"/>
        <v>-1727.4761744657612</v>
      </c>
    </row>
    <row r="55" spans="1:65">
      <c r="B55" s="40"/>
      <c r="C55" s="40"/>
      <c r="D55" s="40"/>
      <c r="E55" s="40"/>
      <c r="F55" s="40"/>
      <c r="G55" s="40"/>
      <c r="H55" s="40"/>
      <c r="I55" s="40"/>
      <c r="J55" s="40"/>
      <c r="K55" s="40"/>
      <c r="L55" s="40"/>
      <c r="M55" s="40"/>
      <c r="N55" s="40"/>
      <c r="O55" s="40"/>
      <c r="P55" s="40"/>
      <c r="Q55" s="40"/>
      <c r="R55" s="40"/>
      <c r="S55" s="630"/>
      <c r="T55" s="653"/>
      <c r="U55" s="40"/>
      <c r="V55" s="630"/>
      <c r="W55" s="653"/>
      <c r="X55" s="40"/>
      <c r="Y55" s="630"/>
      <c r="Z55" s="653"/>
      <c r="AA55" s="40"/>
      <c r="AB55" s="630"/>
      <c r="AC55" s="653"/>
      <c r="AD55" s="40"/>
      <c r="AE55" s="630"/>
      <c r="AF55" s="653"/>
      <c r="AG55" s="40"/>
      <c r="AH55" s="630"/>
      <c r="AI55" s="653"/>
      <c r="AJ55" s="40"/>
      <c r="AK55" s="630"/>
      <c r="AL55" s="653"/>
      <c r="AM55" s="40"/>
      <c r="AN55" s="630"/>
      <c r="AO55" s="653"/>
      <c r="AP55" s="40"/>
      <c r="AQ55" s="539"/>
      <c r="AR55" s="550"/>
      <c r="AS55"/>
      <c r="AT55" s="539"/>
      <c r="AU55" s="550"/>
      <c r="AV55"/>
      <c r="AW55" s="539"/>
      <c r="AX55" s="550"/>
      <c r="AY55"/>
      <c r="AZ55" s="539"/>
      <c r="BA55" s="550"/>
      <c r="BB55"/>
      <c r="BC55" s="539"/>
      <c r="BD55" s="550"/>
      <c r="BE55"/>
      <c r="BF55" s="539"/>
      <c r="BG55" s="550"/>
      <c r="BH55"/>
      <c r="BI55" s="539"/>
      <c r="BJ55" s="550"/>
      <c r="BK55"/>
      <c r="BL55" s="539"/>
      <c r="BM55" s="550"/>
    </row>
    <row r="56" spans="1:65">
      <c r="A56" s="25" t="s">
        <v>246</v>
      </c>
      <c r="B56" s="40">
        <f>B57+B58+B59</f>
        <v>-370</v>
      </c>
      <c r="C56" s="40">
        <f t="shared" ref="C56:BM56" si="227">C57+C58+C59</f>
        <v>95</v>
      </c>
      <c r="D56" s="40">
        <f t="shared" si="227"/>
        <v>-82</v>
      </c>
      <c r="E56" s="40">
        <f t="shared" si="227"/>
        <v>-20</v>
      </c>
      <c r="F56" s="40">
        <f t="shared" si="227"/>
        <v>296</v>
      </c>
      <c r="G56" s="40">
        <f t="shared" si="227"/>
        <v>-218</v>
      </c>
      <c r="H56" s="40">
        <f t="shared" si="227"/>
        <v>-61</v>
      </c>
      <c r="I56" s="40">
        <f t="shared" si="227"/>
        <v>-355</v>
      </c>
      <c r="J56" s="40">
        <f t="shared" si="227"/>
        <v>-27</v>
      </c>
      <c r="K56" s="40">
        <f t="shared" si="227"/>
        <v>680</v>
      </c>
      <c r="L56" s="40">
        <f t="shared" si="227"/>
        <v>-40</v>
      </c>
      <c r="M56" s="40">
        <f t="shared" si="227"/>
        <v>-567</v>
      </c>
      <c r="N56" s="40">
        <f t="shared" si="227"/>
        <v>122</v>
      </c>
      <c r="O56" s="40">
        <f t="shared" si="227"/>
        <v>880</v>
      </c>
      <c r="P56" s="40">
        <f t="shared" si="227"/>
        <v>-184</v>
      </c>
      <c r="Q56" s="40">
        <f t="shared" si="227"/>
        <v>1095</v>
      </c>
      <c r="R56" s="40">
        <f t="shared" si="227"/>
        <v>-325</v>
      </c>
      <c r="S56" s="630">
        <f t="shared" si="227"/>
        <v>-20</v>
      </c>
      <c r="T56" s="653">
        <f t="shared" si="227"/>
        <v>-345</v>
      </c>
      <c r="U56" s="40">
        <f t="shared" ref="U56:V56" si="228">U57+U58+U59</f>
        <v>274</v>
      </c>
      <c r="V56" s="630">
        <f t="shared" si="228"/>
        <v>-74</v>
      </c>
      <c r="W56" s="653">
        <f t="shared" si="227"/>
        <v>200</v>
      </c>
      <c r="X56" s="40">
        <f t="shared" si="227"/>
        <v>274</v>
      </c>
      <c r="Y56" s="630">
        <f t="shared" si="227"/>
        <v>-131</v>
      </c>
      <c r="Z56" s="653">
        <f t="shared" si="227"/>
        <v>143</v>
      </c>
      <c r="AA56" s="40">
        <f t="shared" ref="AA56:AB56" si="229">AA57+AA58+AA59</f>
        <v>956</v>
      </c>
      <c r="AB56" s="630">
        <f t="shared" si="229"/>
        <v>38</v>
      </c>
      <c r="AC56" s="653">
        <f t="shared" si="227"/>
        <v>994</v>
      </c>
      <c r="AD56" s="40">
        <f t="shared" si="227"/>
        <v>-679</v>
      </c>
      <c r="AE56" s="630">
        <f t="shared" si="227"/>
        <v>-706</v>
      </c>
      <c r="AF56" s="653">
        <f>AF57+AF58+AF59</f>
        <v>-1385</v>
      </c>
      <c r="AG56" s="40">
        <f t="shared" ref="AG56:AH56" si="230">AG57+AG58+AG59</f>
        <v>2637</v>
      </c>
      <c r="AH56" s="630">
        <f t="shared" si="230"/>
        <v>-1031</v>
      </c>
      <c r="AI56" s="653">
        <f>AI57+AI58+AI59</f>
        <v>1606</v>
      </c>
      <c r="AJ56" s="40">
        <f t="shared" ref="AJ56:AK56" si="231">AJ57+AJ58+AJ59</f>
        <v>914</v>
      </c>
      <c r="AK56" s="630">
        <f t="shared" si="231"/>
        <v>-248</v>
      </c>
      <c r="AL56" s="653">
        <f t="shared" si="227"/>
        <v>666</v>
      </c>
      <c r="AM56" s="40">
        <f t="shared" si="227"/>
        <v>-117</v>
      </c>
      <c r="AN56" s="630">
        <f t="shared" ref="AN56" si="232">AN57+AN58+AN59</f>
        <v>-2124</v>
      </c>
      <c r="AO56" s="653">
        <f t="shared" si="227"/>
        <v>-2241</v>
      </c>
      <c r="AP56" s="40">
        <f t="shared" ref="AP56:AR56" si="233">AP57+AP58+AP59</f>
        <v>-167</v>
      </c>
      <c r="AQ56" s="630">
        <f t="shared" si="233"/>
        <v>-123</v>
      </c>
      <c r="AR56" s="653">
        <f t="shared" si="233"/>
        <v>-290</v>
      </c>
      <c r="AS56" s="40">
        <f t="shared" ref="AS56:AU56" si="234">AS57+AS58+AS59</f>
        <v>-604</v>
      </c>
      <c r="AT56" s="630">
        <f t="shared" si="234"/>
        <v>-174</v>
      </c>
      <c r="AU56" s="653">
        <f t="shared" si="234"/>
        <v>-778</v>
      </c>
      <c r="AV56" s="40">
        <f t="shared" ref="AV56:AW56" si="235">AV57+AV58+AV59</f>
        <v>-91</v>
      </c>
      <c r="AW56" s="630">
        <f t="shared" si="235"/>
        <v>-798</v>
      </c>
      <c r="AX56" s="653">
        <f t="shared" ref="AX56:AY56" si="236">AX57+AX58+AX59</f>
        <v>-889</v>
      </c>
      <c r="AY56" s="40">
        <f t="shared" si="236"/>
        <v>-332</v>
      </c>
      <c r="AZ56" s="236">
        <f t="shared" ref="AZ56" si="237">AZ57+AZ58+AZ59</f>
        <v>-93</v>
      </c>
      <c r="BA56" s="605">
        <f t="shared" si="227"/>
        <v>-425</v>
      </c>
      <c r="BB56" s="56">
        <f t="shared" si="227"/>
        <v>-116</v>
      </c>
      <c r="BC56" s="236">
        <f t="shared" ref="BC56" si="238">BC57+BC58+BC59</f>
        <v>-116</v>
      </c>
      <c r="BD56" s="605">
        <f t="shared" si="227"/>
        <v>-232</v>
      </c>
      <c r="BE56" s="56">
        <f t="shared" si="227"/>
        <v>-116</v>
      </c>
      <c r="BF56" s="236">
        <f t="shared" ref="BF56" si="239">BF57+BF58+BF59</f>
        <v>-116</v>
      </c>
      <c r="BG56" s="605">
        <f t="shared" si="227"/>
        <v>-232</v>
      </c>
      <c r="BH56" s="56">
        <f t="shared" si="227"/>
        <v>-116</v>
      </c>
      <c r="BI56" s="236">
        <f t="shared" ref="BI56" si="240">BI57+BI58+BI59</f>
        <v>-116</v>
      </c>
      <c r="BJ56" s="605">
        <f t="shared" si="227"/>
        <v>-232</v>
      </c>
      <c r="BK56" s="56">
        <f t="shared" si="227"/>
        <v>-116</v>
      </c>
      <c r="BL56" s="236">
        <f t="shared" ref="BL56" si="241">BL57+BL58+BL59</f>
        <v>-116</v>
      </c>
      <c r="BM56" s="605">
        <f t="shared" si="227"/>
        <v>-232</v>
      </c>
    </row>
    <row r="57" spans="1:65">
      <c r="A57" s="93" t="s">
        <v>157</v>
      </c>
      <c r="B57" s="40">
        <f>-147-725</f>
        <v>-872</v>
      </c>
      <c r="C57" s="40">
        <f>-46-2</f>
        <v>-48</v>
      </c>
      <c r="D57" s="40">
        <f>-201-48</f>
        <v>-249</v>
      </c>
      <c r="E57" s="40">
        <f>-245-58</f>
        <v>-303</v>
      </c>
      <c r="F57" s="40">
        <f>-57-95</f>
        <v>-152</v>
      </c>
      <c r="G57" s="40">
        <f>-202-5</f>
        <v>-207</v>
      </c>
      <c r="H57" s="40">
        <v>-53</v>
      </c>
      <c r="I57" s="40">
        <v>-350</v>
      </c>
      <c r="J57" s="40">
        <f>-1-22</f>
        <v>-23</v>
      </c>
      <c r="K57" s="40">
        <v>-10</v>
      </c>
      <c r="L57" s="40">
        <v>-108</v>
      </c>
      <c r="M57" s="40">
        <v>-567</v>
      </c>
      <c r="N57" s="40">
        <v>-99</v>
      </c>
      <c r="O57" s="40">
        <v>-133</v>
      </c>
      <c r="P57" s="40">
        <v>-233</v>
      </c>
      <c r="Q57" s="40">
        <v>-54</v>
      </c>
      <c r="R57" s="40">
        <v>-325</v>
      </c>
      <c r="S57" s="630">
        <f t="shared" ref="S57:S59" si="242">T57-R57</f>
        <v>-109</v>
      </c>
      <c r="T57" s="653">
        <v>-434</v>
      </c>
      <c r="U57" s="40">
        <v>-5</v>
      </c>
      <c r="V57" s="630">
        <f t="shared" ref="V57:V59" si="243">W57-U57</f>
        <v>-155</v>
      </c>
      <c r="W57" s="653">
        <v>-160</v>
      </c>
      <c r="X57" s="40">
        <v>-5</v>
      </c>
      <c r="Y57" s="630">
        <f t="shared" ref="Y57:Y59" si="244">Z57-X57</f>
        <v>-155</v>
      </c>
      <c r="Z57" s="653">
        <v>-160</v>
      </c>
      <c r="AA57" s="40">
        <v>-5</v>
      </c>
      <c r="AB57" s="630">
        <f t="shared" ref="AB57:AB59" si="245">AC57-AA57</f>
        <v>-32</v>
      </c>
      <c r="AC57" s="653">
        <v>-37</v>
      </c>
      <c r="AD57" s="40">
        <v>-585</v>
      </c>
      <c r="AE57" s="630">
        <f t="shared" ref="AE57:AE59" si="246">AF57-AD57</f>
        <v>-551</v>
      </c>
      <c r="AF57" s="653">
        <v>-1136</v>
      </c>
      <c r="AG57" s="40">
        <v>-21</v>
      </c>
      <c r="AH57" s="630">
        <f t="shared" ref="AH57:AH59" si="247">AI57-AG57</f>
        <v>-2863</v>
      </c>
      <c r="AI57" s="653">
        <v>-2884</v>
      </c>
      <c r="AJ57" s="40">
        <v>-942</v>
      </c>
      <c r="AK57" s="630">
        <f t="shared" ref="AK57:AK59" si="248">AL57-AJ57</f>
        <v>-23</v>
      </c>
      <c r="AL57" s="653">
        <v>-965</v>
      </c>
      <c r="AM57" s="40">
        <v>-23</v>
      </c>
      <c r="AN57" s="630">
        <f t="shared" ref="AN57:AN59" si="249">AO57-AM57</f>
        <v>-2001</v>
      </c>
      <c r="AO57" s="653">
        <v>-2024</v>
      </c>
      <c r="AP57" s="40">
        <v>-1</v>
      </c>
      <c r="AQ57" s="630">
        <f t="shared" ref="AQ57:AQ59" si="250">AR57-AP57</f>
        <v>0</v>
      </c>
      <c r="AR57" s="653">
        <v>-1</v>
      </c>
      <c r="AS57" s="40">
        <f>-475-11</f>
        <v>-486</v>
      </c>
      <c r="AT57" s="630">
        <f t="shared" ref="AT57:AT59" si="251">AU57-AS57</f>
        <v>0</v>
      </c>
      <c r="AU57" s="653">
        <f>-475-11</f>
        <v>-486</v>
      </c>
      <c r="AV57" s="40">
        <v>-176</v>
      </c>
      <c r="AW57" s="630">
        <f t="shared" ref="AW57:AW59" si="252">AX57-AV57</f>
        <v>-658</v>
      </c>
      <c r="AX57" s="653">
        <f>-927+93</f>
        <v>-834</v>
      </c>
      <c r="AY57" s="40">
        <f>-1032-25</f>
        <v>-1057</v>
      </c>
      <c r="AZ57" s="236">
        <f t="shared" ref="AZ57:AZ59" si="253">BA57-AY57</f>
        <v>0</v>
      </c>
      <c r="BA57" s="580">
        <f>AY57</f>
        <v>-1057</v>
      </c>
      <c r="BB57" s="56">
        <f>BD57/2</f>
        <v>0</v>
      </c>
      <c r="BC57" s="236">
        <f t="shared" ref="BC57:BC59" si="254">BD57-BB57</f>
        <v>0</v>
      </c>
      <c r="BD57" s="580">
        <v>0</v>
      </c>
      <c r="BE57" s="56">
        <f>BG57/2</f>
        <v>0</v>
      </c>
      <c r="BF57" s="236">
        <f t="shared" ref="BF57:BF59" si="255">BG57-BE57</f>
        <v>0</v>
      </c>
      <c r="BG57" s="580">
        <v>0</v>
      </c>
      <c r="BH57" s="56">
        <f>BJ57/2</f>
        <v>0</v>
      </c>
      <c r="BI57" s="236">
        <f t="shared" ref="BI57:BI59" si="256">BJ57-BH57</f>
        <v>0</v>
      </c>
      <c r="BJ57" s="580">
        <v>0</v>
      </c>
      <c r="BK57" s="56">
        <f>BM57/2</f>
        <v>0</v>
      </c>
      <c r="BL57" s="236">
        <f t="shared" ref="BL57:BL59" si="257">BM57-BK57</f>
        <v>0</v>
      </c>
      <c r="BM57" s="580">
        <v>0</v>
      </c>
    </row>
    <row r="58" spans="1:65">
      <c r="A58" s="93" t="s">
        <v>158</v>
      </c>
      <c r="B58" s="40">
        <v>510</v>
      </c>
      <c r="C58" s="40">
        <f>85+69</f>
        <v>154</v>
      </c>
      <c r="D58" s="40">
        <f>46+151</f>
        <v>197</v>
      </c>
      <c r="E58" s="40">
        <f>2+296</f>
        <v>298</v>
      </c>
      <c r="F58" s="40">
        <v>500</v>
      </c>
      <c r="G58" s="40">
        <v>0</v>
      </c>
      <c r="H58" s="40">
        <v>0</v>
      </c>
      <c r="I58" s="40">
        <v>0</v>
      </c>
      <c r="J58" s="40">
        <v>0</v>
      </c>
      <c r="K58" s="40">
        <v>693</v>
      </c>
      <c r="L58" s="40">
        <v>68</v>
      </c>
      <c r="M58" s="40">
        <v>0</v>
      </c>
      <c r="N58" s="40">
        <v>221</v>
      </c>
      <c r="O58" s="40">
        <v>1013</v>
      </c>
      <c r="P58" s="40">
        <v>49</v>
      </c>
      <c r="Q58" s="40">
        <v>1150</v>
      </c>
      <c r="R58" s="40">
        <v>0</v>
      </c>
      <c r="S58" s="630">
        <f t="shared" si="242"/>
        <v>93</v>
      </c>
      <c r="T58" s="653">
        <v>93</v>
      </c>
      <c r="U58" s="40">
        <v>280</v>
      </c>
      <c r="V58" s="630">
        <f t="shared" si="243"/>
        <v>86</v>
      </c>
      <c r="W58" s="653">
        <v>366</v>
      </c>
      <c r="X58" s="40">
        <v>280</v>
      </c>
      <c r="Y58" s="630">
        <f t="shared" si="244"/>
        <v>29</v>
      </c>
      <c r="Z58" s="653">
        <v>309</v>
      </c>
      <c r="AA58" s="40">
        <v>969</v>
      </c>
      <c r="AB58" s="630">
        <f t="shared" si="245"/>
        <v>85</v>
      </c>
      <c r="AC58" s="653">
        <v>1054</v>
      </c>
      <c r="AD58" s="40">
        <v>46</v>
      </c>
      <c r="AE58" s="630">
        <f t="shared" si="246"/>
        <v>-24</v>
      </c>
      <c r="AF58" s="653">
        <v>22</v>
      </c>
      <c r="AG58" s="40">
        <v>2807</v>
      </c>
      <c r="AH58" s="630">
        <f t="shared" si="247"/>
        <v>1967</v>
      </c>
      <c r="AI58" s="653">
        <v>4774</v>
      </c>
      <c r="AJ58" s="40">
        <v>2003</v>
      </c>
      <c r="AK58" s="630">
        <f t="shared" si="248"/>
        <v>2</v>
      </c>
      <c r="AL58" s="653">
        <v>2005</v>
      </c>
      <c r="AM58" s="40">
        <v>1</v>
      </c>
      <c r="AN58" s="630">
        <f t="shared" si="249"/>
        <v>0</v>
      </c>
      <c r="AO58" s="653">
        <v>1</v>
      </c>
      <c r="AP58" s="40">
        <v>1</v>
      </c>
      <c r="AQ58" s="630">
        <f t="shared" si="250"/>
        <v>1</v>
      </c>
      <c r="AR58" s="653">
        <v>2</v>
      </c>
      <c r="AS58" s="40">
        <v>4</v>
      </c>
      <c r="AT58" s="630">
        <f t="shared" si="251"/>
        <v>3</v>
      </c>
      <c r="AU58" s="653">
        <v>7</v>
      </c>
      <c r="AV58" s="40">
        <v>176</v>
      </c>
      <c r="AW58" s="630">
        <f t="shared" si="252"/>
        <v>1</v>
      </c>
      <c r="AX58" s="653">
        <v>177</v>
      </c>
      <c r="AY58" s="40">
        <v>864</v>
      </c>
      <c r="AZ58" s="236">
        <f t="shared" si="253"/>
        <v>0</v>
      </c>
      <c r="BA58" s="580">
        <f>AY58</f>
        <v>864</v>
      </c>
      <c r="BB58" s="56">
        <f>BD58/2</f>
        <v>0</v>
      </c>
      <c r="BC58" s="236">
        <f t="shared" si="254"/>
        <v>0</v>
      </c>
      <c r="BD58" s="580">
        <v>0</v>
      </c>
      <c r="BE58" s="56">
        <f>BG58/2</f>
        <v>0</v>
      </c>
      <c r="BF58" s="236">
        <f t="shared" si="255"/>
        <v>0</v>
      </c>
      <c r="BG58" s="580">
        <v>0</v>
      </c>
      <c r="BH58" s="56">
        <f>BJ58/2</f>
        <v>0</v>
      </c>
      <c r="BI58" s="236">
        <f t="shared" si="256"/>
        <v>0</v>
      </c>
      <c r="BJ58" s="580">
        <v>0</v>
      </c>
      <c r="BK58" s="56">
        <f>BM58/2</f>
        <v>0</v>
      </c>
      <c r="BL58" s="236">
        <f t="shared" si="257"/>
        <v>0</v>
      </c>
      <c r="BM58" s="580">
        <v>0</v>
      </c>
    </row>
    <row r="59" spans="1:65">
      <c r="A59" s="93" t="s">
        <v>159</v>
      </c>
      <c r="B59" s="40">
        <v>-8</v>
      </c>
      <c r="C59" s="40">
        <v>-11</v>
      </c>
      <c r="D59" s="40">
        <v>-30</v>
      </c>
      <c r="E59" s="40">
        <v>-15</v>
      </c>
      <c r="F59" s="40">
        <v>-52</v>
      </c>
      <c r="G59" s="40">
        <v>-11</v>
      </c>
      <c r="H59" s="40">
        <v>-8</v>
      </c>
      <c r="I59" s="40">
        <v>-5</v>
      </c>
      <c r="J59" s="40">
        <v>-4</v>
      </c>
      <c r="K59" s="40">
        <v>-3</v>
      </c>
      <c r="L59" s="40">
        <v>0</v>
      </c>
      <c r="M59" s="40">
        <v>0</v>
      </c>
      <c r="N59" s="40">
        <v>0</v>
      </c>
      <c r="O59" s="40">
        <v>0</v>
      </c>
      <c r="P59" s="40">
        <v>0</v>
      </c>
      <c r="Q59" s="40">
        <v>-1</v>
      </c>
      <c r="R59" s="40">
        <v>0</v>
      </c>
      <c r="S59" s="630">
        <f t="shared" si="242"/>
        <v>-4</v>
      </c>
      <c r="T59" s="653">
        <v>-4</v>
      </c>
      <c r="U59" s="40">
        <v>-1</v>
      </c>
      <c r="V59" s="630">
        <f t="shared" si="243"/>
        <v>-5</v>
      </c>
      <c r="W59" s="653">
        <v>-6</v>
      </c>
      <c r="X59" s="40">
        <v>-1</v>
      </c>
      <c r="Y59" s="630">
        <f t="shared" si="244"/>
        <v>-5</v>
      </c>
      <c r="Z59" s="653">
        <v>-6</v>
      </c>
      <c r="AA59" s="40">
        <v>-8</v>
      </c>
      <c r="AB59" s="630">
        <f t="shared" si="245"/>
        <v>-15</v>
      </c>
      <c r="AC59" s="653">
        <v>-23</v>
      </c>
      <c r="AD59" s="40">
        <v>-140</v>
      </c>
      <c r="AE59" s="630">
        <f t="shared" si="246"/>
        <v>-131</v>
      </c>
      <c r="AF59" s="653">
        <v>-271</v>
      </c>
      <c r="AG59" s="40">
        <v>-149</v>
      </c>
      <c r="AH59" s="630">
        <f t="shared" si="247"/>
        <v>-135</v>
      </c>
      <c r="AI59" s="653">
        <v>-284</v>
      </c>
      <c r="AJ59" s="40">
        <v>-147</v>
      </c>
      <c r="AK59" s="630">
        <f t="shared" si="248"/>
        <v>-227</v>
      </c>
      <c r="AL59" s="653">
        <v>-374</v>
      </c>
      <c r="AM59" s="40">
        <v>-95</v>
      </c>
      <c r="AN59" s="630">
        <f t="shared" si="249"/>
        <v>-123</v>
      </c>
      <c r="AO59" s="653">
        <v>-218</v>
      </c>
      <c r="AP59" s="40">
        <v>-167</v>
      </c>
      <c r="AQ59" s="630">
        <f t="shared" si="250"/>
        <v>-124</v>
      </c>
      <c r="AR59" s="653">
        <v>-291</v>
      </c>
      <c r="AS59" s="40">
        <v>-122</v>
      </c>
      <c r="AT59" s="630">
        <f t="shared" si="251"/>
        <v>-177</v>
      </c>
      <c r="AU59" s="653">
        <v>-299</v>
      </c>
      <c r="AV59" s="40">
        <v>-91</v>
      </c>
      <c r="AW59" s="630">
        <f t="shared" si="252"/>
        <v>-141</v>
      </c>
      <c r="AX59" s="653">
        <v>-232</v>
      </c>
      <c r="AY59" s="40">
        <v>-139</v>
      </c>
      <c r="AZ59" s="236">
        <f t="shared" si="253"/>
        <v>-93</v>
      </c>
      <c r="BA59" s="605">
        <f>+AX59</f>
        <v>-232</v>
      </c>
      <c r="BB59" s="56">
        <f>BD59/2</f>
        <v>-116</v>
      </c>
      <c r="BC59" s="236">
        <f t="shared" si="254"/>
        <v>-116</v>
      </c>
      <c r="BD59" s="605">
        <f>+BA59</f>
        <v>-232</v>
      </c>
      <c r="BE59" s="56">
        <f>BG59/2</f>
        <v>-116</v>
      </c>
      <c r="BF59" s="236">
        <f t="shared" si="255"/>
        <v>-116</v>
      </c>
      <c r="BG59" s="605">
        <f>+BD59</f>
        <v>-232</v>
      </c>
      <c r="BH59" s="56">
        <f>BJ59/2</f>
        <v>-116</v>
      </c>
      <c r="BI59" s="236">
        <f t="shared" si="256"/>
        <v>-116</v>
      </c>
      <c r="BJ59" s="605">
        <f>+BG59</f>
        <v>-232</v>
      </c>
      <c r="BK59" s="56">
        <f>BM59/2</f>
        <v>-116</v>
      </c>
      <c r="BL59" s="236">
        <f t="shared" si="257"/>
        <v>-116</v>
      </c>
      <c r="BM59" s="605">
        <f t="shared" ref="BM59" si="258">+BJ59</f>
        <v>-232</v>
      </c>
    </row>
    <row r="60" spans="1:65">
      <c r="A60" s="25" t="s">
        <v>240</v>
      </c>
      <c r="B60" s="40">
        <f>B61+B62+B63</f>
        <v>-76</v>
      </c>
      <c r="C60" s="40">
        <f t="shared" ref="C60:P60" si="259">C61+C62+C63</f>
        <v>-54</v>
      </c>
      <c r="D60" s="40">
        <f t="shared" si="259"/>
        <v>-84</v>
      </c>
      <c r="E60" s="40">
        <f t="shared" si="259"/>
        <v>-56</v>
      </c>
      <c r="F60" s="40">
        <f t="shared" si="259"/>
        <v>-52</v>
      </c>
      <c r="G60" s="40">
        <f t="shared" si="259"/>
        <v>-49</v>
      </c>
      <c r="H60" s="40">
        <f t="shared" si="259"/>
        <v>-14</v>
      </c>
      <c r="I60" s="40">
        <f t="shared" si="259"/>
        <v>-1</v>
      </c>
      <c r="J60" s="40">
        <f t="shared" si="259"/>
        <v>-2</v>
      </c>
      <c r="K60" s="40">
        <f t="shared" si="259"/>
        <v>-43</v>
      </c>
      <c r="L60" s="40">
        <f t="shared" si="259"/>
        <v>-54</v>
      </c>
      <c r="M60" s="40">
        <f t="shared" si="259"/>
        <v>-31</v>
      </c>
      <c r="N60" s="40">
        <f t="shared" si="259"/>
        <v>-41</v>
      </c>
      <c r="O60" s="40">
        <f t="shared" si="259"/>
        <v>-43</v>
      </c>
      <c r="P60" s="40">
        <f t="shared" si="259"/>
        <v>-45</v>
      </c>
      <c r="Q60" s="40">
        <f>Q61+Q62+Q63</f>
        <v>-55</v>
      </c>
      <c r="R60" s="40">
        <f t="shared" ref="R60:S60" si="260">R61+R62+R63</f>
        <v>-48</v>
      </c>
      <c r="S60" s="630">
        <f t="shared" si="260"/>
        <v>-24</v>
      </c>
      <c r="T60" s="653">
        <f t="shared" ref="T60:BM60" si="261">T61+T62+T63</f>
        <v>-72</v>
      </c>
      <c r="U60" s="40">
        <f t="shared" ref="U60:V60" si="262">U61+U62+U63</f>
        <v>-33</v>
      </c>
      <c r="V60" s="630">
        <f t="shared" si="262"/>
        <v>-20</v>
      </c>
      <c r="W60" s="653">
        <f t="shared" si="261"/>
        <v>-53</v>
      </c>
      <c r="X60" s="40">
        <f t="shared" si="261"/>
        <v>-33</v>
      </c>
      <c r="Y60" s="630">
        <f t="shared" si="261"/>
        <v>-20</v>
      </c>
      <c r="Z60" s="653">
        <f t="shared" si="261"/>
        <v>-53</v>
      </c>
      <c r="AA60" s="40">
        <f t="shared" ref="AA60:AB60" si="263">AA61+AA62+AA63</f>
        <v>-40</v>
      </c>
      <c r="AB60" s="630">
        <f t="shared" si="263"/>
        <v>-30</v>
      </c>
      <c r="AC60" s="653">
        <f t="shared" si="261"/>
        <v>-70</v>
      </c>
      <c r="AD60" s="40">
        <f t="shared" si="261"/>
        <v>-89</v>
      </c>
      <c r="AE60" s="630">
        <f t="shared" si="261"/>
        <v>-103</v>
      </c>
      <c r="AF60" s="653">
        <f>AF61+AF62+AF63</f>
        <v>-192</v>
      </c>
      <c r="AG60" s="40">
        <f t="shared" ref="AG60:AH60" si="264">AG61+AG62+AG63</f>
        <v>-153</v>
      </c>
      <c r="AH60" s="630">
        <f t="shared" si="264"/>
        <v>-106</v>
      </c>
      <c r="AI60" s="653">
        <f>AI61+AI62+AI63</f>
        <v>-259</v>
      </c>
      <c r="AJ60" s="40">
        <f t="shared" ref="AJ60:AK60" si="265">AJ61+AJ62+AJ63</f>
        <v>-450</v>
      </c>
      <c r="AK60" s="630">
        <f t="shared" si="265"/>
        <v>-324</v>
      </c>
      <c r="AL60" s="653">
        <f>AL61+AL62+AL63</f>
        <v>-774</v>
      </c>
      <c r="AM60" s="40">
        <f t="shared" ref="AM60:AN60" si="266">AM61+AM62+AM63</f>
        <v>-431</v>
      </c>
      <c r="AN60" s="630">
        <f t="shared" si="266"/>
        <v>-211</v>
      </c>
      <c r="AO60" s="653">
        <f t="shared" si="261"/>
        <v>-642</v>
      </c>
      <c r="AP60" s="40">
        <f t="shared" ref="AP60:AR60" si="267">AP61+AP62+AP63</f>
        <v>-309</v>
      </c>
      <c r="AQ60" s="630">
        <f t="shared" si="267"/>
        <v>-254</v>
      </c>
      <c r="AR60" s="653">
        <f t="shared" si="267"/>
        <v>-563</v>
      </c>
      <c r="AS60" s="40">
        <f t="shared" ref="AS60:AU60" si="268">AS61+AS62+AS63</f>
        <v>-108</v>
      </c>
      <c r="AT60" s="630">
        <f t="shared" si="268"/>
        <v>-67</v>
      </c>
      <c r="AU60" s="653">
        <f t="shared" si="268"/>
        <v>-175</v>
      </c>
      <c r="AV60" s="40">
        <f t="shared" ref="AV60:AW60" si="269">AV61+AV62+AV63</f>
        <v>-102</v>
      </c>
      <c r="AW60" s="630">
        <f t="shared" si="269"/>
        <v>-38</v>
      </c>
      <c r="AX60" s="653">
        <f t="shared" ref="AX60:AY60" si="270">AX61+AX62+AX63</f>
        <v>-140</v>
      </c>
      <c r="AY60" s="40">
        <f t="shared" si="270"/>
        <v>-34</v>
      </c>
      <c r="AZ60" s="236">
        <f t="shared" ref="AZ60" si="271">AZ61+AZ62+AZ63</f>
        <v>47.792500000000018</v>
      </c>
      <c r="BA60" s="605">
        <f t="shared" si="261"/>
        <v>13.792500000000018</v>
      </c>
      <c r="BB60" s="56">
        <f t="shared" si="261"/>
        <v>36.982974542340287</v>
      </c>
      <c r="BC60" s="236">
        <f t="shared" ref="BC60" si="272">BC61+BC62+BC63</f>
        <v>36.982974542340287</v>
      </c>
      <c r="BD60" s="605">
        <f t="shared" si="261"/>
        <v>73.965949084680574</v>
      </c>
      <c r="BE60" s="56">
        <f t="shared" si="261"/>
        <v>59.190334665408955</v>
      </c>
      <c r="BF60" s="236">
        <f t="shared" ref="BF60" si="273">BF61+BF62+BF63</f>
        <v>59.190334665408955</v>
      </c>
      <c r="BG60" s="605">
        <f t="shared" si="261"/>
        <v>118.38066933081791</v>
      </c>
      <c r="BH60" s="56">
        <f t="shared" si="261"/>
        <v>104.83938837383957</v>
      </c>
      <c r="BI60" s="236">
        <f t="shared" ref="BI60" si="274">BI61+BI62+BI63</f>
        <v>104.83938837383957</v>
      </c>
      <c r="BJ60" s="605">
        <f t="shared" si="261"/>
        <v>209.67877674767914</v>
      </c>
      <c r="BK60" s="56">
        <f t="shared" si="261"/>
        <v>231.99106024334878</v>
      </c>
      <c r="BL60" s="236">
        <f t="shared" ref="BL60" si="275">BL61+BL62+BL63</f>
        <v>231.99106024334878</v>
      </c>
      <c r="BM60" s="605">
        <f t="shared" si="261"/>
        <v>463.98212048669757</v>
      </c>
    </row>
    <row r="61" spans="1:65">
      <c r="A61" s="93" t="s">
        <v>160</v>
      </c>
      <c r="B61" s="40">
        <v>26</v>
      </c>
      <c r="C61" s="40">
        <v>25</v>
      </c>
      <c r="D61" s="40">
        <v>23</v>
      </c>
      <c r="E61" s="40">
        <v>28</v>
      </c>
      <c r="F61" s="40">
        <v>58</v>
      </c>
      <c r="G61" s="40">
        <v>41</v>
      </c>
      <c r="H61" s="40">
        <v>84</v>
      </c>
      <c r="I61" s="40">
        <v>95</v>
      </c>
      <c r="J61" s="40">
        <v>52</v>
      </c>
      <c r="K61" s="40">
        <v>24</v>
      </c>
      <c r="L61" s="40">
        <v>23</v>
      </c>
      <c r="M61" s="40">
        <v>19</v>
      </c>
      <c r="N61" s="40">
        <v>11</v>
      </c>
      <c r="O61" s="40">
        <v>15</v>
      </c>
      <c r="P61" s="40">
        <v>18</v>
      </c>
      <c r="Q61" s="40">
        <v>5</v>
      </c>
      <c r="R61" s="40">
        <v>7</v>
      </c>
      <c r="S61" s="630">
        <f>T61-R61</f>
        <v>7</v>
      </c>
      <c r="T61" s="653">
        <v>14</v>
      </c>
      <c r="U61" s="40">
        <v>3</v>
      </c>
      <c r="V61" s="630">
        <f>W61-U61</f>
        <v>11</v>
      </c>
      <c r="W61" s="653">
        <v>14</v>
      </c>
      <c r="X61" s="40">
        <v>3</v>
      </c>
      <c r="Y61" s="630">
        <f>Z61-X61</f>
        <v>11</v>
      </c>
      <c r="Z61" s="653">
        <v>14</v>
      </c>
      <c r="AA61" s="40">
        <v>11</v>
      </c>
      <c r="AB61" s="630">
        <f>AC61-AA61</f>
        <v>16</v>
      </c>
      <c r="AC61" s="653">
        <v>27</v>
      </c>
      <c r="AD61" s="40">
        <v>19</v>
      </c>
      <c r="AE61" s="630">
        <f>AF61-AD61</f>
        <v>-19</v>
      </c>
      <c r="AF61" s="653">
        <v>0</v>
      </c>
      <c r="AG61" s="40">
        <v>12</v>
      </c>
      <c r="AH61" s="630">
        <f>AI61-AG61</f>
        <v>-12</v>
      </c>
      <c r="AI61" s="653">
        <v>0</v>
      </c>
      <c r="AJ61" s="40">
        <v>3</v>
      </c>
      <c r="AK61" s="630">
        <f>AL61-AJ61</f>
        <v>6</v>
      </c>
      <c r="AL61" s="653">
        <v>9</v>
      </c>
      <c r="AM61" s="40">
        <v>6</v>
      </c>
      <c r="AN61" s="630">
        <f>AO61-AM61</f>
        <v>30</v>
      </c>
      <c r="AO61" s="653">
        <v>36</v>
      </c>
      <c r="AP61" s="40">
        <v>60</v>
      </c>
      <c r="AQ61" s="630">
        <f>AR61-AP61</f>
        <v>99</v>
      </c>
      <c r="AR61" s="653">
        <v>159</v>
      </c>
      <c r="AS61" s="40">
        <v>124</v>
      </c>
      <c r="AT61" s="630">
        <f>AU61-AS61</f>
        <v>145</v>
      </c>
      <c r="AU61" s="653">
        <v>269</v>
      </c>
      <c r="AV61" s="40">
        <v>150</v>
      </c>
      <c r="AW61" s="630">
        <f>AX61-AV61</f>
        <v>120</v>
      </c>
      <c r="AX61" s="653">
        <v>270</v>
      </c>
      <c r="AY61" s="40">
        <v>110</v>
      </c>
      <c r="AZ61" s="236">
        <f>BA61-AY61</f>
        <v>202.20000000000005</v>
      </c>
      <c r="BA61" s="605">
        <f>BS!BA180</f>
        <v>312.20000000000005</v>
      </c>
      <c r="BB61" s="56">
        <f>BS!BB180</f>
        <v>169.55047454234028</v>
      </c>
      <c r="BC61" s="236">
        <f>BD61-BB61</f>
        <v>169.55047454234028</v>
      </c>
      <c r="BD61" s="605">
        <f>BS!BD180</f>
        <v>339.10094908468056</v>
      </c>
      <c r="BE61" s="56">
        <f>BS!BE180</f>
        <v>191.75783466540895</v>
      </c>
      <c r="BF61" s="236">
        <f>BG61-BE61</f>
        <v>191.75783466540895</v>
      </c>
      <c r="BG61" s="605">
        <f>BS!BG180</f>
        <v>383.5156693308179</v>
      </c>
      <c r="BH61" s="56">
        <f>BS!BH180</f>
        <v>237.40688837383956</v>
      </c>
      <c r="BI61" s="236">
        <f>BJ61-BH61</f>
        <v>237.40688837383956</v>
      </c>
      <c r="BJ61" s="605">
        <f>BS!BJ180</f>
        <v>474.81377674767913</v>
      </c>
      <c r="BK61" s="56">
        <f>BS!BK180</f>
        <v>364.55856024334878</v>
      </c>
      <c r="BL61" s="236">
        <f>BM61-BK61</f>
        <v>364.55856024334878</v>
      </c>
      <c r="BM61" s="605">
        <f>BS!BM180</f>
        <v>729.11712048669756</v>
      </c>
    </row>
    <row r="62" spans="1:65">
      <c r="A62" s="93" t="s">
        <v>161</v>
      </c>
      <c r="B62" s="40">
        <v>-96</v>
      </c>
      <c r="C62" s="40">
        <v>-73</v>
      </c>
      <c r="D62" s="40">
        <v>-101</v>
      </c>
      <c r="E62" s="40">
        <v>-79</v>
      </c>
      <c r="F62" s="40">
        <v>-107</v>
      </c>
      <c r="G62" s="40">
        <v>-88</v>
      </c>
      <c r="H62" s="40">
        <v>-96</v>
      </c>
      <c r="I62" s="40">
        <v>-93</v>
      </c>
      <c r="J62" s="40">
        <v>-53</v>
      </c>
      <c r="K62" s="40">
        <v>-66</v>
      </c>
      <c r="L62" s="40">
        <v>-77</v>
      </c>
      <c r="M62" s="40">
        <v>-50</v>
      </c>
      <c r="N62" s="40">
        <v>-52</v>
      </c>
      <c r="O62" s="40">
        <v>-58</v>
      </c>
      <c r="P62" s="40">
        <v>-63</v>
      </c>
      <c r="Q62" s="40">
        <v>-58</v>
      </c>
      <c r="R62" s="40">
        <v>-54</v>
      </c>
      <c r="S62" s="630">
        <f>T62-R62</f>
        <v>-30</v>
      </c>
      <c r="T62" s="653">
        <v>-84</v>
      </c>
      <c r="U62" s="40">
        <v>-36</v>
      </c>
      <c r="V62" s="630">
        <f>W62-U62</f>
        <v>-28</v>
      </c>
      <c r="W62" s="653">
        <v>-64</v>
      </c>
      <c r="X62" s="40">
        <v>-36</v>
      </c>
      <c r="Y62" s="630">
        <f>Z62-X62</f>
        <v>-28</v>
      </c>
      <c r="Z62" s="653">
        <v>-64</v>
      </c>
      <c r="AA62" s="40">
        <v>-47</v>
      </c>
      <c r="AB62" s="630">
        <f>AC62-AA62</f>
        <v>-45</v>
      </c>
      <c r="AC62" s="653">
        <v>-92</v>
      </c>
      <c r="AD62" s="40">
        <v>-64</v>
      </c>
      <c r="AE62" s="630">
        <f>AF62-AD62</f>
        <v>-40</v>
      </c>
      <c r="AF62" s="653">
        <v>-104</v>
      </c>
      <c r="AG62" s="40">
        <f>-38-88</f>
        <v>-126</v>
      </c>
      <c r="AH62" s="630">
        <f>AI62-AG62</f>
        <v>-59</v>
      </c>
      <c r="AI62" s="653">
        <f>-88-97</f>
        <v>-185</v>
      </c>
      <c r="AJ62" s="40">
        <f>-84-35-303</f>
        <v>-422</v>
      </c>
      <c r="AK62" s="630">
        <f>AL62-AJ62</f>
        <v>-298</v>
      </c>
      <c r="AL62" s="653">
        <f>-206-452-62</f>
        <v>-720</v>
      </c>
      <c r="AM62" s="40">
        <f>-120-23-265</f>
        <v>-408</v>
      </c>
      <c r="AN62" s="630">
        <f>AO62-AM62</f>
        <v>-202</v>
      </c>
      <c r="AO62" s="653">
        <f>-235-49-326</f>
        <v>-610</v>
      </c>
      <c r="AP62" s="40">
        <f>-94-23-210</f>
        <v>-327</v>
      </c>
      <c r="AQ62" s="630">
        <f>AR62-AP62</f>
        <v>-310</v>
      </c>
      <c r="AR62" s="653">
        <f>-196-52-389</f>
        <v>-637</v>
      </c>
      <c r="AS62" s="40">
        <f>-103-12-75</f>
        <v>-190</v>
      </c>
      <c r="AT62" s="630">
        <f>AU62-AS62</f>
        <v>-171</v>
      </c>
      <c r="AU62" s="653">
        <f>-200-15-146</f>
        <v>-361</v>
      </c>
      <c r="AV62" s="40">
        <f>-96-2-116</f>
        <v>-214</v>
      </c>
      <c r="AW62" s="630">
        <f>AX62-AV62</f>
        <v>-122</v>
      </c>
      <c r="AX62" s="653">
        <f>-180-8-148</f>
        <v>-336</v>
      </c>
      <c r="AY62" s="40">
        <f>-79-1-27</f>
        <v>-107</v>
      </c>
      <c r="AZ62" s="236">
        <f>BA62-AY62</f>
        <v>-117.40750000000003</v>
      </c>
      <c r="BA62" s="605">
        <f>BS!BA194-BA63-27</f>
        <v>-224.40750000000003</v>
      </c>
      <c r="BB62" s="56">
        <f>BS!BB194-BB63</f>
        <v>-95.567499999999995</v>
      </c>
      <c r="BC62" s="236">
        <f>BD62-BB62</f>
        <v>-95.567499999999995</v>
      </c>
      <c r="BD62" s="605">
        <f>BS!BD194-BD63</f>
        <v>-191.13499999999999</v>
      </c>
      <c r="BE62" s="56">
        <f>BS!BE194-BE63</f>
        <v>-95.567499999999995</v>
      </c>
      <c r="BF62" s="236">
        <f>BG62-BE62</f>
        <v>-95.567499999999995</v>
      </c>
      <c r="BG62" s="605">
        <f>BS!BG194-BG63</f>
        <v>-191.13499999999999</v>
      </c>
      <c r="BH62" s="56">
        <f>BS!BH194-BH63</f>
        <v>-95.567499999999995</v>
      </c>
      <c r="BI62" s="236">
        <f>BJ62-BH62</f>
        <v>-95.567499999999995</v>
      </c>
      <c r="BJ62" s="605">
        <f>BS!BJ194-BJ63</f>
        <v>-191.13499999999999</v>
      </c>
      <c r="BK62" s="56">
        <f>BS!BK194-BK63</f>
        <v>-95.567499999999995</v>
      </c>
      <c r="BL62" s="236">
        <f>BM62-BK62</f>
        <v>-95.567499999999995</v>
      </c>
      <c r="BM62" s="605">
        <f>BS!BM194-BM63</f>
        <v>-191.13499999999999</v>
      </c>
    </row>
    <row r="63" spans="1:65">
      <c r="A63" s="93" t="s">
        <v>162</v>
      </c>
      <c r="B63" s="40">
        <v>-6</v>
      </c>
      <c r="C63" s="40">
        <v>-6</v>
      </c>
      <c r="D63" s="40">
        <v>-6</v>
      </c>
      <c r="E63" s="40">
        <v>-5</v>
      </c>
      <c r="F63" s="40">
        <v>-3</v>
      </c>
      <c r="G63" s="40">
        <v>-2</v>
      </c>
      <c r="H63" s="40">
        <v>-2</v>
      </c>
      <c r="I63" s="40">
        <v>-3</v>
      </c>
      <c r="J63" s="40">
        <v>-1</v>
      </c>
      <c r="K63" s="40">
        <v>-1</v>
      </c>
      <c r="L63" s="40">
        <v>0</v>
      </c>
      <c r="M63" s="40">
        <v>0</v>
      </c>
      <c r="N63" s="40">
        <v>0</v>
      </c>
      <c r="O63" s="40">
        <v>0</v>
      </c>
      <c r="P63" s="40">
        <v>0</v>
      </c>
      <c r="Q63" s="40">
        <v>-2</v>
      </c>
      <c r="R63" s="40">
        <v>-1</v>
      </c>
      <c r="S63" s="630">
        <f>T63-R63</f>
        <v>-1</v>
      </c>
      <c r="T63" s="653">
        <v>-2</v>
      </c>
      <c r="U63" s="40">
        <v>0</v>
      </c>
      <c r="V63" s="630">
        <f>W63-U63</f>
        <v>-3</v>
      </c>
      <c r="W63" s="653">
        <v>-3</v>
      </c>
      <c r="X63" s="40">
        <v>0</v>
      </c>
      <c r="Y63" s="630">
        <f>Z63-X63</f>
        <v>-3</v>
      </c>
      <c r="Z63" s="653">
        <v>-3</v>
      </c>
      <c r="AA63" s="40">
        <v>-4</v>
      </c>
      <c r="AB63" s="630">
        <f>AC63-AA63</f>
        <v>-1</v>
      </c>
      <c r="AC63" s="653">
        <v>-5</v>
      </c>
      <c r="AD63" s="40">
        <v>-44</v>
      </c>
      <c r="AE63" s="630">
        <f>AF63-AD63</f>
        <v>-44</v>
      </c>
      <c r="AF63" s="653">
        <v>-88</v>
      </c>
      <c r="AG63" s="40">
        <v>-39</v>
      </c>
      <c r="AH63" s="630">
        <f>AI63-AG63</f>
        <v>-35</v>
      </c>
      <c r="AI63" s="653">
        <v>-74</v>
      </c>
      <c r="AJ63" s="40">
        <v>-31</v>
      </c>
      <c r="AK63" s="630">
        <f>AL63-AJ63</f>
        <v>-32</v>
      </c>
      <c r="AL63" s="653">
        <v>-63</v>
      </c>
      <c r="AM63" s="40">
        <v>-29</v>
      </c>
      <c r="AN63" s="630">
        <f>AO63-AM63</f>
        <v>-39</v>
      </c>
      <c r="AO63" s="653">
        <v>-68</v>
      </c>
      <c r="AP63" s="40">
        <v>-42</v>
      </c>
      <c r="AQ63" s="630">
        <f>AR63-AP63</f>
        <v>-43</v>
      </c>
      <c r="AR63" s="653">
        <v>-85</v>
      </c>
      <c r="AS63" s="40">
        <v>-42</v>
      </c>
      <c r="AT63" s="630">
        <f>AU63-AS63</f>
        <v>-41</v>
      </c>
      <c r="AU63" s="653">
        <v>-83</v>
      </c>
      <c r="AV63" s="40">
        <v>-38</v>
      </c>
      <c r="AW63" s="630">
        <f>AX63-AV63</f>
        <v>-36</v>
      </c>
      <c r="AX63" s="653">
        <v>-74</v>
      </c>
      <c r="AY63" s="40">
        <v>-37</v>
      </c>
      <c r="AZ63" s="236">
        <f>BA63-AY63</f>
        <v>-37</v>
      </c>
      <c r="BA63" s="605">
        <f>AX63</f>
        <v>-74</v>
      </c>
      <c r="BB63" s="56">
        <f>BD63/2</f>
        <v>-37</v>
      </c>
      <c r="BC63" s="236">
        <f>BD63-BB63</f>
        <v>-37</v>
      </c>
      <c r="BD63" s="605">
        <f>BA63</f>
        <v>-74</v>
      </c>
      <c r="BE63" s="56">
        <f>BG63/2</f>
        <v>-37</v>
      </c>
      <c r="BF63" s="236">
        <f>BG63-BE63</f>
        <v>-37</v>
      </c>
      <c r="BG63" s="605">
        <f>BD63</f>
        <v>-74</v>
      </c>
      <c r="BH63" s="56">
        <f>BJ63/2</f>
        <v>-37</v>
      </c>
      <c r="BI63" s="236">
        <f>BJ63-BH63</f>
        <v>-37</v>
      </c>
      <c r="BJ63" s="605">
        <f>BG63</f>
        <v>-74</v>
      </c>
      <c r="BK63" s="56">
        <f>BM63/2</f>
        <v>-37</v>
      </c>
      <c r="BL63" s="236">
        <f>BM63-BK63</f>
        <v>-37</v>
      </c>
      <c r="BM63" s="605">
        <f t="shared" ref="BM63" si="276">BJ63</f>
        <v>-74</v>
      </c>
    </row>
    <row r="64" spans="1:65">
      <c r="A64" s="25" t="s">
        <v>217</v>
      </c>
      <c r="B64" s="40">
        <v>324</v>
      </c>
      <c r="C64" s="40">
        <v>-162</v>
      </c>
      <c r="D64" s="40">
        <v>217</v>
      </c>
      <c r="E64" s="40">
        <f>-90</f>
        <v>-90</v>
      </c>
      <c r="F64" s="40">
        <v>3</v>
      </c>
      <c r="G64" s="40">
        <v>-1</v>
      </c>
      <c r="H64" s="40">
        <v>3</v>
      </c>
      <c r="I64" s="40">
        <v>-6</v>
      </c>
      <c r="J64" s="40">
        <v>39</v>
      </c>
      <c r="K64" s="40">
        <v>-1</v>
      </c>
      <c r="L64" s="40">
        <v>-326</v>
      </c>
      <c r="M64" s="40">
        <v>316</v>
      </c>
      <c r="N64" s="40">
        <v>0</v>
      </c>
      <c r="O64" s="40">
        <v>-313</v>
      </c>
      <c r="P64" s="40">
        <v>313</v>
      </c>
      <c r="Q64" s="40">
        <v>5</v>
      </c>
      <c r="R64" s="40">
        <v>1</v>
      </c>
      <c r="S64" s="630">
        <f>T64-R64</f>
        <v>-2</v>
      </c>
      <c r="T64" s="653">
        <v>-1</v>
      </c>
      <c r="U64" s="40">
        <v>0</v>
      </c>
      <c r="V64" s="630">
        <f>W64-U64</f>
        <v>0</v>
      </c>
      <c r="W64" s="653">
        <v>0</v>
      </c>
      <c r="X64" s="40">
        <v>0</v>
      </c>
      <c r="Y64" s="630">
        <f>Z64-X64</f>
        <v>0</v>
      </c>
      <c r="Z64" s="653">
        <v>0</v>
      </c>
      <c r="AA64" s="40">
        <v>0</v>
      </c>
      <c r="AB64" s="630">
        <f>AC64-AA64</f>
        <v>-3</v>
      </c>
      <c r="AC64" s="653">
        <v>-3</v>
      </c>
      <c r="AD64" s="40">
        <v>6</v>
      </c>
      <c r="AE64" s="630">
        <f>AF64-AD64</f>
        <v>-6</v>
      </c>
      <c r="AF64" s="653">
        <v>0</v>
      </c>
      <c r="AG64" s="40">
        <v>6</v>
      </c>
      <c r="AH64" s="630">
        <f>AI64-AG64</f>
        <v>-208</v>
      </c>
      <c r="AI64" s="653">
        <v>-202</v>
      </c>
      <c r="AJ64" s="40">
        <v>0</v>
      </c>
      <c r="AK64" s="630">
        <f>AL64-AJ64</f>
        <v>0</v>
      </c>
      <c r="AL64" s="653">
        <v>0</v>
      </c>
      <c r="AM64" s="40">
        <v>0</v>
      </c>
      <c r="AN64" s="630">
        <f>AO64-AM64</f>
        <v>0</v>
      </c>
      <c r="AO64" s="653">
        <v>0</v>
      </c>
      <c r="AP64" s="40">
        <v>0</v>
      </c>
      <c r="AQ64" s="630">
        <f>AR64-AP64</f>
        <v>0</v>
      </c>
      <c r="AR64" s="653">
        <v>0</v>
      </c>
      <c r="AS64" s="40">
        <v>0</v>
      </c>
      <c r="AT64" s="630">
        <f>AU64-AS64</f>
        <v>0</v>
      </c>
      <c r="AU64" s="653">
        <v>0</v>
      </c>
      <c r="AV64" s="40">
        <v>0</v>
      </c>
      <c r="AW64" s="630">
        <f>AX64-AV64</f>
        <v>40</v>
      </c>
      <c r="AX64" s="550">
        <v>40</v>
      </c>
      <c r="AY64" s="40">
        <v>0</v>
      </c>
      <c r="AZ64" s="236">
        <f>BA64-AY64</f>
        <v>0</v>
      </c>
      <c r="BA64" s="580">
        <v>0</v>
      </c>
      <c r="BB64" s="56">
        <f>BD64/2</f>
        <v>0</v>
      </c>
      <c r="BC64" s="236">
        <f>BD64-BB64</f>
        <v>0</v>
      </c>
      <c r="BD64" s="580">
        <v>0</v>
      </c>
      <c r="BE64" s="56">
        <f>BG64/2</f>
        <v>0</v>
      </c>
      <c r="BF64" s="236">
        <f>BG64-BE64</f>
        <v>0</v>
      </c>
      <c r="BG64" s="580">
        <v>0</v>
      </c>
      <c r="BH64" s="56">
        <f>BJ64/2</f>
        <v>0</v>
      </c>
      <c r="BI64" s="236">
        <f>BJ64-BH64</f>
        <v>0</v>
      </c>
      <c r="BJ64" s="580">
        <v>0</v>
      </c>
      <c r="BK64" s="56">
        <f>BM64/2</f>
        <v>0</v>
      </c>
      <c r="BL64" s="236">
        <f>BM64-BK64</f>
        <v>0</v>
      </c>
      <c r="BM64" s="580">
        <v>0</v>
      </c>
    </row>
    <row r="65" spans="1:65">
      <c r="A65" s="25" t="s">
        <v>238</v>
      </c>
      <c r="B65" s="40">
        <f>B66+B67+B68+B69</f>
        <v>10</v>
      </c>
      <c r="C65" s="40">
        <f t="shared" ref="C65:BM65" si="277">C66+C67+C68+C69</f>
        <v>16</v>
      </c>
      <c r="D65" s="40">
        <f t="shared" si="277"/>
        <v>1</v>
      </c>
      <c r="E65" s="40">
        <f t="shared" si="277"/>
        <v>3</v>
      </c>
      <c r="F65" s="40">
        <f t="shared" si="277"/>
        <v>2</v>
      </c>
      <c r="G65" s="40">
        <f t="shared" si="277"/>
        <v>-123</v>
      </c>
      <c r="H65" s="40">
        <f t="shared" si="277"/>
        <v>43</v>
      </c>
      <c r="I65" s="40">
        <f t="shared" si="277"/>
        <v>-46</v>
      </c>
      <c r="J65" s="40">
        <f t="shared" si="277"/>
        <v>-31</v>
      </c>
      <c r="K65" s="40">
        <f t="shared" si="277"/>
        <v>-2</v>
      </c>
      <c r="L65" s="40">
        <f t="shared" si="277"/>
        <v>-57</v>
      </c>
      <c r="M65" s="40">
        <f t="shared" si="277"/>
        <v>-58</v>
      </c>
      <c r="N65" s="40">
        <f t="shared" si="277"/>
        <v>-94</v>
      </c>
      <c r="O65" s="40">
        <f t="shared" si="277"/>
        <v>29</v>
      </c>
      <c r="P65" s="40">
        <f t="shared" si="277"/>
        <v>-70</v>
      </c>
      <c r="Q65" s="40">
        <f t="shared" si="277"/>
        <v>-403</v>
      </c>
      <c r="R65" s="40">
        <f t="shared" ref="R65:S65" si="278">R66+R67+R68+R69</f>
        <v>-20</v>
      </c>
      <c r="S65" s="630">
        <f t="shared" si="278"/>
        <v>0</v>
      </c>
      <c r="T65" s="653">
        <f t="shared" si="277"/>
        <v>-20</v>
      </c>
      <c r="U65" s="40">
        <f t="shared" si="277"/>
        <v>-2</v>
      </c>
      <c r="V65" s="630">
        <f t="shared" si="277"/>
        <v>-1</v>
      </c>
      <c r="W65" s="653">
        <f t="shared" si="277"/>
        <v>-3</v>
      </c>
      <c r="X65" s="40">
        <f t="shared" ref="X65:Y65" si="279">X66+X67+X68+X69</f>
        <v>-2</v>
      </c>
      <c r="Y65" s="630">
        <f t="shared" si="279"/>
        <v>-1</v>
      </c>
      <c r="Z65" s="653">
        <f t="shared" si="277"/>
        <v>-3</v>
      </c>
      <c r="AA65" s="40">
        <f t="shared" si="277"/>
        <v>0</v>
      </c>
      <c r="AB65" s="630">
        <f t="shared" si="277"/>
        <v>0</v>
      </c>
      <c r="AC65" s="653">
        <f t="shared" si="277"/>
        <v>0</v>
      </c>
      <c r="AD65" s="40">
        <f t="shared" ref="AD65:AE65" si="280">AD66+AD67+AD68+AD69</f>
        <v>7</v>
      </c>
      <c r="AE65" s="630">
        <f t="shared" si="280"/>
        <v>2</v>
      </c>
      <c r="AF65" s="653">
        <f t="shared" si="277"/>
        <v>9</v>
      </c>
      <c r="AG65" s="40">
        <f t="shared" si="277"/>
        <v>-1</v>
      </c>
      <c r="AH65" s="630">
        <f t="shared" si="277"/>
        <v>1972</v>
      </c>
      <c r="AI65" s="653">
        <f t="shared" si="277"/>
        <v>1971</v>
      </c>
      <c r="AJ65" s="40">
        <f t="shared" ref="AJ65:AK65" si="281">AJ66+AJ67+AJ68+AJ69</f>
        <v>0</v>
      </c>
      <c r="AK65" s="630">
        <f t="shared" si="281"/>
        <v>0</v>
      </c>
      <c r="AL65" s="653">
        <f t="shared" si="277"/>
        <v>0</v>
      </c>
      <c r="AM65" s="40">
        <f t="shared" si="277"/>
        <v>0</v>
      </c>
      <c r="AN65" s="630">
        <f t="shared" ref="AN65" si="282">AN66+AN67+AN68+AN69</f>
        <v>0</v>
      </c>
      <c r="AO65" s="653">
        <f t="shared" si="277"/>
        <v>0</v>
      </c>
      <c r="AP65" s="40">
        <f t="shared" ref="AP65:AR65" si="283">AP66+AP67+AP68+AP69</f>
        <v>0</v>
      </c>
      <c r="AQ65" s="630">
        <f t="shared" si="283"/>
        <v>0</v>
      </c>
      <c r="AR65" s="653">
        <f t="shared" si="283"/>
        <v>0</v>
      </c>
      <c r="AS65" s="40">
        <f t="shared" ref="AS65:AU65" si="284">AS66+AS67+AS68+AS69</f>
        <v>0</v>
      </c>
      <c r="AT65" s="630">
        <f t="shared" si="284"/>
        <v>0</v>
      </c>
      <c r="AU65" s="653">
        <f t="shared" si="284"/>
        <v>0</v>
      </c>
      <c r="AV65" s="40">
        <f t="shared" ref="AV65:AW65" si="285">AV66+AV67+AV68+AV69</f>
        <v>-342</v>
      </c>
      <c r="AW65" s="630">
        <f t="shared" si="285"/>
        <v>-666</v>
      </c>
      <c r="AX65" s="653">
        <f t="shared" ref="AX65:AY65" si="286">AX66+AX67+AX68+AX69</f>
        <v>-1008</v>
      </c>
      <c r="AY65" s="40">
        <f t="shared" si="286"/>
        <v>-1097</v>
      </c>
      <c r="AZ65" s="236">
        <f t="shared" ref="AZ65" si="287">AZ66+AZ67+AZ68+AZ69</f>
        <v>-1403</v>
      </c>
      <c r="BA65" s="605">
        <f t="shared" si="277"/>
        <v>-2500</v>
      </c>
      <c r="BB65" s="56">
        <f t="shared" si="277"/>
        <v>-1375</v>
      </c>
      <c r="BC65" s="236">
        <f t="shared" ref="BC65" si="288">BC66+BC67+BC68+BC69</f>
        <v>-1375</v>
      </c>
      <c r="BD65" s="605">
        <f t="shared" si="277"/>
        <v>-2750</v>
      </c>
      <c r="BE65" s="56">
        <f t="shared" si="277"/>
        <v>-1375</v>
      </c>
      <c r="BF65" s="236">
        <f t="shared" ref="BF65" si="289">BF66+BF67+BF68+BF69</f>
        <v>-1375</v>
      </c>
      <c r="BG65" s="605">
        <f t="shared" si="277"/>
        <v>-2750</v>
      </c>
      <c r="BH65" s="56">
        <f t="shared" si="277"/>
        <v>0</v>
      </c>
      <c r="BI65" s="236">
        <f t="shared" ref="BI65" si="290">BI66+BI67+BI68+BI69</f>
        <v>0</v>
      </c>
      <c r="BJ65" s="605">
        <f t="shared" si="277"/>
        <v>0</v>
      </c>
      <c r="BK65" s="56">
        <f t="shared" si="277"/>
        <v>0</v>
      </c>
      <c r="BL65" s="236">
        <f t="shared" ref="BL65" si="291">BL66+BL67+BL68+BL69</f>
        <v>0</v>
      </c>
      <c r="BM65" s="605">
        <f t="shared" si="277"/>
        <v>0</v>
      </c>
    </row>
    <row r="66" spans="1:65">
      <c r="A66" s="93" t="s">
        <v>163</v>
      </c>
      <c r="B66" s="40">
        <v>10</v>
      </c>
      <c r="C66" s="40">
        <v>16</v>
      </c>
      <c r="D66" s="40">
        <v>1</v>
      </c>
      <c r="E66" s="40">
        <v>1</v>
      </c>
      <c r="F66" s="40">
        <v>4</v>
      </c>
      <c r="G66" s="40">
        <v>26</v>
      </c>
      <c r="H66" s="40">
        <v>9</v>
      </c>
      <c r="I66" s="40">
        <v>0</v>
      </c>
      <c r="J66" s="40">
        <v>17</v>
      </c>
      <c r="K66" s="40">
        <v>18</v>
      </c>
      <c r="L66" s="40">
        <v>67</v>
      </c>
      <c r="M66" s="40">
        <v>-1</v>
      </c>
      <c r="N66" s="40">
        <v>0</v>
      </c>
      <c r="O66" s="40">
        <v>32</v>
      </c>
      <c r="P66" s="40">
        <v>1</v>
      </c>
      <c r="Q66" s="40">
        <v>32</v>
      </c>
      <c r="R66" s="40">
        <v>0</v>
      </c>
      <c r="S66" s="630">
        <f t="shared" ref="S66:S70" si="292">T66-R66</f>
        <v>1</v>
      </c>
      <c r="T66" s="653">
        <v>1</v>
      </c>
      <c r="U66" s="40">
        <v>20</v>
      </c>
      <c r="V66" s="630">
        <f t="shared" ref="V66:V70" si="293">W66-U66</f>
        <v>1</v>
      </c>
      <c r="W66" s="653">
        <v>21</v>
      </c>
      <c r="X66" s="40">
        <v>20</v>
      </c>
      <c r="Y66" s="630">
        <f t="shared" ref="Y66:Y70" si="294">Z66-X66</f>
        <v>1</v>
      </c>
      <c r="Z66" s="653">
        <v>21</v>
      </c>
      <c r="AA66" s="40">
        <v>0</v>
      </c>
      <c r="AB66" s="630">
        <f t="shared" ref="AB66:AB70" si="295">AC66-AA66</f>
        <v>1</v>
      </c>
      <c r="AC66" s="653">
        <v>1</v>
      </c>
      <c r="AD66" s="40">
        <v>1</v>
      </c>
      <c r="AE66" s="630">
        <f t="shared" ref="AE66:AE70" si="296">AF66-AD66</f>
        <v>23</v>
      </c>
      <c r="AF66" s="653">
        <v>24</v>
      </c>
      <c r="AG66" s="40">
        <v>0</v>
      </c>
      <c r="AH66" s="630">
        <f t="shared" ref="AH66:AH70" si="297">AI66-AG66</f>
        <v>1972</v>
      </c>
      <c r="AI66" s="653">
        <v>1972</v>
      </c>
      <c r="AJ66" s="40">
        <v>0</v>
      </c>
      <c r="AK66" s="630">
        <f t="shared" ref="AK66:AK73" si="298">AL66-AJ66</f>
        <v>0</v>
      </c>
      <c r="AL66" s="653">
        <v>0</v>
      </c>
      <c r="AM66" s="40">
        <v>0</v>
      </c>
      <c r="AN66" s="630">
        <f t="shared" ref="AN66:AN73" si="299">AO66-AM66</f>
        <v>0</v>
      </c>
      <c r="AO66" s="653">
        <v>0</v>
      </c>
      <c r="AP66" s="40">
        <v>0</v>
      </c>
      <c r="AQ66" s="630">
        <f t="shared" ref="AQ66:AQ70" si="300">AR66-AP66</f>
        <v>0</v>
      </c>
      <c r="AR66" s="653">
        <v>0</v>
      </c>
      <c r="AS66" s="40">
        <v>0</v>
      </c>
      <c r="AT66" s="630">
        <f t="shared" ref="AT66:AT70" si="301">AU66-AS66</f>
        <v>0</v>
      </c>
      <c r="AU66" s="653">
        <v>0</v>
      </c>
      <c r="AV66" s="40">
        <v>0</v>
      </c>
      <c r="AW66" s="630">
        <f t="shared" ref="AW66:AW70" si="302">AX66-AV66</f>
        <v>0</v>
      </c>
      <c r="AX66" s="653">
        <v>0</v>
      </c>
      <c r="AY66" s="40">
        <v>0</v>
      </c>
      <c r="AZ66" s="236">
        <f t="shared" ref="AZ66:AZ73" si="303">BA66-AY66</f>
        <v>0</v>
      </c>
      <c r="BA66" s="580">
        <v>0</v>
      </c>
      <c r="BB66" s="56">
        <f t="shared" ref="BB66:BB69" si="304">BD66/2</f>
        <v>0</v>
      </c>
      <c r="BC66" s="236">
        <f t="shared" ref="BC66:BC73" si="305">BD66-BB66</f>
        <v>0</v>
      </c>
      <c r="BD66" s="580">
        <v>0</v>
      </c>
      <c r="BE66" s="56">
        <f t="shared" ref="BE66:BE69" si="306">BG66/2</f>
        <v>0</v>
      </c>
      <c r="BF66" s="236">
        <f t="shared" ref="BF66:BF73" si="307">BG66-BE66</f>
        <v>0</v>
      </c>
      <c r="BG66" s="580">
        <v>0</v>
      </c>
      <c r="BH66" s="56">
        <f t="shared" ref="BH66:BH69" si="308">BJ66/2</f>
        <v>0</v>
      </c>
      <c r="BI66" s="236">
        <f t="shared" ref="BI66:BI73" si="309">BJ66-BH66</f>
        <v>0</v>
      </c>
      <c r="BJ66" s="580">
        <v>0</v>
      </c>
      <c r="BK66" s="56">
        <f t="shared" ref="BK66:BK69" si="310">BM66/2</f>
        <v>0</v>
      </c>
      <c r="BL66" s="236">
        <f t="shared" ref="BL66:BL73" si="311">BM66-BK66</f>
        <v>0</v>
      </c>
      <c r="BM66" s="580">
        <v>0</v>
      </c>
    </row>
    <row r="67" spans="1:65">
      <c r="A67" s="93" t="s">
        <v>164</v>
      </c>
      <c r="B67" s="40">
        <v>0</v>
      </c>
      <c r="C67" s="40">
        <v>0</v>
      </c>
      <c r="D67" s="40">
        <v>0</v>
      </c>
      <c r="E67" s="40">
        <v>0</v>
      </c>
      <c r="F67" s="40">
        <v>0</v>
      </c>
      <c r="G67" s="40">
        <v>0</v>
      </c>
      <c r="H67" s="40">
        <v>0</v>
      </c>
      <c r="I67" s="40">
        <v>0</v>
      </c>
      <c r="J67" s="40">
        <v>0</v>
      </c>
      <c r="K67" s="40">
        <v>0</v>
      </c>
      <c r="L67" s="40">
        <v>0</v>
      </c>
      <c r="M67" s="40">
        <v>0</v>
      </c>
      <c r="N67" s="40">
        <v>0</v>
      </c>
      <c r="O67" s="40">
        <v>0</v>
      </c>
      <c r="P67" s="40">
        <v>-69</v>
      </c>
      <c r="Q67" s="40">
        <v>-433</v>
      </c>
      <c r="R67" s="40">
        <v>0</v>
      </c>
      <c r="S67" s="630">
        <f t="shared" si="292"/>
        <v>0</v>
      </c>
      <c r="T67" s="653">
        <v>0</v>
      </c>
      <c r="U67" s="40">
        <v>0</v>
      </c>
      <c r="V67" s="630">
        <f t="shared" si="293"/>
        <v>0</v>
      </c>
      <c r="W67" s="653">
        <v>0</v>
      </c>
      <c r="X67" s="40">
        <v>0</v>
      </c>
      <c r="Y67" s="630">
        <f t="shared" si="294"/>
        <v>0</v>
      </c>
      <c r="Z67" s="653">
        <v>0</v>
      </c>
      <c r="AA67" s="40">
        <v>0</v>
      </c>
      <c r="AB67" s="630">
        <f t="shared" si="295"/>
        <v>0</v>
      </c>
      <c r="AC67" s="653">
        <v>0</v>
      </c>
      <c r="AD67" s="40">
        <v>0</v>
      </c>
      <c r="AE67" s="630">
        <f t="shared" si="296"/>
        <v>0</v>
      </c>
      <c r="AF67" s="653">
        <v>0</v>
      </c>
      <c r="AG67" s="40">
        <v>0</v>
      </c>
      <c r="AH67" s="630">
        <f t="shared" si="297"/>
        <v>0</v>
      </c>
      <c r="AI67" s="653">
        <v>0</v>
      </c>
      <c r="AJ67" s="40">
        <v>0</v>
      </c>
      <c r="AK67" s="630">
        <f t="shared" si="298"/>
        <v>0</v>
      </c>
      <c r="AL67" s="653">
        <v>0</v>
      </c>
      <c r="AM67" s="40">
        <v>0</v>
      </c>
      <c r="AN67" s="630">
        <f t="shared" si="299"/>
        <v>0</v>
      </c>
      <c r="AO67" s="653">
        <v>0</v>
      </c>
      <c r="AP67" s="40">
        <v>0</v>
      </c>
      <c r="AQ67" s="630">
        <f t="shared" si="300"/>
        <v>0</v>
      </c>
      <c r="AR67" s="653">
        <v>0</v>
      </c>
      <c r="AS67" s="40">
        <v>0</v>
      </c>
      <c r="AT67" s="630">
        <f t="shared" si="301"/>
        <v>0</v>
      </c>
      <c r="AU67" s="653">
        <v>0</v>
      </c>
      <c r="AV67" s="40">
        <v>-380</v>
      </c>
      <c r="AW67" s="630">
        <f t="shared" si="302"/>
        <v>-628</v>
      </c>
      <c r="AX67" s="653">
        <v>-1008</v>
      </c>
      <c r="AY67" s="40">
        <v>-1097</v>
      </c>
      <c r="AZ67" s="236">
        <f t="shared" si="303"/>
        <v>-1403</v>
      </c>
      <c r="BA67" s="605">
        <f>IS!BA71</f>
        <v>-2500</v>
      </c>
      <c r="BB67" s="56">
        <f>IS!BB71</f>
        <v>-1375</v>
      </c>
      <c r="BC67" s="236">
        <f t="shared" si="305"/>
        <v>-1375</v>
      </c>
      <c r="BD67" s="605">
        <f>IS!BD71</f>
        <v>-2750</v>
      </c>
      <c r="BE67" s="56">
        <f>IS!BE71</f>
        <v>-1375</v>
      </c>
      <c r="BF67" s="236">
        <f t="shared" si="307"/>
        <v>-1375</v>
      </c>
      <c r="BG67" s="605">
        <f>IS!BG71</f>
        <v>-2750</v>
      </c>
      <c r="BH67" s="56">
        <f>IS!BH71</f>
        <v>0</v>
      </c>
      <c r="BI67" s="236">
        <f t="shared" si="309"/>
        <v>0</v>
      </c>
      <c r="BJ67" s="605">
        <f>IS!BJ71</f>
        <v>0</v>
      </c>
      <c r="BK67" s="56">
        <f>IS!BK71</f>
        <v>0</v>
      </c>
      <c r="BL67" s="236">
        <f t="shared" si="311"/>
        <v>0</v>
      </c>
      <c r="BM67" s="605">
        <f>IS!BM71</f>
        <v>0</v>
      </c>
    </row>
    <row r="68" spans="1:65">
      <c r="A68" s="93" t="s">
        <v>165</v>
      </c>
      <c r="B68" s="40">
        <v>0</v>
      </c>
      <c r="C68" s="40">
        <v>0</v>
      </c>
      <c r="D68" s="40">
        <v>0</v>
      </c>
      <c r="E68" s="40">
        <v>0</v>
      </c>
      <c r="F68" s="40">
        <v>0</v>
      </c>
      <c r="G68" s="40">
        <v>0</v>
      </c>
      <c r="H68" s="40">
        <v>-44</v>
      </c>
      <c r="I68" s="40">
        <v>0</v>
      </c>
      <c r="J68" s="40">
        <f>-44-4</f>
        <v>-48</v>
      </c>
      <c r="K68" s="40">
        <f>-17-3</f>
        <v>-20</v>
      </c>
      <c r="L68" s="40">
        <v>-124</v>
      </c>
      <c r="M68" s="40">
        <v>-57</v>
      </c>
      <c r="N68" s="40">
        <v>-94</v>
      </c>
      <c r="O68" s="40">
        <v>-3</v>
      </c>
      <c r="P68" s="40">
        <v>-2</v>
      </c>
      <c r="Q68" s="40">
        <v>-2</v>
      </c>
      <c r="R68" s="40">
        <v>-20</v>
      </c>
      <c r="S68" s="630">
        <f t="shared" si="292"/>
        <v>-1</v>
      </c>
      <c r="T68" s="653">
        <v>-21</v>
      </c>
      <c r="U68" s="40">
        <v>-22</v>
      </c>
      <c r="V68" s="630">
        <f t="shared" si="293"/>
        <v>-2</v>
      </c>
      <c r="W68" s="653">
        <v>-24</v>
      </c>
      <c r="X68" s="40">
        <v>-22</v>
      </c>
      <c r="Y68" s="630">
        <f t="shared" si="294"/>
        <v>-2</v>
      </c>
      <c r="Z68" s="653">
        <v>-24</v>
      </c>
      <c r="AA68" s="40">
        <v>0</v>
      </c>
      <c r="AB68" s="630">
        <f t="shared" si="295"/>
        <v>-1</v>
      </c>
      <c r="AC68" s="653">
        <v>-1</v>
      </c>
      <c r="AD68" s="40">
        <v>-15</v>
      </c>
      <c r="AE68" s="630">
        <f t="shared" si="296"/>
        <v>0</v>
      </c>
      <c r="AF68" s="653">
        <v>-15</v>
      </c>
      <c r="AG68" s="40">
        <v>-1</v>
      </c>
      <c r="AH68" s="630">
        <f t="shared" si="297"/>
        <v>0</v>
      </c>
      <c r="AI68" s="653">
        <v>-1</v>
      </c>
      <c r="AJ68" s="40">
        <v>0</v>
      </c>
      <c r="AK68" s="630">
        <f t="shared" si="298"/>
        <v>0</v>
      </c>
      <c r="AL68" s="653">
        <v>0</v>
      </c>
      <c r="AM68" s="40">
        <v>0</v>
      </c>
      <c r="AN68" s="630">
        <f t="shared" si="299"/>
        <v>0</v>
      </c>
      <c r="AO68" s="653">
        <v>0</v>
      </c>
      <c r="AP68" s="40">
        <v>0</v>
      </c>
      <c r="AQ68" s="630">
        <f t="shared" si="300"/>
        <v>0</v>
      </c>
      <c r="AR68" s="653">
        <v>0</v>
      </c>
      <c r="AS68" s="40">
        <v>0</v>
      </c>
      <c r="AT68" s="630">
        <f t="shared" si="301"/>
        <v>0</v>
      </c>
      <c r="AU68" s="653">
        <v>0</v>
      </c>
      <c r="AV68" s="40">
        <v>0</v>
      </c>
      <c r="AW68" s="630">
        <f t="shared" si="302"/>
        <v>0</v>
      </c>
      <c r="AX68" s="653">
        <v>0</v>
      </c>
      <c r="AY68" s="40">
        <v>0</v>
      </c>
      <c r="AZ68" s="236">
        <f t="shared" si="303"/>
        <v>0</v>
      </c>
      <c r="BA68" s="580">
        <v>0</v>
      </c>
      <c r="BB68" s="56">
        <f t="shared" si="304"/>
        <v>0</v>
      </c>
      <c r="BC68" s="236">
        <f t="shared" si="305"/>
        <v>0</v>
      </c>
      <c r="BD68" s="580">
        <v>0</v>
      </c>
      <c r="BE68" s="56">
        <f t="shared" si="306"/>
        <v>0</v>
      </c>
      <c r="BF68" s="236">
        <f t="shared" si="307"/>
        <v>0</v>
      </c>
      <c r="BG68" s="580">
        <v>0</v>
      </c>
      <c r="BH68" s="56">
        <f t="shared" si="308"/>
        <v>0</v>
      </c>
      <c r="BI68" s="236">
        <f t="shared" si="309"/>
        <v>0</v>
      </c>
      <c r="BJ68" s="580">
        <v>0</v>
      </c>
      <c r="BK68" s="56">
        <f t="shared" si="310"/>
        <v>0</v>
      </c>
      <c r="BL68" s="236">
        <f t="shared" si="311"/>
        <v>0</v>
      </c>
      <c r="BM68" s="580">
        <v>0</v>
      </c>
    </row>
    <row r="69" spans="1:65">
      <c r="A69" s="93" t="s">
        <v>229</v>
      </c>
      <c r="B69" s="40">
        <v>0</v>
      </c>
      <c r="C69" s="40">
        <v>0</v>
      </c>
      <c r="D69" s="40">
        <v>0</v>
      </c>
      <c r="E69" s="40">
        <v>2</v>
      </c>
      <c r="F69" s="40">
        <v>-2</v>
      </c>
      <c r="G69" s="40">
        <v>-149</v>
      </c>
      <c r="H69" s="40">
        <v>78</v>
      </c>
      <c r="I69" s="40">
        <f>31-77</f>
        <v>-46</v>
      </c>
      <c r="J69" s="40">
        <v>0</v>
      </c>
      <c r="K69" s="40">
        <v>0</v>
      </c>
      <c r="L69" s="40">
        <v>0</v>
      </c>
      <c r="M69" s="40">
        <v>0</v>
      </c>
      <c r="N69" s="40">
        <v>0</v>
      </c>
      <c r="O69" s="40">
        <v>0</v>
      </c>
      <c r="P69" s="40">
        <v>0</v>
      </c>
      <c r="Q69" s="40">
        <v>0</v>
      </c>
      <c r="R69" s="40">
        <v>0</v>
      </c>
      <c r="S69" s="630">
        <f t="shared" si="292"/>
        <v>0</v>
      </c>
      <c r="T69" s="653">
        <v>0</v>
      </c>
      <c r="U69" s="40">
        <v>0</v>
      </c>
      <c r="V69" s="630">
        <f t="shared" si="293"/>
        <v>0</v>
      </c>
      <c r="W69" s="653">
        <v>0</v>
      </c>
      <c r="X69" s="40">
        <v>0</v>
      </c>
      <c r="Y69" s="630">
        <f t="shared" si="294"/>
        <v>0</v>
      </c>
      <c r="Z69" s="653">
        <v>0</v>
      </c>
      <c r="AA69" s="40">
        <v>0</v>
      </c>
      <c r="AB69" s="630">
        <f t="shared" si="295"/>
        <v>0</v>
      </c>
      <c r="AC69" s="653">
        <v>0</v>
      </c>
      <c r="AD69" s="40">
        <v>21</v>
      </c>
      <c r="AE69" s="630">
        <f t="shared" si="296"/>
        <v>-21</v>
      </c>
      <c r="AF69" s="653">
        <v>0</v>
      </c>
      <c r="AG69" s="40">
        <v>0</v>
      </c>
      <c r="AH69" s="630">
        <f t="shared" si="297"/>
        <v>0</v>
      </c>
      <c r="AI69" s="653">
        <v>0</v>
      </c>
      <c r="AJ69" s="40">
        <v>0</v>
      </c>
      <c r="AK69" s="630">
        <f t="shared" si="298"/>
        <v>0</v>
      </c>
      <c r="AL69" s="653">
        <v>0</v>
      </c>
      <c r="AM69" s="40">
        <v>0</v>
      </c>
      <c r="AN69" s="630">
        <f t="shared" si="299"/>
        <v>0</v>
      </c>
      <c r="AO69" s="653">
        <v>0</v>
      </c>
      <c r="AP69" s="40">
        <v>0</v>
      </c>
      <c r="AQ69" s="630">
        <f t="shared" si="300"/>
        <v>0</v>
      </c>
      <c r="AR69" s="653">
        <v>0</v>
      </c>
      <c r="AS69" s="40">
        <v>0</v>
      </c>
      <c r="AT69" s="630">
        <f t="shared" si="301"/>
        <v>0</v>
      </c>
      <c r="AU69" s="653">
        <v>0</v>
      </c>
      <c r="AV69" s="40">
        <v>38</v>
      </c>
      <c r="AW69" s="630">
        <f t="shared" si="302"/>
        <v>-38</v>
      </c>
      <c r="AX69" s="653">
        <v>0</v>
      </c>
      <c r="AY69" s="40">
        <v>0</v>
      </c>
      <c r="AZ69" s="236">
        <f t="shared" si="303"/>
        <v>0</v>
      </c>
      <c r="BA69" s="580">
        <v>0</v>
      </c>
      <c r="BB69" s="56">
        <f t="shared" si="304"/>
        <v>0</v>
      </c>
      <c r="BC69" s="236">
        <f t="shared" si="305"/>
        <v>0</v>
      </c>
      <c r="BD69" s="580">
        <v>0</v>
      </c>
      <c r="BE69" s="56">
        <f t="shared" si="306"/>
        <v>0</v>
      </c>
      <c r="BF69" s="236">
        <f t="shared" si="307"/>
        <v>0</v>
      </c>
      <c r="BG69" s="580">
        <v>0</v>
      </c>
      <c r="BH69" s="56">
        <f t="shared" si="308"/>
        <v>0</v>
      </c>
      <c r="BI69" s="236">
        <f t="shared" si="309"/>
        <v>0</v>
      </c>
      <c r="BJ69" s="580">
        <v>0</v>
      </c>
      <c r="BK69" s="56">
        <f t="shared" si="310"/>
        <v>0</v>
      </c>
      <c r="BL69" s="236">
        <f t="shared" si="311"/>
        <v>0</v>
      </c>
      <c r="BM69" s="580">
        <v>0</v>
      </c>
    </row>
    <row r="70" spans="1:65">
      <c r="A70" s="25" t="s">
        <v>195</v>
      </c>
      <c r="B70" s="40">
        <v>0</v>
      </c>
      <c r="C70" s="40">
        <v>0</v>
      </c>
      <c r="D70" s="40">
        <v>0</v>
      </c>
      <c r="E70" s="40">
        <v>0</v>
      </c>
      <c r="F70" s="40">
        <v>0</v>
      </c>
      <c r="G70" s="40">
        <v>0</v>
      </c>
      <c r="H70" s="40">
        <v>0</v>
      </c>
      <c r="I70" s="40">
        <v>0</v>
      </c>
      <c r="J70" s="40">
        <v>0</v>
      </c>
      <c r="K70" s="40">
        <v>0</v>
      </c>
      <c r="L70" s="40">
        <v>0</v>
      </c>
      <c r="M70" s="40">
        <v>0</v>
      </c>
      <c r="N70" s="40">
        <v>0</v>
      </c>
      <c r="O70" s="40">
        <v>-60</v>
      </c>
      <c r="P70" s="40">
        <v>-76</v>
      </c>
      <c r="Q70" s="40">
        <v>0</v>
      </c>
      <c r="R70" s="40">
        <v>0</v>
      </c>
      <c r="S70" s="630">
        <f t="shared" si="292"/>
        <v>0</v>
      </c>
      <c r="T70" s="653">
        <v>0</v>
      </c>
      <c r="U70" s="40">
        <v>0</v>
      </c>
      <c r="V70" s="630">
        <f t="shared" si="293"/>
        <v>0</v>
      </c>
      <c r="W70" s="653">
        <v>0</v>
      </c>
      <c r="X70" s="40">
        <v>0</v>
      </c>
      <c r="Y70" s="630">
        <f t="shared" si="294"/>
        <v>0</v>
      </c>
      <c r="Z70" s="653">
        <v>0</v>
      </c>
      <c r="AA70" s="40">
        <v>0</v>
      </c>
      <c r="AB70" s="630">
        <f t="shared" si="295"/>
        <v>-3</v>
      </c>
      <c r="AC70" s="653">
        <v>-3</v>
      </c>
      <c r="AD70" s="40">
        <v>0</v>
      </c>
      <c r="AE70" s="630">
        <f t="shared" si="296"/>
        <v>-4</v>
      </c>
      <c r="AF70" s="653">
        <v>-4</v>
      </c>
      <c r="AG70" s="40">
        <v>0</v>
      </c>
      <c r="AH70" s="630">
        <f t="shared" si="297"/>
        <v>-1</v>
      </c>
      <c r="AI70" s="653">
        <v>-1</v>
      </c>
      <c r="AJ70" s="40">
        <v>2</v>
      </c>
      <c r="AK70" s="630">
        <f t="shared" si="298"/>
        <v>30</v>
      </c>
      <c r="AL70" s="653">
        <f>30+3-1</f>
        <v>32</v>
      </c>
      <c r="AM70" s="40">
        <v>25</v>
      </c>
      <c r="AN70" s="630">
        <f t="shared" si="299"/>
        <v>29</v>
      </c>
      <c r="AO70" s="653">
        <f>57-3</f>
        <v>54</v>
      </c>
      <c r="AP70" s="40">
        <v>24</v>
      </c>
      <c r="AQ70" s="630">
        <f t="shared" si="300"/>
        <v>51</v>
      </c>
      <c r="AR70" s="653">
        <f>77-2</f>
        <v>75</v>
      </c>
      <c r="AS70" s="40">
        <v>33</v>
      </c>
      <c r="AT70" s="630">
        <f t="shared" si="301"/>
        <v>-3</v>
      </c>
      <c r="AU70" s="653">
        <f>33-3</f>
        <v>30</v>
      </c>
      <c r="AV70" s="40">
        <v>35</v>
      </c>
      <c r="AW70" s="630">
        <f t="shared" si="302"/>
        <v>-2</v>
      </c>
      <c r="AX70" s="653">
        <f>34-1</f>
        <v>33</v>
      </c>
      <c r="AY70" s="40">
        <v>0</v>
      </c>
      <c r="AZ70" s="236">
        <f t="shared" si="303"/>
        <v>33</v>
      </c>
      <c r="BA70" s="605">
        <f>AX70</f>
        <v>33</v>
      </c>
      <c r="BB70" s="56">
        <f>BD70/2</f>
        <v>16.5</v>
      </c>
      <c r="BC70" s="236">
        <f t="shared" si="305"/>
        <v>16.5</v>
      </c>
      <c r="BD70" s="605">
        <f>BA70</f>
        <v>33</v>
      </c>
      <c r="BE70" s="56">
        <f>BG70/2</f>
        <v>16.5</v>
      </c>
      <c r="BF70" s="236">
        <f t="shared" si="307"/>
        <v>16.5</v>
      </c>
      <c r="BG70" s="605">
        <f>BD70</f>
        <v>33</v>
      </c>
      <c r="BH70" s="56">
        <f>BJ70/2</f>
        <v>16.5</v>
      </c>
      <c r="BI70" s="236">
        <f t="shared" si="309"/>
        <v>16.5</v>
      </c>
      <c r="BJ70" s="605">
        <f>BG70</f>
        <v>33</v>
      </c>
      <c r="BK70" s="56">
        <f>BM70/2</f>
        <v>16.5</v>
      </c>
      <c r="BL70" s="236">
        <f t="shared" si="311"/>
        <v>16.5</v>
      </c>
      <c r="BM70" s="605">
        <f t="shared" ref="BM70" si="312">BJ70</f>
        <v>33</v>
      </c>
    </row>
    <row r="71" spans="1:65">
      <c r="A71" s="25" t="s">
        <v>239</v>
      </c>
      <c r="B71" s="40">
        <f>B72+B73</f>
        <v>-74</v>
      </c>
      <c r="C71" s="40">
        <f t="shared" ref="C71:BM71" si="313">C72+C73</f>
        <v>-84</v>
      </c>
      <c r="D71" s="40">
        <f t="shared" si="313"/>
        <v>-109</v>
      </c>
      <c r="E71" s="40">
        <f t="shared" si="313"/>
        <v>-88</v>
      </c>
      <c r="F71" s="40">
        <f t="shared" si="313"/>
        <v>-60</v>
      </c>
      <c r="G71" s="40">
        <f t="shared" si="313"/>
        <v>-52</v>
      </c>
      <c r="H71" s="40">
        <f t="shared" si="313"/>
        <v>-93</v>
      </c>
      <c r="I71" s="40">
        <f t="shared" si="313"/>
        <v>0</v>
      </c>
      <c r="J71" s="40">
        <f t="shared" si="313"/>
        <v>-200</v>
      </c>
      <c r="K71" s="40">
        <f t="shared" si="313"/>
        <v>-250</v>
      </c>
      <c r="L71" s="40">
        <f t="shared" si="313"/>
        <v>-266</v>
      </c>
      <c r="M71" s="40">
        <f t="shared" si="313"/>
        <v>-315</v>
      </c>
      <c r="N71" s="40">
        <f t="shared" si="313"/>
        <v>-318</v>
      </c>
      <c r="O71" s="40">
        <f t="shared" si="313"/>
        <v>-357</v>
      </c>
      <c r="P71" s="40">
        <f t="shared" si="313"/>
        <v>-406</v>
      </c>
      <c r="Q71" s="40">
        <f t="shared" si="313"/>
        <v>-421</v>
      </c>
      <c r="R71" s="40">
        <f t="shared" si="313"/>
        <v>-168</v>
      </c>
      <c r="S71" s="630">
        <f t="shared" si="313"/>
        <v>-133</v>
      </c>
      <c r="T71" s="653">
        <f t="shared" si="313"/>
        <v>-301</v>
      </c>
      <c r="U71" s="40">
        <f t="shared" ref="U71:V71" si="314">U72+U73</f>
        <v>-85</v>
      </c>
      <c r="V71" s="630">
        <f t="shared" si="314"/>
        <v>-129</v>
      </c>
      <c r="W71" s="653">
        <f t="shared" si="313"/>
        <v>-214</v>
      </c>
      <c r="X71" s="40">
        <f t="shared" si="313"/>
        <v>-85</v>
      </c>
      <c r="Y71" s="630">
        <f t="shared" si="313"/>
        <v>-129</v>
      </c>
      <c r="Z71" s="653">
        <f t="shared" si="313"/>
        <v>-214</v>
      </c>
      <c r="AA71" s="40">
        <f t="shared" ref="AA71:AB71" si="315">AA72+AA73</f>
        <v>-85</v>
      </c>
      <c r="AB71" s="630">
        <f t="shared" si="315"/>
        <v>-131</v>
      </c>
      <c r="AC71" s="653">
        <f t="shared" si="313"/>
        <v>-216</v>
      </c>
      <c r="AD71" s="40">
        <f t="shared" si="313"/>
        <v>-85</v>
      </c>
      <c r="AE71" s="630">
        <f t="shared" si="313"/>
        <v>-135</v>
      </c>
      <c r="AF71" s="653">
        <f>AF72+AF73</f>
        <v>-220</v>
      </c>
      <c r="AG71" s="40">
        <f t="shared" ref="AG71:AH71" si="316">AG72+AG73</f>
        <v>-90</v>
      </c>
      <c r="AH71" s="630">
        <f t="shared" si="316"/>
        <v>-1</v>
      </c>
      <c r="AI71" s="653">
        <f t="shared" si="313"/>
        <v>-91</v>
      </c>
      <c r="AJ71" s="40">
        <f t="shared" ref="AJ71:AK71" si="317">AJ72+AJ73</f>
        <v>-2</v>
      </c>
      <c r="AK71" s="630">
        <f t="shared" si="317"/>
        <v>-1</v>
      </c>
      <c r="AL71" s="653">
        <f t="shared" si="313"/>
        <v>-3</v>
      </c>
      <c r="AM71" s="40">
        <f t="shared" si="313"/>
        <v>-1</v>
      </c>
      <c r="AN71" s="630">
        <f t="shared" ref="AN71" si="318">AN72+AN73</f>
        <v>0</v>
      </c>
      <c r="AO71" s="653">
        <f t="shared" si="313"/>
        <v>-1</v>
      </c>
      <c r="AP71" s="40">
        <f t="shared" ref="AP71:AR71" si="319">AP72+AP73</f>
        <v>0</v>
      </c>
      <c r="AQ71" s="630">
        <f t="shared" si="319"/>
        <v>-1</v>
      </c>
      <c r="AR71" s="653">
        <f t="shared" si="319"/>
        <v>-1</v>
      </c>
      <c r="AS71" s="40">
        <f t="shared" ref="AS71:AU71" si="320">AS72+AS73</f>
        <v>0</v>
      </c>
      <c r="AT71" s="630">
        <f t="shared" si="320"/>
        <v>-1</v>
      </c>
      <c r="AU71" s="653">
        <f t="shared" si="320"/>
        <v>-1</v>
      </c>
      <c r="AV71" s="40">
        <f t="shared" ref="AV71:AW71" si="321">AV72+AV73</f>
        <v>-508</v>
      </c>
      <c r="AW71" s="630">
        <f t="shared" si="321"/>
        <v>-379</v>
      </c>
      <c r="AX71" s="653">
        <f t="shared" ref="AX71:AY71" si="322">AX72+AX73</f>
        <v>-887</v>
      </c>
      <c r="AY71" s="40">
        <f t="shared" si="322"/>
        <v>-417</v>
      </c>
      <c r="AZ71" s="236">
        <f t="shared" ref="AZ71" si="323">AZ72+AZ73</f>
        <v>-501</v>
      </c>
      <c r="BA71" s="605">
        <f t="shared" si="313"/>
        <v>-918</v>
      </c>
      <c r="BB71" s="56">
        <f t="shared" si="313"/>
        <v>-778.59951573042349</v>
      </c>
      <c r="BC71" s="236">
        <f t="shared" ref="BC71" si="324">BC72+BC73</f>
        <v>-716.63021362607901</v>
      </c>
      <c r="BD71" s="605">
        <f t="shared" si="313"/>
        <v>-1495.2297293565025</v>
      </c>
      <c r="BE71" s="56">
        <f t="shared" si="313"/>
        <v>-749.68457216620106</v>
      </c>
      <c r="BF71" s="236">
        <f t="shared" ref="BF71" si="325">BF72+BF73</f>
        <v>-827.28000021139803</v>
      </c>
      <c r="BG71" s="605">
        <f t="shared" si="313"/>
        <v>-1576.9645723775991</v>
      </c>
      <c r="BH71" s="56">
        <f t="shared" si="313"/>
        <v>-884.04876216326784</v>
      </c>
      <c r="BI71" s="236">
        <f t="shared" ref="BI71" si="326">BI72+BI73</f>
        <v>-980.12377896079886</v>
      </c>
      <c r="BJ71" s="605">
        <f t="shared" si="313"/>
        <v>-1864.1725411240668</v>
      </c>
      <c r="BK71" s="56">
        <f t="shared" si="313"/>
        <v>-1049.9350452255369</v>
      </c>
      <c r="BL71" s="236">
        <f t="shared" ref="BL71" si="327">BL72+BL73</f>
        <v>-1172.0825948288843</v>
      </c>
      <c r="BM71" s="605">
        <f t="shared" si="313"/>
        <v>-2222.0176400544215</v>
      </c>
    </row>
    <row r="72" spans="1:65">
      <c r="A72" s="93" t="s">
        <v>432</v>
      </c>
      <c r="B72" s="40">
        <v>0</v>
      </c>
      <c r="C72" s="40">
        <v>0</v>
      </c>
      <c r="D72" s="40">
        <v>0</v>
      </c>
      <c r="E72" s="40">
        <v>0</v>
      </c>
      <c r="F72" s="40">
        <v>-27</v>
      </c>
      <c r="G72" s="40">
        <v>-52</v>
      </c>
      <c r="H72" s="40">
        <v>-93</v>
      </c>
      <c r="I72" s="40">
        <v>0</v>
      </c>
      <c r="J72" s="40">
        <v>-200</v>
      </c>
      <c r="K72" s="40">
        <v>-250</v>
      </c>
      <c r="L72" s="40">
        <v>-266</v>
      </c>
      <c r="M72" s="40">
        <v>-315</v>
      </c>
      <c r="N72" s="40">
        <v>-318</v>
      </c>
      <c r="O72" s="40">
        <v>-357</v>
      </c>
      <c r="P72" s="40">
        <v>-406</v>
      </c>
      <c r="Q72" s="40">
        <v>-421</v>
      </c>
      <c r="R72" s="40">
        <v>-168</v>
      </c>
      <c r="S72" s="630">
        <f t="shared" ref="S72:S73" si="328">T72-R72</f>
        <v>-133</v>
      </c>
      <c r="T72" s="653">
        <v>-301</v>
      </c>
      <c r="U72" s="40">
        <v>-85</v>
      </c>
      <c r="V72" s="630">
        <f t="shared" ref="V72:V73" si="329">W72-U72</f>
        <v>-129</v>
      </c>
      <c r="W72" s="653">
        <v>-214</v>
      </c>
      <c r="X72" s="40">
        <v>-85</v>
      </c>
      <c r="Y72" s="630">
        <f t="shared" ref="Y72:Y73" si="330">Z72-X72</f>
        <v>-129</v>
      </c>
      <c r="Z72" s="653">
        <v>-214</v>
      </c>
      <c r="AA72" s="40">
        <v>-85</v>
      </c>
      <c r="AB72" s="630">
        <f t="shared" ref="AB72:AB73" si="331">AC72-AA72</f>
        <v>-131</v>
      </c>
      <c r="AC72" s="653">
        <v>-216</v>
      </c>
      <c r="AD72" s="40">
        <v>-85</v>
      </c>
      <c r="AE72" s="630">
        <f t="shared" ref="AE72:AE73" si="332">AF72-AD72</f>
        <v>-135</v>
      </c>
      <c r="AF72" s="653">
        <v>-220</v>
      </c>
      <c r="AG72" s="40">
        <v>-90</v>
      </c>
      <c r="AH72" s="630">
        <f t="shared" ref="AH72:AH73" si="333">AI72-AG72</f>
        <v>-1</v>
      </c>
      <c r="AI72" s="653">
        <v>-91</v>
      </c>
      <c r="AJ72" s="40">
        <v>-2</v>
      </c>
      <c r="AK72" s="630">
        <f t="shared" si="298"/>
        <v>-1</v>
      </c>
      <c r="AL72" s="653">
        <v>-3</v>
      </c>
      <c r="AM72" s="40">
        <v>-1</v>
      </c>
      <c r="AN72" s="630">
        <f t="shared" si="299"/>
        <v>0</v>
      </c>
      <c r="AO72" s="653">
        <v>-1</v>
      </c>
      <c r="AP72" s="40">
        <v>0</v>
      </c>
      <c r="AQ72" s="630">
        <f t="shared" ref="AQ72:AQ73" si="334">AR72-AP72</f>
        <v>-1</v>
      </c>
      <c r="AR72" s="653">
        <v>-1</v>
      </c>
      <c r="AS72" s="40">
        <v>0</v>
      </c>
      <c r="AT72" s="630">
        <f t="shared" ref="AT72:AT73" si="335">AU72-AS72</f>
        <v>-1</v>
      </c>
      <c r="AU72" s="653">
        <v>-1</v>
      </c>
      <c r="AV72" s="40">
        <v>-507</v>
      </c>
      <c r="AW72" s="630">
        <f t="shared" ref="AW72:AW73" si="336">AX72-AV72</f>
        <v>-378</v>
      </c>
      <c r="AX72" s="653">
        <v>-885</v>
      </c>
      <c r="AY72" s="40">
        <v>-417</v>
      </c>
      <c r="AZ72" s="236">
        <f>-IS!AY56</f>
        <v>-501</v>
      </c>
      <c r="BA72" s="605">
        <f>AY72+AZ72</f>
        <v>-918</v>
      </c>
      <c r="BB72" s="56">
        <f>-IS!AZ56</f>
        <v>-778.59951573042349</v>
      </c>
      <c r="BC72" s="236">
        <f>-IS!BB56</f>
        <v>-716.63021362607901</v>
      </c>
      <c r="BD72" s="605">
        <f>BB72+BC72</f>
        <v>-1495.2297293565025</v>
      </c>
      <c r="BE72" s="56">
        <f>-IS!BC56</f>
        <v>-749.68457216620106</v>
      </c>
      <c r="BF72" s="236">
        <f>-IS!BE56</f>
        <v>-827.28000021139803</v>
      </c>
      <c r="BG72" s="605">
        <f>BE72+BF72</f>
        <v>-1576.9645723775991</v>
      </c>
      <c r="BH72" s="56">
        <f>-IS!BF56</f>
        <v>-884.04876216326784</v>
      </c>
      <c r="BI72" s="236">
        <f>-IS!BH56</f>
        <v>-980.12377896079886</v>
      </c>
      <c r="BJ72" s="605">
        <f>BH72+BI72</f>
        <v>-1864.1725411240668</v>
      </c>
      <c r="BK72" s="56">
        <f>-IS!BI56</f>
        <v>-1049.9350452255369</v>
      </c>
      <c r="BL72" s="236">
        <f>-IS!BK56</f>
        <v>-1172.0825948288843</v>
      </c>
      <c r="BM72" s="605">
        <f>BK72+BL72</f>
        <v>-2222.0176400544215</v>
      </c>
    </row>
    <row r="73" spans="1:65">
      <c r="A73" s="93" t="s">
        <v>433</v>
      </c>
      <c r="B73" s="40">
        <v>-74</v>
      </c>
      <c r="C73" s="40">
        <v>-84</v>
      </c>
      <c r="D73" s="40">
        <v>-109</v>
      </c>
      <c r="E73" s="40">
        <v>-88</v>
      </c>
      <c r="F73" s="40">
        <v>-33</v>
      </c>
      <c r="G73" s="40">
        <v>0</v>
      </c>
      <c r="H73" s="40">
        <v>0</v>
      </c>
      <c r="I73" s="40">
        <v>0</v>
      </c>
      <c r="J73" s="40">
        <v>0</v>
      </c>
      <c r="K73" s="40">
        <v>0</v>
      </c>
      <c r="L73" s="40">
        <v>0</v>
      </c>
      <c r="M73" s="40">
        <v>0</v>
      </c>
      <c r="N73" s="40">
        <v>0</v>
      </c>
      <c r="O73" s="40">
        <v>0</v>
      </c>
      <c r="P73" s="40">
        <v>0</v>
      </c>
      <c r="Q73" s="40">
        <v>0</v>
      </c>
      <c r="R73" s="40">
        <v>0</v>
      </c>
      <c r="S73" s="630">
        <f t="shared" si="328"/>
        <v>0</v>
      </c>
      <c r="T73" s="653">
        <v>0</v>
      </c>
      <c r="U73" s="40">
        <v>0</v>
      </c>
      <c r="V73" s="630">
        <f t="shared" si="329"/>
        <v>0</v>
      </c>
      <c r="W73" s="653">
        <v>0</v>
      </c>
      <c r="X73" s="40">
        <v>0</v>
      </c>
      <c r="Y73" s="630">
        <f t="shared" si="330"/>
        <v>0</v>
      </c>
      <c r="Z73" s="653">
        <v>0</v>
      </c>
      <c r="AA73" s="40">
        <v>0</v>
      </c>
      <c r="AB73" s="630">
        <f t="shared" si="331"/>
        <v>0</v>
      </c>
      <c r="AC73" s="653">
        <v>0</v>
      </c>
      <c r="AD73" s="40">
        <v>0</v>
      </c>
      <c r="AE73" s="630">
        <f t="shared" si="332"/>
        <v>0</v>
      </c>
      <c r="AF73" s="653">
        <v>0</v>
      </c>
      <c r="AG73" s="40">
        <v>0</v>
      </c>
      <c r="AH73" s="630">
        <f t="shared" si="333"/>
        <v>0</v>
      </c>
      <c r="AI73" s="653">
        <v>0</v>
      </c>
      <c r="AJ73" s="40">
        <v>0</v>
      </c>
      <c r="AK73" s="630">
        <f t="shared" si="298"/>
        <v>0</v>
      </c>
      <c r="AL73" s="653">
        <v>0</v>
      </c>
      <c r="AM73" s="40">
        <v>0</v>
      </c>
      <c r="AN73" s="630">
        <f t="shared" si="299"/>
        <v>0</v>
      </c>
      <c r="AO73" s="653">
        <v>0</v>
      </c>
      <c r="AP73" s="40">
        <v>0</v>
      </c>
      <c r="AQ73" s="630">
        <f t="shared" si="334"/>
        <v>0</v>
      </c>
      <c r="AR73" s="653">
        <v>0</v>
      </c>
      <c r="AS73" s="40">
        <v>0</v>
      </c>
      <c r="AT73" s="630">
        <f t="shared" si="335"/>
        <v>0</v>
      </c>
      <c r="AU73" s="653">
        <v>0</v>
      </c>
      <c r="AV73" s="40">
        <v>-1</v>
      </c>
      <c r="AW73" s="630">
        <f t="shared" si="336"/>
        <v>-1</v>
      </c>
      <c r="AX73" s="653">
        <v>-2</v>
      </c>
      <c r="AY73" s="40">
        <v>0</v>
      </c>
      <c r="AZ73" s="236">
        <f t="shared" si="303"/>
        <v>0</v>
      </c>
      <c r="BA73" s="580">
        <v>0</v>
      </c>
      <c r="BB73" s="56">
        <f>BD73/2</f>
        <v>0</v>
      </c>
      <c r="BC73" s="236">
        <f t="shared" si="305"/>
        <v>0</v>
      </c>
      <c r="BD73" s="580">
        <v>0</v>
      </c>
      <c r="BE73" s="56">
        <f>BG73/2</f>
        <v>0</v>
      </c>
      <c r="BF73" s="236">
        <f t="shared" si="307"/>
        <v>0</v>
      </c>
      <c r="BG73" s="580">
        <v>0</v>
      </c>
      <c r="BH73" s="56">
        <f>BJ73/2</f>
        <v>0</v>
      </c>
      <c r="BI73" s="236">
        <f t="shared" si="309"/>
        <v>0</v>
      </c>
      <c r="BJ73" s="580">
        <v>0</v>
      </c>
      <c r="BK73" s="56">
        <f>BM73/2</f>
        <v>0</v>
      </c>
      <c r="BL73" s="236">
        <f t="shared" si="311"/>
        <v>0</v>
      </c>
      <c r="BM73" s="580">
        <v>0</v>
      </c>
    </row>
    <row r="74" spans="1:65">
      <c r="A74" s="37" t="s">
        <v>166</v>
      </c>
      <c r="B74" s="84">
        <f>B56+B60+B64+B65+B70+B71</f>
        <v>-186</v>
      </c>
      <c r="C74" s="84">
        <f t="shared" ref="C74:BM74" si="337">C56+C60+C64+C65+C70+C71</f>
        <v>-189</v>
      </c>
      <c r="D74" s="84">
        <f t="shared" si="337"/>
        <v>-57</v>
      </c>
      <c r="E74" s="84">
        <f t="shared" si="337"/>
        <v>-251</v>
      </c>
      <c r="F74" s="84">
        <f t="shared" si="337"/>
        <v>189</v>
      </c>
      <c r="G74" s="84">
        <f t="shared" si="337"/>
        <v>-443</v>
      </c>
      <c r="H74" s="84">
        <f t="shared" si="337"/>
        <v>-122</v>
      </c>
      <c r="I74" s="84">
        <f t="shared" si="337"/>
        <v>-408</v>
      </c>
      <c r="J74" s="84">
        <f t="shared" si="337"/>
        <v>-221</v>
      </c>
      <c r="K74" s="84">
        <f t="shared" si="337"/>
        <v>384</v>
      </c>
      <c r="L74" s="84">
        <f t="shared" si="337"/>
        <v>-743</v>
      </c>
      <c r="M74" s="84">
        <f t="shared" si="337"/>
        <v>-655</v>
      </c>
      <c r="N74" s="84">
        <f t="shared" si="337"/>
        <v>-331</v>
      </c>
      <c r="O74" s="84">
        <f t="shared" si="337"/>
        <v>136</v>
      </c>
      <c r="P74" s="84">
        <f t="shared" si="337"/>
        <v>-468</v>
      </c>
      <c r="Q74" s="84">
        <f t="shared" si="337"/>
        <v>221</v>
      </c>
      <c r="R74" s="84">
        <f t="shared" ref="R74:S74" si="338">R56+R60+R64+R65+R70+R71</f>
        <v>-560</v>
      </c>
      <c r="S74" s="632">
        <f t="shared" si="338"/>
        <v>-179</v>
      </c>
      <c r="T74" s="655">
        <f t="shared" si="337"/>
        <v>-739</v>
      </c>
      <c r="U74" s="84">
        <f t="shared" si="337"/>
        <v>154</v>
      </c>
      <c r="V74" s="632">
        <f t="shared" si="337"/>
        <v>-224</v>
      </c>
      <c r="W74" s="655">
        <f t="shared" si="337"/>
        <v>-70</v>
      </c>
      <c r="X74" s="84">
        <f t="shared" ref="X74:Y74" si="339">X56+X60+X64+X65+X70+X71</f>
        <v>154</v>
      </c>
      <c r="Y74" s="632">
        <f t="shared" si="339"/>
        <v>-281</v>
      </c>
      <c r="Z74" s="655">
        <f t="shared" si="337"/>
        <v>-127</v>
      </c>
      <c r="AA74" s="84">
        <f t="shared" si="337"/>
        <v>831</v>
      </c>
      <c r="AB74" s="632">
        <f t="shared" si="337"/>
        <v>-129</v>
      </c>
      <c r="AC74" s="655">
        <f t="shared" si="337"/>
        <v>702</v>
      </c>
      <c r="AD74" s="84">
        <f t="shared" ref="AD74:AE74" si="340">AD56+AD60+AD64+AD65+AD70+AD71</f>
        <v>-840</v>
      </c>
      <c r="AE74" s="632">
        <f t="shared" si="340"/>
        <v>-952</v>
      </c>
      <c r="AF74" s="655">
        <f t="shared" si="337"/>
        <v>-1792</v>
      </c>
      <c r="AG74" s="84">
        <f t="shared" si="337"/>
        <v>2399</v>
      </c>
      <c r="AH74" s="632">
        <f t="shared" si="337"/>
        <v>625</v>
      </c>
      <c r="AI74" s="655">
        <f t="shared" si="337"/>
        <v>3024</v>
      </c>
      <c r="AJ74" s="84">
        <f t="shared" ref="AJ74:AK74" si="341">AJ56+AJ60+AJ64+AJ65+AJ70+AJ71</f>
        <v>464</v>
      </c>
      <c r="AK74" s="632">
        <f t="shared" si="341"/>
        <v>-543</v>
      </c>
      <c r="AL74" s="655">
        <f t="shared" si="337"/>
        <v>-79</v>
      </c>
      <c r="AM74" s="84">
        <f t="shared" si="337"/>
        <v>-524</v>
      </c>
      <c r="AN74" s="632">
        <f t="shared" ref="AN74" si="342">AN56+AN60+AN64+AN65+AN70+AN71</f>
        <v>-2306</v>
      </c>
      <c r="AO74" s="655">
        <f t="shared" si="337"/>
        <v>-2830</v>
      </c>
      <c r="AP74" s="84">
        <f t="shared" ref="AP74:AR74" si="343">AP56+AP60+AP64+AP65+AP70+AP71</f>
        <v>-452</v>
      </c>
      <c r="AQ74" s="632">
        <f t="shared" si="343"/>
        <v>-327</v>
      </c>
      <c r="AR74" s="655">
        <f t="shared" si="343"/>
        <v>-779</v>
      </c>
      <c r="AS74" s="84">
        <f t="shared" ref="AS74:AU74" si="344">AS56+AS60+AS64+AS65+AS70+AS71</f>
        <v>-679</v>
      </c>
      <c r="AT74" s="632">
        <f t="shared" si="344"/>
        <v>-245</v>
      </c>
      <c r="AU74" s="655">
        <f t="shared" si="344"/>
        <v>-924</v>
      </c>
      <c r="AV74" s="84">
        <f t="shared" ref="AV74:AW74" si="345">AV56+AV60+AV64+AV65+AV70+AV71</f>
        <v>-1008</v>
      </c>
      <c r="AW74" s="632">
        <f t="shared" si="345"/>
        <v>-1843</v>
      </c>
      <c r="AX74" s="655">
        <f t="shared" ref="AX74:AY74" si="346">AX56+AX60+AX64+AX65+AX70+AX71</f>
        <v>-2851</v>
      </c>
      <c r="AY74" s="84">
        <f t="shared" si="346"/>
        <v>-1880</v>
      </c>
      <c r="AZ74" s="244">
        <f t="shared" ref="AZ74" si="347">AZ56+AZ60+AZ64+AZ65+AZ70+AZ71</f>
        <v>-1916.2075</v>
      </c>
      <c r="BA74" s="581">
        <f t="shared" si="337"/>
        <v>-3796.2075</v>
      </c>
      <c r="BB74" s="181">
        <f>BB56+BB60+BB64+BB65+BB70+BB71</f>
        <v>-2216.1165411880829</v>
      </c>
      <c r="BC74" s="244">
        <f t="shared" ref="BC74" si="348">BC56+BC60+BC64+BC65+BC70+BC71</f>
        <v>-2154.1472390837389</v>
      </c>
      <c r="BD74" s="581">
        <f t="shared" si="337"/>
        <v>-4370.2637802718218</v>
      </c>
      <c r="BE74" s="181">
        <f>BE56+BE60+BE64+BE65+BE70+BE71</f>
        <v>-2164.9942375007922</v>
      </c>
      <c r="BF74" s="244">
        <f t="shared" ref="BF74" si="349">BF56+BF60+BF64+BF65+BF70+BF71</f>
        <v>-2242.5896655459892</v>
      </c>
      <c r="BG74" s="581">
        <f t="shared" si="337"/>
        <v>-4407.5839030467814</v>
      </c>
      <c r="BH74" s="181">
        <f>BH56+BH60+BH64+BH65+BH70+BH71</f>
        <v>-878.70937378942824</v>
      </c>
      <c r="BI74" s="244">
        <f t="shared" ref="BI74" si="350">BI56+BI60+BI64+BI65+BI70+BI71</f>
        <v>-974.78439058695926</v>
      </c>
      <c r="BJ74" s="581">
        <f t="shared" si="337"/>
        <v>-1853.4937643763876</v>
      </c>
      <c r="BK74" s="181">
        <f>BK56+BK60+BK64+BK65+BK70+BK71</f>
        <v>-917.44398498218811</v>
      </c>
      <c r="BL74" s="244">
        <f t="shared" ref="BL74" si="351">BL56+BL60+BL64+BL65+BL70+BL71</f>
        <v>-1039.5915345855356</v>
      </c>
      <c r="BM74" s="581">
        <f t="shared" si="337"/>
        <v>-1957.0355195677239</v>
      </c>
    </row>
    <row r="75" spans="1:65">
      <c r="B75" s="40"/>
      <c r="C75" s="40"/>
      <c r="D75" s="40"/>
      <c r="E75" s="40"/>
      <c r="F75" s="40"/>
      <c r="G75" s="40"/>
      <c r="H75" s="40"/>
      <c r="I75" s="40"/>
      <c r="J75" s="40"/>
      <c r="K75" s="40"/>
      <c r="L75" s="40"/>
      <c r="M75" s="40"/>
      <c r="N75" s="40"/>
      <c r="O75" s="40"/>
      <c r="P75" s="40"/>
      <c r="Q75" s="40"/>
      <c r="R75" s="40"/>
      <c r="S75" s="630"/>
      <c r="T75" s="653"/>
      <c r="U75" s="40"/>
      <c r="V75" s="630"/>
      <c r="W75" s="653"/>
      <c r="X75" s="40"/>
      <c r="Y75" s="630"/>
      <c r="Z75" s="653"/>
      <c r="AA75" s="40"/>
      <c r="AB75" s="630"/>
      <c r="AC75" s="653"/>
      <c r="AD75" s="40"/>
      <c r="AE75" s="630"/>
      <c r="AF75" s="653"/>
      <c r="AG75" s="40"/>
      <c r="AH75" s="630"/>
      <c r="AI75" s="653"/>
      <c r="AJ75" s="40"/>
      <c r="AK75" s="630"/>
      <c r="AL75" s="653"/>
      <c r="AM75" s="40"/>
      <c r="AN75" s="630"/>
      <c r="AO75" s="653"/>
      <c r="AP75" s="40"/>
      <c r="AQ75" s="539"/>
      <c r="AR75" s="550"/>
      <c r="AS75"/>
      <c r="AT75" s="539"/>
      <c r="AU75" s="550"/>
      <c r="AV75"/>
      <c r="AW75" s="539"/>
      <c r="AX75" s="550"/>
      <c r="AY75"/>
      <c r="AZ75" s="539"/>
      <c r="BA75" s="550"/>
      <c r="BB75"/>
      <c r="BC75" s="539"/>
      <c r="BD75" s="550"/>
      <c r="BE75"/>
      <c r="BF75" s="539"/>
      <c r="BG75" s="550"/>
      <c r="BH75"/>
      <c r="BI75" s="539"/>
      <c r="BJ75" s="550"/>
      <c r="BK75"/>
      <c r="BL75" s="539"/>
      <c r="BM75" s="550"/>
    </row>
    <row r="76" spans="1:65">
      <c r="A76" s="31" t="s">
        <v>169</v>
      </c>
      <c r="B76" s="51">
        <f t="shared" ref="B76:BM76" si="352">B31+B54+B74</f>
        <v>-25</v>
      </c>
      <c r="C76" s="51">
        <f t="shared" si="352"/>
        <v>120</v>
      </c>
      <c r="D76" s="51">
        <f t="shared" si="352"/>
        <v>124</v>
      </c>
      <c r="E76" s="51">
        <f t="shared" si="352"/>
        <v>176</v>
      </c>
      <c r="F76" s="51">
        <f t="shared" si="352"/>
        <v>562</v>
      </c>
      <c r="G76" s="51">
        <f t="shared" si="352"/>
        <v>328</v>
      </c>
      <c r="H76" s="51">
        <f t="shared" si="352"/>
        <v>481</v>
      </c>
      <c r="I76" s="51">
        <f t="shared" si="352"/>
        <v>-340</v>
      </c>
      <c r="J76" s="51">
        <f t="shared" si="352"/>
        <v>149</v>
      </c>
      <c r="K76" s="51">
        <f t="shared" si="352"/>
        <v>637</v>
      </c>
      <c r="L76" s="51">
        <f t="shared" si="352"/>
        <v>-124</v>
      </c>
      <c r="M76" s="51">
        <f t="shared" si="352"/>
        <v>-1556</v>
      </c>
      <c r="N76" s="51">
        <f t="shared" si="352"/>
        <v>1348</v>
      </c>
      <c r="O76" s="51">
        <f t="shared" si="352"/>
        <v>1447</v>
      </c>
      <c r="P76" s="51">
        <f t="shared" si="352"/>
        <v>-1133</v>
      </c>
      <c r="Q76" s="51">
        <f t="shared" si="352"/>
        <v>320</v>
      </c>
      <c r="R76" s="51">
        <f t="shared" ref="R76:S76" si="353">R31+R54+R74</f>
        <v>-1044</v>
      </c>
      <c r="S76" s="629">
        <f t="shared" si="353"/>
        <v>353</v>
      </c>
      <c r="T76" s="652">
        <f t="shared" si="352"/>
        <v>-691</v>
      </c>
      <c r="U76" s="51">
        <f t="shared" si="352"/>
        <v>-412</v>
      </c>
      <c r="V76" s="629">
        <f t="shared" si="352"/>
        <v>643</v>
      </c>
      <c r="W76" s="652">
        <f t="shared" si="352"/>
        <v>231</v>
      </c>
      <c r="X76" s="51">
        <f t="shared" ref="X76:Y76" si="354">X31+X54+X74</f>
        <v>-412</v>
      </c>
      <c r="Y76" s="629">
        <f t="shared" si="354"/>
        <v>643</v>
      </c>
      <c r="Z76" s="652">
        <f t="shared" si="352"/>
        <v>231</v>
      </c>
      <c r="AA76" s="51">
        <f t="shared" si="352"/>
        <v>1392</v>
      </c>
      <c r="AB76" s="629">
        <f t="shared" si="352"/>
        <v>561</v>
      </c>
      <c r="AC76" s="652">
        <f>AC31+AC54+AC74</f>
        <v>1953</v>
      </c>
      <c r="AD76" s="51">
        <f t="shared" ref="AD76:AE76" si="355">AD31+AD54+AD74</f>
        <v>-763</v>
      </c>
      <c r="AE76" s="629">
        <f t="shared" si="355"/>
        <v>350</v>
      </c>
      <c r="AF76" s="652">
        <f>AF31+AF54+AF74</f>
        <v>-413</v>
      </c>
      <c r="AG76" s="51">
        <f t="shared" ref="AG76:AH76" si="356">AG31+AG54+AG74</f>
        <v>-360</v>
      </c>
      <c r="AH76" s="629">
        <f t="shared" si="356"/>
        <v>-635</v>
      </c>
      <c r="AI76" s="652">
        <f>AI31+AI54+AI74</f>
        <v>-995</v>
      </c>
      <c r="AJ76" s="51">
        <f t="shared" ref="AJ76:AK76" si="357">AJ31+AJ54+AJ74</f>
        <v>-443</v>
      </c>
      <c r="AK76" s="629">
        <f t="shared" si="357"/>
        <v>-332</v>
      </c>
      <c r="AL76" s="652">
        <f t="shared" si="352"/>
        <v>-775</v>
      </c>
      <c r="AM76" s="51">
        <f t="shared" si="352"/>
        <v>45</v>
      </c>
      <c r="AN76" s="629">
        <f t="shared" ref="AN76" si="358">AN31+AN54+AN74</f>
        <v>-235</v>
      </c>
      <c r="AO76" s="652">
        <f t="shared" si="352"/>
        <v>-190</v>
      </c>
      <c r="AP76" s="51">
        <f t="shared" ref="AP76:AQ76" si="359">AP31+AP54+AP74</f>
        <v>331</v>
      </c>
      <c r="AQ76" s="629">
        <f t="shared" si="359"/>
        <v>879</v>
      </c>
      <c r="AR76" s="652">
        <f t="shared" si="352"/>
        <v>1210</v>
      </c>
      <c r="AS76" s="51">
        <f t="shared" si="352"/>
        <v>622</v>
      </c>
      <c r="AT76" s="629">
        <f t="shared" si="352"/>
        <v>1282</v>
      </c>
      <c r="AU76" s="652">
        <f t="shared" si="352"/>
        <v>1904</v>
      </c>
      <c r="AV76" s="51">
        <f t="shared" si="352"/>
        <v>538</v>
      </c>
      <c r="AW76" s="629">
        <f t="shared" ref="AW76" si="360">AW31+AW54+AW74</f>
        <v>115</v>
      </c>
      <c r="AX76" s="652">
        <f>AX31+AX54+AX74</f>
        <v>653</v>
      </c>
      <c r="AY76" s="51">
        <f t="shared" ref="AY76" si="361">AY31+AY54+AY74</f>
        <v>240</v>
      </c>
      <c r="AZ76" s="237">
        <f t="shared" ref="AZ76" si="362">AZ31+AZ54+AZ74</f>
        <v>421.01898169361039</v>
      </c>
      <c r="BA76" s="576">
        <f t="shared" si="352"/>
        <v>538.01898169361129</v>
      </c>
      <c r="BB76" s="48">
        <f t="shared" si="352"/>
        <v>2118.159545955793</v>
      </c>
      <c r="BC76" s="237">
        <f t="shared" ref="BC76" si="363">BC31+BC54+BC74</f>
        <v>-1229.865141033044</v>
      </c>
      <c r="BD76" s="576">
        <f t="shared" si="352"/>
        <v>888.29440492274625</v>
      </c>
      <c r="BE76" s="48">
        <f t="shared" si="352"/>
        <v>1332.8620960911221</v>
      </c>
      <c r="BF76" s="237">
        <f t="shared" ref="BF76" si="364">BF31+BF54+BF74</f>
        <v>493.10005224610313</v>
      </c>
      <c r="BG76" s="576">
        <f t="shared" si="352"/>
        <v>1825.9621483372248</v>
      </c>
      <c r="BH76" s="48">
        <f t="shared" si="352"/>
        <v>2720.0345725296111</v>
      </c>
      <c r="BI76" s="237">
        <f t="shared" ref="BI76" si="365">BI31+BI54+BI74</f>
        <v>2366.0323022507573</v>
      </c>
      <c r="BJ76" s="576">
        <f t="shared" si="352"/>
        <v>5086.0668747803684</v>
      </c>
      <c r="BK76" s="48">
        <f t="shared" si="352"/>
        <v>3052.3539712035199</v>
      </c>
      <c r="BL76" s="237">
        <f t="shared" ref="BL76" si="366">BL31+BL54+BL74</f>
        <v>2851.7062033683665</v>
      </c>
      <c r="BM76" s="576">
        <f t="shared" si="352"/>
        <v>5904.060174571885</v>
      </c>
    </row>
    <row r="77" spans="1:65">
      <c r="A77" s="31"/>
      <c r="B77" s="51"/>
      <c r="C77" s="51"/>
      <c r="D77" s="51"/>
      <c r="E77" s="51"/>
      <c r="F77" s="51"/>
      <c r="G77" s="51"/>
      <c r="H77" s="51"/>
      <c r="I77" s="51"/>
      <c r="J77" s="51"/>
      <c r="K77" s="51"/>
      <c r="L77" s="51"/>
      <c r="M77" s="51"/>
      <c r="N77" s="51"/>
      <c r="O77" s="51"/>
      <c r="P77" s="51"/>
      <c r="Q77" s="51"/>
      <c r="R77" s="40"/>
      <c r="S77" s="630"/>
      <c r="T77" s="652"/>
      <c r="U77" s="40"/>
      <c r="V77" s="630"/>
      <c r="W77" s="652"/>
      <c r="X77" s="40"/>
      <c r="Y77" s="630"/>
      <c r="Z77" s="652"/>
      <c r="AA77" s="40"/>
      <c r="AB77" s="630"/>
      <c r="AC77" s="653"/>
      <c r="AD77" s="40"/>
      <c r="AE77" s="630"/>
      <c r="AF77" s="653"/>
      <c r="AG77" s="40"/>
      <c r="AH77" s="630"/>
      <c r="AI77" s="653"/>
      <c r="AJ77" s="40"/>
      <c r="AK77" s="630"/>
      <c r="AL77" s="653"/>
      <c r="AM77" s="40"/>
      <c r="AN77" s="630"/>
      <c r="AO77" s="653"/>
      <c r="AP77" s="40"/>
      <c r="AQ77" s="539"/>
      <c r="AR77" s="550"/>
      <c r="AS77" s="40"/>
      <c r="AT77" s="539"/>
      <c r="AU77" s="550"/>
      <c r="AV77"/>
      <c r="AW77" s="539"/>
      <c r="AX77" s="550"/>
      <c r="AY77"/>
      <c r="AZ77" s="539"/>
      <c r="BA77" s="550"/>
      <c r="BB77"/>
      <c r="BC77" s="539"/>
      <c r="BD77" s="550"/>
      <c r="BE77"/>
      <c r="BF77" s="539"/>
      <c r="BG77" s="550"/>
      <c r="BH77"/>
      <c r="BI77" s="539"/>
      <c r="BJ77" s="550"/>
      <c r="BK77"/>
      <c r="BL77" s="539"/>
      <c r="BM77" s="550"/>
    </row>
    <row r="78" spans="1:65">
      <c r="A78" s="25" t="s">
        <v>170</v>
      </c>
      <c r="B78" s="40"/>
      <c r="C78" s="40"/>
      <c r="D78" s="40"/>
      <c r="E78" s="40"/>
      <c r="F78" s="40">
        <v>909</v>
      </c>
      <c r="G78" s="40">
        <f t="shared" ref="G78:Q78" si="367">F82</f>
        <v>1439</v>
      </c>
      <c r="H78" s="40">
        <f t="shared" si="367"/>
        <v>1745</v>
      </c>
      <c r="I78" s="40">
        <f t="shared" si="367"/>
        <v>2171</v>
      </c>
      <c r="J78" s="40">
        <f t="shared" si="367"/>
        <v>1872</v>
      </c>
      <c r="K78" s="40">
        <f t="shared" si="367"/>
        <v>2462</v>
      </c>
      <c r="L78" s="40">
        <f t="shared" si="367"/>
        <v>2958</v>
      </c>
      <c r="M78" s="40">
        <f t="shared" si="367"/>
        <v>2851</v>
      </c>
      <c r="N78" s="40">
        <f t="shared" si="367"/>
        <v>1291</v>
      </c>
      <c r="O78" s="40">
        <f t="shared" si="367"/>
        <v>2585</v>
      </c>
      <c r="P78" s="40">
        <f t="shared" si="367"/>
        <v>3998</v>
      </c>
      <c r="Q78" s="40">
        <f t="shared" si="367"/>
        <v>2873</v>
      </c>
      <c r="R78" s="40">
        <v>3176</v>
      </c>
      <c r="S78" s="630">
        <f>R82</f>
        <v>2287</v>
      </c>
      <c r="T78" s="653">
        <v>3176</v>
      </c>
      <c r="U78" s="40">
        <v>2771</v>
      </c>
      <c r="V78" s="630">
        <f>U82</f>
        <v>2334</v>
      </c>
      <c r="W78" s="653">
        <f>U78</f>
        <v>2771</v>
      </c>
      <c r="X78" s="40">
        <v>2771</v>
      </c>
      <c r="Y78" s="630">
        <f>X82</f>
        <v>2334</v>
      </c>
      <c r="Z78" s="653">
        <v>2771</v>
      </c>
      <c r="AA78" s="40">
        <f>Z82</f>
        <v>2933</v>
      </c>
      <c r="AB78" s="630">
        <f>AA82</f>
        <v>4358</v>
      </c>
      <c r="AC78" s="653">
        <f>Z82</f>
        <v>2933</v>
      </c>
      <c r="AD78" s="40">
        <f>AC82</f>
        <v>4952</v>
      </c>
      <c r="AE78" s="630">
        <f>AD82</f>
        <v>4182</v>
      </c>
      <c r="AF78" s="653">
        <f t="shared" ref="AF78" si="368">AC82</f>
        <v>4952</v>
      </c>
      <c r="AG78" s="40">
        <f>AF82</f>
        <v>4435</v>
      </c>
      <c r="AH78" s="630">
        <f>AG82</f>
        <v>4231</v>
      </c>
      <c r="AI78" s="653">
        <f>AF82</f>
        <v>4435</v>
      </c>
      <c r="AJ78" s="40">
        <f>AI82</f>
        <v>3496</v>
      </c>
      <c r="AK78" s="630">
        <f>AJ82</f>
        <v>2978</v>
      </c>
      <c r="AL78" s="653">
        <f>AI82</f>
        <v>3496</v>
      </c>
      <c r="AM78" s="40">
        <f>AL82</f>
        <v>2639</v>
      </c>
      <c r="AN78" s="630">
        <f>AM82</f>
        <v>2782</v>
      </c>
      <c r="AO78" s="653">
        <f>AL82</f>
        <v>2639</v>
      </c>
      <c r="AP78" s="40">
        <f>AO82</f>
        <v>2607</v>
      </c>
      <c r="AQ78" s="630">
        <f>AP82</f>
        <v>2855</v>
      </c>
      <c r="AR78" s="653">
        <f>AO82</f>
        <v>2607</v>
      </c>
      <c r="AS78" s="40">
        <f>AR82</f>
        <v>3731</v>
      </c>
      <c r="AT78" s="630">
        <f>AS82</f>
        <v>4313</v>
      </c>
      <c r="AU78" s="653">
        <f>AR82</f>
        <v>3731</v>
      </c>
      <c r="AV78" s="40">
        <f>AU82</f>
        <v>5573</v>
      </c>
      <c r="AW78" s="630">
        <f>AV82</f>
        <v>6042</v>
      </c>
      <c r="AX78" s="653">
        <f>AU82</f>
        <v>5573</v>
      </c>
      <c r="AY78" s="40">
        <f>AX82</f>
        <v>6241</v>
      </c>
      <c r="AZ78" s="236">
        <f>AY82</f>
        <v>6480</v>
      </c>
      <c r="BA78" s="605">
        <f>AX82</f>
        <v>6241</v>
      </c>
      <c r="BB78" s="56">
        <f>BA82</f>
        <v>6778.0189816936108</v>
      </c>
      <c r="BC78" s="236">
        <f>BB82</f>
        <v>8896.1785276494047</v>
      </c>
      <c r="BD78" s="605">
        <f>BA82</f>
        <v>6778.0189816936108</v>
      </c>
      <c r="BE78" s="56">
        <f>BD82</f>
        <v>7666.3133866163571</v>
      </c>
      <c r="BF78" s="236">
        <f>BE82</f>
        <v>8999.1754827074801</v>
      </c>
      <c r="BG78" s="605">
        <f>BD82</f>
        <v>7666.3133866163571</v>
      </c>
      <c r="BH78" s="56">
        <f>BG82</f>
        <v>9492.2755349535819</v>
      </c>
      <c r="BI78" s="236">
        <f>BH82</f>
        <v>12212.310107483194</v>
      </c>
      <c r="BJ78" s="605">
        <f>BG82</f>
        <v>9492.2755349535819</v>
      </c>
      <c r="BK78" s="56">
        <f>BJ82</f>
        <v>14578.34240973395</v>
      </c>
      <c r="BL78" s="236">
        <f>BK82</f>
        <v>17630.696380937472</v>
      </c>
      <c r="BM78" s="605">
        <f>BJ82</f>
        <v>14578.34240973395</v>
      </c>
    </row>
    <row r="79" spans="1:65">
      <c r="A79" s="25" t="s">
        <v>171</v>
      </c>
      <c r="B79" s="40"/>
      <c r="C79" s="40"/>
      <c r="D79" s="40"/>
      <c r="E79" s="40"/>
      <c r="F79" s="40">
        <v>-32</v>
      </c>
      <c r="G79" s="40">
        <v>45</v>
      </c>
      <c r="H79" s="40">
        <v>-60</v>
      </c>
      <c r="I79" s="40">
        <v>41</v>
      </c>
      <c r="J79" s="40">
        <v>441</v>
      </c>
      <c r="K79" s="40">
        <v>-141</v>
      </c>
      <c r="L79" s="40">
        <v>17</v>
      </c>
      <c r="M79" s="40">
        <v>-4</v>
      </c>
      <c r="N79" s="40">
        <v>-54</v>
      </c>
      <c r="O79" s="40">
        <v>-34</v>
      </c>
      <c r="P79" s="40">
        <v>8</v>
      </c>
      <c r="Q79" s="40">
        <v>-6</v>
      </c>
      <c r="R79" s="40">
        <v>155</v>
      </c>
      <c r="S79" s="630">
        <f>T79-R79</f>
        <v>131</v>
      </c>
      <c r="T79" s="653">
        <v>286</v>
      </c>
      <c r="U79" s="40">
        <v>-25</v>
      </c>
      <c r="V79" s="630">
        <f>W79-U79</f>
        <v>-44</v>
      </c>
      <c r="W79" s="653">
        <v>-69</v>
      </c>
      <c r="X79" s="40">
        <v>-25</v>
      </c>
      <c r="Y79" s="630">
        <f>Z79-X79</f>
        <v>-44</v>
      </c>
      <c r="Z79" s="653">
        <v>-69</v>
      </c>
      <c r="AA79" s="40">
        <v>33</v>
      </c>
      <c r="AB79" s="630">
        <f>AC79-AA79</f>
        <v>33</v>
      </c>
      <c r="AC79" s="653">
        <v>66</v>
      </c>
      <c r="AD79" s="40">
        <v>-7</v>
      </c>
      <c r="AE79" s="630">
        <f>AF79-AD79</f>
        <v>-97</v>
      </c>
      <c r="AF79" s="653">
        <v>-104</v>
      </c>
      <c r="AG79" s="40">
        <v>156</v>
      </c>
      <c r="AH79" s="630">
        <f>AI79-AG79</f>
        <v>-100</v>
      </c>
      <c r="AI79" s="653">
        <v>56</v>
      </c>
      <c r="AJ79" s="40">
        <v>-75</v>
      </c>
      <c r="AK79" s="630">
        <f>AL79-AJ79</f>
        <v>-7</v>
      </c>
      <c r="AL79" s="653">
        <v>-82</v>
      </c>
      <c r="AM79" s="40">
        <v>98</v>
      </c>
      <c r="AN79" s="630">
        <f>AO79-AM79</f>
        <v>58</v>
      </c>
      <c r="AO79" s="653">
        <v>156</v>
      </c>
      <c r="AP79" s="40">
        <v>-81</v>
      </c>
      <c r="AQ79" s="630">
        <f>AR79-AP79</f>
        <v>-3</v>
      </c>
      <c r="AR79" s="653">
        <v>-84</v>
      </c>
      <c r="AS79" s="40">
        <v>-40</v>
      </c>
      <c r="AT79" s="630">
        <f>AU79-AS79</f>
        <v>-22</v>
      </c>
      <c r="AU79" s="653">
        <v>-62</v>
      </c>
      <c r="AV79" s="40">
        <v>-69</v>
      </c>
      <c r="AW79" s="630">
        <f>AX79-AV79</f>
        <v>84</v>
      </c>
      <c r="AX79" s="653">
        <v>15</v>
      </c>
      <c r="AY79" s="40">
        <v>-1</v>
      </c>
      <c r="AZ79" s="236">
        <f>BA79-AY79</f>
        <v>0</v>
      </c>
      <c r="BA79" s="580">
        <v>-1</v>
      </c>
      <c r="BB79" s="56">
        <f>BD79/2</f>
        <v>0</v>
      </c>
      <c r="BC79" s="236">
        <f>BD79-BB79</f>
        <v>0</v>
      </c>
      <c r="BD79" s="580">
        <v>0</v>
      </c>
      <c r="BE79" s="56">
        <f>BG79/2</f>
        <v>0</v>
      </c>
      <c r="BF79" s="236">
        <f>BG79-BE79</f>
        <v>0</v>
      </c>
      <c r="BG79" s="580">
        <v>0</v>
      </c>
      <c r="BH79" s="56">
        <f>BJ79/2</f>
        <v>0</v>
      </c>
      <c r="BI79" s="236">
        <f>BJ79-BH79</f>
        <v>0</v>
      </c>
      <c r="BJ79" s="580">
        <v>0</v>
      </c>
      <c r="BK79" s="56">
        <f>BM79/2</f>
        <v>0</v>
      </c>
      <c r="BL79" s="236">
        <f>BM79-BK79</f>
        <v>0</v>
      </c>
      <c r="BM79" s="580">
        <v>0</v>
      </c>
    </row>
    <row r="80" spans="1:65">
      <c r="A80" s="25" t="s">
        <v>222</v>
      </c>
      <c r="B80" s="40"/>
      <c r="C80" s="40"/>
      <c r="D80" s="40"/>
      <c r="E80" s="40"/>
      <c r="F80" s="40">
        <v>0</v>
      </c>
      <c r="G80" s="40">
        <v>1</v>
      </c>
      <c r="H80" s="40">
        <v>5</v>
      </c>
      <c r="I80" s="40">
        <v>0</v>
      </c>
      <c r="J80" s="40">
        <v>0</v>
      </c>
      <c r="K80" s="40">
        <v>0</v>
      </c>
      <c r="L80" s="40">
        <v>0</v>
      </c>
      <c r="M80" s="40">
        <v>0</v>
      </c>
      <c r="N80" s="40">
        <v>0</v>
      </c>
      <c r="O80" s="40">
        <v>0</v>
      </c>
      <c r="P80" s="40">
        <v>0</v>
      </c>
      <c r="Q80" s="40">
        <v>0</v>
      </c>
      <c r="R80" s="40">
        <v>0</v>
      </c>
      <c r="S80" s="630">
        <f>T80-R80</f>
        <v>0</v>
      </c>
      <c r="T80" s="653">
        <v>0</v>
      </c>
      <c r="U80" s="40">
        <v>0</v>
      </c>
      <c r="V80" s="630">
        <f>W80-U80</f>
        <v>0</v>
      </c>
      <c r="W80" s="653">
        <v>0</v>
      </c>
      <c r="X80" s="40">
        <v>0</v>
      </c>
      <c r="Y80" s="630">
        <f>Z80-X80</f>
        <v>0</v>
      </c>
      <c r="Z80" s="653">
        <v>0</v>
      </c>
      <c r="AA80" s="40">
        <v>0</v>
      </c>
      <c r="AB80" s="630">
        <f>AC80-AA80</f>
        <v>0</v>
      </c>
      <c r="AC80" s="653">
        <v>0</v>
      </c>
      <c r="AD80" s="40">
        <v>0</v>
      </c>
      <c r="AE80" s="630">
        <f>AF80-AD80</f>
        <v>0</v>
      </c>
      <c r="AF80" s="653">
        <v>0</v>
      </c>
      <c r="AG80" s="40">
        <v>0</v>
      </c>
      <c r="AH80" s="630">
        <f>AI80-AG80</f>
        <v>0</v>
      </c>
      <c r="AI80" s="653">
        <v>0</v>
      </c>
      <c r="AJ80" s="40">
        <v>0</v>
      </c>
      <c r="AK80" s="630">
        <f>AL80-AJ80</f>
        <v>0</v>
      </c>
      <c r="AL80" s="653">
        <v>0</v>
      </c>
      <c r="AM80" s="40">
        <v>0</v>
      </c>
      <c r="AN80" s="630">
        <f>AO80-AM80</f>
        <v>0</v>
      </c>
      <c r="AO80" s="653">
        <v>0</v>
      </c>
      <c r="AP80" s="40">
        <v>0</v>
      </c>
      <c r="AQ80" s="630">
        <f>AR80-AP80</f>
        <v>0</v>
      </c>
      <c r="AR80" s="653">
        <v>0</v>
      </c>
      <c r="AS80" s="40">
        <v>0</v>
      </c>
      <c r="AT80" s="630">
        <f>AU80-AS80</f>
        <v>0</v>
      </c>
      <c r="AU80" s="653">
        <v>0</v>
      </c>
      <c r="AV80" s="40">
        <v>0</v>
      </c>
      <c r="AW80" s="630">
        <f>AX80-AV80</f>
        <v>0</v>
      </c>
      <c r="AX80" s="653">
        <v>0</v>
      </c>
      <c r="AY80" s="40">
        <v>0</v>
      </c>
      <c r="AZ80" s="236">
        <f>BA80-AY80</f>
        <v>0</v>
      </c>
      <c r="BA80" s="580">
        <v>0</v>
      </c>
      <c r="BB80" s="56">
        <f t="shared" ref="BB80:BB81" si="369">BD80/2</f>
        <v>0</v>
      </c>
      <c r="BC80" s="236">
        <f>BD80-BB80</f>
        <v>0</v>
      </c>
      <c r="BD80" s="580">
        <v>0</v>
      </c>
      <c r="BE80" s="56">
        <f t="shared" ref="BE80:BE81" si="370">BG80/2</f>
        <v>0</v>
      </c>
      <c r="BF80" s="236">
        <f>BG80-BE80</f>
        <v>0</v>
      </c>
      <c r="BG80" s="580">
        <v>0</v>
      </c>
      <c r="BH80" s="56">
        <f t="shared" ref="BH80:BH81" si="371">BJ80/2</f>
        <v>0</v>
      </c>
      <c r="BI80" s="236">
        <f>BJ80-BH80</f>
        <v>0</v>
      </c>
      <c r="BJ80" s="580">
        <v>0</v>
      </c>
      <c r="BK80" s="56">
        <f t="shared" ref="BK80:BK81" si="372">BM80/2</f>
        <v>0</v>
      </c>
      <c r="BL80" s="236">
        <f>BM80-BK80</f>
        <v>0</v>
      </c>
      <c r="BM80" s="580">
        <v>0</v>
      </c>
    </row>
    <row r="81" spans="1:66">
      <c r="A81" s="25" t="s">
        <v>230</v>
      </c>
      <c r="B81" s="40"/>
      <c r="C81" s="40"/>
      <c r="D81" s="40"/>
      <c r="E81" s="40"/>
      <c r="F81" s="40">
        <v>0</v>
      </c>
      <c r="G81" s="40">
        <v>-68</v>
      </c>
      <c r="H81" s="40">
        <v>0</v>
      </c>
      <c r="I81" s="40">
        <v>0</v>
      </c>
      <c r="J81" s="40">
        <v>0</v>
      </c>
      <c r="K81" s="40">
        <v>0</v>
      </c>
      <c r="L81" s="40">
        <v>0</v>
      </c>
      <c r="M81" s="40">
        <v>0</v>
      </c>
      <c r="N81" s="40">
        <v>0</v>
      </c>
      <c r="O81" s="40">
        <v>0</v>
      </c>
      <c r="P81" s="40">
        <v>0</v>
      </c>
      <c r="Q81" s="40">
        <v>0</v>
      </c>
      <c r="R81" s="40">
        <v>0</v>
      </c>
      <c r="S81" s="630">
        <f>T81-R81</f>
        <v>0</v>
      </c>
      <c r="T81" s="653">
        <v>0</v>
      </c>
      <c r="U81" s="40">
        <v>0</v>
      </c>
      <c r="V81" s="630">
        <f>W81-U81</f>
        <v>33</v>
      </c>
      <c r="W81" s="653">
        <v>33</v>
      </c>
      <c r="X81" s="40">
        <v>0</v>
      </c>
      <c r="Y81" s="630">
        <f>Z81-X81</f>
        <v>0</v>
      </c>
      <c r="Z81" s="653">
        <v>0</v>
      </c>
      <c r="AA81" s="40">
        <v>0</v>
      </c>
      <c r="AB81" s="630">
        <f>AC81-AA81</f>
        <v>0</v>
      </c>
      <c r="AC81" s="653">
        <v>0</v>
      </c>
      <c r="AD81" s="40">
        <v>0</v>
      </c>
      <c r="AE81" s="630">
        <f>AF81-AD81</f>
        <v>0</v>
      </c>
      <c r="AF81" s="653">
        <v>0</v>
      </c>
      <c r="AG81" s="40">
        <v>0</v>
      </c>
      <c r="AH81" s="630">
        <f>AI81-AG81</f>
        <v>0</v>
      </c>
      <c r="AI81" s="653">
        <v>0</v>
      </c>
      <c r="AJ81" s="40">
        <v>0</v>
      </c>
      <c r="AK81" s="630">
        <f>AL81-AJ81</f>
        <v>0</v>
      </c>
      <c r="AL81" s="653">
        <v>0</v>
      </c>
      <c r="AM81" s="40">
        <v>0</v>
      </c>
      <c r="AN81" s="630">
        <f>AO81-AM81</f>
        <v>2</v>
      </c>
      <c r="AO81" s="653">
        <v>2</v>
      </c>
      <c r="AP81" s="40">
        <v>-2</v>
      </c>
      <c r="AQ81" s="630">
        <f>AR81-AP81</f>
        <v>0</v>
      </c>
      <c r="AR81" s="653">
        <v>-2</v>
      </c>
      <c r="AS81" s="40">
        <v>0</v>
      </c>
      <c r="AT81" s="630">
        <f>AU81-AS81</f>
        <v>0</v>
      </c>
      <c r="AU81" s="653">
        <v>0</v>
      </c>
      <c r="AV81" s="40">
        <v>0</v>
      </c>
      <c r="AW81" s="630">
        <f>AX81-AV81</f>
        <v>0</v>
      </c>
      <c r="AX81" s="653">
        <v>0</v>
      </c>
      <c r="AY81" s="40">
        <v>0</v>
      </c>
      <c r="AZ81" s="236">
        <f>BA81-AY81</f>
        <v>0</v>
      </c>
      <c r="BA81" s="580">
        <v>0</v>
      </c>
      <c r="BB81" s="56">
        <f t="shared" si="369"/>
        <v>0</v>
      </c>
      <c r="BC81" s="236">
        <f>BD81-BB81</f>
        <v>0</v>
      </c>
      <c r="BD81" s="580">
        <v>0</v>
      </c>
      <c r="BE81" s="56">
        <f t="shared" si="370"/>
        <v>0</v>
      </c>
      <c r="BF81" s="236">
        <f>BG81-BE81</f>
        <v>0</v>
      </c>
      <c r="BG81" s="580">
        <v>0</v>
      </c>
      <c r="BH81" s="56">
        <f t="shared" si="371"/>
        <v>0</v>
      </c>
      <c r="BI81" s="236">
        <f>BJ81-BH81</f>
        <v>0</v>
      </c>
      <c r="BJ81" s="580">
        <v>0</v>
      </c>
      <c r="BK81" s="56">
        <f t="shared" si="372"/>
        <v>0</v>
      </c>
      <c r="BL81" s="236">
        <f>BM81-BK81</f>
        <v>0</v>
      </c>
      <c r="BM81" s="580">
        <v>0</v>
      </c>
    </row>
    <row r="82" spans="1:66">
      <c r="A82" s="25" t="s">
        <v>172</v>
      </c>
      <c r="B82" s="40"/>
      <c r="C82" s="40"/>
      <c r="D82" s="40"/>
      <c r="E82" s="40"/>
      <c r="F82" s="40">
        <f>F76+SUM(F78:F81)</f>
        <v>1439</v>
      </c>
      <c r="G82" s="40">
        <f t="shared" ref="G82:AO82" si="373">G76+SUM(G78:G81)</f>
        <v>1745</v>
      </c>
      <c r="H82" s="40">
        <f t="shared" si="373"/>
        <v>2171</v>
      </c>
      <c r="I82" s="40">
        <f t="shared" si="373"/>
        <v>1872</v>
      </c>
      <c r="J82" s="40">
        <f t="shared" si="373"/>
        <v>2462</v>
      </c>
      <c r="K82" s="40">
        <f t="shared" si="373"/>
        <v>2958</v>
      </c>
      <c r="L82" s="40">
        <f t="shared" si="373"/>
        <v>2851</v>
      </c>
      <c r="M82" s="40">
        <f t="shared" si="373"/>
        <v>1291</v>
      </c>
      <c r="N82" s="40">
        <f t="shared" si="373"/>
        <v>2585</v>
      </c>
      <c r="O82" s="40">
        <f t="shared" si="373"/>
        <v>3998</v>
      </c>
      <c r="P82" s="40">
        <f t="shared" si="373"/>
        <v>2873</v>
      </c>
      <c r="Q82" s="40">
        <f t="shared" si="373"/>
        <v>3187</v>
      </c>
      <c r="R82" s="40">
        <f t="shared" ref="R82:S82" si="374">R76+SUM(R78:R81)</f>
        <v>2287</v>
      </c>
      <c r="S82" s="630">
        <f t="shared" si="374"/>
        <v>2771</v>
      </c>
      <c r="T82" s="653">
        <f t="shared" si="373"/>
        <v>2771</v>
      </c>
      <c r="U82" s="40">
        <f t="shared" ref="U82:V82" si="375">U76+SUM(U78:U81)</f>
        <v>2334</v>
      </c>
      <c r="V82" s="630">
        <f t="shared" si="375"/>
        <v>2966</v>
      </c>
      <c r="W82" s="653">
        <f t="shared" si="373"/>
        <v>2966</v>
      </c>
      <c r="X82" s="40">
        <f t="shared" ref="X82:Y82" si="376">X76+SUM(X78:X81)</f>
        <v>2334</v>
      </c>
      <c r="Y82" s="630">
        <f t="shared" si="376"/>
        <v>2933</v>
      </c>
      <c r="Z82" s="653">
        <f t="shared" si="373"/>
        <v>2933</v>
      </c>
      <c r="AA82" s="40">
        <f t="shared" ref="AA82:AB82" si="377">AA76+SUM(AA78:AA81)</f>
        <v>4358</v>
      </c>
      <c r="AB82" s="630">
        <f t="shared" si="377"/>
        <v>4952</v>
      </c>
      <c r="AC82" s="653">
        <f t="shared" si="373"/>
        <v>4952</v>
      </c>
      <c r="AD82" s="40">
        <f t="shared" ref="AD82:AE82" si="378">AD76+SUM(AD78:AD81)</f>
        <v>4182</v>
      </c>
      <c r="AE82" s="630">
        <f t="shared" si="378"/>
        <v>4435</v>
      </c>
      <c r="AF82" s="653">
        <f t="shared" si="373"/>
        <v>4435</v>
      </c>
      <c r="AG82" s="40">
        <f t="shared" ref="AG82:AH82" si="379">AG76+SUM(AG78:AG81)</f>
        <v>4231</v>
      </c>
      <c r="AH82" s="630">
        <f t="shared" si="379"/>
        <v>3496</v>
      </c>
      <c r="AI82" s="653">
        <f>AI76+SUM(AI78:AI81)</f>
        <v>3496</v>
      </c>
      <c r="AJ82" s="40">
        <f t="shared" ref="AJ82:AK82" si="380">AJ76+SUM(AJ78:AJ81)</f>
        <v>2978</v>
      </c>
      <c r="AK82" s="630">
        <f t="shared" si="380"/>
        <v>2639</v>
      </c>
      <c r="AL82" s="653">
        <f t="shared" si="373"/>
        <v>2639</v>
      </c>
      <c r="AM82" s="40">
        <f t="shared" ref="AM82" si="381">AM76+SUM(AM78:AM81)</f>
        <v>2782</v>
      </c>
      <c r="AN82" s="630">
        <f t="shared" ref="AN82" si="382">AN76+SUM(AN78:AN81)</f>
        <v>2607</v>
      </c>
      <c r="AO82" s="653">
        <f t="shared" si="373"/>
        <v>2607</v>
      </c>
      <c r="AP82" s="40">
        <f t="shared" ref="AP82:AQ82" si="383">AP76+SUM(AP78:AP81)</f>
        <v>2855</v>
      </c>
      <c r="AQ82" s="630">
        <f t="shared" si="383"/>
        <v>3731</v>
      </c>
      <c r="AR82" s="653">
        <f t="shared" ref="AR82:AT82" si="384">AR76+SUM(AR78:AR81)</f>
        <v>3731</v>
      </c>
      <c r="AS82" s="40">
        <f t="shared" si="384"/>
        <v>4313</v>
      </c>
      <c r="AT82" s="630">
        <f t="shared" si="384"/>
        <v>5573</v>
      </c>
      <c r="AU82" s="653">
        <f t="shared" ref="AU82:AW82" si="385">AU76+SUM(AU78:AU81)</f>
        <v>5573</v>
      </c>
      <c r="AV82" s="40">
        <f t="shared" si="385"/>
        <v>6042</v>
      </c>
      <c r="AW82" s="630">
        <f t="shared" si="385"/>
        <v>6241</v>
      </c>
      <c r="AX82" s="653">
        <f t="shared" ref="AX82:BM82" si="386">AX76+SUM(AX78:AX81)</f>
        <v>6241</v>
      </c>
      <c r="AY82" s="40">
        <f t="shared" si="386"/>
        <v>6480</v>
      </c>
      <c r="AZ82" s="236">
        <f t="shared" ref="AZ82" si="387">AZ76+SUM(AZ78:AZ81)</f>
        <v>6901.0189816936108</v>
      </c>
      <c r="BA82" s="605">
        <f t="shared" si="386"/>
        <v>6778.0189816936108</v>
      </c>
      <c r="BB82" s="56">
        <f t="shared" ref="BB82:BC82" si="388">BB76+SUM(BB78:BB81)</f>
        <v>8896.1785276494047</v>
      </c>
      <c r="BC82" s="236">
        <f t="shared" si="388"/>
        <v>7666.3133866163607</v>
      </c>
      <c r="BD82" s="605">
        <f t="shared" si="386"/>
        <v>7666.3133866163571</v>
      </c>
      <c r="BE82" s="56">
        <f t="shared" ref="BE82:BF82" si="389">BE76+SUM(BE78:BE81)</f>
        <v>8999.1754827074801</v>
      </c>
      <c r="BF82" s="236">
        <f t="shared" si="389"/>
        <v>9492.2755349535837</v>
      </c>
      <c r="BG82" s="605">
        <f t="shared" si="386"/>
        <v>9492.2755349535819</v>
      </c>
      <c r="BH82" s="56">
        <f t="shared" ref="BH82:BI82" si="390">BH76+SUM(BH78:BH81)</f>
        <v>12212.310107483194</v>
      </c>
      <c r="BI82" s="236">
        <f t="shared" si="390"/>
        <v>14578.342409733952</v>
      </c>
      <c r="BJ82" s="605">
        <f t="shared" si="386"/>
        <v>14578.34240973395</v>
      </c>
      <c r="BK82" s="56">
        <f t="shared" ref="BK82:BL82" si="391">BK76+SUM(BK78:BK81)</f>
        <v>17630.696380937472</v>
      </c>
      <c r="BL82" s="236">
        <f t="shared" si="391"/>
        <v>20482.402584305837</v>
      </c>
      <c r="BM82" s="605">
        <f t="shared" si="386"/>
        <v>20482.402584305833</v>
      </c>
    </row>
    <row r="83" spans="1:66">
      <c r="B83" s="40"/>
      <c r="C83" s="40"/>
      <c r="D83" s="40"/>
      <c r="E83" s="40"/>
      <c r="F83" s="40"/>
      <c r="G83" s="40"/>
      <c r="H83" s="40"/>
      <c r="I83" s="40"/>
      <c r="J83" s="40"/>
      <c r="K83" s="40"/>
      <c r="L83" s="40"/>
      <c r="M83" s="40"/>
      <c r="N83" s="40"/>
      <c r="O83" s="40"/>
      <c r="P83" s="40"/>
      <c r="Q83" s="40"/>
      <c r="R83" s="40"/>
      <c r="S83" s="630"/>
      <c r="T83" s="653"/>
      <c r="U83" s="40"/>
      <c r="V83" s="630"/>
      <c r="W83" s="653"/>
      <c r="X83" s="40"/>
      <c r="Y83" s="630"/>
      <c r="Z83" s="653"/>
      <c r="AA83" s="40"/>
      <c r="AB83" s="630"/>
      <c r="AC83" s="653"/>
      <c r="AD83" s="40"/>
      <c r="AE83" s="630"/>
      <c r="AF83" s="653"/>
      <c r="AG83" s="40"/>
      <c r="AH83" s="630"/>
      <c r="AI83" s="653"/>
      <c r="AJ83" s="40"/>
      <c r="AK83" s="630"/>
      <c r="AL83" s="653"/>
      <c r="AM83" s="40"/>
      <c r="AN83" s="630"/>
      <c r="AO83" s="653"/>
      <c r="AP83" s="40"/>
      <c r="AQ83" s="630"/>
      <c r="AR83" s="653"/>
      <c r="AS83" s="40"/>
      <c r="AT83" s="630"/>
      <c r="AU83" s="653"/>
      <c r="AV83" s="40"/>
      <c r="AW83" s="630"/>
      <c r="AX83" s="653"/>
      <c r="AY83" s="40"/>
      <c r="AZ83" s="539"/>
      <c r="BA83" s="550"/>
      <c r="BB83"/>
      <c r="BC83" s="539"/>
      <c r="BD83" s="550"/>
      <c r="BE83"/>
      <c r="BF83" s="539"/>
      <c r="BG83" s="550"/>
      <c r="BH83"/>
      <c r="BI83" s="539"/>
      <c r="BJ83" s="550"/>
      <c r="BK83"/>
      <c r="BL83" s="539"/>
      <c r="BM83" s="550"/>
    </row>
    <row r="84" spans="1:66">
      <c r="A84" s="31" t="s">
        <v>107</v>
      </c>
      <c r="B84" s="51">
        <f>BS!B60</f>
        <v>-690</v>
      </c>
      <c r="C84" s="51">
        <f>BS!C60</f>
        <v>-501</v>
      </c>
      <c r="D84" s="51">
        <f>BS!D60</f>
        <v>-595</v>
      </c>
      <c r="E84" s="51">
        <f>BS!E60</f>
        <v>-323</v>
      </c>
      <c r="F84" s="51">
        <f>BS!F60</f>
        <v>-149</v>
      </c>
      <c r="G84" s="51">
        <f>BS!G60</f>
        <v>335</v>
      </c>
      <c r="H84" s="51">
        <f>BS!H60</f>
        <v>826</v>
      </c>
      <c r="I84" s="51">
        <f>BS!I60</f>
        <v>887</v>
      </c>
      <c r="J84" s="51">
        <f>BS!J60</f>
        <v>1458</v>
      </c>
      <c r="K84" s="51">
        <f>BS!K60</f>
        <v>1275</v>
      </c>
      <c r="L84" s="51">
        <f>BS!L60</f>
        <v>1533</v>
      </c>
      <c r="M84" s="51">
        <f>BS!M60</f>
        <v>223</v>
      </c>
      <c r="N84" s="51">
        <f>BS!N60</f>
        <v>1317</v>
      </c>
      <c r="O84" s="51">
        <f>BS!O60</f>
        <v>1939</v>
      </c>
      <c r="P84" s="51">
        <f>BS!P60</f>
        <v>666</v>
      </c>
      <c r="Q84" s="51">
        <f>BS!Q60</f>
        <v>-111</v>
      </c>
      <c r="R84" s="51">
        <f>BS!R60</f>
        <v>-712</v>
      </c>
      <c r="S84" s="629">
        <f>BS!S60</f>
        <v>-225</v>
      </c>
      <c r="T84" s="652">
        <f>BS!T60</f>
        <v>-225</v>
      </c>
      <c r="U84" s="51">
        <f>BS!U60</f>
        <v>-931</v>
      </c>
      <c r="V84" s="629">
        <f>BS!V60</f>
        <v>-305</v>
      </c>
      <c r="W84" s="652">
        <f>BS!W60</f>
        <v>-305</v>
      </c>
      <c r="X84" s="51">
        <f>BS!X60</f>
        <v>-931</v>
      </c>
      <c r="Y84" s="629">
        <f>BS!Y60</f>
        <v>-305</v>
      </c>
      <c r="Z84" s="652">
        <f>BS!Z60</f>
        <v>-305</v>
      </c>
      <c r="AA84" s="51">
        <f>BS!AA60</f>
        <v>165</v>
      </c>
      <c r="AB84" s="629">
        <f>BS!AB60</f>
        <v>611</v>
      </c>
      <c r="AC84" s="652">
        <f>BS!AC60</f>
        <v>611</v>
      </c>
      <c r="AD84" s="51">
        <f>BS!AD60</f>
        <v>-1937</v>
      </c>
      <c r="AE84" s="629">
        <f>BS!AE60</f>
        <v>-993</v>
      </c>
      <c r="AF84" s="652">
        <f>BS!AF60</f>
        <v>-993</v>
      </c>
      <c r="AG84" s="51">
        <f>BS!AG60</f>
        <v>-4069</v>
      </c>
      <c r="AH84" s="629">
        <f>BS!AH60</f>
        <v>-3576</v>
      </c>
      <c r="AI84" s="652">
        <f>BS!AI60</f>
        <v>-3576</v>
      </c>
      <c r="AJ84" s="51">
        <f>BS!AJ60</f>
        <v>-4972</v>
      </c>
      <c r="AK84" s="629">
        <f>BS!AK60</f>
        <v>-5157</v>
      </c>
      <c r="AL84" s="652">
        <f>BS!AL60</f>
        <v>-5157</v>
      </c>
      <c r="AM84" s="51">
        <f>BS!AM60</f>
        <v>-5142</v>
      </c>
      <c r="AN84" s="629">
        <f>BS!AN60</f>
        <v>-3251</v>
      </c>
      <c r="AO84" s="652">
        <f>BS!AO60</f>
        <v>-3251</v>
      </c>
      <c r="AP84" s="51">
        <f>BS!AP60</f>
        <v>-2845</v>
      </c>
      <c r="AQ84" s="629">
        <f>BS!AQ60</f>
        <v>-1952</v>
      </c>
      <c r="AR84" s="652">
        <f>BS!AR60</f>
        <v>-1952</v>
      </c>
      <c r="AS84" s="51">
        <f>BS!AS60</f>
        <v>-822</v>
      </c>
      <c r="AT84" s="629">
        <f>BS!AT60</f>
        <v>475</v>
      </c>
      <c r="AU84" s="652">
        <f>BS!AU60</f>
        <v>475</v>
      </c>
      <c r="AV84" s="51">
        <f>BS!AV60</f>
        <v>1084</v>
      </c>
      <c r="AW84" s="629">
        <f>BS!AW60</f>
        <v>1895</v>
      </c>
      <c r="AX84" s="652">
        <f>BS!AX60</f>
        <v>1895</v>
      </c>
      <c r="AY84" s="51">
        <f>BS!AY60</f>
        <v>2136</v>
      </c>
      <c r="AZ84" s="237">
        <f>BS!AZ60</f>
        <v>2626.0189816936108</v>
      </c>
      <c r="BA84" s="576">
        <f>BS!BA60</f>
        <v>2626.0189816936108</v>
      </c>
      <c r="BB84" s="48">
        <f>BS!BB60</f>
        <v>4744.1785276494047</v>
      </c>
      <c r="BC84" s="237">
        <f>BS!BC60</f>
        <v>3514.3133866163571</v>
      </c>
      <c r="BD84" s="576">
        <f>BS!BD60</f>
        <v>3514.3133866163571</v>
      </c>
      <c r="BE84" s="48">
        <f>BS!BE60</f>
        <v>4847.1754827074801</v>
      </c>
      <c r="BF84" s="237">
        <f>BS!BF60</f>
        <v>5340.2755349535819</v>
      </c>
      <c r="BG84" s="576">
        <f>BS!BG60</f>
        <v>5340.2755349535819</v>
      </c>
      <c r="BH84" s="48">
        <f>BS!BH60</f>
        <v>8060.3101074831939</v>
      </c>
      <c r="BI84" s="237">
        <f>BS!BI60</f>
        <v>10426.34240973395</v>
      </c>
      <c r="BJ84" s="576">
        <f>BS!BJ60</f>
        <v>10426.34240973395</v>
      </c>
      <c r="BK84" s="48">
        <f>BS!BK60</f>
        <v>13478.696380937472</v>
      </c>
      <c r="BL84" s="237">
        <f>BS!BL60</f>
        <v>16330.402584305833</v>
      </c>
      <c r="BM84" s="576">
        <f>BS!BM60</f>
        <v>16330.402584305833</v>
      </c>
    </row>
    <row r="85" spans="1:66">
      <c r="B85" s="40"/>
      <c r="C85" s="40"/>
      <c r="D85" s="40"/>
      <c r="E85" s="40"/>
      <c r="F85" s="40"/>
      <c r="G85" s="40"/>
      <c r="H85" s="40"/>
      <c r="I85" s="40"/>
      <c r="J85" s="40"/>
      <c r="K85" s="40"/>
      <c r="L85" s="40"/>
      <c r="M85" s="40"/>
      <c r="N85" s="40"/>
      <c r="O85" s="40"/>
      <c r="P85" s="40"/>
      <c r="Q85" s="40"/>
      <c r="R85" s="40"/>
      <c r="S85" s="630"/>
      <c r="T85" s="653"/>
      <c r="U85" s="40"/>
      <c r="V85" s="630"/>
      <c r="W85" s="653"/>
      <c r="X85" s="40"/>
      <c r="Y85" s="630"/>
      <c r="Z85" s="653"/>
      <c r="AA85" s="40"/>
      <c r="AB85" s="630"/>
      <c r="AC85" s="653"/>
      <c r="AD85" s="40"/>
      <c r="AE85" s="630"/>
      <c r="AF85" s="653"/>
      <c r="AG85" s="40"/>
      <c r="AH85" s="630"/>
      <c r="AI85" s="653"/>
      <c r="AJ85" s="40"/>
      <c r="AK85" s="630"/>
      <c r="AL85" s="653"/>
      <c r="AM85" s="40"/>
      <c r="AN85" s="630"/>
      <c r="AO85" s="653"/>
      <c r="AP85" s="40"/>
      <c r="AQ85" s="539"/>
      <c r="AR85" s="550"/>
      <c r="AS85"/>
      <c r="AT85" s="539"/>
      <c r="AU85" s="550"/>
      <c r="AV85"/>
      <c r="AW85" s="539"/>
      <c r="AX85" s="550"/>
      <c r="AY85"/>
      <c r="AZ85" s="539"/>
      <c r="BA85" s="550"/>
      <c r="BB85"/>
      <c r="BC85" s="539"/>
      <c r="BD85" s="550"/>
      <c r="BE85"/>
      <c r="BF85" s="539"/>
      <c r="BG85" s="550"/>
      <c r="BH85"/>
      <c r="BI85" s="539"/>
      <c r="BJ85" s="550"/>
      <c r="BK85"/>
      <c r="BL85" s="539"/>
      <c r="BM85" s="550"/>
    </row>
    <row r="86" spans="1:66">
      <c r="A86" s="310" t="s">
        <v>120</v>
      </c>
      <c r="B86" s="330"/>
      <c r="C86" s="330"/>
      <c r="D86" s="330"/>
      <c r="E86" s="330"/>
      <c r="F86" s="330"/>
      <c r="G86" s="330"/>
      <c r="H86" s="330"/>
      <c r="I86" s="330"/>
      <c r="J86" s="330"/>
      <c r="K86" s="318"/>
      <c r="L86" s="318"/>
      <c r="M86" s="318"/>
      <c r="N86" s="318"/>
      <c r="O86" s="318"/>
      <c r="P86" s="318"/>
      <c r="Q86" s="318"/>
      <c r="R86" s="529"/>
      <c r="S86" s="319"/>
      <c r="T86" s="678"/>
      <c r="U86" s="529"/>
      <c r="V86" s="319"/>
      <c r="W86" s="678"/>
      <c r="X86" s="529"/>
      <c r="Y86" s="319"/>
      <c r="Z86" s="678"/>
      <c r="AA86" s="529"/>
      <c r="AB86" s="319"/>
      <c r="AC86" s="678"/>
      <c r="AD86" s="529"/>
      <c r="AE86" s="319"/>
      <c r="AF86" s="678"/>
      <c r="AG86" s="529"/>
      <c r="AH86" s="319"/>
      <c r="AI86" s="678"/>
      <c r="AJ86" s="529"/>
      <c r="AK86" s="319"/>
      <c r="AL86" s="678"/>
      <c r="AM86" s="529"/>
      <c r="AN86" s="319"/>
      <c r="AO86" s="678"/>
      <c r="AP86" s="529"/>
      <c r="AQ86" s="319"/>
      <c r="AR86" s="678"/>
      <c r="AS86" s="529"/>
      <c r="AT86" s="319"/>
      <c r="AU86" s="678"/>
      <c r="AV86" s="529"/>
      <c r="AW86" s="319"/>
      <c r="AX86" s="678"/>
      <c r="AY86" s="529"/>
      <c r="AZ86" s="686"/>
      <c r="BA86" s="682"/>
      <c r="BB86" s="160"/>
      <c r="BC86" s="686"/>
      <c r="BD86" s="682"/>
      <c r="BE86" s="160"/>
      <c r="BF86" s="686"/>
      <c r="BG86" s="682"/>
      <c r="BH86" s="160"/>
      <c r="BI86" s="686"/>
      <c r="BJ86" s="682"/>
      <c r="BK86" s="160"/>
      <c r="BL86" s="686"/>
      <c r="BM86" s="682"/>
    </row>
    <row r="87" spans="1:66">
      <c r="B87" s="40"/>
      <c r="C87" s="40"/>
      <c r="D87" s="40"/>
      <c r="E87" s="40"/>
      <c r="F87" s="40"/>
      <c r="G87" s="40"/>
      <c r="H87" s="40"/>
      <c r="I87" s="40"/>
      <c r="J87" s="40"/>
      <c r="K87" s="40"/>
      <c r="L87" s="40"/>
      <c r="M87" s="40"/>
      <c r="N87" s="40"/>
      <c r="O87" s="40"/>
      <c r="P87" s="156" t="s">
        <v>220</v>
      </c>
      <c r="Q87" s="40"/>
      <c r="R87" s="40"/>
      <c r="S87" s="630"/>
      <c r="T87" s="653"/>
      <c r="U87" s="40"/>
      <c r="V87" s="630"/>
      <c r="W87" s="653"/>
      <c r="X87" s="40"/>
      <c r="Y87" s="630"/>
      <c r="Z87" s="653"/>
      <c r="AA87" s="50"/>
      <c r="AB87" s="647"/>
      <c r="AC87" s="671"/>
      <c r="AD87" s="50"/>
      <c r="AE87" s="647"/>
      <c r="AF87" s="671"/>
      <c r="AG87" s="50"/>
      <c r="AH87" s="647"/>
      <c r="AI87" s="671"/>
      <c r="AJ87" s="50"/>
      <c r="AK87" s="647"/>
      <c r="AL87" s="671"/>
      <c r="AM87" s="50"/>
      <c r="AN87" s="647"/>
      <c r="AO87" s="671"/>
      <c r="AP87" s="50"/>
      <c r="AQ87" s="539"/>
      <c r="AR87" s="550"/>
      <c r="AS87"/>
      <c r="AT87" s="539"/>
      <c r="AU87" s="550"/>
      <c r="AV87"/>
      <c r="AW87" s="539"/>
      <c r="AX87" s="550"/>
      <c r="AY87"/>
      <c r="AZ87" s="539"/>
      <c r="BA87" s="550"/>
      <c r="BB87"/>
      <c r="BC87" s="539"/>
      <c r="BD87" s="550"/>
      <c r="BE87"/>
      <c r="BF87" s="539"/>
      <c r="BG87" s="550"/>
      <c r="BH87"/>
      <c r="BI87" s="539"/>
      <c r="BJ87" s="550"/>
      <c r="BK87"/>
      <c r="BL87" s="539"/>
      <c r="BM87" s="550"/>
    </row>
    <row r="88" spans="1:66">
      <c r="A88" s="25" t="s">
        <v>232</v>
      </c>
      <c r="B88" s="40">
        <f t="shared" ref="B88:T88" si="392">B29</f>
        <v>492</v>
      </c>
      <c r="C88" s="40">
        <f t="shared" si="392"/>
        <v>433</v>
      </c>
      <c r="D88" s="40">
        <f t="shared" si="392"/>
        <v>623</v>
      </c>
      <c r="E88" s="40">
        <f t="shared" si="392"/>
        <v>684</v>
      </c>
      <c r="F88" s="40">
        <f t="shared" si="392"/>
        <v>694</v>
      </c>
      <c r="G88" s="40">
        <f t="shared" si="392"/>
        <v>1120</v>
      </c>
      <c r="H88" s="40">
        <f t="shared" si="392"/>
        <v>1097</v>
      </c>
      <c r="I88" s="40">
        <f t="shared" si="392"/>
        <v>711</v>
      </c>
      <c r="J88" s="40">
        <f t="shared" si="392"/>
        <v>1132</v>
      </c>
      <c r="K88" s="40">
        <f t="shared" si="392"/>
        <v>978</v>
      </c>
      <c r="L88" s="40">
        <f t="shared" si="392"/>
        <v>1508</v>
      </c>
      <c r="M88" s="40">
        <f t="shared" si="392"/>
        <v>1514</v>
      </c>
      <c r="N88" s="40">
        <f t="shared" si="392"/>
        <v>1474</v>
      </c>
      <c r="O88" s="40">
        <f t="shared" si="392"/>
        <v>2289</v>
      </c>
      <c r="P88" s="40">
        <f t="shared" si="392"/>
        <v>1577</v>
      </c>
      <c r="Q88" s="40">
        <f t="shared" si="392"/>
        <v>1254</v>
      </c>
      <c r="R88" s="40">
        <f t="shared" ref="R88:S88" si="393">R29-R18</f>
        <v>266</v>
      </c>
      <c r="S88" s="630">
        <f t="shared" si="393"/>
        <v>631</v>
      </c>
      <c r="T88" s="653">
        <f t="shared" si="392"/>
        <v>1568</v>
      </c>
      <c r="U88" s="40">
        <f t="shared" ref="U88:V88" si="394">U29-U18</f>
        <v>257</v>
      </c>
      <c r="V88" s="630">
        <f t="shared" si="394"/>
        <v>2019</v>
      </c>
      <c r="W88" s="653">
        <f t="shared" ref="W88:BM88" si="395">W29-W18</f>
        <v>2276</v>
      </c>
      <c r="X88" s="40">
        <f t="shared" si="395"/>
        <v>103</v>
      </c>
      <c r="Y88" s="630">
        <f t="shared" si="395"/>
        <v>1875</v>
      </c>
      <c r="Z88" s="653">
        <f t="shared" si="395"/>
        <v>1978</v>
      </c>
      <c r="AA88" s="40">
        <f t="shared" ref="AA88:AB88" si="396">AA29-AA18</f>
        <v>661</v>
      </c>
      <c r="AB88" s="630">
        <f t="shared" si="396"/>
        <v>1813</v>
      </c>
      <c r="AC88" s="653">
        <f t="shared" si="395"/>
        <v>2474</v>
      </c>
      <c r="AD88" s="40">
        <f t="shared" si="395"/>
        <v>343</v>
      </c>
      <c r="AE88" s="630">
        <f t="shared" si="395"/>
        <v>2231</v>
      </c>
      <c r="AF88" s="653">
        <f>AF29-AF18</f>
        <v>2574</v>
      </c>
      <c r="AG88" s="40">
        <f t="shared" ref="AG88:AH88" si="397">AG29-AG18</f>
        <v>-2297</v>
      </c>
      <c r="AH88" s="630">
        <f t="shared" si="397"/>
        <v>-346</v>
      </c>
      <c r="AI88" s="653">
        <f>AI29-AI18</f>
        <v>-2643</v>
      </c>
      <c r="AJ88" s="40">
        <f t="shared" ref="AJ88:AK88" si="398">AJ29-AJ18</f>
        <v>-580</v>
      </c>
      <c r="AK88" s="630">
        <f t="shared" si="398"/>
        <v>653</v>
      </c>
      <c r="AL88" s="653">
        <f>AL29-AL18</f>
        <v>73</v>
      </c>
      <c r="AM88" s="40">
        <f t="shared" ref="AM88:AN88" si="399">AM29-AM18</f>
        <v>679</v>
      </c>
      <c r="AN88" s="630">
        <f t="shared" si="399"/>
        <v>1309</v>
      </c>
      <c r="AO88" s="653">
        <f t="shared" si="395"/>
        <v>1988</v>
      </c>
      <c r="AP88" s="40">
        <f t="shared" ref="AP88:AR88" si="400">AP29-AP18</f>
        <v>1134</v>
      </c>
      <c r="AQ88" s="630">
        <f t="shared" si="400"/>
        <v>1753</v>
      </c>
      <c r="AR88" s="653">
        <f t="shared" si="400"/>
        <v>2887</v>
      </c>
      <c r="AS88" s="40">
        <f t="shared" ref="AS88:AU88" si="401">AS29-AS18</f>
        <v>1733</v>
      </c>
      <c r="AT88" s="630">
        <f t="shared" si="401"/>
        <v>2307</v>
      </c>
      <c r="AU88" s="653">
        <f t="shared" si="401"/>
        <v>4040</v>
      </c>
      <c r="AV88" s="40">
        <f t="shared" ref="AV88:AW88" si="402">AV29-AV18</f>
        <v>2274</v>
      </c>
      <c r="AW88" s="630">
        <f t="shared" si="402"/>
        <v>2759</v>
      </c>
      <c r="AX88" s="653">
        <f t="shared" ref="AX88:AY88" si="403">AX29-AX18</f>
        <v>5033</v>
      </c>
      <c r="AY88" s="40">
        <f t="shared" si="403"/>
        <v>3012</v>
      </c>
      <c r="AZ88" s="236">
        <f>AZ29-AZ18</f>
        <v>3432.2428157542126</v>
      </c>
      <c r="BA88" s="605">
        <f t="shared" si="395"/>
        <v>6321.2428157542126</v>
      </c>
      <c r="BB88" s="56">
        <f>BB29-BB18</f>
        <v>5447.9697578473606</v>
      </c>
      <c r="BC88" s="236">
        <f>BC29-BC18</f>
        <v>2101.3391268134028</v>
      </c>
      <c r="BD88" s="605">
        <f t="shared" si="395"/>
        <v>7549.3088846607616</v>
      </c>
      <c r="BE88" s="56">
        <f>BE29-BE18</f>
        <v>4748.6854715739973</v>
      </c>
      <c r="BF88" s="236">
        <f>BF29-BF18</f>
        <v>4083.930724553446</v>
      </c>
      <c r="BG88" s="605">
        <f t="shared" si="395"/>
        <v>8832.6161961274429</v>
      </c>
      <c r="BH88" s="56">
        <f>BH29-BH18</f>
        <v>5038.3945018215063</v>
      </c>
      <c r="BI88" s="236">
        <f>BI29-BI18</f>
        <v>4893.5434515729594</v>
      </c>
      <c r="BJ88" s="605">
        <f t="shared" si="395"/>
        <v>9931.9379533944648</v>
      </c>
      <c r="BK88" s="56">
        <f>BK29-BK18</f>
        <v>5636.1337151073267</v>
      </c>
      <c r="BL88" s="236">
        <f>BL29-BL18</f>
        <v>5685.7045320280095</v>
      </c>
      <c r="BM88" s="605">
        <f t="shared" si="395"/>
        <v>11321.838247135334</v>
      </c>
    </row>
    <row r="89" spans="1:66">
      <c r="A89" s="25" t="s">
        <v>186</v>
      </c>
      <c r="B89" s="40">
        <f t="shared" ref="B89:BM89" si="404">B61+B62+B63</f>
        <v>-76</v>
      </c>
      <c r="C89" s="40">
        <f t="shared" si="404"/>
        <v>-54</v>
      </c>
      <c r="D89" s="40">
        <f t="shared" si="404"/>
        <v>-84</v>
      </c>
      <c r="E89" s="40">
        <f t="shared" si="404"/>
        <v>-56</v>
      </c>
      <c r="F89" s="40">
        <f t="shared" si="404"/>
        <v>-52</v>
      </c>
      <c r="G89" s="40">
        <f t="shared" si="404"/>
        <v>-49</v>
      </c>
      <c r="H89" s="40">
        <f t="shared" si="404"/>
        <v>-14</v>
      </c>
      <c r="I89" s="40">
        <f t="shared" si="404"/>
        <v>-1</v>
      </c>
      <c r="J89" s="40">
        <f t="shared" si="404"/>
        <v>-2</v>
      </c>
      <c r="K89" s="40">
        <f t="shared" si="404"/>
        <v>-43</v>
      </c>
      <c r="L89" s="40">
        <f t="shared" si="404"/>
        <v>-54</v>
      </c>
      <c r="M89" s="40">
        <f t="shared" si="404"/>
        <v>-31</v>
      </c>
      <c r="N89" s="40">
        <f t="shared" si="404"/>
        <v>-41</v>
      </c>
      <c r="O89" s="40">
        <f t="shared" si="404"/>
        <v>-43</v>
      </c>
      <c r="P89" s="40">
        <f t="shared" si="404"/>
        <v>-45</v>
      </c>
      <c r="Q89" s="40">
        <f t="shared" si="404"/>
        <v>-55</v>
      </c>
      <c r="R89" s="40">
        <f t="shared" si="404"/>
        <v>-48</v>
      </c>
      <c r="S89" s="630">
        <f t="shared" si="404"/>
        <v>-24</v>
      </c>
      <c r="T89" s="653">
        <f t="shared" si="404"/>
        <v>-72</v>
      </c>
      <c r="U89" s="40">
        <f t="shared" ref="U89:V89" si="405">U61+U62+U63</f>
        <v>-33</v>
      </c>
      <c r="V89" s="630">
        <f t="shared" si="405"/>
        <v>-20</v>
      </c>
      <c r="W89" s="653">
        <f t="shared" si="404"/>
        <v>-53</v>
      </c>
      <c r="X89" s="40">
        <f t="shared" si="404"/>
        <v>-33</v>
      </c>
      <c r="Y89" s="630">
        <f t="shared" si="404"/>
        <v>-20</v>
      </c>
      <c r="Z89" s="653">
        <f t="shared" si="404"/>
        <v>-53</v>
      </c>
      <c r="AA89" s="40">
        <f t="shared" ref="AA89:AB89" si="406">AA61+AA62+AA63</f>
        <v>-40</v>
      </c>
      <c r="AB89" s="630">
        <f t="shared" si="406"/>
        <v>-30</v>
      </c>
      <c r="AC89" s="653">
        <f t="shared" si="404"/>
        <v>-70</v>
      </c>
      <c r="AD89" s="40">
        <f t="shared" si="404"/>
        <v>-89</v>
      </c>
      <c r="AE89" s="630">
        <f t="shared" si="404"/>
        <v>-103</v>
      </c>
      <c r="AF89" s="653">
        <f>AF61+AF62+AF63</f>
        <v>-192</v>
      </c>
      <c r="AG89" s="40">
        <f t="shared" ref="AG89:AH89" si="407">AG61+AG62+AG63</f>
        <v>-153</v>
      </c>
      <c r="AH89" s="630">
        <f t="shared" si="407"/>
        <v>-106</v>
      </c>
      <c r="AI89" s="653">
        <f>AI61+AI62+AI63</f>
        <v>-259</v>
      </c>
      <c r="AJ89" s="40">
        <f t="shared" ref="AJ89:AK89" si="408">AJ61+AJ62+AJ63</f>
        <v>-450</v>
      </c>
      <c r="AK89" s="630">
        <f t="shared" si="408"/>
        <v>-324</v>
      </c>
      <c r="AL89" s="653">
        <f>AL61+AL62+AL63</f>
        <v>-774</v>
      </c>
      <c r="AM89" s="40">
        <f t="shared" ref="AM89:AN89" si="409">AM61+AM62+AM63</f>
        <v>-431</v>
      </c>
      <c r="AN89" s="630">
        <f t="shared" si="409"/>
        <v>-211</v>
      </c>
      <c r="AO89" s="653">
        <f t="shared" si="404"/>
        <v>-642</v>
      </c>
      <c r="AP89" s="40">
        <f t="shared" ref="AP89:AR89" si="410">AP61+AP62+AP63</f>
        <v>-309</v>
      </c>
      <c r="AQ89" s="630">
        <f t="shared" si="410"/>
        <v>-254</v>
      </c>
      <c r="AR89" s="653">
        <f t="shared" si="410"/>
        <v>-563</v>
      </c>
      <c r="AS89" s="40">
        <f t="shared" ref="AS89:AU89" si="411">AS61+AS62+AS63</f>
        <v>-108</v>
      </c>
      <c r="AT89" s="630">
        <f t="shared" si="411"/>
        <v>-67</v>
      </c>
      <c r="AU89" s="653">
        <f t="shared" si="411"/>
        <v>-175</v>
      </c>
      <c r="AV89" s="40">
        <f t="shared" ref="AV89:AW89" si="412">AV61+AV62+AV63</f>
        <v>-102</v>
      </c>
      <c r="AW89" s="630">
        <f t="shared" si="412"/>
        <v>-38</v>
      </c>
      <c r="AX89" s="653">
        <f t="shared" ref="AX89:AY89" si="413">AX61+AX62+AX63</f>
        <v>-140</v>
      </c>
      <c r="AY89" s="40">
        <f t="shared" si="413"/>
        <v>-34</v>
      </c>
      <c r="AZ89" s="236">
        <f>AZ61+AZ62+AZ63</f>
        <v>47.792500000000018</v>
      </c>
      <c r="BA89" s="605">
        <f t="shared" si="404"/>
        <v>13.792500000000018</v>
      </c>
      <c r="BB89" s="56">
        <f>BB61+BB62+BB63</f>
        <v>36.982974542340287</v>
      </c>
      <c r="BC89" s="236">
        <f>BC61+BC62+BC63</f>
        <v>36.982974542340287</v>
      </c>
      <c r="BD89" s="605">
        <f t="shared" si="404"/>
        <v>73.965949084680574</v>
      </c>
      <c r="BE89" s="56">
        <f>BE61+BE62+BE63</f>
        <v>59.190334665408955</v>
      </c>
      <c r="BF89" s="236">
        <f>BF61+BF62+BF63</f>
        <v>59.190334665408955</v>
      </c>
      <c r="BG89" s="605">
        <f t="shared" si="404"/>
        <v>118.38066933081791</v>
      </c>
      <c r="BH89" s="56">
        <f>BH61+BH62+BH63</f>
        <v>104.83938837383957</v>
      </c>
      <c r="BI89" s="236">
        <f>BI61+BI62+BI63</f>
        <v>104.83938837383957</v>
      </c>
      <c r="BJ89" s="605">
        <f t="shared" si="404"/>
        <v>209.67877674767914</v>
      </c>
      <c r="BK89" s="56">
        <f>BK61+BK62+BK63</f>
        <v>231.99106024334878</v>
      </c>
      <c r="BL89" s="236">
        <f>BL61+BL62+BL63</f>
        <v>231.99106024334878</v>
      </c>
      <c r="BM89" s="605">
        <f t="shared" si="404"/>
        <v>463.98212048669757</v>
      </c>
    </row>
    <row r="90" spans="1:66">
      <c r="A90" s="25" t="s">
        <v>187</v>
      </c>
      <c r="B90" s="40">
        <f t="shared" ref="B90:BM90" si="414">B30</f>
        <v>-25</v>
      </c>
      <c r="C90" s="40">
        <f t="shared" si="414"/>
        <v>-24</v>
      </c>
      <c r="D90" s="40">
        <f t="shared" si="414"/>
        <v>-41</v>
      </c>
      <c r="E90" s="40">
        <f t="shared" si="414"/>
        <v>-43</v>
      </c>
      <c r="F90" s="40">
        <f t="shared" si="414"/>
        <v>-84</v>
      </c>
      <c r="G90" s="40">
        <f t="shared" si="414"/>
        <v>-60</v>
      </c>
      <c r="H90" s="40">
        <f t="shared" si="414"/>
        <v>-25</v>
      </c>
      <c r="I90" s="40">
        <f t="shared" si="414"/>
        <v>-71</v>
      </c>
      <c r="J90" s="40">
        <f t="shared" si="414"/>
        <v>-117</v>
      </c>
      <c r="K90" s="40">
        <f t="shared" si="414"/>
        <v>-119</v>
      </c>
      <c r="L90" s="40">
        <f t="shared" si="414"/>
        <v>-168</v>
      </c>
      <c r="M90" s="40">
        <f t="shared" si="414"/>
        <v>-208</v>
      </c>
      <c r="N90" s="40">
        <f t="shared" si="414"/>
        <v>-219</v>
      </c>
      <c r="O90" s="40">
        <f t="shared" si="414"/>
        <v>-238</v>
      </c>
      <c r="P90" s="40">
        <f t="shared" si="414"/>
        <v>-276</v>
      </c>
      <c r="Q90" s="40">
        <f t="shared" si="414"/>
        <v>-160</v>
      </c>
      <c r="R90" s="40">
        <f t="shared" si="414"/>
        <v>-62</v>
      </c>
      <c r="S90" s="630">
        <f t="shared" si="414"/>
        <v>-95</v>
      </c>
      <c r="T90" s="653">
        <f t="shared" si="414"/>
        <v>-157</v>
      </c>
      <c r="U90" s="40">
        <f t="shared" ref="U90:V90" si="415">U30</f>
        <v>-71</v>
      </c>
      <c r="V90" s="630">
        <f t="shared" si="415"/>
        <v>-109</v>
      </c>
      <c r="W90" s="653">
        <f t="shared" si="414"/>
        <v>-180</v>
      </c>
      <c r="X90" s="40">
        <f t="shared" si="414"/>
        <v>-71</v>
      </c>
      <c r="Y90" s="630">
        <f t="shared" si="414"/>
        <v>-109</v>
      </c>
      <c r="Z90" s="653">
        <f>Z30</f>
        <v>-180</v>
      </c>
      <c r="AA90" s="40">
        <f t="shared" ref="AA90:AB90" si="416">AA30</f>
        <v>-77</v>
      </c>
      <c r="AB90" s="630">
        <f t="shared" si="416"/>
        <v>-171</v>
      </c>
      <c r="AC90" s="653">
        <f>AC30</f>
        <v>-248</v>
      </c>
      <c r="AD90" s="40">
        <f t="shared" ref="AD90:AE90" si="417">AD30</f>
        <v>-100</v>
      </c>
      <c r="AE90" s="630">
        <f t="shared" si="417"/>
        <v>-75</v>
      </c>
      <c r="AF90" s="653">
        <f>AF30</f>
        <v>-175</v>
      </c>
      <c r="AG90" s="40">
        <f t="shared" ref="AG90:AH90" si="418">AG30</f>
        <v>-34</v>
      </c>
      <c r="AH90" s="630">
        <f t="shared" si="418"/>
        <v>-197</v>
      </c>
      <c r="AI90" s="653">
        <f>AI30</f>
        <v>-231</v>
      </c>
      <c r="AJ90" s="40">
        <f t="shared" ref="AJ90:AK90" si="419">AJ30</f>
        <v>-102</v>
      </c>
      <c r="AK90" s="630">
        <f t="shared" si="419"/>
        <v>-83</v>
      </c>
      <c r="AL90" s="653">
        <f>AL30</f>
        <v>-185</v>
      </c>
      <c r="AM90" s="40">
        <f t="shared" ref="AM90:AN90" si="420">AM30</f>
        <v>-88</v>
      </c>
      <c r="AN90" s="630">
        <f t="shared" si="420"/>
        <v>-86</v>
      </c>
      <c r="AO90" s="653">
        <f t="shared" si="414"/>
        <v>-174</v>
      </c>
      <c r="AP90" s="40">
        <f t="shared" ref="AP90:AR90" si="421">AP30</f>
        <v>-59</v>
      </c>
      <c r="AQ90" s="630">
        <f t="shared" si="421"/>
        <v>-113</v>
      </c>
      <c r="AR90" s="653">
        <f t="shared" si="421"/>
        <v>-172</v>
      </c>
      <c r="AS90" s="40">
        <f t="shared" ref="AS90:AU90" si="422">AS30</f>
        <v>-113</v>
      </c>
      <c r="AT90" s="630">
        <f t="shared" si="422"/>
        <v>-268</v>
      </c>
      <c r="AU90" s="653">
        <f t="shared" si="422"/>
        <v>-381</v>
      </c>
      <c r="AV90" s="40">
        <f t="shared" ref="AV90:AW90" si="423">AV30</f>
        <v>-290</v>
      </c>
      <c r="AW90" s="630">
        <f t="shared" si="423"/>
        <v>-300</v>
      </c>
      <c r="AX90" s="653">
        <f t="shared" ref="AX90:AY90" si="424">AX30</f>
        <v>-590</v>
      </c>
      <c r="AY90" s="40">
        <f t="shared" si="424"/>
        <v>-525</v>
      </c>
      <c r="AZ90" s="236">
        <f>AZ30</f>
        <v>-384.57980332786656</v>
      </c>
      <c r="BA90" s="605">
        <f t="shared" si="414"/>
        <v>-909.57980332786656</v>
      </c>
      <c r="BB90" s="56">
        <f>BB30</f>
        <v>-511.87872401862785</v>
      </c>
      <c r="BC90" s="236">
        <f>BC30</f>
        <v>-535.65307551082435</v>
      </c>
      <c r="BD90" s="605">
        <f t="shared" si="414"/>
        <v>-1047.5317995294522</v>
      </c>
      <c r="BE90" s="56">
        <f>BE30</f>
        <v>-590.91428586528434</v>
      </c>
      <c r="BF90" s="236">
        <f>BF30</f>
        <v>-631.73422800528635</v>
      </c>
      <c r="BG90" s="605">
        <f t="shared" si="414"/>
        <v>-1222.6485138705707</v>
      </c>
      <c r="BH90" s="56">
        <f>BH30</f>
        <v>-700.08841354342781</v>
      </c>
      <c r="BI90" s="236">
        <f>BI30</f>
        <v>-749.95360373252629</v>
      </c>
      <c r="BJ90" s="605">
        <f t="shared" si="414"/>
        <v>-1450.0420172759541</v>
      </c>
      <c r="BK90" s="56">
        <f>BK30</f>
        <v>-837.20185344920321</v>
      </c>
      <c r="BL90" s="236">
        <f>BL30</f>
        <v>-896.06452508076075</v>
      </c>
      <c r="BM90" s="605">
        <f t="shared" si="414"/>
        <v>-1733.266378529964</v>
      </c>
    </row>
    <row r="91" spans="1:66">
      <c r="A91" s="25" t="s">
        <v>181</v>
      </c>
      <c r="B91" s="40">
        <f t="shared" ref="B91:V91" si="425">B34+B37</f>
        <v>-251</v>
      </c>
      <c r="C91" s="40">
        <f t="shared" si="425"/>
        <v>-180</v>
      </c>
      <c r="D91" s="40">
        <f t="shared" si="425"/>
        <v>-337</v>
      </c>
      <c r="E91" s="40">
        <f t="shared" si="425"/>
        <v>-203</v>
      </c>
      <c r="F91" s="40">
        <f t="shared" si="425"/>
        <v>-251</v>
      </c>
      <c r="G91" s="40">
        <f t="shared" si="425"/>
        <v>-282</v>
      </c>
      <c r="H91" s="40">
        <f t="shared" si="425"/>
        <v>-455</v>
      </c>
      <c r="I91" s="40">
        <f t="shared" si="425"/>
        <v>-551</v>
      </c>
      <c r="J91" s="40">
        <f t="shared" si="425"/>
        <v>-607</v>
      </c>
      <c r="K91" s="40">
        <f t="shared" si="425"/>
        <v>-513</v>
      </c>
      <c r="L91" s="40">
        <f t="shared" si="425"/>
        <v>-599</v>
      </c>
      <c r="M91" s="40">
        <f t="shared" si="425"/>
        <v>-700</v>
      </c>
      <c r="N91" s="40">
        <f t="shared" si="425"/>
        <v>-644</v>
      </c>
      <c r="O91" s="40">
        <f t="shared" si="425"/>
        <v>-1144</v>
      </c>
      <c r="P91" s="40">
        <f t="shared" si="425"/>
        <v>-1049</v>
      </c>
      <c r="Q91" s="40">
        <f t="shared" si="425"/>
        <v>-850</v>
      </c>
      <c r="R91" s="40">
        <f t="shared" ref="R91:S91" si="426">R34+R37</f>
        <v>-529</v>
      </c>
      <c r="S91" s="630">
        <f t="shared" si="426"/>
        <v>-656</v>
      </c>
      <c r="T91" s="653">
        <f t="shared" si="425"/>
        <v>-1185</v>
      </c>
      <c r="U91" s="40">
        <f t="shared" si="425"/>
        <v>-744</v>
      </c>
      <c r="V91" s="630">
        <f t="shared" si="425"/>
        <v>-977</v>
      </c>
      <c r="W91" s="653">
        <f t="shared" ref="W91:AK91" si="427">W34+W37</f>
        <v>-1721</v>
      </c>
      <c r="X91" s="40">
        <f t="shared" si="427"/>
        <v>-590</v>
      </c>
      <c r="Y91" s="630">
        <f t="shared" si="427"/>
        <v>-776</v>
      </c>
      <c r="Z91" s="653">
        <f t="shared" si="427"/>
        <v>-1366</v>
      </c>
      <c r="AA91" s="40">
        <f t="shared" ref="AA91:AB91" si="428">AA34+AA37</f>
        <v>-607</v>
      </c>
      <c r="AB91" s="630">
        <f t="shared" si="428"/>
        <v>-922</v>
      </c>
      <c r="AC91" s="653">
        <f t="shared" si="427"/>
        <v>-1529</v>
      </c>
      <c r="AD91" s="40">
        <f t="shared" si="427"/>
        <v>-623</v>
      </c>
      <c r="AE91" s="630">
        <f t="shared" si="427"/>
        <v>-701</v>
      </c>
      <c r="AF91" s="653">
        <f t="shared" si="427"/>
        <v>-1324</v>
      </c>
      <c r="AG91" s="40">
        <f t="shared" ref="AG91:AH91" si="429">AG34+AG37</f>
        <v>-412</v>
      </c>
      <c r="AH91" s="630">
        <f t="shared" si="429"/>
        <v>-497</v>
      </c>
      <c r="AI91" s="653">
        <f t="shared" si="427"/>
        <v>-909</v>
      </c>
      <c r="AJ91" s="40">
        <f t="shared" si="427"/>
        <v>-208</v>
      </c>
      <c r="AK91" s="630">
        <f t="shared" si="427"/>
        <v>-285</v>
      </c>
      <c r="AL91" s="653">
        <f t="shared" ref="AL91:AP91" si="430">AL34+AL37</f>
        <v>-493</v>
      </c>
      <c r="AM91" s="40">
        <f t="shared" si="430"/>
        <v>-189</v>
      </c>
      <c r="AN91" s="630">
        <f t="shared" si="430"/>
        <v>-351</v>
      </c>
      <c r="AO91" s="653">
        <f t="shared" si="430"/>
        <v>-540</v>
      </c>
      <c r="AP91" s="40">
        <f t="shared" si="430"/>
        <v>-287</v>
      </c>
      <c r="AQ91" s="630">
        <f t="shared" ref="AQ91:AS91" si="431">AQ34+AQ37</f>
        <v>-412</v>
      </c>
      <c r="AR91" s="653">
        <f t="shared" si="431"/>
        <v>-699</v>
      </c>
      <c r="AS91" s="40">
        <f t="shared" si="431"/>
        <v>-291</v>
      </c>
      <c r="AT91" s="630">
        <f t="shared" ref="AT91:AV91" si="432">AT34+AT37</f>
        <v>-585</v>
      </c>
      <c r="AU91" s="653">
        <f t="shared" si="432"/>
        <v>-876</v>
      </c>
      <c r="AV91" s="40">
        <f t="shared" si="432"/>
        <v>-349</v>
      </c>
      <c r="AW91" s="630">
        <f t="shared" ref="AW91" si="433">AW34+AW37</f>
        <v>-629</v>
      </c>
      <c r="AX91" s="653">
        <f t="shared" ref="AX91:AY91" si="434">AX34+AX37</f>
        <v>-978</v>
      </c>
      <c r="AY91" s="40">
        <f t="shared" si="434"/>
        <v>-362</v>
      </c>
      <c r="AZ91" s="236">
        <f>AZ34+AZ37</f>
        <v>-710.43653073273572</v>
      </c>
      <c r="BA91" s="605">
        <f t="shared" ref="BA91:BM91" si="435">BA34+BA37</f>
        <v>-1072.4365307327357</v>
      </c>
      <c r="BB91" s="56">
        <f t="shared" si="435"/>
        <v>-601.8149466848572</v>
      </c>
      <c r="BC91" s="236">
        <f>BC34+BC37</f>
        <v>-641.40395325188376</v>
      </c>
      <c r="BD91" s="605">
        <f>BD34+BD37</f>
        <v>-1243.2188999367409</v>
      </c>
      <c r="BE91" s="56">
        <f t="shared" ref="BE91" si="436">BE34+BE37</f>
        <v>-659.91485211679878</v>
      </c>
      <c r="BF91" s="236">
        <f>BF34+BF37</f>
        <v>-716.50677875606755</v>
      </c>
      <c r="BG91" s="605">
        <f t="shared" si="435"/>
        <v>-1376.4216308728664</v>
      </c>
      <c r="BH91" s="56">
        <f t="shared" si="435"/>
        <v>-739.56214195903885</v>
      </c>
      <c r="BI91" s="236">
        <f>BI34+BI37</f>
        <v>-802.77315500271698</v>
      </c>
      <c r="BJ91" s="605">
        <f t="shared" si="435"/>
        <v>-1542.3352969617558</v>
      </c>
      <c r="BK91" s="56">
        <f t="shared" si="435"/>
        <v>-829.13390547241465</v>
      </c>
      <c r="BL91" s="236">
        <f>BL34+BL37</f>
        <v>-898.34226899334635</v>
      </c>
      <c r="BM91" s="605">
        <f t="shared" si="435"/>
        <v>-1727.4761744657612</v>
      </c>
    </row>
    <row r="92" spans="1:66">
      <c r="A92" s="25" t="s">
        <v>773</v>
      </c>
      <c r="B92" s="40"/>
      <c r="C92" s="40"/>
      <c r="D92" s="40"/>
      <c r="E92" s="40"/>
      <c r="F92" s="40"/>
      <c r="G92" s="40"/>
      <c r="H92" s="40"/>
      <c r="I92" s="40"/>
      <c r="J92" s="40"/>
      <c r="K92" s="40"/>
      <c r="L92" s="40"/>
      <c r="M92" s="40"/>
      <c r="N92" s="40"/>
      <c r="O92" s="40"/>
      <c r="P92" s="40"/>
      <c r="Q92" s="40"/>
      <c r="R92" s="40"/>
      <c r="S92" s="630"/>
      <c r="T92" s="653"/>
      <c r="U92" s="40"/>
      <c r="V92" s="630"/>
      <c r="W92" s="653"/>
      <c r="X92" s="40"/>
      <c r="Y92" s="630"/>
      <c r="Z92" s="653"/>
      <c r="AA92" s="40">
        <f t="shared" ref="AA92:AB92" si="437">+AA59</f>
        <v>-8</v>
      </c>
      <c r="AB92" s="630">
        <f t="shared" si="437"/>
        <v>-15</v>
      </c>
      <c r="AC92" s="653">
        <f t="shared" ref="AC92:BM92" si="438">+AC59</f>
        <v>-23</v>
      </c>
      <c r="AD92" s="40">
        <f t="shared" ref="AD92:AE92" si="439">+AD59</f>
        <v>-140</v>
      </c>
      <c r="AE92" s="630">
        <f t="shared" si="439"/>
        <v>-131</v>
      </c>
      <c r="AF92" s="653">
        <f t="shared" si="438"/>
        <v>-271</v>
      </c>
      <c r="AG92" s="40">
        <f t="shared" si="438"/>
        <v>-149</v>
      </c>
      <c r="AH92" s="630">
        <f t="shared" si="438"/>
        <v>-135</v>
      </c>
      <c r="AI92" s="653">
        <f>+AI59</f>
        <v>-284</v>
      </c>
      <c r="AJ92" s="40">
        <f t="shared" ref="AJ92:AK92" si="440">+AJ59</f>
        <v>-147</v>
      </c>
      <c r="AK92" s="630">
        <f t="shared" si="440"/>
        <v>-227</v>
      </c>
      <c r="AL92" s="653">
        <f>+AL59</f>
        <v>-374</v>
      </c>
      <c r="AM92" s="40">
        <f t="shared" ref="AM92:AN92" si="441">+AM59</f>
        <v>-95</v>
      </c>
      <c r="AN92" s="630">
        <f t="shared" si="441"/>
        <v>-123</v>
      </c>
      <c r="AO92" s="653">
        <f t="shared" si="438"/>
        <v>-218</v>
      </c>
      <c r="AP92" s="40">
        <f t="shared" ref="AP92:AR92" si="442">+AP59</f>
        <v>-167</v>
      </c>
      <c r="AQ92" s="630">
        <f t="shared" si="442"/>
        <v>-124</v>
      </c>
      <c r="AR92" s="653">
        <f t="shared" si="442"/>
        <v>-291</v>
      </c>
      <c r="AS92" s="40">
        <f t="shared" ref="AS92:AU92" si="443">+AS59</f>
        <v>-122</v>
      </c>
      <c r="AT92" s="630">
        <f t="shared" si="443"/>
        <v>-177</v>
      </c>
      <c r="AU92" s="653">
        <f t="shared" si="443"/>
        <v>-299</v>
      </c>
      <c r="AV92" s="40">
        <f t="shared" ref="AV92:AW92" si="444">+AV59</f>
        <v>-91</v>
      </c>
      <c r="AW92" s="630">
        <f t="shared" si="444"/>
        <v>-141</v>
      </c>
      <c r="AX92" s="653">
        <f t="shared" ref="AX92:AY92" si="445">+AX59</f>
        <v>-232</v>
      </c>
      <c r="AY92" s="40">
        <f t="shared" si="445"/>
        <v>-139</v>
      </c>
      <c r="AZ92" s="236">
        <f>+AZ59</f>
        <v>-93</v>
      </c>
      <c r="BA92" s="605">
        <f t="shared" si="438"/>
        <v>-232</v>
      </c>
      <c r="BB92" s="56">
        <f>+BB59</f>
        <v>-116</v>
      </c>
      <c r="BC92" s="236">
        <f>+BC59</f>
        <v>-116</v>
      </c>
      <c r="BD92" s="605">
        <f t="shared" si="438"/>
        <v>-232</v>
      </c>
      <c r="BE92" s="56">
        <f>+BE59</f>
        <v>-116</v>
      </c>
      <c r="BF92" s="236">
        <f>+BF59</f>
        <v>-116</v>
      </c>
      <c r="BG92" s="605">
        <f t="shared" si="438"/>
        <v>-232</v>
      </c>
      <c r="BH92" s="56">
        <f>+BH59</f>
        <v>-116</v>
      </c>
      <c r="BI92" s="236">
        <f>+BI59</f>
        <v>-116</v>
      </c>
      <c r="BJ92" s="605">
        <f t="shared" si="438"/>
        <v>-232</v>
      </c>
      <c r="BK92" s="56">
        <f>+BK59</f>
        <v>-116</v>
      </c>
      <c r="BL92" s="236">
        <f>+BL59</f>
        <v>-116</v>
      </c>
      <c r="BM92" s="605">
        <f t="shared" si="438"/>
        <v>-232</v>
      </c>
    </row>
    <row r="93" spans="1:66">
      <c r="A93" s="25" t="s">
        <v>214</v>
      </c>
      <c r="B93" s="40">
        <f t="shared" ref="B93:BM93" si="446">B33+B51</f>
        <v>-15</v>
      </c>
      <c r="C93" s="40">
        <f t="shared" si="446"/>
        <v>-23</v>
      </c>
      <c r="D93" s="40">
        <f t="shared" si="446"/>
        <v>-50</v>
      </c>
      <c r="E93" s="40">
        <f t="shared" si="446"/>
        <v>-3</v>
      </c>
      <c r="F93" s="40">
        <f t="shared" si="446"/>
        <v>-2</v>
      </c>
      <c r="G93" s="40">
        <f t="shared" si="446"/>
        <v>-8</v>
      </c>
      <c r="H93" s="40">
        <f t="shared" si="446"/>
        <v>-11</v>
      </c>
      <c r="I93" s="40">
        <f t="shared" si="446"/>
        <v>-18</v>
      </c>
      <c r="J93" s="40">
        <f t="shared" si="446"/>
        <v>-27</v>
      </c>
      <c r="K93" s="40">
        <f t="shared" si="446"/>
        <v>-89</v>
      </c>
      <c r="L93" s="40">
        <f t="shared" si="446"/>
        <v>26</v>
      </c>
      <c r="M93" s="40">
        <f t="shared" si="446"/>
        <v>1</v>
      </c>
      <c r="N93" s="40">
        <f t="shared" si="446"/>
        <v>-20</v>
      </c>
      <c r="O93" s="40">
        <f t="shared" si="446"/>
        <v>-43</v>
      </c>
      <c r="P93" s="40">
        <f t="shared" si="446"/>
        <v>-28</v>
      </c>
      <c r="Q93" s="40">
        <f t="shared" si="446"/>
        <v>-21</v>
      </c>
      <c r="R93" s="40">
        <f t="shared" si="446"/>
        <v>-11</v>
      </c>
      <c r="S93" s="630">
        <f t="shared" si="446"/>
        <v>-19</v>
      </c>
      <c r="T93" s="653">
        <f t="shared" si="446"/>
        <v>-30</v>
      </c>
      <c r="U93" s="40">
        <f t="shared" ref="U93:V93" si="447">U33+U51</f>
        <v>-8</v>
      </c>
      <c r="V93" s="630">
        <f t="shared" si="447"/>
        <v>-44</v>
      </c>
      <c r="W93" s="653">
        <f t="shared" si="446"/>
        <v>-52</v>
      </c>
      <c r="X93" s="40">
        <f t="shared" si="446"/>
        <v>-8</v>
      </c>
      <c r="Y93" s="630">
        <f t="shared" si="446"/>
        <v>-43</v>
      </c>
      <c r="Z93" s="653">
        <f>Z33+Z51</f>
        <v>-51</v>
      </c>
      <c r="AA93" s="40">
        <f t="shared" ref="AA93:AB93" si="448">AA33+AA51</f>
        <v>0</v>
      </c>
      <c r="AB93" s="630">
        <f t="shared" si="448"/>
        <v>-19</v>
      </c>
      <c r="AC93" s="653">
        <f>AC33+AC51</f>
        <v>-19</v>
      </c>
      <c r="AD93" s="40">
        <f t="shared" ref="AD93:AE93" si="449">AD33+AD51</f>
        <v>1</v>
      </c>
      <c r="AE93" s="630">
        <f t="shared" si="449"/>
        <v>-6</v>
      </c>
      <c r="AF93" s="653">
        <f t="shared" si="446"/>
        <v>-5</v>
      </c>
      <c r="AG93" s="40">
        <f t="shared" si="446"/>
        <v>-14</v>
      </c>
      <c r="AH93" s="630">
        <f t="shared" si="446"/>
        <v>15</v>
      </c>
      <c r="AI93" s="653">
        <f>AI33+AI51</f>
        <v>1</v>
      </c>
      <c r="AJ93" s="40">
        <f t="shared" ref="AJ93:AK93" si="450">AJ33+AJ51</f>
        <v>-7</v>
      </c>
      <c r="AK93" s="630">
        <f t="shared" si="450"/>
        <v>-27</v>
      </c>
      <c r="AL93" s="653">
        <f>AL33+AL51</f>
        <v>-34</v>
      </c>
      <c r="AM93" s="40">
        <f t="shared" ref="AM93:AN93" si="451">AM33+AM51</f>
        <v>2</v>
      </c>
      <c r="AN93" s="630">
        <f t="shared" si="451"/>
        <v>-10</v>
      </c>
      <c r="AO93" s="653">
        <f t="shared" si="446"/>
        <v>-8</v>
      </c>
      <c r="AP93" s="40">
        <f t="shared" ref="AP93:AR93" si="452">AP33+AP51</f>
        <v>12</v>
      </c>
      <c r="AQ93" s="630">
        <f t="shared" si="452"/>
        <v>0</v>
      </c>
      <c r="AR93" s="653">
        <f t="shared" si="452"/>
        <v>12</v>
      </c>
      <c r="AS93" s="40">
        <f t="shared" ref="AS93:AU93" si="453">AS33+AS51</f>
        <v>0</v>
      </c>
      <c r="AT93" s="630">
        <f t="shared" si="453"/>
        <v>0</v>
      </c>
      <c r="AU93" s="653">
        <f t="shared" si="453"/>
        <v>0</v>
      </c>
      <c r="AV93" s="40">
        <f t="shared" ref="AV93:AW93" si="454">AV33+AV51</f>
        <v>0</v>
      </c>
      <c r="AW93" s="630">
        <f t="shared" si="454"/>
        <v>0</v>
      </c>
      <c r="AX93" s="653">
        <f t="shared" ref="AX93:AY93" si="455">AX33+AX51</f>
        <v>0</v>
      </c>
      <c r="AY93" s="40">
        <f t="shared" si="455"/>
        <v>0</v>
      </c>
      <c r="AZ93" s="236">
        <f>AZ33+AZ51</f>
        <v>0</v>
      </c>
      <c r="BA93" s="605">
        <f t="shared" si="446"/>
        <v>0</v>
      </c>
      <c r="BB93" s="56">
        <f>BB33+BB51</f>
        <v>0</v>
      </c>
      <c r="BC93" s="236">
        <f>BC33+BC51</f>
        <v>0</v>
      </c>
      <c r="BD93" s="605">
        <f t="shared" si="446"/>
        <v>0</v>
      </c>
      <c r="BE93" s="56">
        <f>BE33+BE51</f>
        <v>0</v>
      </c>
      <c r="BF93" s="236">
        <f>BF33+BF51</f>
        <v>0</v>
      </c>
      <c r="BG93" s="605">
        <f t="shared" si="446"/>
        <v>0</v>
      </c>
      <c r="BH93" s="56">
        <f>BH33+BH51</f>
        <v>0</v>
      </c>
      <c r="BI93" s="236">
        <f>BI33+BI51</f>
        <v>0</v>
      </c>
      <c r="BJ93" s="605">
        <f t="shared" si="446"/>
        <v>0</v>
      </c>
      <c r="BK93" s="56">
        <f>BK33+BK51</f>
        <v>0</v>
      </c>
      <c r="BL93" s="236">
        <f>BL33+BL51</f>
        <v>0</v>
      </c>
      <c r="BM93" s="605">
        <f t="shared" si="446"/>
        <v>0</v>
      </c>
    </row>
    <row r="94" spans="1:66">
      <c r="A94" s="37" t="s">
        <v>188</v>
      </c>
      <c r="B94" s="84">
        <f t="shared" ref="B94:T94" si="456">SUM(B88:B93)</f>
        <v>125</v>
      </c>
      <c r="C94" s="84">
        <f t="shared" si="456"/>
        <v>152</v>
      </c>
      <c r="D94" s="84">
        <f t="shared" si="456"/>
        <v>111</v>
      </c>
      <c r="E94" s="84">
        <f t="shared" si="456"/>
        <v>379</v>
      </c>
      <c r="F94" s="84">
        <f t="shared" si="456"/>
        <v>305</v>
      </c>
      <c r="G94" s="84">
        <f t="shared" si="456"/>
        <v>721</v>
      </c>
      <c r="H94" s="84">
        <f t="shared" si="456"/>
        <v>592</v>
      </c>
      <c r="I94" s="84">
        <f t="shared" si="456"/>
        <v>70</v>
      </c>
      <c r="J94" s="84">
        <f t="shared" si="456"/>
        <v>379</v>
      </c>
      <c r="K94" s="84">
        <f t="shared" si="456"/>
        <v>214</v>
      </c>
      <c r="L94" s="84">
        <f t="shared" si="456"/>
        <v>713</v>
      </c>
      <c r="M94" s="84">
        <f t="shared" si="456"/>
        <v>576</v>
      </c>
      <c r="N94" s="84">
        <f t="shared" si="456"/>
        <v>550</v>
      </c>
      <c r="O94" s="84">
        <f t="shared" si="456"/>
        <v>821</v>
      </c>
      <c r="P94" s="84">
        <f t="shared" si="456"/>
        <v>179</v>
      </c>
      <c r="Q94" s="84">
        <f t="shared" si="456"/>
        <v>168</v>
      </c>
      <c r="R94" s="84">
        <f t="shared" ref="R94:S94" si="457">SUM(R88:R93)</f>
        <v>-384</v>
      </c>
      <c r="S94" s="632">
        <f t="shared" si="457"/>
        <v>-163</v>
      </c>
      <c r="T94" s="655">
        <f t="shared" si="456"/>
        <v>124</v>
      </c>
      <c r="U94" s="84">
        <f t="shared" ref="U94:V94" si="458">SUM(U88:U93)</f>
        <v>-599</v>
      </c>
      <c r="V94" s="632">
        <f t="shared" si="458"/>
        <v>869</v>
      </c>
      <c r="W94" s="655">
        <f t="shared" ref="W94:BM94" si="459">SUM(W88:W93)</f>
        <v>270</v>
      </c>
      <c r="X94" s="84">
        <f t="shared" ref="X94:Y94" si="460">SUM(X88:X93)</f>
        <v>-599</v>
      </c>
      <c r="Y94" s="632">
        <f t="shared" si="460"/>
        <v>927</v>
      </c>
      <c r="Z94" s="655">
        <f t="shared" si="459"/>
        <v>328</v>
      </c>
      <c r="AA94" s="84">
        <f t="shared" si="459"/>
        <v>-71</v>
      </c>
      <c r="AB94" s="632">
        <f t="shared" si="459"/>
        <v>656</v>
      </c>
      <c r="AC94" s="655">
        <f t="shared" si="459"/>
        <v>585</v>
      </c>
      <c r="AD94" s="84">
        <f t="shared" ref="AD94:AE94" si="461">SUM(AD88:AD93)</f>
        <v>-608</v>
      </c>
      <c r="AE94" s="632">
        <f t="shared" si="461"/>
        <v>1215</v>
      </c>
      <c r="AF94" s="655">
        <f t="shared" si="459"/>
        <v>607</v>
      </c>
      <c r="AG94" s="84">
        <f t="shared" si="459"/>
        <v>-3059</v>
      </c>
      <c r="AH94" s="632">
        <f t="shared" si="459"/>
        <v>-1266</v>
      </c>
      <c r="AI94" s="655">
        <f>SUM(AI88:AI93)</f>
        <v>-4325</v>
      </c>
      <c r="AJ94" s="84">
        <f t="shared" ref="AJ94:AK94" si="462">SUM(AJ88:AJ93)</f>
        <v>-1494</v>
      </c>
      <c r="AK94" s="632">
        <f t="shared" si="462"/>
        <v>-293</v>
      </c>
      <c r="AL94" s="655">
        <f>SUM(AL88:AL93)</f>
        <v>-1787</v>
      </c>
      <c r="AM94" s="84">
        <f t="shared" ref="AM94:AY94" si="463">SUM(AM88:AM93)</f>
        <v>-122</v>
      </c>
      <c r="AN94" s="632">
        <f t="shared" ref="AN94" si="464">SUM(AN88:AN93)</f>
        <v>528</v>
      </c>
      <c r="AO94" s="655">
        <f t="shared" si="463"/>
        <v>406</v>
      </c>
      <c r="AP94" s="84">
        <f t="shared" si="463"/>
        <v>324</v>
      </c>
      <c r="AQ94" s="632">
        <f t="shared" si="463"/>
        <v>850</v>
      </c>
      <c r="AR94" s="655">
        <f t="shared" ref="AR94:AT94" si="465">SUM(AR88:AR93)</f>
        <v>1174</v>
      </c>
      <c r="AS94" s="84">
        <f t="shared" si="465"/>
        <v>1099</v>
      </c>
      <c r="AT94" s="632">
        <f t="shared" si="465"/>
        <v>1210</v>
      </c>
      <c r="AU94" s="655">
        <f t="shared" ref="AU94:AW94" si="466">SUM(AU88:AU93)</f>
        <v>2309</v>
      </c>
      <c r="AV94" s="84">
        <f t="shared" si="466"/>
        <v>1442</v>
      </c>
      <c r="AW94" s="632">
        <f t="shared" si="466"/>
        <v>1651</v>
      </c>
      <c r="AX94" s="655">
        <f t="shared" si="463"/>
        <v>3093</v>
      </c>
      <c r="AY94" s="84">
        <f t="shared" si="463"/>
        <v>1952</v>
      </c>
      <c r="AZ94" s="244">
        <f>SUM(AZ88:AZ93)</f>
        <v>2292.0189816936104</v>
      </c>
      <c r="BA94" s="581">
        <f t="shared" si="459"/>
        <v>4121.0189816936108</v>
      </c>
      <c r="BB94" s="181">
        <f>SUM(BB88:BB93)</f>
        <v>4255.2590616862162</v>
      </c>
      <c r="BC94" s="244">
        <f>SUM(BC88:BC93)</f>
        <v>845.26507259303514</v>
      </c>
      <c r="BD94" s="581">
        <f t="shared" si="459"/>
        <v>5100.5241342792488</v>
      </c>
      <c r="BE94" s="181">
        <f>SUM(BE88:BE93)</f>
        <v>3441.0466682573233</v>
      </c>
      <c r="BF94" s="244">
        <f>SUM(BF88:BF93)</f>
        <v>2678.8800524575008</v>
      </c>
      <c r="BG94" s="581">
        <f t="shared" si="459"/>
        <v>6119.9267207148241</v>
      </c>
      <c r="BH94" s="181">
        <f>SUM(BH88:BH93)</f>
        <v>3587.5833346928794</v>
      </c>
      <c r="BI94" s="244">
        <f>SUM(BI88:BI93)</f>
        <v>3329.6560812115563</v>
      </c>
      <c r="BJ94" s="581">
        <f t="shared" si="459"/>
        <v>6917.2394159044343</v>
      </c>
      <c r="BK94" s="181">
        <f>SUM(BK88:BK93)</f>
        <v>4085.7890164290575</v>
      </c>
      <c r="BL94" s="244">
        <f>SUM(BL88:BL93)</f>
        <v>4007.2887981972508</v>
      </c>
      <c r="BM94" s="581">
        <f t="shared" si="459"/>
        <v>8093.0778146263074</v>
      </c>
    </row>
    <row r="95" spans="1:66">
      <c r="A95" s="151" t="s">
        <v>228</v>
      </c>
      <c r="B95" s="152" t="s">
        <v>231</v>
      </c>
      <c r="C95" s="152" t="s">
        <v>231</v>
      </c>
      <c r="D95" s="152" t="s">
        <v>231</v>
      </c>
      <c r="E95" s="152" t="s">
        <v>231</v>
      </c>
      <c r="F95" s="152" t="s">
        <v>231</v>
      </c>
      <c r="G95" s="152" t="s">
        <v>231</v>
      </c>
      <c r="H95" s="152" t="s">
        <v>231</v>
      </c>
      <c r="I95" s="152" t="s">
        <v>231</v>
      </c>
      <c r="J95" s="152" t="s">
        <v>231</v>
      </c>
      <c r="K95" s="152" t="s">
        <v>231</v>
      </c>
      <c r="L95" s="151">
        <f>L94-L111</f>
        <v>-1</v>
      </c>
      <c r="M95" s="151">
        <f>M94-M111</f>
        <v>-5</v>
      </c>
      <c r="N95" s="151">
        <f>N94-N111</f>
        <v>2</v>
      </c>
      <c r="O95" s="151">
        <f>O94-O111</f>
        <v>40</v>
      </c>
      <c r="P95" s="152" t="s">
        <v>248</v>
      </c>
      <c r="Q95" s="151">
        <f>Q94-Q111</f>
        <v>-11</v>
      </c>
      <c r="R95" s="151">
        <f>ROUND(R94-R111,5)</f>
        <v>15</v>
      </c>
      <c r="S95" s="680">
        <f>ROUND(S94-S111,5)</f>
        <v>-662</v>
      </c>
      <c r="T95" s="689">
        <f>T94-T111</f>
        <v>24</v>
      </c>
      <c r="U95" s="151">
        <f t="shared" ref="U95:BM95" si="467">ROUND(U94-U111,5)</f>
        <v>-260</v>
      </c>
      <c r="V95" s="680">
        <f t="shared" si="467"/>
        <v>271</v>
      </c>
      <c r="W95" s="689">
        <f t="shared" si="467"/>
        <v>11</v>
      </c>
      <c r="X95" s="151">
        <f t="shared" si="467"/>
        <v>-260</v>
      </c>
      <c r="Y95" s="680">
        <f t="shared" si="467"/>
        <v>329</v>
      </c>
      <c r="Z95" s="689">
        <f t="shared" si="467"/>
        <v>69</v>
      </c>
      <c r="AA95" s="151">
        <f t="shared" si="467"/>
        <v>1</v>
      </c>
      <c r="AB95" s="680">
        <f t="shared" si="467"/>
        <v>16</v>
      </c>
      <c r="AC95" s="689">
        <f t="shared" si="467"/>
        <v>17</v>
      </c>
      <c r="AD95" s="151">
        <f t="shared" si="467"/>
        <v>-179</v>
      </c>
      <c r="AE95" s="680">
        <f t="shared" si="467"/>
        <v>-89</v>
      </c>
      <c r="AF95" s="689">
        <f t="shared" si="467"/>
        <v>-268</v>
      </c>
      <c r="AG95" s="151">
        <f t="shared" si="467"/>
        <v>-258</v>
      </c>
      <c r="AH95" s="680">
        <f t="shared" si="467"/>
        <v>118</v>
      </c>
      <c r="AI95" s="689">
        <f t="shared" si="467"/>
        <v>-140</v>
      </c>
      <c r="AJ95" s="151">
        <f t="shared" si="467"/>
        <v>-343</v>
      </c>
      <c r="AK95" s="680">
        <f t="shared" si="467"/>
        <v>-2</v>
      </c>
      <c r="AL95" s="689">
        <f t="shared" si="467"/>
        <v>-345</v>
      </c>
      <c r="AM95" s="151">
        <f t="shared" si="467"/>
        <v>-45</v>
      </c>
      <c r="AN95" s="680">
        <f t="shared" si="467"/>
        <v>-40</v>
      </c>
      <c r="AO95" s="689">
        <f t="shared" si="467"/>
        <v>-85</v>
      </c>
      <c r="AP95" s="151">
        <f t="shared" si="467"/>
        <v>-32</v>
      </c>
      <c r="AQ95" s="680">
        <f t="shared" si="467"/>
        <v>-79</v>
      </c>
      <c r="AR95" s="689">
        <f t="shared" si="467"/>
        <v>-111</v>
      </c>
      <c r="AS95" s="151">
        <f t="shared" si="467"/>
        <v>-59</v>
      </c>
      <c r="AT95" s="680">
        <f t="shared" si="467"/>
        <v>-57</v>
      </c>
      <c r="AU95" s="689">
        <f t="shared" si="467"/>
        <v>-116</v>
      </c>
      <c r="AV95" s="151">
        <f t="shared" si="467"/>
        <v>-140</v>
      </c>
      <c r="AW95" s="680">
        <f t="shared" ref="AW95" si="468">ROUND(AW94-AW111,5)</f>
        <v>-37</v>
      </c>
      <c r="AX95" s="689">
        <f t="shared" si="467"/>
        <v>-177</v>
      </c>
      <c r="AY95" s="151">
        <f t="shared" ref="AY95" si="469">ROUND(AY94-AY111,5)</f>
        <v>-12</v>
      </c>
      <c r="AZ95" s="240">
        <f t="shared" si="467"/>
        <v>31.7925</v>
      </c>
      <c r="BA95" s="683">
        <f t="shared" si="467"/>
        <v>-103.2075</v>
      </c>
      <c r="BB95" s="239">
        <f t="shared" si="467"/>
        <v>36.982970000000002</v>
      </c>
      <c r="BC95" s="240">
        <f t="shared" si="467"/>
        <v>36.982970000000002</v>
      </c>
      <c r="BD95" s="683">
        <f t="shared" si="467"/>
        <v>73.965950000000007</v>
      </c>
      <c r="BE95" s="239">
        <f t="shared" si="467"/>
        <v>59.190330000000003</v>
      </c>
      <c r="BF95" s="240">
        <f t="shared" si="467"/>
        <v>59.190330000000003</v>
      </c>
      <c r="BG95" s="683">
        <f t="shared" si="467"/>
        <v>118.38066999999999</v>
      </c>
      <c r="BH95" s="239">
        <f t="shared" si="467"/>
        <v>104.83938999999999</v>
      </c>
      <c r="BI95" s="240">
        <f t="shared" si="467"/>
        <v>104.83938999999999</v>
      </c>
      <c r="BJ95" s="683">
        <f t="shared" si="467"/>
        <v>209.67877999999999</v>
      </c>
      <c r="BK95" s="239">
        <f t="shared" si="467"/>
        <v>231.99106</v>
      </c>
      <c r="BL95" s="240">
        <f t="shared" si="467"/>
        <v>231.99106</v>
      </c>
      <c r="BM95" s="683">
        <f t="shared" si="467"/>
        <v>463.98212000000001</v>
      </c>
      <c r="BN95"/>
    </row>
    <row r="96" spans="1:66">
      <c r="B96" s="40"/>
      <c r="C96" s="40"/>
      <c r="D96" s="40"/>
      <c r="E96" s="40"/>
      <c r="F96" s="40"/>
      <c r="G96" s="40"/>
      <c r="H96" s="40"/>
      <c r="I96" s="40"/>
      <c r="J96" s="40"/>
      <c r="K96" s="40"/>
      <c r="L96" s="40"/>
      <c r="M96" s="40"/>
      <c r="N96" s="40"/>
      <c r="O96" s="40"/>
      <c r="P96" s="156" t="s">
        <v>219</v>
      </c>
      <c r="Q96" s="40"/>
      <c r="R96" s="156"/>
      <c r="S96" s="691"/>
      <c r="T96" s="692"/>
      <c r="U96" s="156"/>
      <c r="V96" s="691"/>
      <c r="W96" s="692"/>
      <c r="X96" s="156"/>
      <c r="Y96" s="691"/>
      <c r="Z96" s="692"/>
      <c r="AA96" s="40"/>
      <c r="AB96" s="630"/>
      <c r="AC96" s="653"/>
      <c r="AD96" s="40"/>
      <c r="AE96" s="630"/>
      <c r="AF96" s="653"/>
      <c r="AG96" s="40"/>
      <c r="AH96" s="630"/>
      <c r="AI96" s="653"/>
      <c r="AJ96" s="40"/>
      <c r="AK96" s="630"/>
      <c r="AL96" s="653"/>
      <c r="AM96" s="40"/>
      <c r="AN96" s="630"/>
      <c r="AO96" s="653"/>
      <c r="AP96" s="40"/>
      <c r="AQ96" s="539"/>
      <c r="AR96" s="550"/>
      <c r="AS96"/>
      <c r="AT96" s="539"/>
      <c r="AU96" s="550"/>
      <c r="AV96"/>
      <c r="AW96" s="539"/>
      <c r="AX96" s="550"/>
      <c r="AY96"/>
      <c r="AZ96" s="539"/>
      <c r="BA96" s="550"/>
      <c r="BB96"/>
      <c r="BC96" s="539"/>
      <c r="BD96" s="550"/>
      <c r="BE96"/>
      <c r="BF96" s="539"/>
      <c r="BG96" s="550"/>
      <c r="BH96"/>
      <c r="BI96" s="539"/>
      <c r="BJ96" s="550"/>
      <c r="BK96"/>
      <c r="BL96" s="539"/>
      <c r="BM96" s="550"/>
    </row>
    <row r="97" spans="1:74">
      <c r="A97" s="31" t="s">
        <v>1041</v>
      </c>
      <c r="B97" s="40"/>
      <c r="C97" s="40"/>
      <c r="D97" s="40"/>
      <c r="E97" s="40"/>
      <c r="F97" s="40"/>
      <c r="G97" s="40"/>
      <c r="H97" s="40"/>
      <c r="I97" s="40"/>
      <c r="J97" s="40"/>
      <c r="K97" s="40"/>
      <c r="L97" s="40"/>
      <c r="M97" s="40"/>
      <c r="N97" s="40"/>
      <c r="O97" s="40"/>
      <c r="P97" s="156"/>
      <c r="Q97" s="40"/>
      <c r="R97" s="156"/>
      <c r="S97" s="691"/>
      <c r="T97" s="692"/>
      <c r="U97" s="156"/>
      <c r="V97" s="691"/>
      <c r="W97" s="692"/>
      <c r="X97" s="156"/>
      <c r="Y97" s="691"/>
      <c r="Z97" s="692"/>
      <c r="AA97" s="40"/>
      <c r="AB97" s="630"/>
      <c r="AC97" s="653"/>
      <c r="AD97" s="40"/>
      <c r="AE97" s="630"/>
      <c r="AF97" s="653"/>
      <c r="AG97" s="40"/>
      <c r="AH97" s="630"/>
      <c r="AI97" s="653"/>
      <c r="AJ97" s="40"/>
      <c r="AK97" s="630"/>
      <c r="AL97" s="653"/>
      <c r="AM97" s="40"/>
      <c r="AN97" s="630"/>
      <c r="AO97" s="653"/>
      <c r="AP97" s="40"/>
      <c r="AQ97" s="539"/>
      <c r="AR97" s="550"/>
      <c r="AS97"/>
      <c r="AT97" s="539"/>
      <c r="AU97" s="550"/>
      <c r="AV97"/>
      <c r="AW97" s="539"/>
      <c r="AX97" s="550"/>
      <c r="AY97"/>
      <c r="AZ97" s="539"/>
      <c r="BA97" s="550"/>
      <c r="BB97"/>
      <c r="BC97" s="539"/>
      <c r="BD97" s="550"/>
      <c r="BE97"/>
      <c r="BF97" s="539"/>
      <c r="BG97" s="550"/>
      <c r="BH97"/>
      <c r="BI97" s="539"/>
      <c r="BJ97" s="550"/>
      <c r="BK97"/>
      <c r="BL97" s="539"/>
      <c r="BM97" s="550"/>
    </row>
    <row r="98" spans="1:74">
      <c r="A98" s="31" t="s">
        <v>178</v>
      </c>
      <c r="B98" s="40"/>
      <c r="C98" s="40"/>
      <c r="D98" s="40"/>
      <c r="E98" s="40"/>
      <c r="F98" s="40"/>
      <c r="G98" s="40"/>
      <c r="H98" s="40"/>
      <c r="I98" s="40"/>
      <c r="J98" s="40"/>
      <c r="K98" s="40"/>
      <c r="L98" s="40"/>
      <c r="M98" s="51"/>
      <c r="N98" s="51"/>
      <c r="O98" s="51">
        <f>IS!O33</f>
        <v>1759</v>
      </c>
      <c r="P98" s="51">
        <f>IS!P33</f>
        <v>1620</v>
      </c>
      <c r="Q98" s="51">
        <f>IS!Q33</f>
        <v>1432</v>
      </c>
      <c r="R98" s="51">
        <f>IS!R33</f>
        <v>104</v>
      </c>
      <c r="S98" s="629">
        <f>IS!S33</f>
        <v>709</v>
      </c>
      <c r="T98" s="652">
        <f>IS!T33</f>
        <v>813</v>
      </c>
      <c r="U98" s="51">
        <f>IS!U33</f>
        <v>287</v>
      </c>
      <c r="V98" s="629">
        <f>IS!V33</f>
        <v>784</v>
      </c>
      <c r="W98" s="652">
        <f>IS!W33</f>
        <v>1071</v>
      </c>
      <c r="X98" s="51">
        <f>IS!X33</f>
        <v>-143</v>
      </c>
      <c r="Y98" s="629">
        <f>IS!Y33</f>
        <v>342</v>
      </c>
      <c r="Z98" s="652">
        <f>IS!Z33</f>
        <v>199</v>
      </c>
      <c r="AA98" s="51">
        <f>IS!AA33</f>
        <v>73</v>
      </c>
      <c r="AB98" s="629">
        <f>IS!AB33</f>
        <v>393</v>
      </c>
      <c r="AC98" s="652">
        <f>IS!AC33</f>
        <v>466</v>
      </c>
      <c r="AD98" s="51">
        <f>IS!AD33</f>
        <v>93</v>
      </c>
      <c r="AE98" s="629">
        <f>IS!AE33</f>
        <v>490</v>
      </c>
      <c r="AF98" s="652">
        <f>IS!AF33</f>
        <v>583</v>
      </c>
      <c r="AG98" s="51">
        <f>IS!AG33</f>
        <v>-3203</v>
      </c>
      <c r="AH98" s="629">
        <f>IS!AH33</f>
        <v>-790</v>
      </c>
      <c r="AI98" s="652">
        <f>IS!AI33</f>
        <v>-3993</v>
      </c>
      <c r="AJ98" s="51">
        <f>IS!AJ33</f>
        <v>133</v>
      </c>
      <c r="AK98" s="629">
        <f>IS!AK33</f>
        <v>-97</v>
      </c>
      <c r="AL98" s="652">
        <f>IS!AL33</f>
        <v>36</v>
      </c>
      <c r="AM98" s="51">
        <f>IS!AM33</f>
        <v>-111</v>
      </c>
      <c r="AN98" s="629">
        <f>IS!AN33</f>
        <v>317</v>
      </c>
      <c r="AO98" s="652">
        <f>IS!AO33</f>
        <v>206</v>
      </c>
      <c r="AP98" s="51">
        <f>IS!AP33</f>
        <v>524</v>
      </c>
      <c r="AQ98" s="629">
        <f>IS!AQ33</f>
        <v>738</v>
      </c>
      <c r="AR98" s="652">
        <f>IS!AR33</f>
        <v>1262</v>
      </c>
      <c r="AS98" s="51">
        <f>IS!AS33</f>
        <v>1035</v>
      </c>
      <c r="AT98" s="629">
        <f>IS!AT33</f>
        <v>1258</v>
      </c>
      <c r="AU98" s="652">
        <f>IS!AU33</f>
        <v>2293</v>
      </c>
      <c r="AV98" s="51">
        <f>IS!AV33</f>
        <v>1689</v>
      </c>
      <c r="AW98" s="629">
        <f>IS!AW33</f>
        <v>1663</v>
      </c>
      <c r="AX98" s="652">
        <f>IS!AX33</f>
        <v>3352</v>
      </c>
      <c r="AY98" s="51">
        <f>IS!AY33</f>
        <v>2495</v>
      </c>
      <c r="AZ98" s="237">
        <f>IS!AZ33</f>
        <v>2356.0922844152897</v>
      </c>
      <c r="BA98" s="576">
        <f>IS!BA33</f>
        <v>4851.0922844152883</v>
      </c>
      <c r="BB98" s="48">
        <f>IS!BB33</f>
        <v>2730.0198614326819</v>
      </c>
      <c r="BC98" s="237">
        <f>IS!BC33</f>
        <v>2856.816402724397</v>
      </c>
      <c r="BD98" s="576">
        <f>IS!BD33</f>
        <v>5586.8362641570784</v>
      </c>
      <c r="BE98" s="48">
        <f>IS!BE33</f>
        <v>3151.5428579481832</v>
      </c>
      <c r="BF98" s="237">
        <f>IS!BF33</f>
        <v>3369.2492160281931</v>
      </c>
      <c r="BG98" s="576">
        <f>IS!BG33</f>
        <v>6520.7920739763767</v>
      </c>
      <c r="BH98" s="48">
        <f>IS!BH33</f>
        <v>3733.8048722316148</v>
      </c>
      <c r="BI98" s="237">
        <f>IS!BI33</f>
        <v>3999.7525532401414</v>
      </c>
      <c r="BJ98" s="576">
        <f>IS!BJ33</f>
        <v>7733.5574254717558</v>
      </c>
      <c r="BK98" s="48">
        <f>IS!BK33</f>
        <v>4465.0765517290838</v>
      </c>
      <c r="BL98" s="237">
        <f>IS!BL33</f>
        <v>4779.0108004307222</v>
      </c>
      <c r="BM98" s="576">
        <f>IS!BM33</f>
        <v>9244.0873521598078</v>
      </c>
    </row>
    <row r="99" spans="1:74">
      <c r="A99" s="25" t="s">
        <v>789</v>
      </c>
      <c r="B99" s="40"/>
      <c r="C99" s="40"/>
      <c r="D99" s="40"/>
      <c r="E99" s="40"/>
      <c r="F99" s="40"/>
      <c r="G99" s="40"/>
      <c r="H99" s="40"/>
      <c r="I99" s="40"/>
      <c r="J99" s="40"/>
      <c r="K99" s="40"/>
      <c r="L99" s="40"/>
      <c r="M99" s="51"/>
      <c r="N99" s="51"/>
      <c r="O99" s="51"/>
      <c r="P99" s="51"/>
      <c r="Q99" s="51"/>
      <c r="R99" s="51"/>
      <c r="S99" s="629"/>
      <c r="T99" s="652"/>
      <c r="U99" s="51"/>
      <c r="V99" s="629"/>
      <c r="W99" s="652"/>
      <c r="X99" s="51"/>
      <c r="Y99" s="629"/>
      <c r="Z99" s="652"/>
      <c r="AA99" s="40">
        <f>+AA98-AA100</f>
        <v>-68</v>
      </c>
      <c r="AB99" s="630">
        <f t="shared" ref="AB99" si="470">+AB98-AB100</f>
        <v>-82</v>
      </c>
      <c r="AC99" s="653">
        <f>IS!AC31</f>
        <v>-150</v>
      </c>
      <c r="AD99" s="40">
        <f>+AD98-AD100</f>
        <v>-110</v>
      </c>
      <c r="AE99" s="630">
        <f t="shared" ref="AE99" si="471">+AE98-AE100</f>
        <v>-115</v>
      </c>
      <c r="AF99" s="653">
        <f>IS!AF31</f>
        <v>-225</v>
      </c>
      <c r="AG99" s="40">
        <f>+AG98-AG100</f>
        <v>-1573</v>
      </c>
      <c r="AH99" s="630">
        <f t="shared" ref="AH99" si="472">+AH98-AH100</f>
        <v>-412</v>
      </c>
      <c r="AI99" s="653">
        <f>+AI98-AI100</f>
        <v>-1985</v>
      </c>
      <c r="AJ99" s="40">
        <f>+AJ98-AJ100</f>
        <v>-174</v>
      </c>
      <c r="AK99" s="630">
        <f t="shared" ref="AK99" si="473">+AK98-AK100</f>
        <v>-204</v>
      </c>
      <c r="AL99" s="653">
        <f>+AL98-AL100</f>
        <v>-378</v>
      </c>
      <c r="AM99" s="40">
        <f>+AM98-AM100</f>
        <v>-236</v>
      </c>
      <c r="AN99" s="630">
        <f t="shared" ref="AN99" si="474">+AN98-AN100</f>
        <v>-210</v>
      </c>
      <c r="AO99" s="653">
        <f>+AO98-AO100</f>
        <v>-446</v>
      </c>
      <c r="AP99" s="40">
        <f>+AP98-AP100</f>
        <v>-149</v>
      </c>
      <c r="AQ99" s="630">
        <f t="shared" ref="AQ99" si="475">+AQ98-AQ100</f>
        <v>-179</v>
      </c>
      <c r="AR99" s="653">
        <f>+AR98-AR100</f>
        <v>-328</v>
      </c>
      <c r="AS99" s="40">
        <f>+AS98-AS100</f>
        <v>-114</v>
      </c>
      <c r="AT99" s="630">
        <f t="shared" ref="AT99" si="476">+AT98-AT100</f>
        <v>-57</v>
      </c>
      <c r="AU99" s="653">
        <f>+AU98-AU100</f>
        <v>-171</v>
      </c>
      <c r="AV99" s="40">
        <f>+AV98-AV100</f>
        <v>-44</v>
      </c>
      <c r="AW99" s="630">
        <f t="shared" ref="AW99" si="477">+AW98-AW100</f>
        <v>-66</v>
      </c>
      <c r="AX99" s="653">
        <f>+AX98-AX100</f>
        <v>-110</v>
      </c>
      <c r="AY99" s="40">
        <f>+AY98-AY100</f>
        <v>-39</v>
      </c>
      <c r="AZ99" s="237">
        <f t="shared" ref="AZ99:BM99" si="478">+AZ98-AZ100</f>
        <v>-44.207499999999982</v>
      </c>
      <c r="BA99" s="576">
        <f t="shared" si="478"/>
        <v>-83.207500000000437</v>
      </c>
      <c r="BB99" s="48">
        <f t="shared" si="478"/>
        <v>-25.017025457659656</v>
      </c>
      <c r="BC99" s="237">
        <f t="shared" si="478"/>
        <v>-25.017025457659656</v>
      </c>
      <c r="BD99" s="576">
        <f t="shared" si="478"/>
        <v>-50.034050915319312</v>
      </c>
      <c r="BE99" s="48">
        <f t="shared" si="478"/>
        <v>-2.8096653345910454</v>
      </c>
      <c r="BF99" s="237">
        <f t="shared" si="478"/>
        <v>-2.8096653345910454</v>
      </c>
      <c r="BG99" s="576">
        <f t="shared" si="478"/>
        <v>-5.6193306691820908</v>
      </c>
      <c r="BH99" s="48">
        <f t="shared" si="478"/>
        <v>42.839388373839483</v>
      </c>
      <c r="BI99" s="237">
        <f t="shared" si="478"/>
        <v>42.839388373839483</v>
      </c>
      <c r="BJ99" s="576">
        <f t="shared" si="478"/>
        <v>85.678776747678967</v>
      </c>
      <c r="BK99" s="48">
        <f t="shared" si="478"/>
        <v>169.99106024334924</v>
      </c>
      <c r="BL99" s="237">
        <f t="shared" si="478"/>
        <v>169.99106024334833</v>
      </c>
      <c r="BM99" s="576">
        <f t="shared" si="478"/>
        <v>339.98212048669848</v>
      </c>
    </row>
    <row r="100" spans="1:74">
      <c r="A100" s="31" t="s">
        <v>274</v>
      </c>
      <c r="B100" s="40"/>
      <c r="C100" s="40"/>
      <c r="D100" s="40"/>
      <c r="E100" s="40"/>
      <c r="F100" s="40"/>
      <c r="G100" s="40"/>
      <c r="H100" s="40"/>
      <c r="I100" s="40"/>
      <c r="J100" s="40"/>
      <c r="K100" s="40"/>
      <c r="L100" s="40"/>
      <c r="M100" s="51"/>
      <c r="N100" s="51"/>
      <c r="O100" s="51"/>
      <c r="P100" s="51"/>
      <c r="Q100" s="51"/>
      <c r="R100" s="51"/>
      <c r="S100" s="629"/>
      <c r="T100" s="652"/>
      <c r="U100" s="51"/>
      <c r="V100" s="629"/>
      <c r="W100" s="652"/>
      <c r="X100" s="51"/>
      <c r="Y100" s="629"/>
      <c r="Z100" s="652"/>
      <c r="AA100" s="51">
        <f>+IS!AA25</f>
        <v>141</v>
      </c>
      <c r="AB100" s="629">
        <f>+IS!AB25</f>
        <v>475</v>
      </c>
      <c r="AC100" s="652">
        <f>AC98-AC99</f>
        <v>616</v>
      </c>
      <c r="AD100" s="51">
        <f>+IS!AD25</f>
        <v>203</v>
      </c>
      <c r="AE100" s="629">
        <f>+IS!AE25</f>
        <v>605</v>
      </c>
      <c r="AF100" s="652">
        <f>AF98-AF99</f>
        <v>808</v>
      </c>
      <c r="AG100" s="51">
        <f>+IS!AG25</f>
        <v>-1630</v>
      </c>
      <c r="AH100" s="629">
        <f>+IS!AH25</f>
        <v>-378</v>
      </c>
      <c r="AI100" s="652">
        <f>+IS!AI25</f>
        <v>-2008</v>
      </c>
      <c r="AJ100" s="51">
        <f>+IS!AJ25</f>
        <v>307</v>
      </c>
      <c r="AK100" s="629">
        <f>+IS!AK25</f>
        <v>107</v>
      </c>
      <c r="AL100" s="652">
        <f>+IS!AL25</f>
        <v>414</v>
      </c>
      <c r="AM100" s="51">
        <f>+IS!AM25</f>
        <v>125</v>
      </c>
      <c r="AN100" s="629">
        <f>+IS!AN25</f>
        <v>527</v>
      </c>
      <c r="AO100" s="652">
        <f>+IS!AO25</f>
        <v>652</v>
      </c>
      <c r="AP100" s="51">
        <f>+IS!AP25</f>
        <v>673</v>
      </c>
      <c r="AQ100" s="629">
        <f>+IS!AQ25</f>
        <v>917</v>
      </c>
      <c r="AR100" s="652">
        <f>+IS!AR25</f>
        <v>1590</v>
      </c>
      <c r="AS100" s="51">
        <f>+IS!AS25</f>
        <v>1149</v>
      </c>
      <c r="AT100" s="629">
        <f>+IS!AT25</f>
        <v>1315</v>
      </c>
      <c r="AU100" s="652">
        <f>+IS!AU25</f>
        <v>2464</v>
      </c>
      <c r="AV100" s="51">
        <f>+IS!AV25</f>
        <v>1733</v>
      </c>
      <c r="AW100" s="629">
        <f>+IS!AW25</f>
        <v>1729</v>
      </c>
      <c r="AX100" s="652">
        <f>+IS!AX25</f>
        <v>3462</v>
      </c>
      <c r="AY100" s="51">
        <f>+IS!AY25</f>
        <v>2534</v>
      </c>
      <c r="AZ100" s="237">
        <f>+IS!AZ25</f>
        <v>2400.2997844152897</v>
      </c>
      <c r="BA100" s="576">
        <f>+IS!BA25</f>
        <v>4934.2997844152887</v>
      </c>
      <c r="BB100" s="48">
        <f>+IS!BB25</f>
        <v>2755.0368868903415</v>
      </c>
      <c r="BC100" s="237">
        <f>+IS!BC25</f>
        <v>2881.8334281820567</v>
      </c>
      <c r="BD100" s="576">
        <f>+IS!BD25</f>
        <v>5636.8703150723977</v>
      </c>
      <c r="BE100" s="48">
        <f>+IS!BE25</f>
        <v>3154.3525232827742</v>
      </c>
      <c r="BF100" s="237">
        <f>+IS!BF25</f>
        <v>3372.0588813627842</v>
      </c>
      <c r="BG100" s="576">
        <f>+IS!BG25</f>
        <v>6526.4114046455588</v>
      </c>
      <c r="BH100" s="48">
        <f>+IS!BH25</f>
        <v>3690.9654838577753</v>
      </c>
      <c r="BI100" s="237">
        <f>+IS!BI25</f>
        <v>3956.9131648663019</v>
      </c>
      <c r="BJ100" s="576">
        <f>+IS!BJ25</f>
        <v>7647.8786487240768</v>
      </c>
      <c r="BK100" s="48">
        <f>+IS!BK25</f>
        <v>4295.0854914857346</v>
      </c>
      <c r="BL100" s="237">
        <f>+IS!BL25</f>
        <v>4609.0197401873738</v>
      </c>
      <c r="BM100" s="576">
        <f>+IS!BM25</f>
        <v>8904.1052316731093</v>
      </c>
    </row>
    <row r="101" spans="1:74">
      <c r="A101" s="25" t="s">
        <v>179</v>
      </c>
      <c r="B101" s="40"/>
      <c r="C101" s="40"/>
      <c r="D101" s="40"/>
      <c r="E101" s="40"/>
      <c r="F101" s="40"/>
      <c r="G101" s="40"/>
      <c r="H101" s="40"/>
      <c r="I101" s="40"/>
      <c r="J101" s="40"/>
      <c r="K101" s="40"/>
      <c r="L101" s="40"/>
      <c r="M101" s="40"/>
      <c r="N101" s="40"/>
      <c r="O101" s="40">
        <v>608</v>
      </c>
      <c r="P101" s="40">
        <v>582</v>
      </c>
      <c r="Q101" s="40">
        <v>613</v>
      </c>
      <c r="R101" s="40">
        <v>335</v>
      </c>
      <c r="S101" s="630">
        <f>T101-R101</f>
        <v>385</v>
      </c>
      <c r="T101" s="653">
        <v>720</v>
      </c>
      <c r="U101" s="40">
        <v>372</v>
      </c>
      <c r="V101" s="630">
        <f>W101-U101</f>
        <v>373</v>
      </c>
      <c r="W101" s="653">
        <v>745</v>
      </c>
      <c r="X101" s="40">
        <v>331</v>
      </c>
      <c r="Y101" s="630">
        <f>Z101-X101</f>
        <v>321</v>
      </c>
      <c r="Z101" s="653">
        <v>652</v>
      </c>
      <c r="AA101" s="40">
        <v>315</v>
      </c>
      <c r="AB101" s="630">
        <f>AC101-AA101</f>
        <v>441</v>
      </c>
      <c r="AC101" s="653">
        <v>756</v>
      </c>
      <c r="AD101" s="40">
        <v>511</v>
      </c>
      <c r="AE101" s="630">
        <f>AF101-AD101</f>
        <v>557</v>
      </c>
      <c r="AF101" s="653">
        <v>1068</v>
      </c>
      <c r="AG101" s="40">
        <v>499</v>
      </c>
      <c r="AH101" s="630">
        <f>AI101-AG101</f>
        <v>549</v>
      </c>
      <c r="AI101" s="653">
        <v>1048</v>
      </c>
      <c r="AJ101" s="40">
        <v>504</v>
      </c>
      <c r="AK101" s="630">
        <f>AL101-AJ101</f>
        <v>467</v>
      </c>
      <c r="AL101" s="653">
        <v>971</v>
      </c>
      <c r="AM101" s="40">
        <v>455</v>
      </c>
      <c r="AN101" s="630">
        <f>AO101-AM101</f>
        <v>498</v>
      </c>
      <c r="AO101" s="653">
        <v>953</v>
      </c>
      <c r="AP101" s="40">
        <v>489</v>
      </c>
      <c r="AQ101" s="630">
        <f>AR101-AP101</f>
        <v>489</v>
      </c>
      <c r="AR101" s="653">
        <v>978</v>
      </c>
      <c r="AS101" s="40">
        <v>427</v>
      </c>
      <c r="AT101" s="630">
        <f>AU101-AS101</f>
        <v>426</v>
      </c>
      <c r="AU101" s="653">
        <v>853</v>
      </c>
      <c r="AV101" s="40">
        <v>433</v>
      </c>
      <c r="AW101" s="630">
        <f>AX101-AV101</f>
        <v>467</v>
      </c>
      <c r="AX101" s="653">
        <v>900</v>
      </c>
      <c r="AY101" s="40">
        <v>426</v>
      </c>
      <c r="AZ101" s="236">
        <f>BA101-AY101</f>
        <v>516.71546756756607</v>
      </c>
      <c r="BA101" s="605">
        <f>IS!BA125</f>
        <v>942.71546756756607</v>
      </c>
      <c r="BB101" s="56">
        <f>IS!BB125</f>
        <v>502.10257101047898</v>
      </c>
      <c r="BC101" s="236">
        <f>BD101-BB101</f>
        <v>525.69241306556603</v>
      </c>
      <c r="BD101" s="605">
        <f>IS!BD125</f>
        <v>1027.794984076045</v>
      </c>
      <c r="BE101" s="56">
        <f>IS!BE125</f>
        <v>536.72247465050964</v>
      </c>
      <c r="BF101" s="236">
        <f>BG101-BE101</f>
        <v>570.44382122568072</v>
      </c>
      <c r="BG101" s="605">
        <f>IS!BG125</f>
        <v>1107.1662958761904</v>
      </c>
      <c r="BH101" s="56">
        <f>IS!BH125</f>
        <v>584.18178597000815</v>
      </c>
      <c r="BI101" s="236">
        <f>BJ101-BH101</f>
        <v>621.84723764831278</v>
      </c>
      <c r="BJ101" s="605">
        <f>IS!BJ125</f>
        <v>1206.0290236183209</v>
      </c>
      <c r="BK101" s="56">
        <f>IS!BK125</f>
        <v>637.55477855315746</v>
      </c>
      <c r="BL101" s="236">
        <f>BM101-BK101</f>
        <v>678.79386247878517</v>
      </c>
      <c r="BM101" s="605">
        <f>IS!BM125</f>
        <v>1316.3486410319426</v>
      </c>
    </row>
    <row r="102" spans="1:74">
      <c r="A102" s="25" t="s">
        <v>180</v>
      </c>
      <c r="B102" s="40"/>
      <c r="C102" s="40"/>
      <c r="D102" s="40"/>
      <c r="E102" s="40"/>
      <c r="F102" s="40"/>
      <c r="G102" s="40"/>
      <c r="H102" s="40"/>
      <c r="I102" s="40"/>
      <c r="J102" s="40"/>
      <c r="K102" s="40"/>
      <c r="L102" s="40"/>
      <c r="M102" s="40"/>
      <c r="N102" s="40"/>
      <c r="O102" s="40">
        <v>91</v>
      </c>
      <c r="P102" s="40">
        <v>-357</v>
      </c>
      <c r="Q102" s="40">
        <v>-544</v>
      </c>
      <c r="R102" s="40">
        <v>-235</v>
      </c>
      <c r="S102" s="630">
        <f>T102-R102</f>
        <v>180</v>
      </c>
      <c r="T102" s="653">
        <v>-55</v>
      </c>
      <c r="U102" s="40">
        <v>-110</v>
      </c>
      <c r="V102" s="630">
        <f>W102-U102</f>
        <v>636</v>
      </c>
      <c r="W102" s="653">
        <v>526</v>
      </c>
      <c r="X102" s="40">
        <v>324</v>
      </c>
      <c r="Y102" s="630">
        <f>Z102-X102</f>
        <v>836</v>
      </c>
      <c r="Z102" s="653">
        <f>1379-219</f>
        <v>1160</v>
      </c>
      <c r="AA102" s="40">
        <f>AA103+AA104</f>
        <v>156</v>
      </c>
      <c r="AB102" s="630">
        <f>AC102-AA102</f>
        <v>1104</v>
      </c>
      <c r="AC102" s="653">
        <f>AC103+AC104</f>
        <v>1260</v>
      </c>
      <c r="AD102" s="40">
        <f>AD103+AD104</f>
        <v>86</v>
      </c>
      <c r="AE102" s="630">
        <f>AF102-AD102</f>
        <v>1201</v>
      </c>
      <c r="AF102" s="653">
        <f>AF103+AF104</f>
        <v>1287</v>
      </c>
      <c r="AG102" s="40">
        <f>AG103+AG104</f>
        <v>-976</v>
      </c>
      <c r="AH102" s="630">
        <f>AI102-AG102</f>
        <v>-72</v>
      </c>
      <c r="AI102" s="653">
        <f>AI103+AI104</f>
        <v>-1048</v>
      </c>
      <c r="AJ102" s="40">
        <f>AJ103+AJ104</f>
        <v>-618</v>
      </c>
      <c r="AK102" s="630">
        <f>AL102-AJ102</f>
        <v>-126</v>
      </c>
      <c r="AL102" s="653">
        <f>AL103+AL104</f>
        <v>-744</v>
      </c>
      <c r="AM102" s="40">
        <f>AM103+AM104</f>
        <v>348</v>
      </c>
      <c r="AN102" s="630">
        <f>AO102-AM102</f>
        <v>-304</v>
      </c>
      <c r="AO102" s="653">
        <f>AO103+AO104</f>
        <v>44</v>
      </c>
      <c r="AP102" s="40">
        <f>AP103+AP104</f>
        <v>-462</v>
      </c>
      <c r="AQ102" s="630">
        <f>AR102-AP102</f>
        <v>348</v>
      </c>
      <c r="AR102" s="653">
        <f>AR103+AR104</f>
        <v>-114</v>
      </c>
      <c r="AS102" s="40">
        <f>AS103+AS104</f>
        <v>85</v>
      </c>
      <c r="AT102" s="630">
        <f>AU102-AS102</f>
        <v>467</v>
      </c>
      <c r="AU102" s="653">
        <f>AU103+AU104</f>
        <v>552</v>
      </c>
      <c r="AV102" s="40">
        <f>AV103+AV104</f>
        <v>-182</v>
      </c>
      <c r="AW102" s="630">
        <f>AX102-AV102</f>
        <v>376</v>
      </c>
      <c r="AX102" s="653">
        <f>AX103+AX104</f>
        <v>194</v>
      </c>
      <c r="AY102" s="40">
        <f>AY103+AY104</f>
        <v>307</v>
      </c>
      <c r="AZ102" s="236">
        <f>BA102-AY102</f>
        <v>291.59595043737772</v>
      </c>
      <c r="BA102" s="605">
        <f>BA19</f>
        <v>598.59595043737772</v>
      </c>
      <c r="BB102" s="56">
        <f>BB19</f>
        <v>2149.4662750373345</v>
      </c>
      <c r="BC102" s="236">
        <f>BD102-BB102</f>
        <v>-1387.399885833649</v>
      </c>
      <c r="BD102" s="605">
        <f>BD19</f>
        <v>762.0663892036855</v>
      </c>
      <c r="BE102" s="56">
        <f>BE19</f>
        <v>1013.0368394792113</v>
      </c>
      <c r="BF102" s="236">
        <f>BG102-BE102</f>
        <v>51.69168167204225</v>
      </c>
      <c r="BG102" s="605">
        <f>BG19</f>
        <v>1064.7285211512535</v>
      </c>
      <c r="BH102" s="56">
        <f>BH19</f>
        <v>713.77838838361276</v>
      </c>
      <c r="BI102" s="236">
        <f>BJ102-BH102</f>
        <v>214.72415926395479</v>
      </c>
      <c r="BJ102" s="605">
        <f>BJ19</f>
        <v>928.50254764756755</v>
      </c>
      <c r="BK102" s="56">
        <f>BK19</f>
        <v>648.39851208653999</v>
      </c>
      <c r="BL102" s="236">
        <f>BM102-BK102</f>
        <v>286.26326957925176</v>
      </c>
      <c r="BM102" s="605">
        <f>BM19</f>
        <v>934.66178166579175</v>
      </c>
    </row>
    <row r="103" spans="1:74">
      <c r="A103" s="441" t="s">
        <v>790</v>
      </c>
      <c r="B103" s="440"/>
      <c r="C103" s="440"/>
      <c r="D103" s="440"/>
      <c r="E103" s="440"/>
      <c r="F103" s="440"/>
      <c r="G103" s="440"/>
      <c r="H103" s="440"/>
      <c r="I103" s="440"/>
      <c r="J103" s="440"/>
      <c r="K103" s="440"/>
      <c r="L103" s="440"/>
      <c r="M103" s="440"/>
      <c r="N103" s="440"/>
      <c r="O103" s="440"/>
      <c r="P103" s="440"/>
      <c r="Q103" s="440"/>
      <c r="R103" s="440"/>
      <c r="S103" s="681"/>
      <c r="T103" s="690"/>
      <c r="U103" s="440"/>
      <c r="V103" s="681"/>
      <c r="W103" s="690"/>
      <c r="X103" s="440"/>
      <c r="Y103" s="681"/>
      <c r="Z103" s="690"/>
      <c r="AA103" s="440">
        <v>487</v>
      </c>
      <c r="AB103" s="681">
        <f>AC103-AA103</f>
        <v>192</v>
      </c>
      <c r="AC103" s="690">
        <v>679</v>
      </c>
      <c r="AD103" s="440">
        <v>128</v>
      </c>
      <c r="AE103" s="681">
        <f>AF103-AD103</f>
        <v>628</v>
      </c>
      <c r="AF103" s="690">
        <v>756</v>
      </c>
      <c r="AG103" s="440">
        <v>788</v>
      </c>
      <c r="AH103" s="681">
        <f>AI103-AG103</f>
        <v>-309</v>
      </c>
      <c r="AI103" s="690">
        <v>479</v>
      </c>
      <c r="AJ103" s="440">
        <v>-108</v>
      </c>
      <c r="AK103" s="681">
        <f>AL103-AJ103</f>
        <v>174</v>
      </c>
      <c r="AL103" s="690">
        <v>66</v>
      </c>
      <c r="AM103" s="440">
        <v>433</v>
      </c>
      <c r="AN103" s="681">
        <f>AO103-AM103</f>
        <v>359</v>
      </c>
      <c r="AO103" s="690">
        <v>792</v>
      </c>
      <c r="AP103" s="440">
        <v>727</v>
      </c>
      <c r="AQ103" s="681">
        <f>AR103-AP103</f>
        <v>604</v>
      </c>
      <c r="AR103" s="690">
        <v>1331</v>
      </c>
      <c r="AS103" s="440">
        <v>715</v>
      </c>
      <c r="AT103" s="681">
        <f>AU103-AS103</f>
        <v>195</v>
      </c>
      <c r="AU103" s="690">
        <v>910</v>
      </c>
      <c r="AV103" s="440">
        <v>441</v>
      </c>
      <c r="AW103" s="681">
        <f>AX103-AV103</f>
        <v>60</v>
      </c>
      <c r="AX103" s="690">
        <v>501</v>
      </c>
      <c r="AY103" s="440">
        <v>112</v>
      </c>
      <c r="AZ103" s="687">
        <f>BA103-AY103</f>
        <v>164.56863832322938</v>
      </c>
      <c r="BA103" s="684">
        <f>-(BS!BA90+BS!BA91)</f>
        <v>276.56863832322938</v>
      </c>
      <c r="BB103" s="992">
        <f>-(BS!BB90+BS!BB91)</f>
        <v>-14.381499473655367</v>
      </c>
      <c r="BC103" s="687">
        <f>BD103-BB103</f>
        <v>518.21084798313632</v>
      </c>
      <c r="BD103" s="684">
        <f>-(BS!BD90+BS!BD91)</f>
        <v>503.82934850948095</v>
      </c>
      <c r="BE103" s="992">
        <f>-(BS!BE90+BS!BE91)</f>
        <v>233.79868245030138</v>
      </c>
      <c r="BF103" s="687">
        <f>BG103-BE103</f>
        <v>647.59220400416484</v>
      </c>
      <c r="BG103" s="684">
        <f>-(BS!BG90+BS!BG91)</f>
        <v>881.39088645446623</v>
      </c>
      <c r="BH103" s="992">
        <f>-(BS!BH90+BS!BH91)</f>
        <v>298.57154355431885</v>
      </c>
      <c r="BI103" s="687">
        <f>BJ103-BH103</f>
        <v>717.50894517495522</v>
      </c>
      <c r="BJ103" s="684">
        <f>-(BS!BJ90+BS!BJ91)</f>
        <v>1016.0804887292741</v>
      </c>
      <c r="BK103" s="992">
        <f>-(BS!BK90+BS!BK91)</f>
        <v>356.46872808228909</v>
      </c>
      <c r="BL103" s="687">
        <f>BM103-BK103</f>
        <v>777.48872345367045</v>
      </c>
      <c r="BM103" s="684">
        <f>-(BS!BM90+BS!BM91)</f>
        <v>1133.9574515359595</v>
      </c>
    </row>
    <row r="104" spans="1:74">
      <c r="A104" s="153" t="s">
        <v>791</v>
      </c>
      <c r="B104" s="40"/>
      <c r="C104" s="40"/>
      <c r="D104" s="40"/>
      <c r="E104" s="40"/>
      <c r="F104" s="40"/>
      <c r="G104" s="40"/>
      <c r="H104" s="40"/>
      <c r="I104" s="40"/>
      <c r="J104" s="40"/>
      <c r="K104" s="40"/>
      <c r="L104" s="40"/>
      <c r="M104" s="40"/>
      <c r="N104" s="40"/>
      <c r="O104" s="40"/>
      <c r="P104" s="40"/>
      <c r="Q104" s="40"/>
      <c r="R104" s="40"/>
      <c r="S104" s="630"/>
      <c r="T104" s="653"/>
      <c r="U104" s="40"/>
      <c r="V104" s="630"/>
      <c r="W104" s="653"/>
      <c r="X104" s="40"/>
      <c r="Y104" s="630"/>
      <c r="Z104" s="653"/>
      <c r="AA104" s="40">
        <f>-461+130</f>
        <v>-331</v>
      </c>
      <c r="AB104" s="630">
        <f t="shared" ref="AB104" si="479">+AB102-AB103</f>
        <v>912</v>
      </c>
      <c r="AC104" s="653">
        <f>1197-616</f>
        <v>581</v>
      </c>
      <c r="AD104" s="40">
        <f>-433+391</f>
        <v>-42</v>
      </c>
      <c r="AE104" s="630">
        <f t="shared" ref="AE104" si="480">+AE102-AE103</f>
        <v>573</v>
      </c>
      <c r="AF104" s="653">
        <f>-43+574</f>
        <v>531</v>
      </c>
      <c r="AG104" s="40">
        <f>-301-1313-150</f>
        <v>-1764</v>
      </c>
      <c r="AH104" s="630">
        <f t="shared" ref="AH104" si="481">+AH102-AH103</f>
        <v>237</v>
      </c>
      <c r="AI104" s="653">
        <f>588-2115</f>
        <v>-1527</v>
      </c>
      <c r="AJ104" s="40">
        <f>-219-203-88</f>
        <v>-510</v>
      </c>
      <c r="AK104" s="630">
        <f t="shared" ref="AK104" si="482">+AK102-AK103</f>
        <v>-300</v>
      </c>
      <c r="AL104" s="653">
        <f>-169-641</f>
        <v>-810</v>
      </c>
      <c r="AM104" s="40">
        <f>-692+320+287</f>
        <v>-85</v>
      </c>
      <c r="AN104" s="630">
        <f t="shared" ref="AN104" si="483">+AN102-AN103</f>
        <v>-663</v>
      </c>
      <c r="AO104" s="653">
        <f>892-887-753</f>
        <v>-748</v>
      </c>
      <c r="AP104" s="40">
        <f>-557-965+333</f>
        <v>-1189</v>
      </c>
      <c r="AQ104" s="630">
        <f t="shared" ref="AQ104" si="484">+AQ102-AQ103</f>
        <v>-256</v>
      </c>
      <c r="AR104" s="653">
        <f>-200-2291+1046</f>
        <v>-1445</v>
      </c>
      <c r="AS104" s="40">
        <f>-641+86-75</f>
        <v>-630</v>
      </c>
      <c r="AT104" s="630">
        <f t="shared" ref="AT104" si="485">+AT102-AT103</f>
        <v>272</v>
      </c>
      <c r="AU104" s="653">
        <f>-323+166-201</f>
        <v>-358</v>
      </c>
      <c r="AV104" s="40">
        <f>-608-538+523</f>
        <v>-623</v>
      </c>
      <c r="AW104" s="630">
        <f t="shared" ref="AW104" si="486">+AW102-AW103</f>
        <v>316</v>
      </c>
      <c r="AX104" s="653">
        <f>-685-192+570</f>
        <v>-307</v>
      </c>
      <c r="AY104" s="40">
        <f>-491-14+700</f>
        <v>195</v>
      </c>
      <c r="AZ104" s="236">
        <f>+AZ102-AZ103</f>
        <v>127.02731211414834</v>
      </c>
      <c r="BA104" s="605">
        <f t="shared" ref="BA104:BM104" si="487">+BA102-BA103</f>
        <v>322.02731211414834</v>
      </c>
      <c r="BB104" s="56">
        <f>+BB102-BB103</f>
        <v>2163.8477745109899</v>
      </c>
      <c r="BC104" s="236">
        <f>+BC102-BC103</f>
        <v>-1905.6107338167853</v>
      </c>
      <c r="BD104" s="605">
        <f t="shared" si="487"/>
        <v>258.23704069420455</v>
      </c>
      <c r="BE104" s="56">
        <f>+BE102-BE103</f>
        <v>779.23815702890988</v>
      </c>
      <c r="BF104" s="236">
        <f>+BF102-BF103</f>
        <v>-595.90052233212259</v>
      </c>
      <c r="BG104" s="605">
        <f t="shared" si="487"/>
        <v>183.33763469678729</v>
      </c>
      <c r="BH104" s="56">
        <f>+BH102-BH103</f>
        <v>415.20684482929391</v>
      </c>
      <c r="BI104" s="236">
        <f>+BI102-BI103</f>
        <v>-502.78478591100043</v>
      </c>
      <c r="BJ104" s="605">
        <f t="shared" si="487"/>
        <v>-87.577941081706513</v>
      </c>
      <c r="BK104" s="56">
        <f>+BK102-BK103</f>
        <v>291.92978400425091</v>
      </c>
      <c r="BL104" s="236">
        <f>+BL102-BL103</f>
        <v>-491.22545387441869</v>
      </c>
      <c r="BM104" s="605">
        <f t="shared" si="487"/>
        <v>-199.29566987016779</v>
      </c>
    </row>
    <row r="105" spans="1:74">
      <c r="A105" s="25" t="s">
        <v>181</v>
      </c>
      <c r="B105" s="40"/>
      <c r="C105" s="40"/>
      <c r="D105" s="40"/>
      <c r="E105" s="40"/>
      <c r="F105" s="40"/>
      <c r="G105" s="40"/>
      <c r="H105" s="40"/>
      <c r="I105" s="40"/>
      <c r="J105" s="40"/>
      <c r="K105" s="40"/>
      <c r="L105" s="40"/>
      <c r="M105" s="40"/>
      <c r="N105" s="40"/>
      <c r="O105" s="40">
        <v>-1172</v>
      </c>
      <c r="P105" s="40">
        <v>-1084</v>
      </c>
      <c r="Q105" s="40">
        <v>-887</v>
      </c>
      <c r="R105" s="40">
        <v>-539</v>
      </c>
      <c r="S105" s="630">
        <f>T105-R105</f>
        <v>-662</v>
      </c>
      <c r="T105" s="653">
        <v>-1201</v>
      </c>
      <c r="U105" s="40">
        <v>-753</v>
      </c>
      <c r="V105" s="630">
        <f>W105-U105</f>
        <v>-979</v>
      </c>
      <c r="W105" s="653">
        <v>-1732</v>
      </c>
      <c r="X105" s="40">
        <v>-599</v>
      </c>
      <c r="Y105" s="630">
        <f>Z105-X105</f>
        <v>-778</v>
      </c>
      <c r="Z105" s="653">
        <f>-730-647</f>
        <v>-1377</v>
      </c>
      <c r="AA105" s="40">
        <f>-327-342</f>
        <v>-669</v>
      </c>
      <c r="AB105" s="630">
        <f>AC105-AA105</f>
        <v>-916</v>
      </c>
      <c r="AC105" s="653">
        <f>-905-680</f>
        <v>-1585</v>
      </c>
      <c r="AD105" s="40">
        <f>-274-348</f>
        <v>-622</v>
      </c>
      <c r="AE105" s="630">
        <f>AF105-AD105</f>
        <v>-716</v>
      </c>
      <c r="AF105" s="653">
        <f>-591-747</f>
        <v>-1338</v>
      </c>
      <c r="AG105" s="40">
        <f>-176-221</f>
        <v>-397</v>
      </c>
      <c r="AH105" s="630">
        <f>AI105-AG105</f>
        <v>-498</v>
      </c>
      <c r="AI105" s="653">
        <f>-316-579</f>
        <v>-895</v>
      </c>
      <c r="AJ105" s="40">
        <f>-71-124</f>
        <v>-195</v>
      </c>
      <c r="AK105" s="630">
        <f>AL105-AJ105</f>
        <v>-301</v>
      </c>
      <c r="AL105" s="653">
        <f>-311-185</f>
        <v>-496</v>
      </c>
      <c r="AM105" s="40">
        <f>-167+6</f>
        <v>-161</v>
      </c>
      <c r="AN105" s="630">
        <f>AO105-AM105</f>
        <v>-315</v>
      </c>
      <c r="AO105" s="653">
        <v>-476</v>
      </c>
      <c r="AP105" s="40">
        <f>-285+17</f>
        <v>-268</v>
      </c>
      <c r="AQ105" s="630">
        <f>AR105-AP105</f>
        <v>-358</v>
      </c>
      <c r="AR105" s="653">
        <f>-695+69</f>
        <v>-626</v>
      </c>
      <c r="AS105" s="40">
        <f>-291+17</f>
        <v>-274</v>
      </c>
      <c r="AT105" s="630">
        <f>AU105-AS105</f>
        <v>-586</v>
      </c>
      <c r="AU105" s="653">
        <f>-876+16</f>
        <v>-860</v>
      </c>
      <c r="AV105" s="40">
        <f>-349+31</f>
        <v>-318</v>
      </c>
      <c r="AW105" s="630">
        <f>AX105-AV105</f>
        <v>-630</v>
      </c>
      <c r="AX105" s="653">
        <f>-978+30</f>
        <v>-948</v>
      </c>
      <c r="AY105" s="40">
        <f>-362-5</f>
        <v>-367</v>
      </c>
      <c r="AZ105" s="236">
        <f>BA105-AY105</f>
        <v>-705.43653073273572</v>
      </c>
      <c r="BA105" s="605">
        <f>BA91</f>
        <v>-1072.4365307327357</v>
      </c>
      <c r="BB105" s="56">
        <f>BB91</f>
        <v>-601.8149466848572</v>
      </c>
      <c r="BC105" s="236">
        <f>BD105-BB105</f>
        <v>-641.40395325188365</v>
      </c>
      <c r="BD105" s="605">
        <f>BD91</f>
        <v>-1243.2188999367409</v>
      </c>
      <c r="BE105" s="56">
        <f>BE91</f>
        <v>-659.91485211679878</v>
      </c>
      <c r="BF105" s="236">
        <f>BG105-BE105</f>
        <v>-716.50677875606766</v>
      </c>
      <c r="BG105" s="605">
        <f>BG91</f>
        <v>-1376.4216308728664</v>
      </c>
      <c r="BH105" s="56">
        <f>BH91</f>
        <v>-739.56214195903885</v>
      </c>
      <c r="BI105" s="236">
        <f>BJ105-BH105</f>
        <v>-802.77315500271698</v>
      </c>
      <c r="BJ105" s="605">
        <f>BJ91</f>
        <v>-1542.3352969617558</v>
      </c>
      <c r="BK105" s="56">
        <f>BK91</f>
        <v>-829.13390547241465</v>
      </c>
      <c r="BL105" s="236">
        <f>BM105-BK105</f>
        <v>-898.34226899334658</v>
      </c>
      <c r="BM105" s="605">
        <f>BM91</f>
        <v>-1727.4761744657612</v>
      </c>
    </row>
    <row r="106" spans="1:74">
      <c r="A106" s="25" t="s">
        <v>773</v>
      </c>
      <c r="B106" s="40"/>
      <c r="C106" s="40"/>
      <c r="D106" s="40"/>
      <c r="E106" s="40"/>
      <c r="F106" s="40"/>
      <c r="G106" s="40"/>
      <c r="H106" s="40"/>
      <c r="I106" s="40"/>
      <c r="J106" s="40"/>
      <c r="K106" s="40"/>
      <c r="L106" s="40"/>
      <c r="M106" s="40"/>
      <c r="N106" s="40"/>
      <c r="O106" s="40"/>
      <c r="P106" s="40"/>
      <c r="Q106" s="40"/>
      <c r="R106" s="40"/>
      <c r="S106" s="630"/>
      <c r="T106" s="653"/>
      <c r="U106" s="40"/>
      <c r="V106" s="630"/>
      <c r="W106" s="653"/>
      <c r="X106" s="40"/>
      <c r="Y106" s="630"/>
      <c r="Z106" s="653"/>
      <c r="AA106" s="10">
        <v>0</v>
      </c>
      <c r="AB106" s="630">
        <f>AC106-AA106</f>
        <v>0</v>
      </c>
      <c r="AC106" s="556"/>
      <c r="AD106" s="10">
        <v>-184</v>
      </c>
      <c r="AE106" s="630">
        <f>AF106-AD106</f>
        <v>-135</v>
      </c>
      <c r="AF106" s="556">
        <v>-319</v>
      </c>
      <c r="AG106" s="10">
        <v>-190</v>
      </c>
      <c r="AH106" s="630">
        <f>AI106-AG106</f>
        <v>-189</v>
      </c>
      <c r="AI106" s="556">
        <v>-379</v>
      </c>
      <c r="AJ106" s="10">
        <v>-171</v>
      </c>
      <c r="AK106" s="630">
        <f>AL106-AJ106</f>
        <v>-232</v>
      </c>
      <c r="AL106" s="556">
        <v>-403</v>
      </c>
      <c r="AM106" s="10">
        <v>-85</v>
      </c>
      <c r="AN106" s="630">
        <f>AO106-AM106</f>
        <v>-113</v>
      </c>
      <c r="AO106" s="556">
        <v>-198</v>
      </c>
      <c r="AP106" s="10">
        <v>-157</v>
      </c>
      <c r="AQ106" s="630">
        <f>AR106-AP106</f>
        <v>-113</v>
      </c>
      <c r="AR106" s="556">
        <v>-270</v>
      </c>
      <c r="AS106" s="10">
        <v>-112</v>
      </c>
      <c r="AT106" s="630">
        <f>AU106-AS106</f>
        <v>-163</v>
      </c>
      <c r="AU106" s="556">
        <v>-275</v>
      </c>
      <c r="AV106" s="10">
        <v>-78</v>
      </c>
      <c r="AW106" s="630">
        <f>AX106-AV106</f>
        <v>-131</v>
      </c>
      <c r="AX106" s="556">
        <v>-209</v>
      </c>
      <c r="AY106" s="10">
        <v>-132</v>
      </c>
      <c r="AZ106" s="236">
        <f>BA106-AY106</f>
        <v>-100</v>
      </c>
      <c r="BA106" s="605">
        <f>+BA59</f>
        <v>-232</v>
      </c>
      <c r="BB106" s="56">
        <f>+BB59</f>
        <v>-116</v>
      </c>
      <c r="BC106" s="236">
        <f>BD106-BB106</f>
        <v>-116</v>
      </c>
      <c r="BD106" s="605">
        <f>+BD59</f>
        <v>-232</v>
      </c>
      <c r="BE106" s="56">
        <f>+BE59</f>
        <v>-116</v>
      </c>
      <c r="BF106" s="236">
        <f>BG106-BE106</f>
        <v>-116</v>
      </c>
      <c r="BG106" s="605">
        <f>+BG59</f>
        <v>-232</v>
      </c>
      <c r="BH106" s="56">
        <f>+BH59</f>
        <v>-116</v>
      </c>
      <c r="BI106" s="236">
        <f>BJ106-BH106</f>
        <v>-116</v>
      </c>
      <c r="BJ106" s="605">
        <f>+BJ59</f>
        <v>-232</v>
      </c>
      <c r="BK106" s="56">
        <f>+BK59</f>
        <v>-116</v>
      </c>
      <c r="BL106" s="236">
        <f>BM106-BK106</f>
        <v>-116</v>
      </c>
      <c r="BM106" s="605">
        <f>+BM59</f>
        <v>-232</v>
      </c>
    </row>
    <row r="107" spans="1:74">
      <c r="A107" s="25" t="s">
        <v>16</v>
      </c>
      <c r="B107" s="40"/>
      <c r="C107" s="40"/>
      <c r="D107" s="40"/>
      <c r="E107" s="40"/>
      <c r="F107" s="40"/>
      <c r="G107" s="40"/>
      <c r="H107" s="40"/>
      <c r="I107" s="40"/>
      <c r="J107" s="40"/>
      <c r="K107" s="40"/>
      <c r="L107" s="40"/>
      <c r="M107" s="40"/>
      <c r="N107" s="40"/>
      <c r="O107" s="40">
        <v>-231</v>
      </c>
      <c r="P107" s="40">
        <v>105</v>
      </c>
      <c r="Q107" s="40">
        <v>-229</v>
      </c>
      <c r="R107" s="40">
        <v>8</v>
      </c>
      <c r="S107" s="630">
        <f>T107-R107</f>
        <v>39</v>
      </c>
      <c r="T107" s="653">
        <v>47</v>
      </c>
      <c r="U107" s="40">
        <v>-52</v>
      </c>
      <c r="V107" s="630">
        <f>W107-U107</f>
        <v>-110</v>
      </c>
      <c r="W107" s="653">
        <v>-162</v>
      </c>
      <c r="X107" s="40">
        <v>-169</v>
      </c>
      <c r="Y107" s="630">
        <f>Z107-X107</f>
        <v>-17</v>
      </c>
      <c r="Z107" s="653">
        <v>-186</v>
      </c>
      <c r="AA107" s="40">
        <f>1-36+66</f>
        <v>31</v>
      </c>
      <c r="AB107" s="630">
        <f>AC107-AA107</f>
        <v>-321</v>
      </c>
      <c r="AC107" s="653">
        <f>-242-70+22</f>
        <v>-290</v>
      </c>
      <c r="AD107" s="40">
        <f>-271-45-8</f>
        <v>-324</v>
      </c>
      <c r="AE107" s="630">
        <f>AF107-AD107</f>
        <v>-123</v>
      </c>
      <c r="AF107" s="653">
        <f>173-41-506-73</f>
        <v>-447</v>
      </c>
      <c r="AG107" s="40">
        <f>-39-152+74+132-26-88-33-35</f>
        <v>-167</v>
      </c>
      <c r="AH107" s="630">
        <f>AI107-AG107</f>
        <v>-665</v>
      </c>
      <c r="AI107" s="653">
        <f>-49-105-172-202-109-195</f>
        <v>-832</v>
      </c>
      <c r="AJ107" s="40">
        <f>-93-154+45-136-81-35-303-52+27</f>
        <v>-782</v>
      </c>
      <c r="AK107" s="630">
        <f>AL107-AJ107</f>
        <v>-125</v>
      </c>
      <c r="AL107" s="653">
        <f>68-85-259-452-43-136</f>
        <v>-907</v>
      </c>
      <c r="AM107" s="40">
        <f>-116+16-29+6+24-30-386+202+35-172-265-23+68</f>
        <v>-670</v>
      </c>
      <c r="AN107" s="630">
        <f>AO107-AM107</f>
        <v>392</v>
      </c>
      <c r="AO107" s="653">
        <f>86-23+18+25+36+47-53-521+737+77-352-326-29</f>
        <v>-278</v>
      </c>
      <c r="AP107" s="40">
        <f>-95-1-73+60+23-7+91+522+6-159-210-1</f>
        <v>156</v>
      </c>
      <c r="AQ107" s="630">
        <f>AR107-AP107</f>
        <v>-231</v>
      </c>
      <c r="AR107" s="653">
        <f>-258+18-119+159+66-7+196+853+8-333-389-17-252</f>
        <v>-75</v>
      </c>
      <c r="AS107" s="40">
        <f>-106-171+7-3+405-75+124-5+59+11-157-13+1-63</f>
        <v>14</v>
      </c>
      <c r="AT107" s="630">
        <f>AU107-AS107</f>
        <v>89</v>
      </c>
      <c r="AU107" s="653">
        <f>2837-SUM(AU103:AU106,AU100:AU101)</f>
        <v>103</v>
      </c>
      <c r="AV107" s="40">
        <f>-294+31-48+243+358-116+150-31+60-136-6+4+6+38</f>
        <v>259</v>
      </c>
      <c r="AW107" s="630">
        <f>AX107-AV107</f>
        <v>204</v>
      </c>
      <c r="AX107" s="653">
        <f>3862-SUM(AX103:AX106,AX100:AX101)</f>
        <v>463</v>
      </c>
      <c r="AY107" s="40">
        <f>2518-SUM(AY103:AY106,AY100:AY101)</f>
        <v>-250</v>
      </c>
      <c r="AZ107" s="236">
        <f>BA107-AY107</f>
        <v>254.63161333398003</v>
      </c>
      <c r="BA107" s="605">
        <f>BA93+BA9+BA27+BA17+BA64+BA8-IS!BA21+IS!BA94</f>
        <v>4.6316133339800274</v>
      </c>
      <c r="BB107" s="209">
        <f>BB93+BB9+BB27+BB17+BB64+BB8-IS!BB21+IS!BB94</f>
        <v>62.364024909205206</v>
      </c>
      <c r="BC107" s="236">
        <f>BC93+BC9+BC27+BC17+BC64+BC8-IS!BC21+IS!BC94</f>
        <v>102.21317139942798</v>
      </c>
      <c r="BD107" s="605">
        <f>BD93+BD9+BD27+BD17+BD64+BD8-IS!BD21+IS!BD94</f>
        <v>164.57719630863318</v>
      </c>
      <c r="BE107" s="209">
        <f>BE93+BE9+BE27+BE17+BE64+BE8-IS!BE21+IS!BE94</f>
        <v>65.573634161502639</v>
      </c>
      <c r="BF107" s="236">
        <f>BF93+BF9+BF27+BF17+BF64+BF8-IS!BF21+IS!BF94</f>
        <v>110.73634029293868</v>
      </c>
      <c r="BG107" s="605">
        <f>BG93+BG9+BG27+BG17+BG64+BG8-IS!BG21+IS!BG94</f>
        <v>176.30997445444132</v>
      </c>
      <c r="BH107" s="209">
        <f>BH93+BH9+BH27+BH17+BH64+BH8-IS!BH21+IS!BH94</f>
        <v>70.468843610110326</v>
      </c>
      <c r="BI107" s="236">
        <f>BI93+BI9+BI27+BI17+BI64+BI8-IS!BI21+IS!BI94</f>
        <v>121.05888979438768</v>
      </c>
      <c r="BJ107" s="605">
        <f>BJ93+BJ9+BJ27+BJ17+BJ64+BJ8-IS!BJ21+IS!BJ94</f>
        <v>191.52773340449801</v>
      </c>
      <c r="BK107" s="209">
        <f>BK93+BK9+BK27+BK17+BK64+BK8-IS!BK21+IS!BK94</f>
        <v>76.094932981894573</v>
      </c>
      <c r="BL107" s="236">
        <f>BL93+BL9+BL27+BL17+BL64+BL8-IS!BL21+IS!BL94</f>
        <v>132.62765978259742</v>
      </c>
      <c r="BM107" s="605">
        <f>BM93+BM9+BM27+BM17+BM64+BM8-IS!BM21+IS!BM94</f>
        <v>208.72259276449199</v>
      </c>
    </row>
    <row r="108" spans="1:74">
      <c r="A108" s="31" t="s">
        <v>182</v>
      </c>
      <c r="B108" s="40"/>
      <c r="C108" s="40"/>
      <c r="D108" s="40"/>
      <c r="E108" s="40"/>
      <c r="F108" s="40"/>
      <c r="G108" s="40"/>
      <c r="H108" s="40"/>
      <c r="I108" s="40"/>
      <c r="J108" s="40"/>
      <c r="K108" s="40"/>
      <c r="L108" s="40"/>
      <c r="M108" s="40"/>
      <c r="N108" s="40"/>
      <c r="O108" s="51">
        <f t="shared" ref="O108:Z108" si="488">SUM(O98:O107)</f>
        <v>1055</v>
      </c>
      <c r="P108" s="51">
        <f t="shared" si="488"/>
        <v>866</v>
      </c>
      <c r="Q108" s="51">
        <f t="shared" si="488"/>
        <v>385</v>
      </c>
      <c r="R108" s="51">
        <f t="shared" si="488"/>
        <v>-327</v>
      </c>
      <c r="S108" s="629">
        <f t="shared" si="488"/>
        <v>651</v>
      </c>
      <c r="T108" s="652">
        <f t="shared" si="488"/>
        <v>324</v>
      </c>
      <c r="U108" s="51">
        <f t="shared" si="488"/>
        <v>-256</v>
      </c>
      <c r="V108" s="629">
        <f t="shared" si="488"/>
        <v>704</v>
      </c>
      <c r="W108" s="652">
        <f t="shared" si="488"/>
        <v>448</v>
      </c>
      <c r="X108" s="51">
        <f t="shared" si="488"/>
        <v>-256</v>
      </c>
      <c r="Y108" s="629">
        <f t="shared" si="488"/>
        <v>704</v>
      </c>
      <c r="Z108" s="652">
        <f t="shared" si="488"/>
        <v>448</v>
      </c>
      <c r="AA108" s="51">
        <f>SUM(AA100,AA101,AA103:AA107)</f>
        <v>-26</v>
      </c>
      <c r="AB108" s="629">
        <f>SUM(AB100,AB101,AB103:AB107)</f>
        <v>783</v>
      </c>
      <c r="AC108" s="652">
        <f>AC100+AC101+AC102+AC105+AC107</f>
        <v>757</v>
      </c>
      <c r="AD108" s="51">
        <f t="shared" ref="AD108:BM108" si="489">SUM(AD100,AD101,AD103:AD107)</f>
        <v>-330</v>
      </c>
      <c r="AE108" s="629">
        <f t="shared" si="489"/>
        <v>1389</v>
      </c>
      <c r="AF108" s="652">
        <f t="shared" si="489"/>
        <v>1059</v>
      </c>
      <c r="AG108" s="51">
        <f t="shared" si="489"/>
        <v>-2861</v>
      </c>
      <c r="AH108" s="629">
        <f t="shared" si="489"/>
        <v>-1253</v>
      </c>
      <c r="AI108" s="652">
        <f t="shared" si="489"/>
        <v>-4114</v>
      </c>
      <c r="AJ108" s="51">
        <f t="shared" si="489"/>
        <v>-955</v>
      </c>
      <c r="AK108" s="629">
        <f t="shared" si="489"/>
        <v>-210</v>
      </c>
      <c r="AL108" s="652">
        <f t="shared" si="489"/>
        <v>-1165</v>
      </c>
      <c r="AM108" s="51">
        <f t="shared" si="489"/>
        <v>12</v>
      </c>
      <c r="AN108" s="629">
        <f t="shared" si="489"/>
        <v>685</v>
      </c>
      <c r="AO108" s="652">
        <f t="shared" si="489"/>
        <v>697</v>
      </c>
      <c r="AP108" s="51">
        <f t="shared" si="489"/>
        <v>431</v>
      </c>
      <c r="AQ108" s="629">
        <f t="shared" si="489"/>
        <v>1052</v>
      </c>
      <c r="AR108" s="652">
        <f t="shared" si="489"/>
        <v>1483</v>
      </c>
      <c r="AS108" s="51">
        <f t="shared" si="489"/>
        <v>1289</v>
      </c>
      <c r="AT108" s="629">
        <f t="shared" si="489"/>
        <v>1548</v>
      </c>
      <c r="AU108" s="652">
        <f t="shared" si="489"/>
        <v>2837</v>
      </c>
      <c r="AV108" s="51">
        <f t="shared" si="489"/>
        <v>1847</v>
      </c>
      <c r="AW108" s="629">
        <f t="shared" ref="AW108" si="490">SUM(AW100,AW101,AW103:AW107)</f>
        <v>2015</v>
      </c>
      <c r="AX108" s="652">
        <f t="shared" ref="AX108:AY108" si="491">SUM(AX100,AX101,AX103:AX107)</f>
        <v>3862</v>
      </c>
      <c r="AY108" s="51">
        <f t="shared" si="491"/>
        <v>2518</v>
      </c>
      <c r="AZ108" s="237">
        <f t="shared" si="489"/>
        <v>2657.8062850214774</v>
      </c>
      <c r="BA108" s="576">
        <f t="shared" si="489"/>
        <v>5175.8062850214765</v>
      </c>
      <c r="BB108" s="48">
        <f t="shared" si="489"/>
        <v>4751.1548111625025</v>
      </c>
      <c r="BC108" s="237">
        <f t="shared" si="489"/>
        <v>1364.935173561518</v>
      </c>
      <c r="BD108" s="576">
        <f t="shared" si="489"/>
        <v>6116.0899847240207</v>
      </c>
      <c r="BE108" s="48">
        <f t="shared" si="489"/>
        <v>3993.7706194571988</v>
      </c>
      <c r="BF108" s="237">
        <f t="shared" si="489"/>
        <v>3272.4239457973781</v>
      </c>
      <c r="BG108" s="576">
        <f t="shared" si="489"/>
        <v>7266.1945652545783</v>
      </c>
      <c r="BH108" s="48">
        <f t="shared" si="489"/>
        <v>4203.8323598624675</v>
      </c>
      <c r="BI108" s="237">
        <f t="shared" si="489"/>
        <v>3995.7702965702401</v>
      </c>
      <c r="BJ108" s="576">
        <f t="shared" si="489"/>
        <v>8199.6026564327076</v>
      </c>
      <c r="BK108" s="48">
        <f t="shared" si="489"/>
        <v>4711.9998096349118</v>
      </c>
      <c r="BL108" s="237">
        <f t="shared" si="489"/>
        <v>4692.3622630346608</v>
      </c>
      <c r="BM108" s="576">
        <f t="shared" si="489"/>
        <v>9404.3620726695754</v>
      </c>
    </row>
    <row r="109" spans="1:74">
      <c r="A109" s="25" t="s">
        <v>183</v>
      </c>
      <c r="B109" s="40"/>
      <c r="C109" s="40"/>
      <c r="D109" s="40"/>
      <c r="E109" s="40"/>
      <c r="F109" s="40"/>
      <c r="G109" s="40"/>
      <c r="H109" s="40"/>
      <c r="I109" s="40"/>
      <c r="J109" s="40"/>
      <c r="K109" s="40"/>
      <c r="L109" s="40"/>
      <c r="M109" s="40"/>
      <c r="N109" s="40"/>
      <c r="O109" s="40">
        <v>-36</v>
      </c>
      <c r="P109" s="40">
        <v>-154</v>
      </c>
      <c r="Q109" s="40">
        <v>-46</v>
      </c>
      <c r="R109" s="40">
        <v>-10</v>
      </c>
      <c r="S109" s="630">
        <f>T109-R109</f>
        <v>-57</v>
      </c>
      <c r="T109" s="653">
        <v>-67</v>
      </c>
      <c r="U109" s="40">
        <v>-12</v>
      </c>
      <c r="V109" s="630">
        <f>W109-U109</f>
        <v>3</v>
      </c>
      <c r="W109" s="653">
        <v>-9</v>
      </c>
      <c r="X109" s="40">
        <v>-12</v>
      </c>
      <c r="Y109" s="630">
        <f>Z109-X109</f>
        <v>3</v>
      </c>
      <c r="Z109" s="653">
        <v>-9</v>
      </c>
      <c r="AA109" s="40">
        <v>31</v>
      </c>
      <c r="AB109" s="630">
        <f>AC109-AA109</f>
        <v>28</v>
      </c>
      <c r="AC109" s="653">
        <v>59</v>
      </c>
      <c r="AD109" s="40">
        <v>1</v>
      </c>
      <c r="AE109" s="630">
        <f>AF109-AD109</f>
        <v>-10</v>
      </c>
      <c r="AF109" s="653">
        <v>-9</v>
      </c>
      <c r="AG109" s="40">
        <v>94</v>
      </c>
      <c r="AH109" s="630">
        <f>AI109-AG109</f>
        <v>66</v>
      </c>
      <c r="AI109" s="653">
        <v>160</v>
      </c>
      <c r="AJ109" s="40">
        <v>-94</v>
      </c>
      <c r="AK109" s="630">
        <f>AL109-AJ109</f>
        <v>2</v>
      </c>
      <c r="AL109" s="653">
        <v>-92</v>
      </c>
      <c r="AM109" s="40">
        <v>-1</v>
      </c>
      <c r="AN109" s="630">
        <f>AO109-AM109</f>
        <v>-31</v>
      </c>
      <c r="AO109" s="653">
        <v>-32</v>
      </c>
      <c r="AP109" s="40">
        <v>-16</v>
      </c>
      <c r="AQ109" s="630">
        <f>AR109-AP109</f>
        <v>-10</v>
      </c>
      <c r="AR109" s="653">
        <v>-26</v>
      </c>
      <c r="AS109" s="40">
        <v>-18</v>
      </c>
      <c r="AT109" s="630">
        <f>AU109-AS109</f>
        <v>-13</v>
      </c>
      <c r="AU109" s="653">
        <v>-31</v>
      </c>
      <c r="AV109" s="40">
        <v>-6</v>
      </c>
      <c r="AW109" s="630">
        <f>AX109-AV109</f>
        <v>-31</v>
      </c>
      <c r="AX109" s="653">
        <v>-37</v>
      </c>
      <c r="AY109" s="40">
        <v>-29</v>
      </c>
      <c r="AZ109" s="236">
        <f>BA109-AY109</f>
        <v>-13</v>
      </c>
      <c r="BA109" s="605">
        <f>BA24+IS!BA96</f>
        <v>-42</v>
      </c>
      <c r="BB109" s="56">
        <f>BB24+IS!BB96</f>
        <v>-21</v>
      </c>
      <c r="BC109" s="236">
        <f>BD109-BB109</f>
        <v>-21</v>
      </c>
      <c r="BD109" s="605">
        <f>BD24+IS!BD96</f>
        <v>-42</v>
      </c>
      <c r="BE109" s="56">
        <f>BE24+IS!BE96</f>
        <v>-21</v>
      </c>
      <c r="BF109" s="236">
        <f>BG109-BE109</f>
        <v>-21</v>
      </c>
      <c r="BG109" s="605">
        <f>BG24+IS!BG96</f>
        <v>-42</v>
      </c>
      <c r="BH109" s="56">
        <f>BH24+IS!BH96</f>
        <v>-21</v>
      </c>
      <c r="BI109" s="236">
        <f>BJ109-BH109</f>
        <v>-21</v>
      </c>
      <c r="BJ109" s="605">
        <f>BJ24+IS!BJ96</f>
        <v>-42</v>
      </c>
      <c r="BK109" s="56">
        <f>BK24+IS!BK96</f>
        <v>-21</v>
      </c>
      <c r="BL109" s="236">
        <f>BM109-BK109</f>
        <v>-21</v>
      </c>
      <c r="BM109" s="605">
        <f>BM24+IS!BM96</f>
        <v>-42</v>
      </c>
    </row>
    <row r="110" spans="1:74">
      <c r="A110" s="25" t="s">
        <v>187</v>
      </c>
      <c r="B110" s="40"/>
      <c r="C110" s="40"/>
      <c r="D110" s="40"/>
      <c r="E110" s="40"/>
      <c r="F110" s="40"/>
      <c r="G110" s="40"/>
      <c r="H110" s="40"/>
      <c r="I110" s="40"/>
      <c r="J110" s="40"/>
      <c r="K110" s="40"/>
      <c r="L110" s="40"/>
      <c r="M110" s="40"/>
      <c r="N110" s="40"/>
      <c r="O110" s="40">
        <f>O30</f>
        <v>-238</v>
      </c>
      <c r="P110" s="40">
        <v>-265</v>
      </c>
      <c r="Q110" s="40">
        <f>Q30</f>
        <v>-160</v>
      </c>
      <c r="R110" s="40">
        <v>-62</v>
      </c>
      <c r="S110" s="630">
        <f>T110-R110</f>
        <v>-95</v>
      </c>
      <c r="T110" s="653">
        <f>T30</f>
        <v>-157</v>
      </c>
      <c r="U110" s="40">
        <v>-71</v>
      </c>
      <c r="V110" s="630">
        <f>W110-U110</f>
        <v>-109</v>
      </c>
      <c r="W110" s="653">
        <f>W30</f>
        <v>-180</v>
      </c>
      <c r="X110" s="40">
        <v>-71</v>
      </c>
      <c r="Y110" s="630">
        <f>Z110-X110</f>
        <v>-109</v>
      </c>
      <c r="Z110" s="653">
        <f>Z30</f>
        <v>-180</v>
      </c>
      <c r="AA110" s="40">
        <v>-77</v>
      </c>
      <c r="AB110" s="630">
        <f>AC110-AA110</f>
        <v>-171</v>
      </c>
      <c r="AC110" s="653">
        <f>AC30</f>
        <v>-248</v>
      </c>
      <c r="AD110" s="40">
        <v>-100</v>
      </c>
      <c r="AE110" s="630">
        <f>AF110-AD110</f>
        <v>-75</v>
      </c>
      <c r="AF110" s="653">
        <f>AF30</f>
        <v>-175</v>
      </c>
      <c r="AG110" s="40">
        <v>-34</v>
      </c>
      <c r="AH110" s="630">
        <f>AI110-AG110</f>
        <v>-197</v>
      </c>
      <c r="AI110" s="653">
        <v>-231</v>
      </c>
      <c r="AJ110" s="40">
        <v>-102</v>
      </c>
      <c r="AK110" s="630">
        <f>AL110-AJ110</f>
        <v>-83</v>
      </c>
      <c r="AL110" s="653">
        <v>-185</v>
      </c>
      <c r="AM110" s="40">
        <v>-88</v>
      </c>
      <c r="AN110" s="630">
        <f>AO110-AM110</f>
        <v>-86</v>
      </c>
      <c r="AO110" s="653">
        <v>-174</v>
      </c>
      <c r="AP110" s="40">
        <v>-59</v>
      </c>
      <c r="AQ110" s="630">
        <f>AR110-AP110</f>
        <v>-113</v>
      </c>
      <c r="AR110" s="653">
        <v>-172</v>
      </c>
      <c r="AS110" s="40">
        <v>-113</v>
      </c>
      <c r="AT110" s="630">
        <f>AU110-AS110</f>
        <v>-268</v>
      </c>
      <c r="AU110" s="653">
        <v>-381</v>
      </c>
      <c r="AV110" s="40">
        <v>-259</v>
      </c>
      <c r="AW110" s="630">
        <f>AX110-AV110</f>
        <v>-296</v>
      </c>
      <c r="AX110" s="653">
        <v>-555</v>
      </c>
      <c r="AY110" s="40">
        <v>-525</v>
      </c>
      <c r="AZ110" s="236">
        <f>BA110-AY110</f>
        <v>-384.57980332786656</v>
      </c>
      <c r="BA110" s="605">
        <f>BA30</f>
        <v>-909.57980332786656</v>
      </c>
      <c r="BB110" s="56">
        <f>BB30</f>
        <v>-511.87872401862785</v>
      </c>
      <c r="BC110" s="236">
        <f>BD110-BB110</f>
        <v>-535.65307551082435</v>
      </c>
      <c r="BD110" s="605">
        <f>BD30</f>
        <v>-1047.5317995294522</v>
      </c>
      <c r="BE110" s="56">
        <f>BE30</f>
        <v>-590.91428586528434</v>
      </c>
      <c r="BF110" s="236">
        <f>BG110-BE110</f>
        <v>-631.73422800528635</v>
      </c>
      <c r="BG110" s="605">
        <f>BG30</f>
        <v>-1222.6485138705707</v>
      </c>
      <c r="BH110" s="56">
        <f>BH30</f>
        <v>-700.08841354342781</v>
      </c>
      <c r="BI110" s="236">
        <f>BJ110-BH110</f>
        <v>-749.95360373252629</v>
      </c>
      <c r="BJ110" s="605">
        <f>BJ30</f>
        <v>-1450.0420172759541</v>
      </c>
      <c r="BK110" s="56">
        <f>BK30</f>
        <v>-837.20185344920321</v>
      </c>
      <c r="BL110" s="236">
        <f>BM110-BK110</f>
        <v>-896.06452508076075</v>
      </c>
      <c r="BM110" s="605">
        <f>BM30</f>
        <v>-1733.266378529964</v>
      </c>
    </row>
    <row r="111" spans="1:74" ht="10.8" thickBot="1">
      <c r="A111" s="37" t="s">
        <v>710</v>
      </c>
      <c r="B111" s="84">
        <f t="shared" ref="B111:K111" si="492">B94</f>
        <v>125</v>
      </c>
      <c r="C111" s="84">
        <f t="shared" si="492"/>
        <v>152</v>
      </c>
      <c r="D111" s="84">
        <f t="shared" si="492"/>
        <v>111</v>
      </c>
      <c r="E111" s="84">
        <f t="shared" si="492"/>
        <v>379</v>
      </c>
      <c r="F111" s="84">
        <f t="shared" si="492"/>
        <v>305</v>
      </c>
      <c r="G111" s="84">
        <f t="shared" si="492"/>
        <v>721</v>
      </c>
      <c r="H111" s="84">
        <f t="shared" si="492"/>
        <v>592</v>
      </c>
      <c r="I111" s="84">
        <f t="shared" si="492"/>
        <v>70</v>
      </c>
      <c r="J111" s="84">
        <f t="shared" si="492"/>
        <v>379</v>
      </c>
      <c r="K111" s="84">
        <f t="shared" si="492"/>
        <v>214</v>
      </c>
      <c r="L111" s="84">
        <v>714</v>
      </c>
      <c r="M111" s="84">
        <v>581</v>
      </c>
      <c r="N111" s="84">
        <v>548</v>
      </c>
      <c r="O111" s="84">
        <f t="shared" ref="O111:BM111" si="493">O108+O109+O110</f>
        <v>781</v>
      </c>
      <c r="P111" s="84">
        <f t="shared" si="493"/>
        <v>447</v>
      </c>
      <c r="Q111" s="84">
        <f t="shared" si="493"/>
        <v>179</v>
      </c>
      <c r="R111" s="84">
        <f t="shared" si="493"/>
        <v>-399</v>
      </c>
      <c r="S111" s="632">
        <f t="shared" si="493"/>
        <v>499</v>
      </c>
      <c r="T111" s="655">
        <f t="shared" si="493"/>
        <v>100</v>
      </c>
      <c r="U111" s="84">
        <f t="shared" ref="U111:V111" si="494">U108+U109+U110</f>
        <v>-339</v>
      </c>
      <c r="V111" s="632">
        <f t="shared" si="494"/>
        <v>598</v>
      </c>
      <c r="W111" s="655">
        <f t="shared" si="493"/>
        <v>259</v>
      </c>
      <c r="X111" s="84">
        <f t="shared" si="493"/>
        <v>-339</v>
      </c>
      <c r="Y111" s="632">
        <f t="shared" si="493"/>
        <v>598</v>
      </c>
      <c r="Z111" s="655">
        <f t="shared" si="493"/>
        <v>259</v>
      </c>
      <c r="AA111" s="84">
        <f t="shared" ref="AA111:AB111" si="495">AA108+AA109+AA110</f>
        <v>-72</v>
      </c>
      <c r="AB111" s="632">
        <f t="shared" si="495"/>
        <v>640</v>
      </c>
      <c r="AC111" s="655">
        <f t="shared" si="493"/>
        <v>568</v>
      </c>
      <c r="AD111" s="84">
        <f t="shared" si="493"/>
        <v>-429</v>
      </c>
      <c r="AE111" s="632">
        <f t="shared" si="493"/>
        <v>1304</v>
      </c>
      <c r="AF111" s="655">
        <f>AF108+AF109+AF110</f>
        <v>875</v>
      </c>
      <c r="AG111" s="84">
        <f t="shared" ref="AG111:AH111" si="496">AG108+AG109+AG110</f>
        <v>-2801</v>
      </c>
      <c r="AH111" s="632">
        <f t="shared" si="496"/>
        <v>-1384</v>
      </c>
      <c r="AI111" s="655">
        <f t="shared" si="493"/>
        <v>-4185</v>
      </c>
      <c r="AJ111" s="84">
        <f t="shared" si="493"/>
        <v>-1151</v>
      </c>
      <c r="AK111" s="632">
        <f t="shared" si="493"/>
        <v>-291</v>
      </c>
      <c r="AL111" s="655">
        <f>AL108+AL109+AL110</f>
        <v>-1442</v>
      </c>
      <c r="AM111" s="84">
        <f t="shared" ref="AM111:AZ111" si="497">AM108+AM109+AM110</f>
        <v>-77</v>
      </c>
      <c r="AN111" s="632">
        <f t="shared" ref="AN111" si="498">AN108+AN109+AN110</f>
        <v>568</v>
      </c>
      <c r="AO111" s="655">
        <f t="shared" si="497"/>
        <v>491</v>
      </c>
      <c r="AP111" s="84">
        <f t="shared" si="497"/>
        <v>356</v>
      </c>
      <c r="AQ111" s="632">
        <f t="shared" si="497"/>
        <v>929</v>
      </c>
      <c r="AR111" s="655">
        <f t="shared" ref="AR111:AT111" si="499">AR108+AR109+AR110</f>
        <v>1285</v>
      </c>
      <c r="AS111" s="84">
        <f t="shared" si="499"/>
        <v>1158</v>
      </c>
      <c r="AT111" s="632">
        <f t="shared" si="499"/>
        <v>1267</v>
      </c>
      <c r="AU111" s="655">
        <f t="shared" ref="AU111:AW111" si="500">AU108+AU109+AU110</f>
        <v>2425</v>
      </c>
      <c r="AV111" s="84">
        <f t="shared" si="500"/>
        <v>1582</v>
      </c>
      <c r="AW111" s="632">
        <f t="shared" si="500"/>
        <v>1688</v>
      </c>
      <c r="AX111" s="655">
        <f t="shared" si="497"/>
        <v>3270</v>
      </c>
      <c r="AY111" s="84">
        <f t="shared" si="497"/>
        <v>1964</v>
      </c>
      <c r="AZ111" s="244">
        <f t="shared" si="497"/>
        <v>2260.2264816936108</v>
      </c>
      <c r="BA111" s="581">
        <f t="shared" si="493"/>
        <v>4224.2264816936095</v>
      </c>
      <c r="BB111" s="181">
        <f>BB108+BB109+BB110</f>
        <v>4218.276087143875</v>
      </c>
      <c r="BC111" s="244">
        <f>BC108+BC109+BC110</f>
        <v>808.28209805069366</v>
      </c>
      <c r="BD111" s="581">
        <f t="shared" si="493"/>
        <v>5026.5581851945681</v>
      </c>
      <c r="BE111" s="181">
        <f>BE108+BE109+BE110</f>
        <v>3381.8563335919143</v>
      </c>
      <c r="BF111" s="244">
        <f>BF108+BF109+BF110</f>
        <v>2619.6897177920919</v>
      </c>
      <c r="BG111" s="581">
        <f t="shared" si="493"/>
        <v>6001.546051384008</v>
      </c>
      <c r="BH111" s="181">
        <f>BH108+BH109+BH110</f>
        <v>3482.7439463190394</v>
      </c>
      <c r="BI111" s="244">
        <f>BI108+BI109+BI110</f>
        <v>3224.8166928377141</v>
      </c>
      <c r="BJ111" s="581">
        <f t="shared" si="493"/>
        <v>6707.5606391567535</v>
      </c>
      <c r="BK111" s="181">
        <f>BK108+BK109+BK110</f>
        <v>3853.7979561857087</v>
      </c>
      <c r="BL111" s="244">
        <f>BL108+BL109+BL110</f>
        <v>3775.2977379539002</v>
      </c>
      <c r="BM111" s="581">
        <f t="shared" si="493"/>
        <v>7629.0956941396116</v>
      </c>
      <c r="BO111" s="48"/>
      <c r="BV111" s="114"/>
    </row>
    <row r="112" spans="1:74">
      <c r="A112" s="66" t="s">
        <v>714</v>
      </c>
      <c r="B112" s="51"/>
      <c r="C112" s="51"/>
      <c r="D112" s="51"/>
      <c r="E112" s="51"/>
      <c r="F112" s="51"/>
      <c r="G112" s="51"/>
      <c r="H112" s="51"/>
      <c r="I112" s="51"/>
      <c r="J112" s="51"/>
      <c r="K112" s="51"/>
      <c r="L112" s="51"/>
      <c r="M112" s="51"/>
      <c r="N112" s="51"/>
      <c r="O112" s="51"/>
      <c r="P112" s="51"/>
      <c r="Q112" s="51"/>
      <c r="R112" s="51"/>
      <c r="S112" s="629"/>
      <c r="T112" s="652"/>
      <c r="U112" s="40"/>
      <c r="V112" s="630"/>
      <c r="W112" s="652"/>
      <c r="X112" s="40">
        <f>X111-X113</f>
        <v>-75</v>
      </c>
      <c r="Y112" s="630">
        <f>Z112-X112</f>
        <v>393</v>
      </c>
      <c r="Z112" s="653">
        <v>318</v>
      </c>
      <c r="AA112" s="40">
        <f>AA111-AA113</f>
        <v>-82</v>
      </c>
      <c r="AB112" s="630">
        <f>AC112-AA112</f>
        <v>2</v>
      </c>
      <c r="AC112" s="653">
        <f>AC111-AC113</f>
        <v>-80</v>
      </c>
      <c r="AD112" s="40">
        <f>AD111-AD113</f>
        <v>-38</v>
      </c>
      <c r="AE112" s="630">
        <f>AF112-AD112</f>
        <v>2</v>
      </c>
      <c r="AF112" s="653">
        <f>AF111-AF113</f>
        <v>-36</v>
      </c>
      <c r="AG112" s="40">
        <f>AG111-AG113</f>
        <v>61</v>
      </c>
      <c r="AH112" s="630">
        <f>AI112-AG112</f>
        <v>9</v>
      </c>
      <c r="AI112" s="653">
        <f>AI111-AI113</f>
        <v>70</v>
      </c>
      <c r="AJ112" s="40">
        <f>AJ111-AJ113</f>
        <v>23</v>
      </c>
      <c r="AK112" s="630">
        <f>AL112-AJ112</f>
        <v>20</v>
      </c>
      <c r="AL112" s="653">
        <f>AL111-AL113</f>
        <v>43</v>
      </c>
      <c r="AM112" s="40">
        <f>AM111-AM113</f>
        <v>-9</v>
      </c>
      <c r="AN112" s="630">
        <f>AO112-AM112</f>
        <v>-5</v>
      </c>
      <c r="AO112" s="653">
        <f>AO111-AO113</f>
        <v>-14</v>
      </c>
      <c r="AP112" s="40">
        <f>AP111-AP113</f>
        <v>0</v>
      </c>
      <c r="AQ112" s="630">
        <f>AR112-AP112</f>
        <v>0</v>
      </c>
      <c r="AR112" s="653">
        <f>AR111-AR113</f>
        <v>0</v>
      </c>
      <c r="AS112" s="40">
        <f>AS111-AS113</f>
        <v>0</v>
      </c>
      <c r="AT112" s="630">
        <f>AU112-AS112</f>
        <v>0</v>
      </c>
      <c r="AU112" s="653">
        <f>AU111-AU113</f>
        <v>0</v>
      </c>
      <c r="AV112" s="40">
        <f>AV111-AV113</f>
        <v>0</v>
      </c>
      <c r="AW112" s="630">
        <f>AX112-AV112</f>
        <v>0</v>
      </c>
      <c r="AX112" s="653">
        <f>AX111-AX113</f>
        <v>0</v>
      </c>
      <c r="AY112" s="40">
        <f>AY111-AY113</f>
        <v>0</v>
      </c>
      <c r="AZ112" s="214"/>
      <c r="BA112" s="609"/>
      <c r="BB112" s="54"/>
      <c r="BC112" s="214"/>
      <c r="BD112" s="560"/>
      <c r="BE112" s="54"/>
      <c r="BF112" s="214"/>
      <c r="BG112" s="560"/>
      <c r="BH112" s="54"/>
      <c r="BI112" s="214"/>
      <c r="BJ112" s="560"/>
      <c r="BK112" s="54"/>
      <c r="BL112" s="214"/>
      <c r="BM112" s="560"/>
    </row>
    <row r="113" spans="1:65">
      <c r="A113" s="66" t="s">
        <v>715</v>
      </c>
      <c r="B113" s="51"/>
      <c r="C113" s="51"/>
      <c r="D113" s="51"/>
      <c r="E113" s="51"/>
      <c r="F113" s="51"/>
      <c r="G113" s="51"/>
      <c r="H113" s="51"/>
      <c r="I113" s="51"/>
      <c r="J113" s="51"/>
      <c r="K113" s="51"/>
      <c r="L113" s="51"/>
      <c r="M113" s="51"/>
      <c r="N113" s="51"/>
      <c r="O113" s="51"/>
      <c r="P113" s="51"/>
      <c r="Q113" s="51"/>
      <c r="R113" s="51"/>
      <c r="S113" s="629"/>
      <c r="T113" s="652"/>
      <c r="U113" s="40"/>
      <c r="V113" s="630"/>
      <c r="W113" s="652"/>
      <c r="X113" s="40">
        <v>-264</v>
      </c>
      <c r="Y113" s="630">
        <f>Z113-X113</f>
        <v>205</v>
      </c>
      <c r="Z113" s="653">
        <f>Z111-Z112</f>
        <v>-59</v>
      </c>
      <c r="AA113" s="40">
        <v>10</v>
      </c>
      <c r="AB113" s="630">
        <f>AC113-AA113</f>
        <v>638</v>
      </c>
      <c r="AC113" s="653">
        <v>648</v>
      </c>
      <c r="AD113" s="40">
        <v>-391</v>
      </c>
      <c r="AE113" s="630">
        <f>AF113-AD113</f>
        <v>1302</v>
      </c>
      <c r="AF113" s="653">
        <f>911</f>
        <v>911</v>
      </c>
      <c r="AG113" s="40">
        <v>-2862</v>
      </c>
      <c r="AH113" s="630">
        <f>AI113-AG113</f>
        <v>-1393</v>
      </c>
      <c r="AI113" s="653">
        <v>-4255</v>
      </c>
      <c r="AJ113" s="40">
        <v>-1174</v>
      </c>
      <c r="AK113" s="630">
        <f>AL113-AJ113</f>
        <v>-311</v>
      </c>
      <c r="AL113" s="653">
        <v>-1485</v>
      </c>
      <c r="AM113" s="40">
        <v>-68</v>
      </c>
      <c r="AN113" s="630">
        <f>AO113-AM113</f>
        <v>573</v>
      </c>
      <c r="AO113" s="653">
        <v>505</v>
      </c>
      <c r="AP113" s="40">
        <v>356</v>
      </c>
      <c r="AQ113" s="630">
        <f>AR113-AP113</f>
        <v>929</v>
      </c>
      <c r="AR113" s="653">
        <v>1285</v>
      </c>
      <c r="AS113" s="40">
        <v>1158</v>
      </c>
      <c r="AT113" s="630">
        <f>AU113-AS113</f>
        <v>1267</v>
      </c>
      <c r="AU113" s="653">
        <v>2425</v>
      </c>
      <c r="AV113" s="40">
        <v>1582</v>
      </c>
      <c r="AW113" s="630">
        <f>AX113-AV113</f>
        <v>1688</v>
      </c>
      <c r="AX113" s="653">
        <v>3270</v>
      </c>
      <c r="AY113" s="40">
        <v>1964</v>
      </c>
      <c r="AZ113" s="546"/>
      <c r="BA113" s="578"/>
      <c r="BB113" s="2"/>
      <c r="BC113" s="546"/>
      <c r="BD113" s="578"/>
      <c r="BE113" s="2"/>
      <c r="BF113" s="546"/>
      <c r="BG113" s="578"/>
      <c r="BH113" s="2"/>
      <c r="BI113" s="546"/>
      <c r="BJ113" s="578"/>
      <c r="BK113" s="2"/>
      <c r="BL113" s="546"/>
      <c r="BM113" s="578"/>
    </row>
    <row r="114" spans="1:65">
      <c r="A114" s="31"/>
      <c r="B114" s="51"/>
      <c r="C114" s="51"/>
      <c r="D114" s="51"/>
      <c r="E114" s="51"/>
      <c r="F114" s="51"/>
      <c r="G114" s="51"/>
      <c r="H114" s="51"/>
      <c r="I114" s="51"/>
      <c r="J114" s="51"/>
      <c r="K114" s="51"/>
      <c r="L114" s="51"/>
      <c r="M114" s="51"/>
      <c r="N114" s="51"/>
      <c r="O114" s="51"/>
      <c r="P114" s="51"/>
      <c r="Q114" s="51"/>
      <c r="R114" s="51"/>
      <c r="S114" s="629"/>
      <c r="T114" s="652"/>
      <c r="U114" s="51"/>
      <c r="V114" s="629"/>
      <c r="W114" s="652"/>
      <c r="X114" s="51"/>
      <c r="Y114" s="629"/>
      <c r="Z114" s="652"/>
      <c r="AA114" s="51"/>
      <c r="AB114" s="629"/>
      <c r="AC114" s="652"/>
      <c r="AD114" s="51"/>
      <c r="AE114" s="629"/>
      <c r="AF114" s="652"/>
      <c r="AG114" s="51"/>
      <c r="AH114" s="629"/>
      <c r="AI114" s="652"/>
      <c r="AJ114" s="51"/>
      <c r="AK114" s="629"/>
      <c r="AL114" s="652"/>
      <c r="AM114" s="51"/>
      <c r="AN114" s="629"/>
      <c r="AO114" s="652"/>
      <c r="AP114" s="51"/>
      <c r="AQ114" s="541"/>
      <c r="AR114" s="578"/>
      <c r="AS114" s="2"/>
      <c r="AT114" s="541"/>
      <c r="AU114" s="578"/>
      <c r="AV114" s="2"/>
      <c r="AW114" s="541"/>
      <c r="AX114" s="578"/>
      <c r="AY114" s="2"/>
      <c r="AZ114" s="541"/>
      <c r="BA114" s="578"/>
      <c r="BB114" s="2"/>
      <c r="BC114" s="541"/>
      <c r="BD114" s="578"/>
      <c r="BE114" s="2"/>
      <c r="BF114" s="541"/>
      <c r="BG114" s="578"/>
      <c r="BH114" s="2"/>
      <c r="BI114" s="541"/>
      <c r="BJ114" s="578"/>
      <c r="BK114" s="2"/>
      <c r="BL114" s="541"/>
      <c r="BM114" s="578"/>
    </row>
    <row r="115" spans="1:65">
      <c r="A115" s="31" t="s">
        <v>184</v>
      </c>
      <c r="B115" s="132">
        <f>B111/IS!B5</f>
        <v>2.1316507503410641E-2</v>
      </c>
      <c r="C115" s="132">
        <f>C111/IS!C5</f>
        <v>2.402022756005057E-2</v>
      </c>
      <c r="D115" s="132">
        <f>D111/IS!D5</f>
        <v>1.9177608845888046E-2</v>
      </c>
      <c r="E115" s="132">
        <f>E111/IS!E5</f>
        <v>6.7139061116031892E-2</v>
      </c>
      <c r="F115" s="132">
        <f>F111/IS!F5</f>
        <v>5.128636287203632E-2</v>
      </c>
      <c r="G115" s="132">
        <f>G111/IS!G5</f>
        <v>0.11164447197274698</v>
      </c>
      <c r="H115" s="132">
        <f>H111/IS!H5</f>
        <v>8.0511355909152732E-2</v>
      </c>
      <c r="I115" s="132">
        <f>I111/IS!I5</f>
        <v>8.9548420110016624E-3</v>
      </c>
      <c r="J115" s="132">
        <f>J111/IS!J5</f>
        <v>4.1434350060129001E-2</v>
      </c>
      <c r="K115" s="132">
        <f>K111/IS!K5</f>
        <v>2.1171349426197073E-2</v>
      </c>
      <c r="L115" s="132">
        <f>L111/IS!L5</f>
        <v>6.5709552733296525E-2</v>
      </c>
      <c r="M115" s="132">
        <f>M111/IS!M5</f>
        <v>5.1520794537554315E-2</v>
      </c>
      <c r="N115" s="132">
        <f>N111/IS!N5</f>
        <v>4.4884920959947582E-2</v>
      </c>
      <c r="O115" s="132">
        <f>O111/IS!O5</f>
        <v>5.0370848113511772E-2</v>
      </c>
      <c r="P115" s="132">
        <f>P111/IS!P5</f>
        <v>3.2241777264858627E-2</v>
      </c>
      <c r="Q115" s="132">
        <f>Q111/IS!Q5</f>
        <v>1.3404223453646847E-2</v>
      </c>
      <c r="R115" s="345">
        <f>R111/IS!R5</f>
        <v>-6.4951977860979976E-2</v>
      </c>
      <c r="S115" s="646">
        <f>S111/IS!S5</f>
        <v>6.5314136125654454E-2</v>
      </c>
      <c r="T115" s="670">
        <f>T111/IS!T5</f>
        <v>7.2553145178843505E-3</v>
      </c>
      <c r="U115" s="345">
        <f>U111/IS!U5</f>
        <v>-4.93809176984705E-2</v>
      </c>
      <c r="V115" s="646">
        <f>V111/IS!V5</f>
        <v>7.2705167173252275E-2</v>
      </c>
      <c r="W115" s="670">
        <f>W111/IS!W5</f>
        <v>1.7163684559310801E-2</v>
      </c>
      <c r="X115" s="345">
        <f>X111/IS!X5</f>
        <v>-5.6116536997185898E-2</v>
      </c>
      <c r="Y115" s="646">
        <f>Y111/IS!Y5</f>
        <v>7.8374836173001311E-2</v>
      </c>
      <c r="Z115" s="670">
        <f>Z111/IS!Z5</f>
        <v>1.8945212493599591E-2</v>
      </c>
      <c r="AA115" s="345">
        <f>AA111/IS!AA5</f>
        <v>-1.0227272727272727E-2</v>
      </c>
      <c r="AB115" s="646">
        <f>AB111/IS!AB5</f>
        <v>7.9730908184876048E-2</v>
      </c>
      <c r="AC115" s="670">
        <f>AC111/IS!AC5</f>
        <v>3.7698281011482045E-2</v>
      </c>
      <c r="AD115" s="345">
        <f>AD111/IS!AD5</f>
        <v>-5.8343533251733984E-2</v>
      </c>
      <c r="AE115" s="646">
        <f>AE111/IS!AE5</f>
        <v>0.16104730146968013</v>
      </c>
      <c r="AF115" s="670">
        <f>AF111/IS!AF5</f>
        <v>5.6634304207119741E-2</v>
      </c>
      <c r="AG115" s="345">
        <f>AG111/IS!AG5</f>
        <v>-0.50368638734040638</v>
      </c>
      <c r="AH115" s="646">
        <f>AH111/IS!AH5</f>
        <v>-0.23581530073266316</v>
      </c>
      <c r="AI115" s="670">
        <f>AI111/IS!AI5</f>
        <v>-0.36614173228346458</v>
      </c>
      <c r="AJ115" s="345">
        <f>AJ111/IS!AJ5</f>
        <v>-0.22020279318920988</v>
      </c>
      <c r="AK115" s="646">
        <f>AK111/IS!AK5</f>
        <v>-5.0874125874125875E-2</v>
      </c>
      <c r="AL115" s="670">
        <f>AL111/IS!AL5</f>
        <v>-0.13172558691879055</v>
      </c>
      <c r="AM115" s="345">
        <f>AM111/IS!AM5</f>
        <v>-1.4506405425772419E-2</v>
      </c>
      <c r="AN115" s="646">
        <f>AN111/IS!AN5</f>
        <v>7.693349586888798E-2</v>
      </c>
      <c r="AO115" s="670">
        <f>AO111/IS!AO5</f>
        <v>3.8688834607201954E-2</v>
      </c>
      <c r="AP115" s="345">
        <f>AP111/IS!AP5</f>
        <v>5.1223021582733813E-2</v>
      </c>
      <c r="AQ115" s="646">
        <f>AQ111/IS!AQ5</f>
        <v>0.10982385624778343</v>
      </c>
      <c r="AR115" s="670">
        <f>AR111/IS!AR5</f>
        <v>8.3392822376533199E-2</v>
      </c>
      <c r="AS115" s="345">
        <f>AS111/IS!AS5</f>
        <v>0.14153018821803959</v>
      </c>
      <c r="AT115" s="646">
        <f>AT111/IS!AT5</f>
        <v>0.13107800537968137</v>
      </c>
      <c r="AU115" s="670">
        <f>AU111/IS!AU5</f>
        <v>0.1358695652173913</v>
      </c>
      <c r="AV115" s="345">
        <f>AV111/IS!AV5</f>
        <v>0.17467152478745721</v>
      </c>
      <c r="AW115" s="646">
        <f>AW111/IS!AW5</f>
        <v>0.15342664970005454</v>
      </c>
      <c r="AX115" s="670">
        <f>AX111/IS!AX5</f>
        <v>0.16301909367366268</v>
      </c>
      <c r="AY115" s="345">
        <f>AY111/IS!AY5</f>
        <v>0.17412891213760084</v>
      </c>
      <c r="AZ115" s="482">
        <f>AZ111/IS!AZ5</f>
        <v>0.18323688318739514</v>
      </c>
      <c r="BA115" s="582">
        <f>BA111/IS!BA5</f>
        <v>0.17888654793344821</v>
      </c>
      <c r="BB115" s="205">
        <f>BB111/IS!BB5</f>
        <v>0.32663861007207567</v>
      </c>
      <c r="BC115" s="482">
        <f>BC111/IS!BC5</f>
        <v>5.8725512463734295E-2</v>
      </c>
      <c r="BD115" s="582">
        <f>BD111/IS!BD5</f>
        <v>0.18841635497066769</v>
      </c>
      <c r="BE115" s="205">
        <f>BE111/IS!BE5</f>
        <v>0.23881562554068311</v>
      </c>
      <c r="BF115" s="482">
        <f>BF111/IS!BF5</f>
        <v>0.17038252088131062</v>
      </c>
      <c r="BG115" s="582">
        <f>BG111/IS!BG5</f>
        <v>0.20319225092932272</v>
      </c>
      <c r="BH115" s="205">
        <f>BH111/IS!BH5</f>
        <v>0.21945342435136378</v>
      </c>
      <c r="BI115" s="482">
        <f>BI111/IS!BI5</f>
        <v>0.18720079108417342</v>
      </c>
      <c r="BJ115" s="582">
        <f>BJ111/IS!BJ5</f>
        <v>0.2026661873504006</v>
      </c>
      <c r="BK115" s="205">
        <f>BK111/IS!BK5</f>
        <v>0.21660064955672109</v>
      </c>
      <c r="BL115" s="482">
        <f>BL111/IS!BL5</f>
        <v>0.19584156037204492</v>
      </c>
      <c r="BM115" s="582">
        <f>BM111/IS!BM5</f>
        <v>0.20580526635199214</v>
      </c>
    </row>
    <row r="116" spans="1:65">
      <c r="A116" s="31" t="s">
        <v>185</v>
      </c>
      <c r="B116" s="132">
        <f>B111/IS!B43</f>
        <v>0.41390728476821192</v>
      </c>
      <c r="C116" s="132">
        <f>C111/IS!C43</f>
        <v>0.4735202492211838</v>
      </c>
      <c r="D116" s="132">
        <f>D111/IS!D43</f>
        <v>0.62011173184357538</v>
      </c>
      <c r="E116" s="132">
        <f>E111/IS!E43</f>
        <v>1.8855721393034826</v>
      </c>
      <c r="F116" s="132">
        <f>F111/IS!F43</f>
        <v>1.1596958174904943</v>
      </c>
      <c r="G116" s="132">
        <f>G111/IS!G43</f>
        <v>1.692488262910798</v>
      </c>
      <c r="H116" s="132">
        <f>H111/IS!H43</f>
        <v>1.140655105973025</v>
      </c>
      <c r="I116" s="132">
        <f>I111/IS!I43</f>
        <v>0.10638297872340426</v>
      </c>
      <c r="J116" s="132">
        <f>J111/IS!J43</f>
        <v>0.56736526946107779</v>
      </c>
      <c r="K116" s="132">
        <f>K111/IS!K43</f>
        <v>0.29234972677595628</v>
      </c>
      <c r="L116" s="132">
        <f>L111/IS!L43</f>
        <v>0.99860139860139863</v>
      </c>
      <c r="M116" s="132">
        <f>M111/IS!M43</f>
        <v>0.64699331848552344</v>
      </c>
      <c r="N116" s="132">
        <f>N111/IS!N43</f>
        <v>0.49682683590208521</v>
      </c>
      <c r="O116" s="132">
        <f>O111/IS!O43</f>
        <v>0.63807189542483655</v>
      </c>
      <c r="P116" s="132">
        <f>P111/IS!P43</f>
        <v>0.36460032626427408</v>
      </c>
      <c r="Q116" s="132">
        <f>Q111/IS!Q43</f>
        <v>0.16574074074074074</v>
      </c>
      <c r="R116" s="345">
        <f>R111/IS!R42</f>
        <v>0.22516930022573364</v>
      </c>
      <c r="S116" s="646">
        <f>S111/IS!S42</f>
        <v>-0.22079646017699114</v>
      </c>
      <c r="T116" s="670">
        <f>T111/IS!T43</f>
        <v>0.18115942028985507</v>
      </c>
      <c r="U116" s="345">
        <f>U111/IS!U42</f>
        <v>-0.2144212523719165</v>
      </c>
      <c r="V116" s="646">
        <f>V111/IS!V42</f>
        <v>0.22772277227722773</v>
      </c>
      <c r="W116" s="670">
        <f>W111/IS!W43</f>
        <v>0.34905660377358488</v>
      </c>
      <c r="X116" s="345">
        <f>X111/IS!X42</f>
        <v>-0.28924914675767915</v>
      </c>
      <c r="Y116" s="646">
        <f>Y111/IS!Y42</f>
        <v>0.27058823529411763</v>
      </c>
      <c r="Z116" s="670">
        <f>Z111/IS!Z43</f>
        <v>6.0232558139534884</v>
      </c>
      <c r="AA116" s="345">
        <f>AA111/IS!AA42</f>
        <v>7.4844074844074848E-2</v>
      </c>
      <c r="AB116" s="646">
        <f>AB111/IS!AB42</f>
        <v>-0.44475330090340515</v>
      </c>
      <c r="AC116" s="670">
        <f>AC111/IS!AC42</f>
        <v>-0.23656809662640566</v>
      </c>
      <c r="AD116" s="345">
        <f>AD111/IS!AD42</f>
        <v>0.47194719471947194</v>
      </c>
      <c r="AE116" s="646">
        <f>AE111/IS!AE42</f>
        <v>-3.2118226600985222</v>
      </c>
      <c r="AF116" s="670">
        <f>AF111/IS!AF42</f>
        <v>-0.66539923954372626</v>
      </c>
      <c r="AG116" s="345">
        <f>AG111/IS!AG42</f>
        <v>0.52063197026022301</v>
      </c>
      <c r="AH116" s="646">
        <f>AH111/IS!AH42</f>
        <v>-0.62624434389140271</v>
      </c>
      <c r="AI116" s="670">
        <f>AI111/IS!AI42</f>
        <v>1.3201892744479495</v>
      </c>
      <c r="AJ116" s="345">
        <f>AJ111/IS!AJ42</f>
        <v>-2.9287531806615776</v>
      </c>
      <c r="AK116" s="646">
        <f>AK111/IS!AK42</f>
        <v>1.0659340659340659</v>
      </c>
      <c r="AL116" s="670">
        <f>AL111/IS!AL42</f>
        <v>-12.016666666666667</v>
      </c>
      <c r="AM116" s="345">
        <f>AM111/IS!AM42</f>
        <v>4.954954954954955E-2</v>
      </c>
      <c r="AN116" s="646">
        <f>AN111/IS!AN42</f>
        <v>1.9929824561403509</v>
      </c>
      <c r="AO116" s="670">
        <f>AO111/IS!AO42</f>
        <v>-0.38691883372734437</v>
      </c>
      <c r="AP116" s="345">
        <f>AP111/IS!AP42</f>
        <v>0.28966639544344996</v>
      </c>
      <c r="AQ116" s="646">
        <f>AQ111/IS!AQ42</f>
        <v>0.78529163144547764</v>
      </c>
      <c r="AR116" s="670">
        <f>AR111/IS!AR42</f>
        <v>0.53275290215588722</v>
      </c>
      <c r="AS116" s="345">
        <f>AS111/IS!AS42</f>
        <v>1.0078328981723237</v>
      </c>
      <c r="AT116" s="646">
        <f>AT111/IS!AT42</f>
        <v>0.92346938775510201</v>
      </c>
      <c r="AU116" s="670">
        <f>AU111/IS!AU42</f>
        <v>0.9619198730662436</v>
      </c>
      <c r="AV116" s="345">
        <f>AV111/IS!AV42</f>
        <v>0.35824275362318841</v>
      </c>
      <c r="AW116" s="646">
        <f>AW111/IS!AW42</f>
        <v>1.1845614035087719</v>
      </c>
      <c r="AX116" s="670">
        <f>AX111/IS!AX42</f>
        <v>0.55983564458140733</v>
      </c>
      <c r="AY116" s="345">
        <f>AY111/IS!AY42</f>
        <v>1.2176069435833849</v>
      </c>
      <c r="AZ116" s="482">
        <f>AZ111/IS!AZ42</f>
        <v>1.0367095994562718</v>
      </c>
      <c r="BA116" s="582">
        <f>BA111/IS!BA42</f>
        <v>1.1582131995462381</v>
      </c>
      <c r="BB116" s="205">
        <f>BB111/IS!BB42</f>
        <v>2.0710420865286672</v>
      </c>
      <c r="BC116" s="482">
        <f>BC111/IS!BC42</f>
        <v>0.37922975827516625</v>
      </c>
      <c r="BD116" s="582">
        <f>BD111/IS!BD42</f>
        <v>1.2059395787528597</v>
      </c>
      <c r="BE116" s="205">
        <f>BE111/IS!BE42</f>
        <v>1.4377506541939615</v>
      </c>
      <c r="BF116" s="482">
        <f>BF111/IS!BF42</f>
        <v>1.041734304824999</v>
      </c>
      <c r="BG116" s="582">
        <f>BG111/IS!BG42</f>
        <v>1.233129087793458</v>
      </c>
      <c r="BH116" s="205">
        <f>BH111/IS!BH42</f>
        <v>1.2492537038792793</v>
      </c>
      <c r="BI116" s="482">
        <f>BI111/IS!BI42</f>
        <v>1.0797947674671216</v>
      </c>
      <c r="BJ116" s="582">
        <f>BJ111/IS!BJ42</f>
        <v>1.1616093802709777</v>
      </c>
      <c r="BK116" s="205">
        <f>BK111/IS!BK42</f>
        <v>1.1555049552156746</v>
      </c>
      <c r="BL116" s="482">
        <f>BL111/IS!BL42</f>
        <v>1.0575876176656729</v>
      </c>
      <c r="BM116" s="582">
        <f>BM111/IS!BM42</f>
        <v>1.1048831381647335</v>
      </c>
    </row>
    <row r="117" spans="1:65">
      <c r="B117" s="58"/>
      <c r="C117" s="58"/>
      <c r="D117" s="58"/>
      <c r="E117" s="58"/>
      <c r="F117" s="58"/>
      <c r="G117" s="58"/>
      <c r="H117" s="58"/>
      <c r="I117" s="58"/>
      <c r="J117" s="58"/>
      <c r="K117" s="58"/>
      <c r="L117" s="58"/>
      <c r="M117" s="58"/>
      <c r="N117" s="58"/>
      <c r="O117" s="58"/>
      <c r="P117" s="58"/>
      <c r="Q117" s="58"/>
      <c r="R117" s="58"/>
      <c r="S117" s="644"/>
      <c r="T117" s="668"/>
      <c r="U117" s="58"/>
      <c r="V117" s="644"/>
      <c r="W117" s="668"/>
      <c r="X117" s="58"/>
      <c r="Y117" s="644"/>
      <c r="Z117" s="668"/>
      <c r="AA117" s="87"/>
      <c r="AB117" s="644"/>
      <c r="AC117" s="668"/>
      <c r="AD117" s="87"/>
      <c r="AE117" s="644"/>
      <c r="AF117" s="668"/>
      <c r="AG117" s="87"/>
      <c r="AH117" s="644"/>
      <c r="AI117" s="668"/>
      <c r="AJ117" s="87"/>
      <c r="AK117" s="644"/>
      <c r="AL117" s="668"/>
      <c r="AM117" s="87"/>
      <c r="AN117" s="644"/>
      <c r="AO117" s="668"/>
      <c r="AP117" s="87"/>
      <c r="AQ117" s="544"/>
      <c r="AR117" s="584"/>
      <c r="AS117" s="87"/>
      <c r="AT117" s="544"/>
      <c r="AU117" s="584"/>
      <c r="AV117" s="87"/>
      <c r="AW117" s="544"/>
      <c r="AX117" s="584"/>
      <c r="AY117" s="87"/>
      <c r="AZ117" s="544"/>
      <c r="BA117" s="584"/>
      <c r="BB117" s="45"/>
      <c r="BC117" s="544"/>
      <c r="BD117" s="584"/>
      <c r="BE117" s="45"/>
      <c r="BF117" s="544"/>
      <c r="BG117" s="584"/>
      <c r="BH117" s="45"/>
      <c r="BI117" s="544"/>
      <c r="BJ117" s="584"/>
      <c r="BK117" s="45"/>
      <c r="BL117" s="544"/>
      <c r="BM117" s="584"/>
    </row>
    <row r="118" spans="1:65">
      <c r="A118" s="25" t="s">
        <v>729</v>
      </c>
      <c r="B118" s="58"/>
      <c r="C118" s="58"/>
      <c r="D118" s="58"/>
      <c r="E118" s="58"/>
      <c r="F118" s="58"/>
      <c r="G118" s="58"/>
      <c r="H118" s="58"/>
      <c r="I118" s="58"/>
      <c r="J118" s="58"/>
      <c r="K118" s="58"/>
      <c r="L118" s="58"/>
      <c r="M118" s="58"/>
      <c r="N118" s="58"/>
      <c r="O118" s="58"/>
      <c r="P118" s="58"/>
      <c r="Q118" s="58"/>
      <c r="R118" s="58"/>
      <c r="S118" s="644"/>
      <c r="T118" s="668"/>
      <c r="U118" s="58"/>
      <c r="V118" s="644"/>
      <c r="W118" s="668"/>
      <c r="X118" s="58"/>
      <c r="Y118" s="644"/>
      <c r="Z118" s="653">
        <v>1379</v>
      </c>
      <c r="AA118" s="40">
        <f t="shared" ref="AA118:AB118" si="501">AA103</f>
        <v>487</v>
      </c>
      <c r="AB118" s="630">
        <f t="shared" si="501"/>
        <v>192</v>
      </c>
      <c r="AC118" s="653">
        <v>944</v>
      </c>
      <c r="AD118" s="40">
        <f t="shared" ref="AD118:AE118" si="502">AD103</f>
        <v>128</v>
      </c>
      <c r="AE118" s="630">
        <f t="shared" si="502"/>
        <v>628</v>
      </c>
      <c r="AF118" s="653">
        <f t="shared" ref="AF118:AO119" si="503">AF103</f>
        <v>756</v>
      </c>
      <c r="AG118" s="40">
        <f t="shared" si="503"/>
        <v>788</v>
      </c>
      <c r="AH118" s="630">
        <f t="shared" si="503"/>
        <v>-309</v>
      </c>
      <c r="AI118" s="653">
        <f t="shared" si="503"/>
        <v>479</v>
      </c>
      <c r="AJ118" s="40">
        <f t="shared" ref="AJ118:AK119" si="504">AJ103</f>
        <v>-108</v>
      </c>
      <c r="AK118" s="630">
        <f t="shared" si="504"/>
        <v>174</v>
      </c>
      <c r="AL118" s="653">
        <f t="shared" si="503"/>
        <v>66</v>
      </c>
      <c r="AM118" s="40">
        <f t="shared" si="503"/>
        <v>433</v>
      </c>
      <c r="AN118" s="630">
        <f t="shared" ref="AN118" si="505">AN103</f>
        <v>359</v>
      </c>
      <c r="AO118" s="653">
        <f t="shared" si="503"/>
        <v>792</v>
      </c>
      <c r="AP118" s="40">
        <f t="shared" ref="AP118:AR119" si="506">AP103</f>
        <v>727</v>
      </c>
      <c r="AQ118" s="630">
        <f t="shared" si="506"/>
        <v>604</v>
      </c>
      <c r="AR118" s="653">
        <f t="shared" si="506"/>
        <v>1331</v>
      </c>
      <c r="AS118" s="40">
        <f t="shared" ref="AS118:AU119" si="507">AS103</f>
        <v>715</v>
      </c>
      <c r="AT118" s="630">
        <f t="shared" si="507"/>
        <v>195</v>
      </c>
      <c r="AU118" s="653">
        <f t="shared" si="507"/>
        <v>910</v>
      </c>
      <c r="AV118" s="40">
        <f t="shared" ref="AV118:AW118" si="508">AV103</f>
        <v>441</v>
      </c>
      <c r="AW118" s="630">
        <f t="shared" si="508"/>
        <v>60</v>
      </c>
      <c r="AX118" s="653">
        <f t="shared" ref="AX118:AY118" si="509">AX103</f>
        <v>501</v>
      </c>
      <c r="AY118" s="40">
        <f t="shared" si="509"/>
        <v>112</v>
      </c>
      <c r="AZ118" s="544"/>
      <c r="BA118" s="584"/>
      <c r="BB118" s="45"/>
      <c r="BC118" s="544"/>
      <c r="BD118" s="584"/>
      <c r="BE118" s="45"/>
      <c r="BF118" s="544"/>
      <c r="BG118" s="584"/>
      <c r="BH118" s="45"/>
      <c r="BI118" s="544"/>
      <c r="BJ118" s="584"/>
      <c r="BK118" s="45"/>
      <c r="BL118" s="544"/>
      <c r="BM118" s="584"/>
    </row>
    <row r="119" spans="1:65">
      <c r="A119" s="25" t="s">
        <v>730</v>
      </c>
      <c r="B119" s="58"/>
      <c r="C119" s="58"/>
      <c r="D119" s="58"/>
      <c r="E119" s="58"/>
      <c r="F119" s="58"/>
      <c r="G119" s="58"/>
      <c r="H119" s="58"/>
      <c r="I119" s="58"/>
      <c r="J119" s="58"/>
      <c r="K119" s="58"/>
      <c r="L119" s="58"/>
      <c r="M119" s="58"/>
      <c r="N119" s="58"/>
      <c r="O119" s="58"/>
      <c r="P119" s="58"/>
      <c r="Q119" s="58"/>
      <c r="R119" s="58"/>
      <c r="S119" s="644"/>
      <c r="T119" s="668"/>
      <c r="U119" s="58"/>
      <c r="V119" s="644"/>
      <c r="W119" s="668"/>
      <c r="X119" s="58"/>
      <c r="Y119" s="644"/>
      <c r="Z119" s="653">
        <v>-219</v>
      </c>
      <c r="AA119" s="40">
        <f t="shared" ref="AA119:AB119" si="510">AA104</f>
        <v>-331</v>
      </c>
      <c r="AB119" s="630">
        <f t="shared" si="510"/>
        <v>912</v>
      </c>
      <c r="AC119" s="653">
        <v>581</v>
      </c>
      <c r="AD119" s="40">
        <f t="shared" ref="AD119:AE119" si="511">AD104</f>
        <v>-42</v>
      </c>
      <c r="AE119" s="630">
        <f t="shared" si="511"/>
        <v>573</v>
      </c>
      <c r="AF119" s="653">
        <f t="shared" si="503"/>
        <v>531</v>
      </c>
      <c r="AG119" s="40">
        <f t="shared" si="503"/>
        <v>-1764</v>
      </c>
      <c r="AH119" s="630">
        <f t="shared" si="503"/>
        <v>237</v>
      </c>
      <c r="AI119" s="653">
        <f t="shared" si="503"/>
        <v>-1527</v>
      </c>
      <c r="AJ119" s="40">
        <f t="shared" ref="AJ119" si="512">AJ104</f>
        <v>-510</v>
      </c>
      <c r="AK119" s="630">
        <f t="shared" si="504"/>
        <v>-300</v>
      </c>
      <c r="AL119" s="653">
        <f t="shared" si="503"/>
        <v>-810</v>
      </c>
      <c r="AM119" s="40">
        <f t="shared" si="503"/>
        <v>-85</v>
      </c>
      <c r="AN119" s="630">
        <f t="shared" ref="AN119" si="513">AN104</f>
        <v>-663</v>
      </c>
      <c r="AO119" s="653">
        <f t="shared" si="503"/>
        <v>-748</v>
      </c>
      <c r="AP119" s="40">
        <f t="shared" ref="AP119" si="514">AP104</f>
        <v>-1189</v>
      </c>
      <c r="AQ119" s="630">
        <f t="shared" si="506"/>
        <v>-256</v>
      </c>
      <c r="AR119" s="653">
        <f t="shared" si="506"/>
        <v>-1445</v>
      </c>
      <c r="AS119" s="40">
        <f t="shared" si="507"/>
        <v>-630</v>
      </c>
      <c r="AT119" s="630">
        <f t="shared" si="507"/>
        <v>272</v>
      </c>
      <c r="AU119" s="653">
        <f t="shared" si="507"/>
        <v>-358</v>
      </c>
      <c r="AV119" s="40">
        <f t="shared" ref="AV119:AW119" si="515">AV104</f>
        <v>-623</v>
      </c>
      <c r="AW119" s="630">
        <f t="shared" si="515"/>
        <v>316</v>
      </c>
      <c r="AX119" s="653">
        <f t="shared" ref="AX119:AY119" si="516">AX104</f>
        <v>-307</v>
      </c>
      <c r="AY119" s="40">
        <f t="shared" si="516"/>
        <v>195</v>
      </c>
      <c r="AZ119" s="544"/>
      <c r="BA119" s="584"/>
      <c r="BB119" s="45"/>
      <c r="BC119" s="544"/>
      <c r="BD119" s="584"/>
      <c r="BE119" s="45"/>
      <c r="BF119" s="544"/>
      <c r="BG119" s="584"/>
      <c r="BH119" s="45"/>
      <c r="BI119" s="544"/>
      <c r="BJ119" s="584"/>
      <c r="BK119" s="45"/>
      <c r="BL119" s="544"/>
      <c r="BM119" s="584"/>
    </row>
    <row r="120" spans="1:65">
      <c r="A120" s="25" t="s">
        <v>964</v>
      </c>
      <c r="B120" s="40">
        <f t="shared" ref="B120:Y120" si="517">B66+B67+B68+B69</f>
        <v>10</v>
      </c>
      <c r="C120" s="40">
        <f t="shared" si="517"/>
        <v>16</v>
      </c>
      <c r="D120" s="40">
        <f t="shared" si="517"/>
        <v>1</v>
      </c>
      <c r="E120" s="40">
        <f t="shared" si="517"/>
        <v>3</v>
      </c>
      <c r="F120" s="40">
        <f t="shared" si="517"/>
        <v>2</v>
      </c>
      <c r="G120" s="40">
        <f t="shared" si="517"/>
        <v>-123</v>
      </c>
      <c r="H120" s="40">
        <f t="shared" si="517"/>
        <v>43</v>
      </c>
      <c r="I120" s="40">
        <f t="shared" si="517"/>
        <v>-46</v>
      </c>
      <c r="J120" s="40">
        <f t="shared" si="517"/>
        <v>-31</v>
      </c>
      <c r="K120" s="40">
        <f t="shared" si="517"/>
        <v>-2</v>
      </c>
      <c r="L120" s="40">
        <f t="shared" si="517"/>
        <v>-57</v>
      </c>
      <c r="M120" s="40">
        <f t="shared" si="517"/>
        <v>-58</v>
      </c>
      <c r="N120" s="40">
        <f t="shared" si="517"/>
        <v>-94</v>
      </c>
      <c r="O120" s="40">
        <f t="shared" si="517"/>
        <v>29</v>
      </c>
      <c r="P120" s="40">
        <f t="shared" si="517"/>
        <v>-70</v>
      </c>
      <c r="Q120" s="40">
        <f t="shared" si="517"/>
        <v>-403</v>
      </c>
      <c r="R120" s="40">
        <f t="shared" ref="R120:S120" si="518">R66+R67+R68+R69</f>
        <v>-20</v>
      </c>
      <c r="S120" s="630">
        <f t="shared" si="518"/>
        <v>0</v>
      </c>
      <c r="T120" s="653">
        <f t="shared" si="517"/>
        <v>-20</v>
      </c>
      <c r="U120" s="40">
        <f t="shared" si="517"/>
        <v>-2</v>
      </c>
      <c r="V120" s="630">
        <f t="shared" si="517"/>
        <v>-1</v>
      </c>
      <c r="W120" s="653">
        <f t="shared" si="517"/>
        <v>-3</v>
      </c>
      <c r="X120" s="40">
        <f t="shared" si="517"/>
        <v>-2</v>
      </c>
      <c r="Y120" s="630">
        <f t="shared" si="517"/>
        <v>-1</v>
      </c>
      <c r="Z120" s="653">
        <f t="shared" ref="Z120:BL120" si="519">Z66+Z67+Z68+Z69</f>
        <v>-3</v>
      </c>
      <c r="AA120" s="40">
        <f t="shared" si="519"/>
        <v>0</v>
      </c>
      <c r="AB120" s="630">
        <f t="shared" si="519"/>
        <v>0</v>
      </c>
      <c r="AC120" s="653">
        <f t="shared" si="519"/>
        <v>0</v>
      </c>
      <c r="AD120" s="40">
        <f t="shared" ref="AD120:AE120" si="520">AD66+AD67+AD68+AD69</f>
        <v>7</v>
      </c>
      <c r="AE120" s="630">
        <f t="shared" si="520"/>
        <v>2</v>
      </c>
      <c r="AF120" s="653">
        <f t="shared" si="519"/>
        <v>9</v>
      </c>
      <c r="AG120" s="40">
        <f t="shared" si="519"/>
        <v>-1</v>
      </c>
      <c r="AH120" s="630">
        <f t="shared" si="519"/>
        <v>1972</v>
      </c>
      <c r="AI120" s="653">
        <f t="shared" si="519"/>
        <v>1971</v>
      </c>
      <c r="AJ120" s="40">
        <f t="shared" ref="AJ120:AK120" si="521">AJ66+AJ67+AJ68+AJ69</f>
        <v>0</v>
      </c>
      <c r="AK120" s="630">
        <f t="shared" si="521"/>
        <v>0</v>
      </c>
      <c r="AL120" s="653">
        <f t="shared" si="519"/>
        <v>0</v>
      </c>
      <c r="AM120" s="40">
        <f t="shared" si="519"/>
        <v>0</v>
      </c>
      <c r="AN120" s="630">
        <f t="shared" ref="AN120" si="522">AN66+AN67+AN68+AN69</f>
        <v>0</v>
      </c>
      <c r="AO120" s="653">
        <f t="shared" si="519"/>
        <v>0</v>
      </c>
      <c r="AP120" s="40">
        <f t="shared" ref="AP120:AR120" si="523">AP66+AP67+AP68+AP69</f>
        <v>0</v>
      </c>
      <c r="AQ120" s="630">
        <f t="shared" si="523"/>
        <v>0</v>
      </c>
      <c r="AR120" s="653">
        <f t="shared" si="523"/>
        <v>0</v>
      </c>
      <c r="AS120" s="40">
        <f t="shared" ref="AS120:AU120" si="524">AS66+AS67+AS68+AS69</f>
        <v>0</v>
      </c>
      <c r="AT120" s="630">
        <f t="shared" si="524"/>
        <v>0</v>
      </c>
      <c r="AU120" s="653">
        <f t="shared" si="524"/>
        <v>0</v>
      </c>
      <c r="AV120" s="40">
        <f t="shared" ref="AV120:AW120" si="525">AV66+AV67+AV68+AV69</f>
        <v>-342</v>
      </c>
      <c r="AW120" s="630">
        <f t="shared" si="525"/>
        <v>-666</v>
      </c>
      <c r="AX120" s="653">
        <f t="shared" si="519"/>
        <v>-1008</v>
      </c>
      <c r="AY120" s="40">
        <f t="shared" si="519"/>
        <v>-1097</v>
      </c>
      <c r="AZ120" s="236">
        <f t="shared" si="519"/>
        <v>-1403</v>
      </c>
      <c r="BA120" s="605">
        <f t="shared" si="519"/>
        <v>-2500</v>
      </c>
      <c r="BB120" s="56">
        <f t="shared" si="519"/>
        <v>-1375</v>
      </c>
      <c r="BC120" s="236">
        <f t="shared" si="519"/>
        <v>-1375</v>
      </c>
      <c r="BD120" s="605">
        <f t="shared" si="519"/>
        <v>-2750</v>
      </c>
      <c r="BE120" s="56">
        <f t="shared" si="519"/>
        <v>-1375</v>
      </c>
      <c r="BF120" s="236">
        <f t="shared" si="519"/>
        <v>-1375</v>
      </c>
      <c r="BG120" s="605">
        <f t="shared" si="519"/>
        <v>-2750</v>
      </c>
      <c r="BH120" s="56">
        <f t="shared" si="519"/>
        <v>0</v>
      </c>
      <c r="BI120" s="236">
        <f t="shared" si="519"/>
        <v>0</v>
      </c>
      <c r="BJ120" s="605">
        <f t="shared" si="519"/>
        <v>0</v>
      </c>
      <c r="BK120" s="56">
        <f t="shared" si="519"/>
        <v>0</v>
      </c>
      <c r="BL120" s="236">
        <f t="shared" si="519"/>
        <v>0</v>
      </c>
      <c r="BM120" s="605">
        <f>BM66+BM67+BM68+BM69</f>
        <v>0</v>
      </c>
    </row>
    <row r="121" spans="1:65">
      <c r="A121" s="25" t="s">
        <v>664</v>
      </c>
      <c r="B121" s="40"/>
      <c r="C121" s="40"/>
      <c r="D121" s="40"/>
      <c r="E121" s="40"/>
      <c r="F121" s="40">
        <f>(F78-BS!E19)-(F82-BS!F19)</f>
        <v>-7</v>
      </c>
      <c r="G121" s="40">
        <f>(G78-BS!F19)-(G82-BS!G19)</f>
        <v>-1</v>
      </c>
      <c r="H121" s="40">
        <f>(H78-BS!G19)-(H82-BS!H19)</f>
        <v>2</v>
      </c>
      <c r="I121" s="40">
        <f>(I78-BS!H19)-(I82-BS!I19)</f>
        <v>10</v>
      </c>
      <c r="J121" s="40">
        <f>(J78-BS!I19)-(J82-BS!J19)</f>
        <v>-15</v>
      </c>
      <c r="K121" s="40">
        <f>(K78-BS!J19)-(K82-BS!K19)</f>
        <v>-5</v>
      </c>
      <c r="L121" s="40">
        <f>(L78-BS!K19)-(L82-BS!L19)</f>
        <v>4</v>
      </c>
      <c r="M121" s="40">
        <f>(M78-BS!L19)-(M82-BS!M19)</f>
        <v>11</v>
      </c>
      <c r="N121" s="40">
        <f>N78-BS!M19</f>
        <v>-19</v>
      </c>
      <c r="O121" s="40"/>
      <c r="P121" s="40"/>
      <c r="Q121" s="40"/>
      <c r="R121" s="40"/>
      <c r="S121" s="630"/>
      <c r="T121" s="653"/>
      <c r="U121" s="40"/>
      <c r="V121" s="630"/>
      <c r="W121" s="653"/>
      <c r="X121" s="40"/>
      <c r="Y121" s="630"/>
      <c r="Z121" s="653">
        <f>-((BS!W19-CFS!Z78)-(BS!Z19-CFS!Z82))</f>
        <v>-162</v>
      </c>
      <c r="AA121" s="40">
        <f>-((BS!Z19-CFS!AA78)-(BS!AA19-CFS!AA82))</f>
        <v>1</v>
      </c>
      <c r="AB121" s="630">
        <f>-((BS!AA19-CFS!AB78)-(BS!AB19-CFS!AB82))</f>
        <v>1</v>
      </c>
      <c r="AC121" s="653">
        <f>-((BS!Z19-CFS!AC78)-(BS!AC19-CFS!AC82))</f>
        <v>2</v>
      </c>
      <c r="AD121" s="40">
        <f>-((BS!AC19-CFS!AD78)-(BS!AD19-CFS!AD82))</f>
        <v>4</v>
      </c>
      <c r="AE121" s="630">
        <f>-((BS!AD19-CFS!AE78)-(BS!AE19-CFS!AE82))</f>
        <v>-18</v>
      </c>
      <c r="AF121" s="653">
        <f>-((BS!AC19-CFS!AF78)-(BS!AF19-CFS!AF82))</f>
        <v>-14</v>
      </c>
      <c r="AG121" s="40">
        <f>-((BS!AF19-CFS!AG78)-(BS!AG19-CFS!AG82))</f>
        <v>0</v>
      </c>
      <c r="AH121" s="630">
        <f>-((BS!AG19-CFS!AH78)-(BS!AH19-CFS!AH82))</f>
        <v>-52</v>
      </c>
      <c r="AI121" s="653">
        <f>-((BS!AF19-CFS!AI78)-(BS!AI19-CFS!AI82))</f>
        <v>-52</v>
      </c>
      <c r="AJ121" s="40">
        <f>-((BS!AI19-CFS!AJ78)-(BS!AJ19-CFS!AJ82))</f>
        <v>-19</v>
      </c>
      <c r="AK121" s="630">
        <f>-((BS!AJ19-CFS!AK78)-(BS!AK19-CFS!AK82))</f>
        <v>45</v>
      </c>
      <c r="AL121" s="653">
        <f>-((BS!AI19-CFS!AL78)-(BS!AL19-CFS!AL82))</f>
        <v>26</v>
      </c>
      <c r="AM121" s="40">
        <f>-((BS!AL19-CFS!AM78)-(BS!AM19-CFS!AM82))</f>
        <v>-17</v>
      </c>
      <c r="AN121" s="630">
        <f>-((BS!AM19-CFS!AN78)-(BS!AN19-CFS!AN82))</f>
        <v>35</v>
      </c>
      <c r="AO121" s="653">
        <f>-((BS!AL19-CFS!AO78)-(BS!AO19-CFS!AO82))</f>
        <v>18</v>
      </c>
      <c r="AP121" s="40">
        <f>-((BS!AO19-CFS!AP78)-(BS!AP19-CFS!AP82))</f>
        <v>6</v>
      </c>
      <c r="AQ121" s="630">
        <f>-((BS!AP19-CFS!AQ78)-(BS!AQ19-CFS!AQ82))</f>
        <v>47</v>
      </c>
      <c r="AR121" s="653">
        <f>-((BS!AO19-CFS!AR78)-(BS!AR19-CFS!AR82))</f>
        <v>53</v>
      </c>
      <c r="AS121" s="40">
        <f>-((BS!AR19-CFS!AS78)-(BS!AS19-CFS!AS82))</f>
        <v>-47</v>
      </c>
      <c r="AT121" s="630">
        <f>-((BS!AS19-CFS!AT78)-(BS!AT19-CFS!AT82))</f>
        <v>-4</v>
      </c>
      <c r="AU121" s="653">
        <f>-((BS!AR19-CFS!AU78)-(BS!AU19-CFS!AU82))</f>
        <v>-51</v>
      </c>
      <c r="AV121" s="40">
        <f>-((BS!AU19-CFS!AV78)-(BS!AV19-CFS!AV82))</f>
        <v>0</v>
      </c>
      <c r="AW121" s="630">
        <f>-((BS!AV19-CFS!AW78)-(BS!AW19-CFS!AW82))</f>
        <v>1</v>
      </c>
      <c r="AX121" s="653">
        <f>-((BS!AU19-CFS!AX78)-(BS!AX19-CFS!AX82))</f>
        <v>1</v>
      </c>
      <c r="AY121" s="40">
        <f>-((BS!AX19-CFS!AY78)-(BS!AY19-CFS!AY82))</f>
        <v>1</v>
      </c>
      <c r="AZ121" s="236">
        <f>-((BS!AY19-CFS!AZ78)-(BS!AZ19-CFS!AZ82))</f>
        <v>-123</v>
      </c>
      <c r="BA121" s="605">
        <f>-((BS!AX19-CFS!BA78)-(BS!BA19-CFS!BA82))</f>
        <v>1</v>
      </c>
      <c r="BB121" s="56">
        <f>-((BS!BA19-CFS!BB78)-(BS!BB19-CFS!BB82))</f>
        <v>0</v>
      </c>
      <c r="BC121" s="236">
        <f>-((BS!BB19-CFS!BC78)-(BS!BC19-CFS!BC82))</f>
        <v>-3.637978807091713E-12</v>
      </c>
      <c r="BD121" s="605">
        <f>-((BS!BA19-CFS!BD78)-(BS!BD19-CFS!BD82))</f>
        <v>0</v>
      </c>
      <c r="BE121" s="56">
        <f>-((BS!BD19-CFS!BE78)-(BS!BE19-CFS!BE82))</f>
        <v>0</v>
      </c>
      <c r="BF121" s="236">
        <f>-((BS!BE19-CFS!BF78)-(BS!BF19-CFS!BF82))</f>
        <v>-1.8189894035458565E-12</v>
      </c>
      <c r="BG121" s="605">
        <f>-((BS!BD19-CFS!BG78)-(BS!BG19-CFS!BG82))</f>
        <v>0</v>
      </c>
      <c r="BH121" s="56">
        <f>-((BS!BG19-CFS!BH78)-(BS!BH19-CFS!BH82))</f>
        <v>0</v>
      </c>
      <c r="BI121" s="236">
        <f>-((BS!BH19-CFS!BI78)-(BS!BI19-CFS!BI82))</f>
        <v>-1.8189894035458565E-12</v>
      </c>
      <c r="BJ121" s="605">
        <f>-((BS!BG19-CFS!BJ78)-(BS!BJ19-CFS!BJ82))</f>
        <v>0</v>
      </c>
      <c r="BK121" s="56">
        <f>-((BS!BJ19-CFS!BK78)-(BS!BK19-CFS!BK82))</f>
        <v>0</v>
      </c>
      <c r="BL121" s="236">
        <f>-((BS!BK19-CFS!BL78)-(BS!BL19-CFS!BL82))</f>
        <v>-3.637978807091713E-12</v>
      </c>
      <c r="BM121" s="605">
        <f>-((BS!BJ19-CFS!BM78)-(BS!BM19-CFS!BM82))</f>
        <v>0</v>
      </c>
    </row>
    <row r="122" spans="1:65">
      <c r="B122" s="40"/>
      <c r="C122" s="40"/>
      <c r="D122" s="40"/>
      <c r="E122" s="40"/>
      <c r="F122" s="40"/>
      <c r="G122" s="40"/>
      <c r="H122" s="40"/>
      <c r="I122" s="40"/>
      <c r="J122" s="40"/>
      <c r="K122" s="40"/>
      <c r="L122" s="40"/>
      <c r="M122" s="40"/>
      <c r="N122" s="40"/>
      <c r="O122" s="40"/>
      <c r="P122" s="40"/>
      <c r="Q122" s="40"/>
      <c r="R122" s="40"/>
      <c r="S122" s="630"/>
      <c r="T122" s="653"/>
      <c r="U122" s="40"/>
      <c r="V122" s="630"/>
      <c r="W122" s="653"/>
      <c r="X122" s="40"/>
      <c r="Y122" s="630"/>
      <c r="Z122" s="653"/>
      <c r="AA122" s="40"/>
      <c r="AB122" s="630"/>
      <c r="AC122" s="653"/>
      <c r="AD122" s="40"/>
      <c r="AE122" s="630"/>
      <c r="AF122" s="653"/>
      <c r="AG122" s="40"/>
      <c r="AH122" s="630"/>
      <c r="AI122" s="653"/>
      <c r="AJ122" s="40"/>
      <c r="AK122" s="630"/>
      <c r="AL122" s="653"/>
      <c r="AM122" s="40"/>
      <c r="AN122" s="630"/>
      <c r="AO122" s="653"/>
      <c r="AP122" s="40"/>
      <c r="AQ122" s="236"/>
      <c r="AR122" s="605"/>
      <c r="AS122" s="56"/>
      <c r="AT122" s="236"/>
      <c r="AU122" s="605"/>
      <c r="AV122" s="56"/>
      <c r="AW122" s="236"/>
      <c r="AX122" s="605"/>
      <c r="AY122" s="56"/>
      <c r="AZ122" s="236"/>
      <c r="BA122" s="605"/>
      <c r="BB122" s="56"/>
      <c r="BC122" s="236"/>
      <c r="BD122" s="605"/>
      <c r="BE122" s="56"/>
      <c r="BF122" s="236"/>
      <c r="BG122" s="605"/>
      <c r="BH122" s="56"/>
      <c r="BI122" s="236"/>
      <c r="BJ122" s="605"/>
      <c r="BK122" s="56"/>
      <c r="BL122" s="236"/>
      <c r="BM122" s="605"/>
    </row>
    <row r="123" spans="1:65" customFormat="1"/>
  </sheetData>
  <pageMargins left="0.7" right="0.7" top="0.75" bottom="0.75" header="0.3" footer="0.3"/>
  <pageSetup scale="62" fitToHeight="0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0">
    <tabColor theme="8"/>
    <pageSetUpPr fitToPage="1"/>
  </sheetPr>
  <dimension ref="A1:BV264"/>
  <sheetViews>
    <sheetView showGridLines="0" workbookViewId="0">
      <pane xSplit="1" ySplit="3" topLeftCell="Z4" activePane="bottomRight" state="frozen"/>
      <selection sqref="A1:XFD1048576"/>
      <selection pane="topRight" sqref="A1:XFD1048576"/>
      <selection pane="bottomLeft" sqref="A1:XFD1048576"/>
      <selection pane="bottomRight" sqref="A1:XFD1048576"/>
    </sheetView>
  </sheetViews>
  <sheetFormatPr defaultColWidth="9.140625" defaultRowHeight="10.199999999999999" outlineLevelCol="1"/>
  <cols>
    <col min="1" max="1" width="56" style="25" customWidth="1"/>
    <col min="2" max="25" width="9.140625" style="25" hidden="1" customWidth="1" outlineLevel="1"/>
    <col min="26" max="26" width="9.140625" style="25" collapsed="1"/>
    <col min="27" max="28" width="9.140625" style="25" hidden="1" customWidth="1" outlineLevel="1"/>
    <col min="29" max="29" width="9.140625" style="25" collapsed="1"/>
    <col min="30" max="31" width="9.140625" style="25" hidden="1" customWidth="1" outlineLevel="1"/>
    <col min="32" max="32" width="9.140625" style="25" collapsed="1"/>
    <col min="33" max="34" width="9.140625" style="25" hidden="1" customWidth="1" outlineLevel="1"/>
    <col min="35" max="35" width="9.140625" style="25" collapsed="1"/>
    <col min="36" max="37" width="9.140625" style="25" hidden="1" customWidth="1" outlineLevel="1"/>
    <col min="38" max="38" width="9.140625" style="25" collapsed="1"/>
    <col min="39" max="40" width="9.140625" style="25" hidden="1" customWidth="1" outlineLevel="1"/>
    <col min="41" max="41" width="9.140625" style="25" collapsed="1"/>
    <col min="42" max="43" width="9.140625" style="25" hidden="1" customWidth="1" outlineLevel="1"/>
    <col min="44" max="44" width="9.140625" style="25" collapsed="1"/>
    <col min="45" max="46" width="9.140625" style="25" hidden="1" customWidth="1" outlineLevel="1"/>
    <col min="47" max="47" width="9.140625" style="25" collapsed="1"/>
    <col min="48" max="49" width="9.140625" style="25" hidden="1" customWidth="1" outlineLevel="1"/>
    <col min="50" max="50" width="9.140625" style="25" collapsed="1"/>
    <col min="51" max="52" width="9.140625" style="25" hidden="1" customWidth="1" outlineLevel="1"/>
    <col min="53" max="53" width="9.140625" style="25" collapsed="1"/>
    <col min="54" max="55" width="9.140625" style="25" hidden="1" customWidth="1" outlineLevel="1"/>
    <col min="56" max="56" width="9.140625" style="25" collapsed="1"/>
    <col min="57" max="58" width="9.140625" style="25" hidden="1" customWidth="1" outlineLevel="1"/>
    <col min="59" max="59" width="9.140625" style="25" collapsed="1"/>
    <col min="60" max="61" width="9.140625" style="25" hidden="1" customWidth="1" outlineLevel="1"/>
    <col min="62" max="62" width="9.140625" style="25" collapsed="1"/>
    <col min="63" max="64" width="9.140625" style="25" hidden="1" customWidth="1" outlineLevel="1"/>
    <col min="65" max="65" width="9.140625" style="25" collapsed="1"/>
    <col min="66" max="67" width="9.140625" style="25"/>
    <col min="68" max="68" width="61.28515625" hidden="1" customWidth="1" outlineLevel="1"/>
    <col min="69" max="69" width="9.140625" hidden="1" customWidth="1" outlineLevel="1"/>
    <col min="70" max="70" width="13.85546875" hidden="1" customWidth="1" outlineLevel="1"/>
    <col min="71" max="73" width="9.140625" hidden="1" customWidth="1" outlineLevel="1"/>
    <col min="74" max="74" width="9.140625" style="25" collapsed="1"/>
    <col min="75" max="16384" width="9.140625" style="25"/>
  </cols>
  <sheetData>
    <row r="1" spans="1:74">
      <c r="A1" s="305" t="s">
        <v>1</v>
      </c>
      <c r="B1" s="306">
        <v>2000</v>
      </c>
      <c r="C1" s="306">
        <f>B1+1</f>
        <v>2001</v>
      </c>
      <c r="D1" s="306">
        <f t="shared" ref="D1:J1" si="0">C1+1</f>
        <v>2002</v>
      </c>
      <c r="E1" s="306">
        <f t="shared" si="0"/>
        <v>2003</v>
      </c>
      <c r="F1" s="306">
        <f t="shared" si="0"/>
        <v>2004</v>
      </c>
      <c r="G1" s="306">
        <f t="shared" si="0"/>
        <v>2005</v>
      </c>
      <c r="H1" s="306">
        <f t="shared" si="0"/>
        <v>2006</v>
      </c>
      <c r="I1" s="306">
        <f t="shared" si="0"/>
        <v>2007</v>
      </c>
      <c r="J1" s="306">
        <f t="shared" si="0"/>
        <v>2008</v>
      </c>
      <c r="K1" s="306">
        <v>2009</v>
      </c>
      <c r="L1" s="306">
        <f>K1+1</f>
        <v>2010</v>
      </c>
      <c r="M1" s="306">
        <f>L1+1</f>
        <v>2011</v>
      </c>
      <c r="N1" s="306">
        <f>M1+1</f>
        <v>2012</v>
      </c>
      <c r="O1" s="306">
        <f>N1+1</f>
        <v>2013</v>
      </c>
      <c r="P1" s="306">
        <v>2014</v>
      </c>
      <c r="Q1" s="306">
        <f>P1+1</f>
        <v>2015</v>
      </c>
      <c r="R1" s="313" t="s">
        <v>616</v>
      </c>
      <c r="S1" s="314" t="s">
        <v>617</v>
      </c>
      <c r="T1" s="548">
        <f t="shared" ref="T1" si="1">Q1+1</f>
        <v>2016</v>
      </c>
      <c r="U1" s="313" t="s">
        <v>618</v>
      </c>
      <c r="V1" s="314" t="s">
        <v>683</v>
      </c>
      <c r="W1" s="548">
        <f>T1+1</f>
        <v>2017</v>
      </c>
      <c r="X1" s="313" t="s">
        <v>618</v>
      </c>
      <c r="Y1" s="314" t="s">
        <v>683</v>
      </c>
      <c r="Z1" s="548">
        <v>2017</v>
      </c>
      <c r="AA1" s="313" t="s">
        <v>697</v>
      </c>
      <c r="AB1" s="314" t="s">
        <v>755</v>
      </c>
      <c r="AC1" s="548">
        <f>W1+1</f>
        <v>2018</v>
      </c>
      <c r="AD1" s="313" t="s">
        <v>757</v>
      </c>
      <c r="AE1" s="314" t="s">
        <v>793</v>
      </c>
      <c r="AF1" s="548">
        <f>AC1+1</f>
        <v>2019</v>
      </c>
      <c r="AG1" s="313" t="s">
        <v>794</v>
      </c>
      <c r="AH1" s="314" t="s">
        <v>798</v>
      </c>
      <c r="AI1" s="548">
        <f>AF1+1</f>
        <v>2020</v>
      </c>
      <c r="AJ1" s="313" t="s">
        <v>801</v>
      </c>
      <c r="AK1" s="314" t="s">
        <v>802</v>
      </c>
      <c r="AL1" s="548">
        <f>AI1+1</f>
        <v>2021</v>
      </c>
      <c r="AM1" s="313" t="s">
        <v>822</v>
      </c>
      <c r="AN1" s="314" t="s">
        <v>823</v>
      </c>
      <c r="AO1" s="548">
        <f>AL1+1</f>
        <v>2022</v>
      </c>
      <c r="AP1" s="313" t="s">
        <v>929</v>
      </c>
      <c r="AQ1" s="314" t="s">
        <v>930</v>
      </c>
      <c r="AR1" s="548">
        <f>AO1+1</f>
        <v>2023</v>
      </c>
      <c r="AS1" s="313" t="s">
        <v>989</v>
      </c>
      <c r="AT1" s="314" t="s">
        <v>990</v>
      </c>
      <c r="AU1" s="548">
        <f>AR1+1</f>
        <v>2024</v>
      </c>
      <c r="AV1" s="313" t="s">
        <v>1035</v>
      </c>
      <c r="AW1" s="314" t="s">
        <v>1036</v>
      </c>
      <c r="AX1" s="548">
        <f>AU1+1</f>
        <v>2025</v>
      </c>
      <c r="AY1" s="313" t="s">
        <v>1044</v>
      </c>
      <c r="AZ1" s="538" t="s">
        <v>844</v>
      </c>
      <c r="BA1" s="572">
        <f>AX1+1</f>
        <v>2026</v>
      </c>
      <c r="BB1" s="537" t="s">
        <v>845</v>
      </c>
      <c r="BC1" s="538" t="s">
        <v>846</v>
      </c>
      <c r="BD1" s="572">
        <f>BA1+1</f>
        <v>2027</v>
      </c>
      <c r="BE1" s="537" t="s">
        <v>847</v>
      </c>
      <c r="BF1" s="538" t="s">
        <v>848</v>
      </c>
      <c r="BG1" s="572">
        <f>BD1+1</f>
        <v>2028</v>
      </c>
      <c r="BH1" s="537" t="s">
        <v>849</v>
      </c>
      <c r="BI1" s="538" t="s">
        <v>850</v>
      </c>
      <c r="BJ1" s="572">
        <f>BG1+1</f>
        <v>2029</v>
      </c>
      <c r="BK1" s="537" t="s">
        <v>851</v>
      </c>
      <c r="BL1" s="538" t="s">
        <v>852</v>
      </c>
      <c r="BM1" s="572">
        <f>BJ1+1</f>
        <v>2030</v>
      </c>
    </row>
    <row r="2" spans="1:74">
      <c r="A2" s="305" t="s">
        <v>0</v>
      </c>
      <c r="B2" s="308" t="s">
        <v>223</v>
      </c>
      <c r="C2" s="308" t="s">
        <v>223</v>
      </c>
      <c r="D2" s="308" t="s">
        <v>223</v>
      </c>
      <c r="E2" s="308" t="s">
        <v>223</v>
      </c>
      <c r="F2" s="308" t="s">
        <v>571</v>
      </c>
      <c r="G2" s="308" t="s">
        <v>571</v>
      </c>
      <c r="H2" s="308" t="s">
        <v>571</v>
      </c>
      <c r="I2" s="308" t="s">
        <v>571</v>
      </c>
      <c r="J2" s="308" t="s">
        <v>571</v>
      </c>
      <c r="K2" s="308" t="s">
        <v>571</v>
      </c>
      <c r="L2" s="308" t="s">
        <v>571</v>
      </c>
      <c r="M2" s="308" t="s">
        <v>571</v>
      </c>
      <c r="N2" s="308" t="s">
        <v>571</v>
      </c>
      <c r="O2" s="308" t="s">
        <v>571</v>
      </c>
      <c r="P2" s="308" t="s">
        <v>571</v>
      </c>
      <c r="Q2" s="308" t="s">
        <v>571</v>
      </c>
      <c r="R2" s="308" t="s">
        <v>571</v>
      </c>
      <c r="S2" s="562" t="s">
        <v>571</v>
      </c>
      <c r="T2" s="568" t="s">
        <v>571</v>
      </c>
      <c r="U2" s="308" t="s">
        <v>571</v>
      </c>
      <c r="V2" s="562" t="s">
        <v>571</v>
      </c>
      <c r="W2" s="568" t="s">
        <v>571</v>
      </c>
      <c r="X2" s="308" t="s">
        <v>625</v>
      </c>
      <c r="Y2" s="562" t="s">
        <v>625</v>
      </c>
      <c r="Z2" s="549" t="s">
        <v>625</v>
      </c>
      <c r="AA2" s="309" t="s">
        <v>625</v>
      </c>
      <c r="AB2" s="315" t="s">
        <v>625</v>
      </c>
      <c r="AC2" s="549" t="s">
        <v>625</v>
      </c>
      <c r="AD2" s="309" t="s">
        <v>625</v>
      </c>
      <c r="AE2" s="315" t="s">
        <v>625</v>
      </c>
      <c r="AF2" s="549" t="s">
        <v>625</v>
      </c>
      <c r="AG2" s="309" t="s">
        <v>625</v>
      </c>
      <c r="AH2" s="315" t="s">
        <v>625</v>
      </c>
      <c r="AI2" s="549" t="s">
        <v>625</v>
      </c>
      <c r="AJ2" s="309" t="s">
        <v>625</v>
      </c>
      <c r="AK2" s="315" t="s">
        <v>625</v>
      </c>
      <c r="AL2" s="549" t="s">
        <v>625</v>
      </c>
      <c r="AM2" s="309" t="s">
        <v>625</v>
      </c>
      <c r="AN2" s="315" t="s">
        <v>625</v>
      </c>
      <c r="AO2" s="549" t="s">
        <v>625</v>
      </c>
      <c r="AP2" s="309" t="s">
        <v>625</v>
      </c>
      <c r="AQ2" s="315" t="s">
        <v>625</v>
      </c>
      <c r="AR2" s="549" t="s">
        <v>625</v>
      </c>
      <c r="AS2" s="309" t="s">
        <v>625</v>
      </c>
      <c r="AT2" s="315" t="s">
        <v>625</v>
      </c>
      <c r="AU2" s="549" t="s">
        <v>625</v>
      </c>
      <c r="AV2" s="309" t="s">
        <v>625</v>
      </c>
      <c r="AW2" s="315" t="s">
        <v>625</v>
      </c>
      <c r="AX2" s="549" t="s">
        <v>625</v>
      </c>
      <c r="AY2" s="309" t="s">
        <v>625</v>
      </c>
      <c r="AZ2" s="212" t="s">
        <v>625</v>
      </c>
      <c r="BA2" s="573" t="s">
        <v>625</v>
      </c>
      <c r="BB2" s="195" t="s">
        <v>625</v>
      </c>
      <c r="BC2" s="212" t="s">
        <v>625</v>
      </c>
      <c r="BD2" s="573" t="s">
        <v>625</v>
      </c>
      <c r="BE2" s="195" t="s">
        <v>625</v>
      </c>
      <c r="BF2" s="212" t="s">
        <v>625</v>
      </c>
      <c r="BG2" s="573" t="s">
        <v>625</v>
      </c>
      <c r="BH2" s="195" t="s">
        <v>625</v>
      </c>
      <c r="BI2" s="212" t="s">
        <v>625</v>
      </c>
      <c r="BJ2" s="573" t="s">
        <v>625</v>
      </c>
      <c r="BK2" s="195" t="s">
        <v>625</v>
      </c>
      <c r="BL2" s="212" t="s">
        <v>625</v>
      </c>
      <c r="BM2" s="573" t="s">
        <v>625</v>
      </c>
    </row>
    <row r="3" spans="1:74">
      <c r="A3" s="305" t="s">
        <v>83</v>
      </c>
      <c r="B3" s="331">
        <f t="shared" ref="B3:BM3" si="2">ROUND(B41-B51,5)</f>
        <v>0</v>
      </c>
      <c r="C3" s="331">
        <f t="shared" si="2"/>
        <v>0</v>
      </c>
      <c r="D3" s="331">
        <f t="shared" si="2"/>
        <v>0</v>
      </c>
      <c r="E3" s="331">
        <f t="shared" si="2"/>
        <v>0</v>
      </c>
      <c r="F3" s="331">
        <f t="shared" si="2"/>
        <v>0</v>
      </c>
      <c r="G3" s="331">
        <f t="shared" si="2"/>
        <v>0</v>
      </c>
      <c r="H3" s="331">
        <f t="shared" si="2"/>
        <v>0</v>
      </c>
      <c r="I3" s="331">
        <f t="shared" si="2"/>
        <v>0</v>
      </c>
      <c r="J3" s="331">
        <f t="shared" si="2"/>
        <v>0</v>
      </c>
      <c r="K3" s="331">
        <f t="shared" si="2"/>
        <v>0</v>
      </c>
      <c r="L3" s="331">
        <f t="shared" si="2"/>
        <v>0</v>
      </c>
      <c r="M3" s="331">
        <f t="shared" si="2"/>
        <v>0</v>
      </c>
      <c r="N3" s="331">
        <f t="shared" si="2"/>
        <v>0</v>
      </c>
      <c r="O3" s="331">
        <f t="shared" si="2"/>
        <v>0</v>
      </c>
      <c r="P3" s="331">
        <f t="shared" si="2"/>
        <v>0</v>
      </c>
      <c r="Q3" s="331">
        <f t="shared" si="2"/>
        <v>0</v>
      </c>
      <c r="R3" s="331">
        <f t="shared" ref="R3:S3" si="3">ROUND(R41-R51,5)</f>
        <v>0</v>
      </c>
      <c r="S3" s="693">
        <f t="shared" si="3"/>
        <v>0</v>
      </c>
      <c r="T3" s="708">
        <f t="shared" si="2"/>
        <v>0</v>
      </c>
      <c r="U3" s="331">
        <f t="shared" ref="U3:V3" si="4">ROUND(U41-U51,5)</f>
        <v>0</v>
      </c>
      <c r="V3" s="693">
        <f t="shared" si="4"/>
        <v>0</v>
      </c>
      <c r="W3" s="708">
        <f t="shared" si="2"/>
        <v>0</v>
      </c>
      <c r="X3" s="331"/>
      <c r="Y3" s="693"/>
      <c r="Z3" s="708">
        <f t="shared" si="2"/>
        <v>0</v>
      </c>
      <c r="AA3" s="331">
        <f t="shared" ref="AA3:AB3" si="5">ROUND(AA41-AA51,5)</f>
        <v>0</v>
      </c>
      <c r="AB3" s="693">
        <f t="shared" si="5"/>
        <v>0</v>
      </c>
      <c r="AC3" s="708">
        <f t="shared" si="2"/>
        <v>0</v>
      </c>
      <c r="AD3" s="331">
        <f t="shared" si="2"/>
        <v>0</v>
      </c>
      <c r="AE3" s="693">
        <f t="shared" si="2"/>
        <v>0</v>
      </c>
      <c r="AF3" s="708">
        <f t="shared" si="2"/>
        <v>0</v>
      </c>
      <c r="AG3" s="331">
        <f t="shared" ref="AG3:AH3" si="6">ROUND(AG41-AG51,5)</f>
        <v>0</v>
      </c>
      <c r="AH3" s="693">
        <f t="shared" si="6"/>
        <v>0</v>
      </c>
      <c r="AI3" s="708">
        <f>ROUND(AI41-AI51,5)</f>
        <v>0</v>
      </c>
      <c r="AJ3" s="331">
        <f t="shared" ref="AJ3:AK3" si="7">ROUND(AJ41-AJ51,5)</f>
        <v>0</v>
      </c>
      <c r="AK3" s="693">
        <f t="shared" si="7"/>
        <v>0</v>
      </c>
      <c r="AL3" s="708">
        <f t="shared" si="2"/>
        <v>0</v>
      </c>
      <c r="AM3" s="331">
        <f t="shared" ref="AM3:AN3" si="8">ROUND(AM41-AM51,5)</f>
        <v>0</v>
      </c>
      <c r="AN3" s="693">
        <f t="shared" si="8"/>
        <v>0</v>
      </c>
      <c r="AO3" s="708">
        <f t="shared" si="2"/>
        <v>0</v>
      </c>
      <c r="AP3" s="331">
        <f t="shared" si="2"/>
        <v>0</v>
      </c>
      <c r="AQ3" s="693">
        <f t="shared" si="2"/>
        <v>0</v>
      </c>
      <c r="AR3" s="708">
        <f t="shared" si="2"/>
        <v>0</v>
      </c>
      <c r="AS3" s="331">
        <f t="shared" si="2"/>
        <v>0</v>
      </c>
      <c r="AT3" s="693">
        <f t="shared" ref="AT3" si="9">ROUND(AT41-AT51,5)</f>
        <v>0</v>
      </c>
      <c r="AU3" s="708">
        <f t="shared" si="2"/>
        <v>0</v>
      </c>
      <c r="AV3" s="331">
        <f t="shared" ref="AV3:AW3" si="10">ROUND(AV41-AV51,5)</f>
        <v>0</v>
      </c>
      <c r="AW3" s="693">
        <f t="shared" si="10"/>
        <v>0</v>
      </c>
      <c r="AX3" s="708">
        <f t="shared" si="2"/>
        <v>0</v>
      </c>
      <c r="AY3" s="331">
        <f t="shared" ref="AY3:AZ3" si="11">ROUND(AY41-AY51,5)</f>
        <v>0</v>
      </c>
      <c r="AZ3" s="703">
        <f t="shared" si="11"/>
        <v>0</v>
      </c>
      <c r="BA3" s="697">
        <f t="shared" si="2"/>
        <v>0</v>
      </c>
      <c r="BB3" s="332">
        <f t="shared" ref="BB3:BC3" si="12">ROUND(BB41-BB51,5)</f>
        <v>0</v>
      </c>
      <c r="BC3" s="703">
        <f t="shared" si="12"/>
        <v>0</v>
      </c>
      <c r="BD3" s="697">
        <f t="shared" si="2"/>
        <v>0</v>
      </c>
      <c r="BE3" s="332">
        <f t="shared" ref="BE3:BF3" si="13">ROUND(BE41-BE51,5)</f>
        <v>0</v>
      </c>
      <c r="BF3" s="703">
        <f t="shared" si="13"/>
        <v>0</v>
      </c>
      <c r="BG3" s="697">
        <f t="shared" si="2"/>
        <v>0</v>
      </c>
      <c r="BH3" s="332">
        <f t="shared" ref="BH3:BI3" si="14">ROUND(BH41-BH51,5)</f>
        <v>0</v>
      </c>
      <c r="BI3" s="703">
        <f t="shared" si="14"/>
        <v>0</v>
      </c>
      <c r="BJ3" s="697">
        <f t="shared" si="2"/>
        <v>0</v>
      </c>
      <c r="BK3" s="332">
        <f t="shared" ref="BK3:BL3" si="15">ROUND(BK41-BK51,5)</f>
        <v>0</v>
      </c>
      <c r="BL3" s="703">
        <f t="shared" si="15"/>
        <v>0</v>
      </c>
      <c r="BM3" s="697">
        <f t="shared" si="2"/>
        <v>0</v>
      </c>
      <c r="BV3" s="31" t="s">
        <v>904</v>
      </c>
    </row>
    <row r="4" spans="1:74">
      <c r="B4" s="40"/>
      <c r="C4" s="40"/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630"/>
      <c r="T4" s="653"/>
      <c r="U4" s="40"/>
      <c r="V4" s="630"/>
      <c r="W4" s="653"/>
      <c r="X4" s="40"/>
      <c r="Y4" s="630"/>
      <c r="Z4" s="653"/>
      <c r="AA4" s="40"/>
      <c r="AB4" s="630"/>
      <c r="AC4" s="653"/>
      <c r="AD4" s="40"/>
      <c r="AE4" s="630"/>
      <c r="AF4" s="653"/>
      <c r="AG4" s="40"/>
      <c r="AH4" s="630"/>
      <c r="AI4" s="653"/>
      <c r="AJ4" s="40"/>
      <c r="AK4" s="630"/>
      <c r="AL4" s="653"/>
      <c r="AM4" s="40"/>
      <c r="AN4" s="630"/>
      <c r="AO4" s="653"/>
      <c r="AP4" s="40"/>
      <c r="AQ4" s="539"/>
      <c r="AR4" s="550"/>
      <c r="AS4"/>
      <c r="AT4" s="539"/>
      <c r="AU4" s="550"/>
      <c r="AV4"/>
      <c r="AW4" s="539"/>
      <c r="AX4" s="550"/>
      <c r="AY4"/>
      <c r="AZ4" s="539"/>
      <c r="BA4" s="210"/>
      <c r="BB4"/>
      <c r="BC4" s="539"/>
      <c r="BD4" s="210"/>
      <c r="BE4"/>
      <c r="BF4" s="539"/>
      <c r="BG4" s="210"/>
      <c r="BH4"/>
      <c r="BI4" s="539"/>
      <c r="BJ4" s="550"/>
      <c r="BK4"/>
      <c r="BL4" s="539"/>
      <c r="BM4" s="210"/>
    </row>
    <row r="5" spans="1:74">
      <c r="A5" s="25" t="s">
        <v>67</v>
      </c>
      <c r="B5" s="40">
        <v>877</v>
      </c>
      <c r="C5" s="40">
        <v>823</v>
      </c>
      <c r="D5" s="40">
        <v>868</v>
      </c>
      <c r="E5" s="40">
        <v>863</v>
      </c>
      <c r="F5" s="40">
        <v>1227</v>
      </c>
      <c r="G5" s="40">
        <v>1315</v>
      </c>
      <c r="H5" s="40">
        <v>1460</v>
      </c>
      <c r="I5" s="40">
        <v>1761</v>
      </c>
      <c r="J5" s="40">
        <v>2286</v>
      </c>
      <c r="K5" s="40">
        <v>2472</v>
      </c>
      <c r="L5" s="40">
        <v>2884</v>
      </c>
      <c r="M5" s="40">
        <v>2882</v>
      </c>
      <c r="N5" s="40">
        <v>2901</v>
      </c>
      <c r="O5" s="40">
        <v>4987</v>
      </c>
      <c r="P5" s="40">
        <v>4804</v>
      </c>
      <c r="Q5" s="40">
        <v>4645</v>
      </c>
      <c r="R5" s="40">
        <v>4990</v>
      </c>
      <c r="S5" s="630">
        <f>T5</f>
        <v>5080</v>
      </c>
      <c r="T5" s="653">
        <v>5080</v>
      </c>
      <c r="U5" s="40">
        <v>5269</v>
      </c>
      <c r="V5" s="630">
        <f>W5</f>
        <v>7063</v>
      </c>
      <c r="W5" s="653">
        <v>7063</v>
      </c>
      <c r="X5" s="40"/>
      <c r="Y5" s="630"/>
      <c r="Z5" s="653">
        <v>5565</v>
      </c>
      <c r="AA5" s="40">
        <v>5266</v>
      </c>
      <c r="AB5" s="630">
        <f>AC5</f>
        <v>5295</v>
      </c>
      <c r="AC5" s="653">
        <v>5295</v>
      </c>
      <c r="AD5" s="40">
        <v>5437</v>
      </c>
      <c r="AE5" s="630">
        <f>AF5</f>
        <v>5442</v>
      </c>
      <c r="AF5" s="653">
        <v>5442</v>
      </c>
      <c r="AG5" s="40">
        <v>5329</v>
      </c>
      <c r="AH5" s="630">
        <f>AI5</f>
        <v>5145</v>
      </c>
      <c r="AI5" s="653">
        <v>5145</v>
      </c>
      <c r="AJ5" s="40">
        <v>4063</v>
      </c>
      <c r="AK5" s="630">
        <f>AL5</f>
        <v>4041</v>
      </c>
      <c r="AL5" s="653">
        <v>4041</v>
      </c>
      <c r="AM5" s="40">
        <v>4054</v>
      </c>
      <c r="AN5" s="630">
        <f>AO5</f>
        <v>4098</v>
      </c>
      <c r="AO5" s="653">
        <v>4098</v>
      </c>
      <c r="AP5" s="40">
        <v>4019</v>
      </c>
      <c r="AQ5" s="630">
        <f>AR5</f>
        <v>4009</v>
      </c>
      <c r="AR5" s="653">
        <v>4009</v>
      </c>
      <c r="AS5" s="40">
        <v>4426</v>
      </c>
      <c r="AT5" s="630">
        <f>AU5</f>
        <v>4402</v>
      </c>
      <c r="AU5" s="653">
        <v>4402</v>
      </c>
      <c r="AV5" s="1083">
        <v>4488</v>
      </c>
      <c r="AW5" s="630">
        <f>AX5</f>
        <v>4598</v>
      </c>
      <c r="AX5" s="653">
        <f>1028+3570</f>
        <v>4598</v>
      </c>
      <c r="AY5" s="1083">
        <f>1024+3600</f>
        <v>4624</v>
      </c>
      <c r="AZ5" s="236">
        <f>BA5</f>
        <v>4712.3682510262506</v>
      </c>
      <c r="BA5" s="219">
        <f>AX5-CFS!BA34-BA149+IS!BA21-CFS!BA41-BA154</f>
        <v>4712.3682510262506</v>
      </c>
      <c r="BB5" s="1069">
        <f>BA5-CFS!BB34-BB149+IS!BB21-CFS!BB41-BB154</f>
        <v>4775.4617015810563</v>
      </c>
      <c r="BC5" s="236">
        <f>BD5</f>
        <v>4842.7056090863089</v>
      </c>
      <c r="BD5" s="219">
        <f>BA5-CFS!BD34-BD149+IS!BD21-CFS!BD41-BD154</f>
        <v>4842.7056090863089</v>
      </c>
      <c r="BE5" s="1069">
        <f>BD5-CFS!BE34-BE149+IS!BE21-CFS!BE41-BE154</f>
        <v>4911.8901737465421</v>
      </c>
      <c r="BF5" s="236">
        <f>BG5</f>
        <v>4987.0077580914549</v>
      </c>
      <c r="BG5" s="219">
        <f>BD5-CFS!BG34-BG149+IS!BG21-CFS!BG41-BG154</f>
        <v>4987.0077580914549</v>
      </c>
      <c r="BH5" s="1069">
        <f>BG5-CFS!BH34-BH149+IS!BH21-CFS!BH41-BH154</f>
        <v>5064.5424349766627</v>
      </c>
      <c r="BI5" s="236">
        <f>BJ5</f>
        <v>5148.7040674533855</v>
      </c>
      <c r="BJ5" s="219">
        <f>BG5-CFS!BJ34-BJ149+IS!BJ21-CFS!BJ41-BJ154</f>
        <v>5148.7040674533855</v>
      </c>
      <c r="BK5" s="1069">
        <f>BJ5-CFS!BK34-BK149+IS!BK21-CFS!BK41-BK154</f>
        <v>5235.6293247212661</v>
      </c>
      <c r="BL5" s="236">
        <f>BM5</f>
        <v>5329.8102915487725</v>
      </c>
      <c r="BM5" s="219">
        <f>BJ5-CFS!BM34-BM149+IS!BM21-CFS!BM41-BM154</f>
        <v>5329.8102915487725</v>
      </c>
    </row>
    <row r="6" spans="1:74">
      <c r="A6" s="25" t="s">
        <v>68</v>
      </c>
      <c r="B6" s="40">
        <v>1772</v>
      </c>
      <c r="C6" s="40">
        <v>1732</v>
      </c>
      <c r="D6" s="40">
        <v>1876</v>
      </c>
      <c r="E6" s="40">
        <v>1750</v>
      </c>
      <c r="F6" s="40">
        <v>1672</v>
      </c>
      <c r="G6" s="40">
        <v>1649</v>
      </c>
      <c r="H6" s="40">
        <v>1706</v>
      </c>
      <c r="I6" s="40">
        <v>1813</v>
      </c>
      <c r="J6" s="40">
        <v>1995</v>
      </c>
      <c r="K6" s="40">
        <v>2009</v>
      </c>
      <c r="L6" s="40">
        <v>2136</v>
      </c>
      <c r="M6" s="40">
        <v>2338</v>
      </c>
      <c r="N6" s="40">
        <v>2564</v>
      </c>
      <c r="O6" s="40">
        <v>3392</v>
      </c>
      <c r="P6" s="40">
        <v>3446</v>
      </c>
      <c r="Q6" s="40">
        <v>3490</v>
      </c>
      <c r="R6" s="40">
        <v>3718</v>
      </c>
      <c r="S6" s="630">
        <f t="shared" ref="S6:S12" si="16">T6</f>
        <v>4114</v>
      </c>
      <c r="T6" s="653">
        <v>4114</v>
      </c>
      <c r="U6" s="40">
        <v>4071</v>
      </c>
      <c r="V6" s="630">
        <f t="shared" ref="V6:V12" si="17">W6</f>
        <v>4624</v>
      </c>
      <c r="W6" s="653">
        <v>4624</v>
      </c>
      <c r="X6" s="40"/>
      <c r="Y6" s="630"/>
      <c r="Z6" s="653">
        <v>4658</v>
      </c>
      <c r="AA6" s="40">
        <v>4494</v>
      </c>
      <c r="AB6" s="630">
        <f t="shared" ref="AB6:AB12" si="18">AC6</f>
        <v>4929</v>
      </c>
      <c r="AC6" s="653">
        <v>4929</v>
      </c>
      <c r="AD6" s="40">
        <v>4768</v>
      </c>
      <c r="AE6" s="630">
        <f t="shared" ref="AE6:AE12" si="19">AF6</f>
        <v>4803</v>
      </c>
      <c r="AF6" s="653">
        <v>4803</v>
      </c>
      <c r="AG6" s="40">
        <v>4612</v>
      </c>
      <c r="AH6" s="630">
        <f t="shared" ref="AH6:AH12" si="20">AI6</f>
        <v>4515</v>
      </c>
      <c r="AI6" s="653">
        <v>4515</v>
      </c>
      <c r="AJ6" s="40">
        <v>3992</v>
      </c>
      <c r="AK6" s="630">
        <f t="shared" ref="AK6:AK12" si="21">AL6</f>
        <v>3917</v>
      </c>
      <c r="AL6" s="653">
        <v>3917</v>
      </c>
      <c r="AM6" s="40">
        <v>3899</v>
      </c>
      <c r="AN6" s="630">
        <f t="shared" ref="AN6:AN12" si="22">AO6</f>
        <v>3936</v>
      </c>
      <c r="AO6" s="653">
        <v>3936</v>
      </c>
      <c r="AP6" s="40">
        <v>3807</v>
      </c>
      <c r="AQ6" s="630">
        <f t="shared" ref="AQ6:AQ12" si="23">AR6</f>
        <v>3728</v>
      </c>
      <c r="AR6" s="653">
        <v>3728</v>
      </c>
      <c r="AS6" s="40">
        <v>3637</v>
      </c>
      <c r="AT6" s="630">
        <f t="shared" ref="AT6:AT12" si="24">AU6</f>
        <v>3724</v>
      </c>
      <c r="AU6" s="653">
        <v>3724</v>
      </c>
      <c r="AV6" s="40">
        <v>3732</v>
      </c>
      <c r="AW6" s="630">
        <f t="shared" ref="AW6:AW12" si="25">AX6</f>
        <v>4013</v>
      </c>
      <c r="AX6" s="653">
        <v>4013</v>
      </c>
      <c r="AY6" s="40">
        <v>4148</v>
      </c>
      <c r="AZ6" s="236">
        <f t="shared" ref="AZ6:AZ12" si="26">BA6</f>
        <v>4313.5171793183072</v>
      </c>
      <c r="BA6" s="219">
        <f t="shared" ref="BA6:BM6" si="27">BA164</f>
        <v>4313.5171793183072</v>
      </c>
      <c r="BB6" s="56">
        <f>BB164</f>
        <v>4483.3351329187271</v>
      </c>
      <c r="BC6" s="236">
        <f t="shared" ref="BC6:BC12" si="28">BD6</f>
        <v>4664.324168456078</v>
      </c>
      <c r="BD6" s="219">
        <f t="shared" si="27"/>
        <v>4664.324168456078</v>
      </c>
      <c r="BE6" s="56">
        <f>BE164</f>
        <v>4850.536542133932</v>
      </c>
      <c r="BF6" s="236">
        <f t="shared" ref="BF6:BF12" si="29">BG6</f>
        <v>5052.7178199161544</v>
      </c>
      <c r="BG6" s="219">
        <f t="shared" si="27"/>
        <v>5052.7178199161544</v>
      </c>
      <c r="BH6" s="56">
        <f>BH164</f>
        <v>5261.4047762632081</v>
      </c>
      <c r="BI6" s="236">
        <f t="shared" ref="BI6:BI12" si="30">BJ6</f>
        <v>5487.9283864508125</v>
      </c>
      <c r="BJ6" s="219">
        <f t="shared" si="27"/>
        <v>5487.9283864508125</v>
      </c>
      <c r="BK6" s="56">
        <f>BK164</f>
        <v>5721.8903773645761</v>
      </c>
      <c r="BL6" s="236">
        <f t="shared" ref="BL6:BL12" si="31">BM6</f>
        <v>5975.3813326716299</v>
      </c>
      <c r="BM6" s="219">
        <f t="shared" si="27"/>
        <v>5975.3813326716299</v>
      </c>
    </row>
    <row r="7" spans="1:74">
      <c r="A7" s="25" t="s">
        <v>768</v>
      </c>
      <c r="B7" s="40"/>
      <c r="C7" s="40"/>
      <c r="D7" s="40"/>
      <c r="E7" s="40"/>
      <c r="F7" s="40"/>
      <c r="G7" s="40"/>
      <c r="H7" s="40"/>
      <c r="I7" s="40"/>
      <c r="J7" s="40"/>
      <c r="K7" s="40"/>
      <c r="L7" s="40"/>
      <c r="M7" s="40"/>
      <c r="N7" s="40"/>
      <c r="O7" s="40"/>
      <c r="P7" s="40"/>
      <c r="Q7" s="40"/>
      <c r="R7" s="40"/>
      <c r="S7" s="630"/>
      <c r="T7" s="653"/>
      <c r="U7" s="40"/>
      <c r="V7" s="630"/>
      <c r="W7" s="653"/>
      <c r="X7" s="40"/>
      <c r="Y7" s="630"/>
      <c r="Z7" s="653"/>
      <c r="AA7" s="40"/>
      <c r="AB7" s="630"/>
      <c r="AC7" s="653"/>
      <c r="AD7" s="40">
        <v>2104</v>
      </c>
      <c r="AE7" s="630">
        <f t="shared" si="19"/>
        <v>2009</v>
      </c>
      <c r="AF7" s="653">
        <v>2009</v>
      </c>
      <c r="AG7" s="40">
        <v>1540</v>
      </c>
      <c r="AH7" s="630">
        <f t="shared" si="20"/>
        <v>1405</v>
      </c>
      <c r="AI7" s="653">
        <v>1405</v>
      </c>
      <c r="AJ7" s="40">
        <v>1266</v>
      </c>
      <c r="AK7" s="630">
        <f t="shared" si="21"/>
        <v>1203</v>
      </c>
      <c r="AL7" s="653">
        <v>1203</v>
      </c>
      <c r="AM7" s="40">
        <v>1116</v>
      </c>
      <c r="AN7" s="630">
        <f t="shared" si="22"/>
        <v>1061</v>
      </c>
      <c r="AO7" s="653">
        <v>1061</v>
      </c>
      <c r="AP7" s="40">
        <v>965</v>
      </c>
      <c r="AQ7" s="630">
        <f t="shared" si="23"/>
        <v>905</v>
      </c>
      <c r="AR7" s="653">
        <v>905</v>
      </c>
      <c r="AS7" s="40">
        <v>815</v>
      </c>
      <c r="AT7" s="630">
        <f t="shared" si="24"/>
        <v>761</v>
      </c>
      <c r="AU7" s="653">
        <v>761</v>
      </c>
      <c r="AV7" s="40">
        <v>785</v>
      </c>
      <c r="AW7" s="630">
        <f t="shared" si="25"/>
        <v>759</v>
      </c>
      <c r="AX7" s="653">
        <v>759</v>
      </c>
      <c r="AY7" s="40">
        <v>766</v>
      </c>
      <c r="AZ7" s="236">
        <f t="shared" si="26"/>
        <v>704</v>
      </c>
      <c r="BA7" s="605">
        <f t="shared" ref="BA7:BM7" si="32">+BA176</f>
        <v>704</v>
      </c>
      <c r="BB7" s="56">
        <f t="shared" si="32"/>
        <v>676.5</v>
      </c>
      <c r="BC7" s="236">
        <f t="shared" si="28"/>
        <v>649</v>
      </c>
      <c r="BD7" s="219">
        <f t="shared" si="32"/>
        <v>649</v>
      </c>
      <c r="BE7" s="56">
        <f t="shared" si="32"/>
        <v>621.5</v>
      </c>
      <c r="BF7" s="236">
        <f t="shared" si="29"/>
        <v>594</v>
      </c>
      <c r="BG7" s="219">
        <f t="shared" si="32"/>
        <v>594</v>
      </c>
      <c r="BH7" s="56">
        <f t="shared" si="32"/>
        <v>566.5</v>
      </c>
      <c r="BI7" s="236">
        <f t="shared" si="30"/>
        <v>539</v>
      </c>
      <c r="BJ7" s="605">
        <f t="shared" si="32"/>
        <v>539</v>
      </c>
      <c r="BK7" s="56">
        <f t="shared" si="32"/>
        <v>511.5</v>
      </c>
      <c r="BL7" s="236">
        <f t="shared" si="31"/>
        <v>484</v>
      </c>
      <c r="BM7" s="605">
        <f t="shared" si="32"/>
        <v>484</v>
      </c>
    </row>
    <row r="8" spans="1:74">
      <c r="A8" s="25" t="s">
        <v>69</v>
      </c>
      <c r="B8" s="40">
        <v>174</v>
      </c>
      <c r="C8" s="40">
        <v>204</v>
      </c>
      <c r="D8" s="40">
        <v>195</v>
      </c>
      <c r="E8" s="40">
        <v>202</v>
      </c>
      <c r="F8" s="40">
        <v>211</v>
      </c>
      <c r="G8" s="40">
        <v>247</v>
      </c>
      <c r="H8" s="40">
        <v>240</v>
      </c>
      <c r="I8" s="40">
        <v>284</v>
      </c>
      <c r="J8" s="40">
        <v>345</v>
      </c>
      <c r="K8" s="40">
        <v>437</v>
      </c>
      <c r="L8" s="40">
        <v>393</v>
      </c>
      <c r="M8" s="40">
        <v>1680</v>
      </c>
      <c r="N8" s="40">
        <v>1800</v>
      </c>
      <c r="O8" s="40">
        <v>601</v>
      </c>
      <c r="P8" s="40">
        <v>539</v>
      </c>
      <c r="Q8" s="40">
        <v>576</v>
      </c>
      <c r="R8" s="40">
        <v>765</v>
      </c>
      <c r="S8" s="630">
        <f t="shared" si="16"/>
        <v>844</v>
      </c>
      <c r="T8" s="653">
        <v>844</v>
      </c>
      <c r="U8" s="40">
        <v>850</v>
      </c>
      <c r="V8" s="630">
        <f t="shared" si="17"/>
        <v>688</v>
      </c>
      <c r="W8" s="653">
        <v>688</v>
      </c>
      <c r="X8" s="40"/>
      <c r="Y8" s="630"/>
      <c r="Z8" s="653">
        <v>375</v>
      </c>
      <c r="AA8" s="40">
        <v>717</v>
      </c>
      <c r="AB8" s="630">
        <f t="shared" si="18"/>
        <v>412</v>
      </c>
      <c r="AC8" s="653">
        <v>412</v>
      </c>
      <c r="AD8" s="40">
        <v>405</v>
      </c>
      <c r="AE8" s="630">
        <f t="shared" si="19"/>
        <v>402</v>
      </c>
      <c r="AF8" s="653">
        <v>402</v>
      </c>
      <c r="AG8" s="40">
        <v>421</v>
      </c>
      <c r="AH8" s="630">
        <f t="shared" si="20"/>
        <v>394</v>
      </c>
      <c r="AI8" s="653">
        <v>394</v>
      </c>
      <c r="AJ8" s="40">
        <v>413</v>
      </c>
      <c r="AK8" s="630">
        <f t="shared" si="21"/>
        <v>404</v>
      </c>
      <c r="AL8" s="653">
        <v>404</v>
      </c>
      <c r="AM8" s="40">
        <v>466</v>
      </c>
      <c r="AN8" s="630">
        <f t="shared" si="22"/>
        <v>422</v>
      </c>
      <c r="AO8" s="653">
        <v>422</v>
      </c>
      <c r="AP8" s="40">
        <v>485</v>
      </c>
      <c r="AQ8" s="630">
        <f t="shared" si="23"/>
        <v>479</v>
      </c>
      <c r="AR8" s="653">
        <v>479</v>
      </c>
      <c r="AS8" s="40">
        <v>540</v>
      </c>
      <c r="AT8" s="630">
        <f t="shared" si="24"/>
        <v>592</v>
      </c>
      <c r="AU8" s="653">
        <v>592</v>
      </c>
      <c r="AV8" s="40">
        <v>1244</v>
      </c>
      <c r="AW8" s="630">
        <f t="shared" si="25"/>
        <v>1285</v>
      </c>
      <c r="AX8" s="653">
        <v>1285</v>
      </c>
      <c r="AY8" s="40">
        <v>1252</v>
      </c>
      <c r="AZ8" s="236">
        <f t="shared" si="26"/>
        <v>1260.8</v>
      </c>
      <c r="BA8" s="605">
        <f>AX8-CFS!BA9-CFS!BA49+IS!BA20</f>
        <v>1260.8</v>
      </c>
      <c r="BB8" s="56">
        <f>BA8-CFS!BB9-CFS!BB49+IS!BB20</f>
        <v>1247.67</v>
      </c>
      <c r="BC8" s="236">
        <f t="shared" si="28"/>
        <v>1234.54</v>
      </c>
      <c r="BD8" s="219">
        <f>BA8-CFS!BD9-CFS!BD49+IS!BD20</f>
        <v>1234.54</v>
      </c>
      <c r="BE8" s="56">
        <f>BD8-CFS!BE9-CFS!BE49+IS!BE20</f>
        <v>1222.9535000000001</v>
      </c>
      <c r="BF8" s="236">
        <f t="shared" si="29"/>
        <v>1211.367</v>
      </c>
      <c r="BG8" s="219">
        <f>BD8-CFS!BG9-CFS!BG49+IS!BG20</f>
        <v>1211.367</v>
      </c>
      <c r="BH8" s="56">
        <f>BG8-CFS!BH9-CFS!BH49+IS!BH20</f>
        <v>1201.401175</v>
      </c>
      <c r="BI8" s="236">
        <f t="shared" si="30"/>
        <v>1191.43535</v>
      </c>
      <c r="BJ8" s="605">
        <f>BG8-CFS!BJ9-CFS!BJ49+IS!BJ20</f>
        <v>1191.43535</v>
      </c>
      <c r="BK8" s="56">
        <f>BJ8-CFS!BK9-CFS!BK49+IS!BK20</f>
        <v>1183.1712337500001</v>
      </c>
      <c r="BL8" s="236">
        <f t="shared" si="31"/>
        <v>1174.9071174999999</v>
      </c>
      <c r="BM8" s="605">
        <f>BJ8-CFS!BM9-CFS!BM49+IS!BM20</f>
        <v>1174.9071174999999</v>
      </c>
      <c r="BN8"/>
    </row>
    <row r="9" spans="1:74">
      <c r="A9" s="25" t="s">
        <v>70</v>
      </c>
      <c r="B9" s="40">
        <v>33</v>
      </c>
      <c r="C9" s="40">
        <v>30</v>
      </c>
      <c r="D9" s="40">
        <v>71</v>
      </c>
      <c r="E9" s="40">
        <v>63</v>
      </c>
      <c r="F9" s="40">
        <v>57</v>
      </c>
      <c r="G9" s="40">
        <v>52</v>
      </c>
      <c r="H9" s="40">
        <v>51</v>
      </c>
      <c r="I9" s="40">
        <v>89</v>
      </c>
      <c r="J9" s="40">
        <v>53</v>
      </c>
      <c r="K9" s="40">
        <v>58</v>
      </c>
      <c r="L9" s="40">
        <v>11</v>
      </c>
      <c r="M9" s="40">
        <v>10</v>
      </c>
      <c r="N9" s="40">
        <v>6</v>
      </c>
      <c r="O9" s="40">
        <v>27</v>
      </c>
      <c r="P9" s="40">
        <v>31</v>
      </c>
      <c r="Q9" s="40">
        <v>33</v>
      </c>
      <c r="R9" s="40">
        <v>37</v>
      </c>
      <c r="S9" s="630">
        <f t="shared" si="16"/>
        <v>38</v>
      </c>
      <c r="T9" s="653">
        <v>38</v>
      </c>
      <c r="U9" s="40">
        <v>40</v>
      </c>
      <c r="V9" s="630">
        <f t="shared" si="17"/>
        <v>26</v>
      </c>
      <c r="W9" s="653">
        <v>26</v>
      </c>
      <c r="X9" s="40"/>
      <c r="Y9" s="630"/>
      <c r="Z9" s="653">
        <v>26</v>
      </c>
      <c r="AA9" s="40">
        <v>27</v>
      </c>
      <c r="AB9" s="630">
        <f t="shared" si="18"/>
        <v>22</v>
      </c>
      <c r="AC9" s="653">
        <v>22</v>
      </c>
      <c r="AD9" s="40">
        <v>16</v>
      </c>
      <c r="AE9" s="630">
        <f t="shared" si="19"/>
        <v>14</v>
      </c>
      <c r="AF9" s="653">
        <v>14</v>
      </c>
      <c r="AG9" s="40">
        <v>25</v>
      </c>
      <c r="AH9" s="630">
        <f t="shared" si="20"/>
        <v>19</v>
      </c>
      <c r="AI9" s="653">
        <v>19</v>
      </c>
      <c r="AJ9" s="40">
        <v>24</v>
      </c>
      <c r="AK9" s="630">
        <f t="shared" si="21"/>
        <v>36</v>
      </c>
      <c r="AL9" s="653">
        <v>36</v>
      </c>
      <c r="AM9" s="40">
        <v>36</v>
      </c>
      <c r="AN9" s="630">
        <f t="shared" si="22"/>
        <v>36</v>
      </c>
      <c r="AO9" s="653">
        <v>36</v>
      </c>
      <c r="AP9" s="40">
        <v>36</v>
      </c>
      <c r="AQ9" s="630">
        <f t="shared" si="23"/>
        <v>31</v>
      </c>
      <c r="AR9" s="653">
        <v>31</v>
      </c>
      <c r="AS9" s="40">
        <v>4</v>
      </c>
      <c r="AT9" s="630">
        <f t="shared" si="24"/>
        <v>5</v>
      </c>
      <c r="AU9" s="653">
        <v>5</v>
      </c>
      <c r="AV9" s="40">
        <v>6</v>
      </c>
      <c r="AW9" s="630">
        <f t="shared" si="25"/>
        <v>4</v>
      </c>
      <c r="AX9" s="653">
        <v>4</v>
      </c>
      <c r="AY9" s="40"/>
      <c r="AZ9" s="236">
        <f t="shared" si="26"/>
        <v>4</v>
      </c>
      <c r="BA9" s="605">
        <f>AX9-IS!BA119-CFS!BA33</f>
        <v>4</v>
      </c>
      <c r="BB9" s="56">
        <f>BA9-IS!BB119-CFS!BB33</f>
        <v>4</v>
      </c>
      <c r="BC9" s="236">
        <f t="shared" si="28"/>
        <v>4</v>
      </c>
      <c r="BD9" s="219">
        <f>BA9-IS!BD119-CFS!BD33</f>
        <v>4</v>
      </c>
      <c r="BE9" s="56">
        <f>BD9-IS!BE119-CFS!BE33</f>
        <v>4</v>
      </c>
      <c r="BF9" s="236">
        <f t="shared" si="29"/>
        <v>4</v>
      </c>
      <c r="BG9" s="219">
        <f>BD9-IS!BG119-CFS!BG33</f>
        <v>4</v>
      </c>
      <c r="BH9" s="56">
        <f>BG9-IS!BH119-CFS!BH33</f>
        <v>4</v>
      </c>
      <c r="BI9" s="236">
        <f t="shared" si="30"/>
        <v>4</v>
      </c>
      <c r="BJ9" s="605">
        <f>BG9-IS!BJ119-CFS!BJ33</f>
        <v>4</v>
      </c>
      <c r="BK9" s="56">
        <f>BJ9-IS!BK119-CFS!BK33</f>
        <v>4</v>
      </c>
      <c r="BL9" s="236">
        <f t="shared" si="31"/>
        <v>4</v>
      </c>
      <c r="BM9" s="605">
        <f>BJ9-IS!BM119-CFS!BM33</f>
        <v>4</v>
      </c>
    </row>
    <row r="10" spans="1:74">
      <c r="A10" s="25" t="s">
        <v>71</v>
      </c>
      <c r="B10" s="40">
        <v>0</v>
      </c>
      <c r="C10" s="40">
        <v>0</v>
      </c>
      <c r="D10" s="40">
        <v>0</v>
      </c>
      <c r="E10" s="40">
        <v>0</v>
      </c>
      <c r="F10" s="40">
        <v>0</v>
      </c>
      <c r="G10" s="40">
        <v>0</v>
      </c>
      <c r="H10" s="40">
        <v>0</v>
      </c>
      <c r="I10" s="40">
        <v>0</v>
      </c>
      <c r="J10" s="40">
        <v>366</v>
      </c>
      <c r="K10" s="40">
        <v>637</v>
      </c>
      <c r="L10" s="40">
        <v>371</v>
      </c>
      <c r="M10" s="40">
        <v>327</v>
      </c>
      <c r="N10" s="40">
        <v>592</v>
      </c>
      <c r="O10" s="40">
        <v>674</v>
      </c>
      <c r="P10" s="40">
        <v>107</v>
      </c>
      <c r="Q10" s="40">
        <v>83</v>
      </c>
      <c r="R10" s="40">
        <v>351</v>
      </c>
      <c r="S10" s="630">
        <f t="shared" si="16"/>
        <v>382</v>
      </c>
      <c r="T10" s="653">
        <v>382</v>
      </c>
      <c r="U10" s="40">
        <v>413</v>
      </c>
      <c r="V10" s="630">
        <f t="shared" si="17"/>
        <v>610</v>
      </c>
      <c r="W10" s="653">
        <v>610</v>
      </c>
      <c r="X10" s="40"/>
      <c r="Y10" s="630"/>
      <c r="Z10" s="653">
        <v>610</v>
      </c>
      <c r="AA10" s="40">
        <v>409</v>
      </c>
      <c r="AB10" s="630">
        <f t="shared" si="18"/>
        <v>343</v>
      </c>
      <c r="AC10" s="653">
        <v>343</v>
      </c>
      <c r="AD10" s="40">
        <v>437</v>
      </c>
      <c r="AE10" s="630">
        <f t="shared" si="19"/>
        <v>467</v>
      </c>
      <c r="AF10" s="653">
        <v>467</v>
      </c>
      <c r="AG10" s="40">
        <v>463</v>
      </c>
      <c r="AH10" s="630">
        <f t="shared" si="20"/>
        <v>687</v>
      </c>
      <c r="AI10" s="653">
        <v>687</v>
      </c>
      <c r="AJ10" s="40">
        <v>537</v>
      </c>
      <c r="AK10" s="630">
        <f t="shared" si="21"/>
        <v>361</v>
      </c>
      <c r="AL10" s="653">
        <v>361</v>
      </c>
      <c r="AM10" s="40">
        <v>433</v>
      </c>
      <c r="AN10" s="630">
        <f t="shared" si="22"/>
        <v>542</v>
      </c>
      <c r="AO10" s="653">
        <v>542</v>
      </c>
      <c r="AP10" s="40">
        <v>414</v>
      </c>
      <c r="AQ10" s="630">
        <f t="shared" si="23"/>
        <v>360</v>
      </c>
      <c r="AR10" s="653">
        <v>360</v>
      </c>
      <c r="AS10" s="40">
        <v>314</v>
      </c>
      <c r="AT10" s="630">
        <f t="shared" si="24"/>
        <v>126</v>
      </c>
      <c r="AU10" s="653">
        <v>126</v>
      </c>
      <c r="AV10" s="40">
        <v>777</v>
      </c>
      <c r="AW10" s="630">
        <f t="shared" si="25"/>
        <v>523</v>
      </c>
      <c r="AX10" s="653">
        <v>523</v>
      </c>
      <c r="AY10" s="40">
        <v>304</v>
      </c>
      <c r="AZ10" s="236">
        <f t="shared" si="26"/>
        <v>523</v>
      </c>
      <c r="BA10" s="605">
        <f>AX10</f>
        <v>523</v>
      </c>
      <c r="BB10" s="56">
        <f>BA10</f>
        <v>523</v>
      </c>
      <c r="BC10" s="236">
        <f t="shared" si="28"/>
        <v>523</v>
      </c>
      <c r="BD10" s="605">
        <f>BA10</f>
        <v>523</v>
      </c>
      <c r="BE10" s="56">
        <f>BD10</f>
        <v>523</v>
      </c>
      <c r="BF10" s="236">
        <f t="shared" si="29"/>
        <v>523</v>
      </c>
      <c r="BG10" s="605">
        <f>BD10</f>
        <v>523</v>
      </c>
      <c r="BH10" s="56">
        <f>BG10</f>
        <v>523</v>
      </c>
      <c r="BI10" s="236">
        <f t="shared" si="30"/>
        <v>523</v>
      </c>
      <c r="BJ10" s="605">
        <f>BG10</f>
        <v>523</v>
      </c>
      <c r="BK10" s="56">
        <f>BJ10</f>
        <v>523</v>
      </c>
      <c r="BL10" s="236">
        <f t="shared" si="31"/>
        <v>523</v>
      </c>
      <c r="BM10" s="605">
        <f t="shared" ref="BM10:BM12" si="33">BJ10</f>
        <v>523</v>
      </c>
    </row>
    <row r="11" spans="1:74">
      <c r="A11" s="25" t="s">
        <v>72</v>
      </c>
      <c r="B11" s="40">
        <v>108</v>
      </c>
      <c r="C11" s="40">
        <f>15+82</f>
        <v>97</v>
      </c>
      <c r="D11" s="40">
        <f>21+84</f>
        <v>105</v>
      </c>
      <c r="E11" s="40">
        <f>23+94</f>
        <v>117</v>
      </c>
      <c r="F11" s="40">
        <v>318</v>
      </c>
      <c r="G11" s="40">
        <v>439</v>
      </c>
      <c r="H11" s="40">
        <v>141</v>
      </c>
      <c r="I11" s="40">
        <v>81</v>
      </c>
      <c r="J11" s="40">
        <v>804</v>
      </c>
      <c r="K11" s="40">
        <v>360</v>
      </c>
      <c r="L11" s="40">
        <v>451</v>
      </c>
      <c r="M11" s="40">
        <v>368</v>
      </c>
      <c r="N11" s="40">
        <v>342</v>
      </c>
      <c r="O11" s="40">
        <v>316</v>
      </c>
      <c r="P11" s="40">
        <v>369</v>
      </c>
      <c r="Q11" s="40">
        <v>318</v>
      </c>
      <c r="R11" s="40">
        <v>617</v>
      </c>
      <c r="S11" s="630">
        <f t="shared" si="16"/>
        <v>876</v>
      </c>
      <c r="T11" s="653">
        <v>876</v>
      </c>
      <c r="U11" s="40">
        <v>634</v>
      </c>
      <c r="V11" s="630">
        <f t="shared" si="17"/>
        <v>271</v>
      </c>
      <c r="W11" s="653">
        <v>271</v>
      </c>
      <c r="X11" s="40"/>
      <c r="Y11" s="630"/>
      <c r="Z11" s="653">
        <v>1451</v>
      </c>
      <c r="AA11" s="40">
        <v>938</v>
      </c>
      <c r="AB11" s="630">
        <f t="shared" si="18"/>
        <v>2092</v>
      </c>
      <c r="AC11" s="653">
        <v>2092</v>
      </c>
      <c r="AD11" s="40">
        <v>2149</v>
      </c>
      <c r="AE11" s="630">
        <f t="shared" si="19"/>
        <v>1887</v>
      </c>
      <c r="AF11" s="653">
        <v>1887</v>
      </c>
      <c r="AG11" s="40">
        <v>2062</v>
      </c>
      <c r="AH11" s="630">
        <f t="shared" si="20"/>
        <v>1826</v>
      </c>
      <c r="AI11" s="653">
        <v>1826</v>
      </c>
      <c r="AJ11" s="40">
        <v>2062</v>
      </c>
      <c r="AK11" s="630">
        <f t="shared" si="21"/>
        <v>2249</v>
      </c>
      <c r="AL11" s="653">
        <v>2249</v>
      </c>
      <c r="AM11" s="40">
        <v>2433</v>
      </c>
      <c r="AN11" s="630">
        <f t="shared" si="22"/>
        <v>2731</v>
      </c>
      <c r="AO11" s="653">
        <v>2731</v>
      </c>
      <c r="AP11" s="40">
        <v>2618</v>
      </c>
      <c r="AQ11" s="630">
        <f t="shared" si="23"/>
        <v>2998</v>
      </c>
      <c r="AR11" s="653">
        <v>2998</v>
      </c>
      <c r="AS11" s="40">
        <v>2922</v>
      </c>
      <c r="AT11" s="630">
        <f t="shared" si="24"/>
        <v>3660</v>
      </c>
      <c r="AU11" s="653">
        <v>3660</v>
      </c>
      <c r="AV11" s="40">
        <v>3475</v>
      </c>
      <c r="AW11" s="630">
        <f t="shared" si="25"/>
        <v>3460</v>
      </c>
      <c r="AX11" s="653">
        <v>3460</v>
      </c>
      <c r="AY11" s="40">
        <v>3425</v>
      </c>
      <c r="AZ11" s="236">
        <f t="shared" si="26"/>
        <v>3460</v>
      </c>
      <c r="BA11" s="605">
        <f>AX11</f>
        <v>3460</v>
      </c>
      <c r="BB11" s="56">
        <f>BA11</f>
        <v>3460</v>
      </c>
      <c r="BC11" s="236">
        <f t="shared" si="28"/>
        <v>3460</v>
      </c>
      <c r="BD11" s="605">
        <f>BA11</f>
        <v>3460</v>
      </c>
      <c r="BE11" s="56">
        <f>BD11</f>
        <v>3460</v>
      </c>
      <c r="BF11" s="236">
        <f t="shared" si="29"/>
        <v>3460</v>
      </c>
      <c r="BG11" s="605">
        <f>BD11</f>
        <v>3460</v>
      </c>
      <c r="BH11" s="56">
        <f>BG11</f>
        <v>3460</v>
      </c>
      <c r="BI11" s="236">
        <f t="shared" si="30"/>
        <v>3460</v>
      </c>
      <c r="BJ11" s="605">
        <f>BG11</f>
        <v>3460</v>
      </c>
      <c r="BK11" s="56">
        <f>BJ11</f>
        <v>3460</v>
      </c>
      <c r="BL11" s="236">
        <f t="shared" si="31"/>
        <v>3460</v>
      </c>
      <c r="BM11" s="605">
        <f t="shared" si="33"/>
        <v>3460</v>
      </c>
    </row>
    <row r="12" spans="1:74">
      <c r="A12" s="25" t="s">
        <v>73</v>
      </c>
      <c r="B12" s="40">
        <v>0</v>
      </c>
      <c r="C12" s="40">
        <v>0</v>
      </c>
      <c r="D12" s="40">
        <v>0</v>
      </c>
      <c r="E12" s="40">
        <v>0</v>
      </c>
      <c r="F12" s="40">
        <v>0</v>
      </c>
      <c r="G12" s="40">
        <v>0</v>
      </c>
      <c r="H12" s="40">
        <v>22</v>
      </c>
      <c r="I12" s="40">
        <v>210</v>
      </c>
      <c r="J12" s="40">
        <v>453</v>
      </c>
      <c r="K12" s="40">
        <v>75</v>
      </c>
      <c r="L12" s="40">
        <v>164</v>
      </c>
      <c r="M12" s="40">
        <v>503</v>
      </c>
      <c r="N12" s="40">
        <v>348</v>
      </c>
      <c r="O12" s="40">
        <v>248</v>
      </c>
      <c r="P12" s="40">
        <v>1740</v>
      </c>
      <c r="Q12" s="40">
        <v>1063</v>
      </c>
      <c r="R12" s="40">
        <v>1545</v>
      </c>
      <c r="S12" s="630">
        <f t="shared" si="16"/>
        <v>1346</v>
      </c>
      <c r="T12" s="653">
        <v>1346</v>
      </c>
      <c r="U12" s="40">
        <v>1243</v>
      </c>
      <c r="V12" s="630">
        <f t="shared" si="17"/>
        <v>2125</v>
      </c>
      <c r="W12" s="653">
        <v>2125</v>
      </c>
      <c r="X12" s="40"/>
      <c r="Y12" s="630"/>
      <c r="Z12" s="653">
        <v>2125</v>
      </c>
      <c r="AA12" s="40">
        <v>2521</v>
      </c>
      <c r="AB12" s="630">
        <f t="shared" si="18"/>
        <v>1944</v>
      </c>
      <c r="AC12" s="653">
        <v>1944</v>
      </c>
      <c r="AD12" s="40">
        <v>1143</v>
      </c>
      <c r="AE12" s="630">
        <f t="shared" si="19"/>
        <v>1170</v>
      </c>
      <c r="AF12" s="653">
        <v>1170</v>
      </c>
      <c r="AG12" s="40">
        <v>1736</v>
      </c>
      <c r="AH12" s="630">
        <f t="shared" si="20"/>
        <v>907</v>
      </c>
      <c r="AI12" s="653">
        <v>907</v>
      </c>
      <c r="AJ12" s="40">
        <v>914</v>
      </c>
      <c r="AK12" s="630">
        <f t="shared" si="21"/>
        <v>1148</v>
      </c>
      <c r="AL12" s="653">
        <v>1148</v>
      </c>
      <c r="AM12" s="40">
        <v>1157</v>
      </c>
      <c r="AN12" s="630">
        <f t="shared" si="22"/>
        <v>613</v>
      </c>
      <c r="AO12" s="653">
        <v>613</v>
      </c>
      <c r="AP12" s="40">
        <v>591</v>
      </c>
      <c r="AQ12" s="630">
        <f t="shared" si="23"/>
        <v>782</v>
      </c>
      <c r="AR12" s="653">
        <v>782</v>
      </c>
      <c r="AS12" s="40">
        <v>868</v>
      </c>
      <c r="AT12" s="630">
        <f t="shared" si="24"/>
        <v>790</v>
      </c>
      <c r="AU12" s="653">
        <v>790</v>
      </c>
      <c r="AV12" s="40">
        <v>750</v>
      </c>
      <c r="AW12" s="630">
        <f t="shared" si="25"/>
        <v>286</v>
      </c>
      <c r="AX12" s="653">
        <v>286</v>
      </c>
      <c r="AY12" s="40">
        <v>143</v>
      </c>
      <c r="AZ12" s="236">
        <f t="shared" si="26"/>
        <v>286</v>
      </c>
      <c r="BA12" s="605">
        <f>AX12</f>
        <v>286</v>
      </c>
      <c r="BB12" s="56">
        <f>BA12</f>
        <v>286</v>
      </c>
      <c r="BC12" s="236">
        <f t="shared" si="28"/>
        <v>286</v>
      </c>
      <c r="BD12" s="605">
        <f>BA12</f>
        <v>286</v>
      </c>
      <c r="BE12" s="56">
        <f>BD12</f>
        <v>286</v>
      </c>
      <c r="BF12" s="236">
        <f t="shared" si="29"/>
        <v>286</v>
      </c>
      <c r="BG12" s="605">
        <f>BD12</f>
        <v>286</v>
      </c>
      <c r="BH12" s="56">
        <f>BG12</f>
        <v>286</v>
      </c>
      <c r="BI12" s="236">
        <f t="shared" si="30"/>
        <v>286</v>
      </c>
      <c r="BJ12" s="605">
        <f>BG12</f>
        <v>286</v>
      </c>
      <c r="BK12" s="56">
        <f>BJ12</f>
        <v>286</v>
      </c>
      <c r="BL12" s="236">
        <f t="shared" si="31"/>
        <v>286</v>
      </c>
      <c r="BM12" s="605">
        <f t="shared" si="33"/>
        <v>286</v>
      </c>
    </row>
    <row r="13" spans="1:74">
      <c r="A13" s="68" t="s">
        <v>80</v>
      </c>
      <c r="B13" s="46">
        <f t="shared" ref="B13:K13" si="34">SUM(B5:B12)</f>
        <v>2964</v>
      </c>
      <c r="C13" s="46">
        <f t="shared" si="34"/>
        <v>2886</v>
      </c>
      <c r="D13" s="46">
        <f t="shared" si="34"/>
        <v>3115</v>
      </c>
      <c r="E13" s="46">
        <f t="shared" si="34"/>
        <v>2995</v>
      </c>
      <c r="F13" s="46">
        <f t="shared" si="34"/>
        <v>3485</v>
      </c>
      <c r="G13" s="46">
        <f t="shared" si="34"/>
        <v>3702</v>
      </c>
      <c r="H13" s="46">
        <f t="shared" si="34"/>
        <v>3620</v>
      </c>
      <c r="I13" s="46">
        <f>SUM(I5:I12)</f>
        <v>4238</v>
      </c>
      <c r="J13" s="46">
        <f t="shared" si="34"/>
        <v>6302</v>
      </c>
      <c r="K13" s="46">
        <f t="shared" si="34"/>
        <v>6048</v>
      </c>
      <c r="L13" s="46">
        <f t="shared" ref="L13:BM13" si="35">SUM(L5:L12)</f>
        <v>6410</v>
      </c>
      <c r="M13" s="46">
        <f t="shared" si="35"/>
        <v>8108</v>
      </c>
      <c r="N13" s="46">
        <f t="shared" si="35"/>
        <v>8553</v>
      </c>
      <c r="O13" s="46">
        <f t="shared" si="35"/>
        <v>10245</v>
      </c>
      <c r="P13" s="46">
        <f t="shared" si="35"/>
        <v>11036</v>
      </c>
      <c r="Q13" s="46">
        <f t="shared" si="35"/>
        <v>10208</v>
      </c>
      <c r="R13" s="46">
        <f t="shared" ref="R13:S13" si="36">SUM(R5:R12)</f>
        <v>12023</v>
      </c>
      <c r="S13" s="643">
        <f t="shared" si="36"/>
        <v>12680</v>
      </c>
      <c r="T13" s="667">
        <f t="shared" si="35"/>
        <v>12680</v>
      </c>
      <c r="U13" s="46">
        <f t="shared" ref="U13:V13" si="37">SUM(U5:U12)</f>
        <v>12520</v>
      </c>
      <c r="V13" s="643">
        <f t="shared" si="37"/>
        <v>15407</v>
      </c>
      <c r="W13" s="667">
        <f t="shared" si="35"/>
        <v>15407</v>
      </c>
      <c r="X13" s="46"/>
      <c r="Y13" s="643"/>
      <c r="Z13" s="667">
        <f t="shared" si="35"/>
        <v>14810</v>
      </c>
      <c r="AA13" s="46">
        <f t="shared" ref="AA13:AB13" si="38">SUM(AA5:AA12)</f>
        <v>14372</v>
      </c>
      <c r="AB13" s="643">
        <f t="shared" si="38"/>
        <v>15037</v>
      </c>
      <c r="AC13" s="667">
        <f t="shared" si="35"/>
        <v>15037</v>
      </c>
      <c r="AD13" s="46">
        <f t="shared" ref="AD13:AE13" si="39">SUM(AD5:AD12)</f>
        <v>16459</v>
      </c>
      <c r="AE13" s="643">
        <f t="shared" si="39"/>
        <v>16194</v>
      </c>
      <c r="AF13" s="667">
        <f t="shared" si="35"/>
        <v>16194</v>
      </c>
      <c r="AG13" s="46">
        <f t="shared" ref="AG13:AH13" si="40">SUM(AG5:AG12)</f>
        <v>16188</v>
      </c>
      <c r="AH13" s="643">
        <f t="shared" si="40"/>
        <v>14898</v>
      </c>
      <c r="AI13" s="667">
        <f t="shared" si="35"/>
        <v>14898</v>
      </c>
      <c r="AJ13" s="46">
        <f t="shared" ref="AJ13:AK13" si="41">SUM(AJ5:AJ12)</f>
        <v>13271</v>
      </c>
      <c r="AK13" s="643">
        <f t="shared" si="41"/>
        <v>13359</v>
      </c>
      <c r="AL13" s="667">
        <f t="shared" si="35"/>
        <v>13359</v>
      </c>
      <c r="AM13" s="46">
        <f t="shared" ref="AM13:AN13" si="42">SUM(AM5:AM12)</f>
        <v>13594</v>
      </c>
      <c r="AN13" s="643">
        <f t="shared" si="42"/>
        <v>13439</v>
      </c>
      <c r="AO13" s="667">
        <f t="shared" si="35"/>
        <v>13439</v>
      </c>
      <c r="AP13" s="46">
        <f t="shared" ref="AP13:AR13" si="43">SUM(AP5:AP12)</f>
        <v>12935</v>
      </c>
      <c r="AQ13" s="643">
        <f t="shared" si="43"/>
        <v>13292</v>
      </c>
      <c r="AR13" s="667">
        <f t="shared" si="43"/>
        <v>13292</v>
      </c>
      <c r="AS13" s="46">
        <f t="shared" ref="AS13:AU13" si="44">SUM(AS5:AS12)</f>
        <v>13526</v>
      </c>
      <c r="AT13" s="643">
        <f t="shared" si="44"/>
        <v>14060</v>
      </c>
      <c r="AU13" s="667">
        <f t="shared" si="44"/>
        <v>14060</v>
      </c>
      <c r="AV13" s="46">
        <f t="shared" ref="AV13" si="45">SUM(AV5:AV12)</f>
        <v>15257</v>
      </c>
      <c r="AW13" s="643">
        <f t="shared" si="35"/>
        <v>14928</v>
      </c>
      <c r="AX13" s="667">
        <f t="shared" si="35"/>
        <v>14928</v>
      </c>
      <c r="AY13" s="46">
        <f t="shared" si="35"/>
        <v>14662</v>
      </c>
      <c r="AZ13" s="250">
        <f t="shared" si="35"/>
        <v>15263.685430344558</v>
      </c>
      <c r="BA13" s="615">
        <f t="shared" si="35"/>
        <v>15263.685430344558</v>
      </c>
      <c r="BB13" s="249">
        <f t="shared" si="35"/>
        <v>15455.966834499783</v>
      </c>
      <c r="BC13" s="250">
        <f t="shared" si="35"/>
        <v>15663.569777542387</v>
      </c>
      <c r="BD13" s="615">
        <f t="shared" si="35"/>
        <v>15663.569777542387</v>
      </c>
      <c r="BE13" s="249">
        <f t="shared" si="35"/>
        <v>15879.880215880474</v>
      </c>
      <c r="BF13" s="250">
        <f t="shared" si="35"/>
        <v>16118.092578007609</v>
      </c>
      <c r="BG13" s="615">
        <f t="shared" si="35"/>
        <v>16118.092578007609</v>
      </c>
      <c r="BH13" s="249">
        <f t="shared" si="35"/>
        <v>16366.848386239872</v>
      </c>
      <c r="BI13" s="250">
        <f t="shared" si="35"/>
        <v>16640.067803904196</v>
      </c>
      <c r="BJ13" s="615">
        <f t="shared" si="35"/>
        <v>16640.067803904196</v>
      </c>
      <c r="BK13" s="249">
        <f t="shared" si="35"/>
        <v>16925.190935835843</v>
      </c>
      <c r="BL13" s="250">
        <f t="shared" si="35"/>
        <v>17237.098741720401</v>
      </c>
      <c r="BM13" s="615">
        <f t="shared" si="35"/>
        <v>17237.098741720401</v>
      </c>
    </row>
    <row r="14" spans="1:74">
      <c r="A14" s="25" t="s">
        <v>74</v>
      </c>
      <c r="B14" s="40">
        <v>1179</v>
      </c>
      <c r="C14" s="40">
        <v>1222</v>
      </c>
      <c r="D14" s="40">
        <v>1158</v>
      </c>
      <c r="E14" s="40">
        <v>962</v>
      </c>
      <c r="F14" s="40">
        <v>1090</v>
      </c>
      <c r="G14" s="40">
        <v>1309</v>
      </c>
      <c r="H14" s="40">
        <v>1845</v>
      </c>
      <c r="I14" s="40">
        <v>2203</v>
      </c>
      <c r="J14" s="40">
        <v>2600</v>
      </c>
      <c r="K14" s="40">
        <v>2432</v>
      </c>
      <c r="L14" s="40">
        <v>2429</v>
      </c>
      <c r="M14" s="40">
        <v>2561</v>
      </c>
      <c r="N14" s="40">
        <v>2726</v>
      </c>
      <c r="O14" s="40">
        <v>3319</v>
      </c>
      <c r="P14" s="40">
        <v>2768</v>
      </c>
      <c r="Q14" s="40">
        <v>2637</v>
      </c>
      <c r="R14" s="40">
        <v>3165</v>
      </c>
      <c r="S14" s="630">
        <f t="shared" ref="S14:S20" si="46">T14</f>
        <v>3086</v>
      </c>
      <c r="T14" s="653">
        <v>3086</v>
      </c>
      <c r="U14" s="40">
        <v>3501</v>
      </c>
      <c r="V14" s="630">
        <f t="shared" ref="V14:V20" si="47">W14</f>
        <v>3660</v>
      </c>
      <c r="W14" s="653">
        <v>3660</v>
      </c>
      <c r="X14" s="40"/>
      <c r="Y14" s="630"/>
      <c r="Z14" s="653">
        <v>3803</v>
      </c>
      <c r="AA14" s="40">
        <v>4065</v>
      </c>
      <c r="AB14" s="630">
        <f t="shared" ref="AB14:AB20" si="48">AC14</f>
        <v>4287</v>
      </c>
      <c r="AC14" s="653">
        <v>4287</v>
      </c>
      <c r="AD14" s="40">
        <v>4711</v>
      </c>
      <c r="AE14" s="630">
        <f t="shared" ref="AE14:AE20" si="49">AF14</f>
        <v>4320</v>
      </c>
      <c r="AF14" s="653">
        <v>4320</v>
      </c>
      <c r="AG14" s="40">
        <v>4818</v>
      </c>
      <c r="AH14" s="630">
        <f t="shared" ref="AH14:AH20" si="50">AI14</f>
        <v>3690</v>
      </c>
      <c r="AI14" s="653">
        <v>3690</v>
      </c>
      <c r="AJ14" s="40">
        <v>3673</v>
      </c>
      <c r="AK14" s="630">
        <f t="shared" ref="AK14:AK20" si="51">AL14</f>
        <v>3666</v>
      </c>
      <c r="AL14" s="653">
        <v>3666</v>
      </c>
      <c r="AM14" s="40">
        <v>4446</v>
      </c>
      <c r="AN14" s="630">
        <f t="shared" ref="AN14:AN20" si="52">AO14</f>
        <v>4708</v>
      </c>
      <c r="AO14" s="653">
        <v>4708</v>
      </c>
      <c r="AP14" s="40">
        <v>5129</v>
      </c>
      <c r="AQ14" s="630">
        <f t="shared" ref="AQ14:AQ20" si="53">AR14</f>
        <v>4848</v>
      </c>
      <c r="AR14" s="653">
        <v>4848</v>
      </c>
      <c r="AS14" s="40">
        <v>5449</v>
      </c>
      <c r="AT14" s="630">
        <f t="shared" ref="AT14:AT20" si="54">AU14</f>
        <v>5092</v>
      </c>
      <c r="AU14" s="653">
        <v>5092</v>
      </c>
      <c r="AV14" s="40">
        <v>5611</v>
      </c>
      <c r="AW14" s="630">
        <f t="shared" ref="AW14:AW20" si="55">AX14</f>
        <v>5728</v>
      </c>
      <c r="AX14" s="653">
        <v>5728</v>
      </c>
      <c r="AY14" s="40">
        <v>6151</v>
      </c>
      <c r="AZ14" s="236">
        <f t="shared" ref="AZ14:AZ20" si="56">BA14</f>
        <v>5788.3710606744962</v>
      </c>
      <c r="BA14" s="605">
        <f t="shared" ref="BA14:BM14" si="57">BA99*BA101/BA96</f>
        <v>5788.3710606744962</v>
      </c>
      <c r="BB14" s="56">
        <f>BB99*BB101/BB96</f>
        <v>6129.4790353245353</v>
      </c>
      <c r="BC14" s="236">
        <f t="shared" ref="BC14:BC20" si="58">BD14</f>
        <v>6283.4585108808169</v>
      </c>
      <c r="BD14" s="605">
        <f t="shared" si="57"/>
        <v>6283.4585108808169</v>
      </c>
      <c r="BE14" s="56">
        <f>BE99*BE101/BE96</f>
        <v>6031.6810471733806</v>
      </c>
      <c r="BF14" s="236">
        <f t="shared" ref="BF14:BF20" si="59">BG14</f>
        <v>6259.3697767871017</v>
      </c>
      <c r="BG14" s="605">
        <f t="shared" si="57"/>
        <v>6259.3697767871017</v>
      </c>
      <c r="BH14" s="56">
        <f>BH99*BH101/BH96</f>
        <v>6040.869807850584</v>
      </c>
      <c r="BI14" s="236">
        <f t="shared" ref="BI14:BI20" si="60">BJ14</f>
        <v>6247.0913944598215</v>
      </c>
      <c r="BJ14" s="605">
        <f t="shared" si="57"/>
        <v>6247.0913944598215</v>
      </c>
      <c r="BK14" s="56">
        <f>BK99*BK101/BK96</f>
        <v>6085.1053533429022</v>
      </c>
      <c r="BL14" s="236">
        <f t="shared" ref="BL14:BL20" si="61">BM14</f>
        <v>6282.8501131967359</v>
      </c>
      <c r="BM14" s="605">
        <f t="shared" si="57"/>
        <v>6282.8501131967359</v>
      </c>
      <c r="BN14"/>
    </row>
    <row r="15" spans="1:74">
      <c r="A15" s="25" t="s">
        <v>75</v>
      </c>
      <c r="B15" s="40">
        <f>1591+590-B11-B16</f>
        <v>2062</v>
      </c>
      <c r="C15" s="40">
        <f>1640+810-C11-C16</f>
        <v>2348</v>
      </c>
      <c r="D15" s="40">
        <f>1487+926-D11-D16</f>
        <v>2306</v>
      </c>
      <c r="E15" s="40">
        <f>1497+1109-E11-E16</f>
        <v>2488</v>
      </c>
      <c r="F15" s="40">
        <v>2049</v>
      </c>
      <c r="G15" s="40">
        <v>2047</v>
      </c>
      <c r="H15" s="40">
        <v>2465</v>
      </c>
      <c r="I15" s="40">
        <v>2585</v>
      </c>
      <c r="J15" s="40">
        <v>3929</v>
      </c>
      <c r="K15" s="40">
        <v>3877</v>
      </c>
      <c r="L15" s="40">
        <v>3943</v>
      </c>
      <c r="M15" s="40">
        <v>4009</v>
      </c>
      <c r="N15" s="40">
        <v>4119</v>
      </c>
      <c r="O15" s="40">
        <v>5092</v>
      </c>
      <c r="P15" s="40">
        <v>5509</v>
      </c>
      <c r="Q15" s="40">
        <v>6244</v>
      </c>
      <c r="R15" s="40">
        <v>7145</v>
      </c>
      <c r="S15" s="630">
        <f t="shared" si="46"/>
        <v>6956</v>
      </c>
      <c r="T15" s="653">
        <v>6956</v>
      </c>
      <c r="U15" s="40">
        <v>7241</v>
      </c>
      <c r="V15" s="630">
        <f t="shared" si="47"/>
        <v>7919</v>
      </c>
      <c r="W15" s="653">
        <v>7919</v>
      </c>
      <c r="X15" s="40"/>
      <c r="Y15" s="630"/>
      <c r="Z15" s="653">
        <f>4353+1945</f>
        <v>6298</v>
      </c>
      <c r="AA15" s="40">
        <v>6363</v>
      </c>
      <c r="AB15" s="630">
        <f t="shared" si="48"/>
        <v>6747</v>
      </c>
      <c r="AC15" s="653">
        <f>4690+2057</f>
        <v>6747</v>
      </c>
      <c r="AD15" s="40">
        <f>4764+2217</f>
        <v>6981</v>
      </c>
      <c r="AE15" s="630">
        <f t="shared" si="49"/>
        <v>7160</v>
      </c>
      <c r="AF15" s="653">
        <f>5065+2095</f>
        <v>7160</v>
      </c>
      <c r="AG15" s="40">
        <f>6066+1610</f>
        <v>7676</v>
      </c>
      <c r="AH15" s="630">
        <f t="shared" si="50"/>
        <v>6965</v>
      </c>
      <c r="AI15" s="653">
        <f>5455+1510</f>
        <v>6965</v>
      </c>
      <c r="AJ15" s="40">
        <f>5068+1402</f>
        <v>6470</v>
      </c>
      <c r="AK15" s="630">
        <f t="shared" si="51"/>
        <v>6856</v>
      </c>
      <c r="AL15" s="653">
        <f>1473+5383</f>
        <v>6856</v>
      </c>
      <c r="AM15" s="40">
        <f>5993+1498</f>
        <v>7491</v>
      </c>
      <c r="AN15" s="630">
        <f t="shared" si="52"/>
        <v>8417</v>
      </c>
      <c r="AO15" s="653">
        <f>6936+1481</f>
        <v>8417</v>
      </c>
      <c r="AP15" s="40">
        <f>7378+1333</f>
        <v>8711</v>
      </c>
      <c r="AQ15" s="630">
        <f t="shared" si="53"/>
        <v>9365</v>
      </c>
      <c r="AR15" s="653">
        <f>8123+1242</f>
        <v>9365</v>
      </c>
      <c r="AS15" s="40">
        <f>8194+1364</f>
        <v>9558</v>
      </c>
      <c r="AT15" s="630">
        <f t="shared" si="54"/>
        <v>10526</v>
      </c>
      <c r="AU15" s="653">
        <f>8713+1813</f>
        <v>10526</v>
      </c>
      <c r="AV15" s="40">
        <f>8717+1703</f>
        <v>10420</v>
      </c>
      <c r="AW15" s="630">
        <f t="shared" si="55"/>
        <v>10843</v>
      </c>
      <c r="AX15" s="653">
        <f>8946+1897</f>
        <v>10843</v>
      </c>
      <c r="AY15" s="40">
        <f>9504+1821</f>
        <v>11325</v>
      </c>
      <c r="AZ15" s="236">
        <f t="shared" si="56"/>
        <v>10189.601627211357</v>
      </c>
      <c r="BA15" s="605">
        <f t="shared" ref="BA15:BM15" si="62">BA98*BA102/BA96</f>
        <v>10189.601627211357</v>
      </c>
      <c r="BB15" s="56">
        <f>BB98*BB102/BB96</f>
        <v>8918.6458780503272</v>
      </c>
      <c r="BC15" s="236">
        <f t="shared" si="58"/>
        <v>9136.2771363108313</v>
      </c>
      <c r="BD15" s="605">
        <f t="shared" si="62"/>
        <v>9136.2771363108313</v>
      </c>
      <c r="BE15" s="56">
        <f>BE98*BE102/BE96</f>
        <v>8558.8164429893586</v>
      </c>
      <c r="BF15" s="236">
        <f t="shared" si="59"/>
        <v>8877.0282357077613</v>
      </c>
      <c r="BG15" s="605">
        <f t="shared" si="62"/>
        <v>8877.0282357077613</v>
      </c>
      <c r="BH15" s="56">
        <f>BH98*BH102/BH96</f>
        <v>8680.3213598149832</v>
      </c>
      <c r="BI15" s="236">
        <f t="shared" si="60"/>
        <v>8976.8845591167465</v>
      </c>
      <c r="BJ15" s="605">
        <f t="shared" si="62"/>
        <v>8976.8845591167465</v>
      </c>
      <c r="BK15" s="56">
        <f>BK98*BK102/BK96</f>
        <v>8846.940816229413</v>
      </c>
      <c r="BL15" s="236">
        <f t="shared" si="61"/>
        <v>9140.4215102500002</v>
      </c>
      <c r="BM15" s="605">
        <f t="shared" si="62"/>
        <v>9140.4215102500002</v>
      </c>
      <c r="BN15"/>
    </row>
    <row r="16" spans="1:74">
      <c r="A16" s="25" t="s">
        <v>76</v>
      </c>
      <c r="B16" s="40">
        <v>11</v>
      </c>
      <c r="C16" s="40">
        <v>5</v>
      </c>
      <c r="D16" s="40">
        <v>2</v>
      </c>
      <c r="E16" s="40">
        <v>1</v>
      </c>
      <c r="F16" s="40">
        <v>2</v>
      </c>
      <c r="G16" s="40">
        <v>3</v>
      </c>
      <c r="H16" s="40">
        <v>5</v>
      </c>
      <c r="I16" s="40">
        <v>7</v>
      </c>
      <c r="J16" s="40">
        <v>9</v>
      </c>
      <c r="K16" s="40">
        <v>12</v>
      </c>
      <c r="L16" s="40">
        <v>6</v>
      </c>
      <c r="M16" s="40">
        <v>20</v>
      </c>
      <c r="N16" s="40">
        <v>33</v>
      </c>
      <c r="O16" s="40">
        <v>16</v>
      </c>
      <c r="P16" s="40">
        <v>19</v>
      </c>
      <c r="Q16" s="40">
        <v>23</v>
      </c>
      <c r="R16" s="40">
        <v>16</v>
      </c>
      <c r="S16" s="630">
        <f t="shared" si="46"/>
        <v>32</v>
      </c>
      <c r="T16" s="653">
        <v>32</v>
      </c>
      <c r="U16" s="40">
        <v>13</v>
      </c>
      <c r="V16" s="630">
        <f t="shared" si="47"/>
        <v>17</v>
      </c>
      <c r="W16" s="653">
        <v>17</v>
      </c>
      <c r="X16" s="40"/>
      <c r="Y16" s="630"/>
      <c r="Z16" s="653">
        <v>17</v>
      </c>
      <c r="AA16" s="40">
        <v>9</v>
      </c>
      <c r="AB16" s="630">
        <f t="shared" si="48"/>
        <v>34</v>
      </c>
      <c r="AC16" s="653">
        <v>34</v>
      </c>
      <c r="AD16" s="40">
        <v>27</v>
      </c>
      <c r="AE16" s="630">
        <f t="shared" si="49"/>
        <v>39</v>
      </c>
      <c r="AF16" s="653">
        <v>39</v>
      </c>
      <c r="AG16" s="40">
        <v>38</v>
      </c>
      <c r="AH16" s="630">
        <f t="shared" si="50"/>
        <v>117</v>
      </c>
      <c r="AI16" s="653">
        <v>117</v>
      </c>
      <c r="AJ16" s="40">
        <v>79</v>
      </c>
      <c r="AK16" s="630">
        <f t="shared" si="51"/>
        <v>90</v>
      </c>
      <c r="AL16" s="653">
        <v>90</v>
      </c>
      <c r="AM16" s="40">
        <v>97</v>
      </c>
      <c r="AN16" s="630">
        <f t="shared" si="52"/>
        <v>127</v>
      </c>
      <c r="AO16" s="653">
        <v>127</v>
      </c>
      <c r="AP16" s="40">
        <v>56</v>
      </c>
      <c r="AQ16" s="630">
        <f t="shared" si="53"/>
        <v>80</v>
      </c>
      <c r="AR16" s="653">
        <v>80</v>
      </c>
      <c r="AS16" s="40">
        <v>56</v>
      </c>
      <c r="AT16" s="630">
        <f t="shared" si="54"/>
        <v>71</v>
      </c>
      <c r="AU16" s="653">
        <v>71</v>
      </c>
      <c r="AV16" s="40">
        <v>51</v>
      </c>
      <c r="AW16" s="630">
        <f t="shared" si="55"/>
        <v>75</v>
      </c>
      <c r="AX16" s="653">
        <v>75</v>
      </c>
      <c r="AY16" s="40">
        <v>178</v>
      </c>
      <c r="AZ16" s="236">
        <f t="shared" si="56"/>
        <v>75</v>
      </c>
      <c r="BA16" s="605">
        <f>AX16</f>
        <v>75</v>
      </c>
      <c r="BB16" s="56">
        <f>BA16</f>
        <v>75</v>
      </c>
      <c r="BC16" s="236">
        <f t="shared" si="58"/>
        <v>75</v>
      </c>
      <c r="BD16" s="605">
        <f>BA16</f>
        <v>75</v>
      </c>
      <c r="BE16" s="56">
        <f>BD16</f>
        <v>75</v>
      </c>
      <c r="BF16" s="236">
        <f t="shared" si="59"/>
        <v>75</v>
      </c>
      <c r="BG16" s="605">
        <f>BD16</f>
        <v>75</v>
      </c>
      <c r="BH16" s="56">
        <f>BG16</f>
        <v>75</v>
      </c>
      <c r="BI16" s="236">
        <f t="shared" si="60"/>
        <v>75</v>
      </c>
      <c r="BJ16" s="605">
        <f>BG16</f>
        <v>75</v>
      </c>
      <c r="BK16" s="56">
        <f>BJ16</f>
        <v>75</v>
      </c>
      <c r="BL16" s="236">
        <f t="shared" si="61"/>
        <v>75</v>
      </c>
      <c r="BM16" s="605">
        <f t="shared" ref="BM16:BM20" si="63">BJ16</f>
        <v>75</v>
      </c>
      <c r="BN16"/>
    </row>
    <row r="17" spans="1:66">
      <c r="A17" s="25" t="s">
        <v>71</v>
      </c>
      <c r="B17" s="40">
        <v>0</v>
      </c>
      <c r="C17" s="40">
        <v>0</v>
      </c>
      <c r="D17" s="40">
        <v>0</v>
      </c>
      <c r="E17" s="40">
        <v>0</v>
      </c>
      <c r="F17" s="40">
        <v>0</v>
      </c>
      <c r="G17" s="40">
        <v>464</v>
      </c>
      <c r="H17" s="40">
        <v>644</v>
      </c>
      <c r="I17" s="40">
        <v>514</v>
      </c>
      <c r="J17" s="40">
        <v>24</v>
      </c>
      <c r="K17" s="40">
        <v>80</v>
      </c>
      <c r="L17" s="40">
        <v>250</v>
      </c>
      <c r="M17" s="40">
        <v>91</v>
      </c>
      <c r="N17" s="40">
        <v>115</v>
      </c>
      <c r="O17" s="40">
        <v>74</v>
      </c>
      <c r="P17" s="40">
        <v>22</v>
      </c>
      <c r="Q17" s="40">
        <v>29</v>
      </c>
      <c r="R17" s="40">
        <v>45</v>
      </c>
      <c r="S17" s="630">
        <f t="shared" si="46"/>
        <v>5</v>
      </c>
      <c r="T17" s="653">
        <v>5</v>
      </c>
      <c r="U17" s="40">
        <v>15</v>
      </c>
      <c r="V17" s="630">
        <f t="shared" si="47"/>
        <v>36</v>
      </c>
      <c r="W17" s="653">
        <v>36</v>
      </c>
      <c r="X17" s="40"/>
      <c r="Y17" s="630"/>
      <c r="Z17" s="653">
        <v>36</v>
      </c>
      <c r="AA17" s="40">
        <v>47</v>
      </c>
      <c r="AB17" s="630">
        <f t="shared" si="48"/>
        <v>22</v>
      </c>
      <c r="AC17" s="653">
        <v>22</v>
      </c>
      <c r="AD17" s="40">
        <v>33</v>
      </c>
      <c r="AE17" s="630">
        <f t="shared" si="49"/>
        <v>86</v>
      </c>
      <c r="AF17" s="653">
        <v>86</v>
      </c>
      <c r="AG17" s="40">
        <v>181</v>
      </c>
      <c r="AH17" s="630">
        <f t="shared" si="50"/>
        <v>107</v>
      </c>
      <c r="AI17" s="653">
        <v>107</v>
      </c>
      <c r="AJ17" s="40">
        <v>40</v>
      </c>
      <c r="AK17" s="630">
        <f t="shared" si="51"/>
        <v>46</v>
      </c>
      <c r="AL17" s="653">
        <v>46</v>
      </c>
      <c r="AM17" s="40">
        <v>136</v>
      </c>
      <c r="AN17" s="630">
        <f t="shared" si="52"/>
        <v>141</v>
      </c>
      <c r="AO17" s="653">
        <v>141</v>
      </c>
      <c r="AP17" s="40">
        <v>50</v>
      </c>
      <c r="AQ17" s="630">
        <f t="shared" si="53"/>
        <v>34</v>
      </c>
      <c r="AR17" s="653">
        <v>34</v>
      </c>
      <c r="AS17" s="40">
        <v>39</v>
      </c>
      <c r="AT17" s="630">
        <f t="shared" si="54"/>
        <v>209</v>
      </c>
      <c r="AU17" s="653">
        <v>209</v>
      </c>
      <c r="AV17" s="40">
        <v>400</v>
      </c>
      <c r="AW17" s="630">
        <f t="shared" si="55"/>
        <v>282</v>
      </c>
      <c r="AX17" s="653">
        <v>282</v>
      </c>
      <c r="AY17" s="40">
        <v>195</v>
      </c>
      <c r="AZ17" s="236">
        <f t="shared" si="56"/>
        <v>282</v>
      </c>
      <c r="BA17" s="605">
        <f>AX17</f>
        <v>282</v>
      </c>
      <c r="BB17" s="56">
        <f>BA17</f>
        <v>282</v>
      </c>
      <c r="BC17" s="236">
        <f t="shared" si="58"/>
        <v>282</v>
      </c>
      <c r="BD17" s="605">
        <f>BA17</f>
        <v>282</v>
      </c>
      <c r="BE17" s="56">
        <f>BD17</f>
        <v>282</v>
      </c>
      <c r="BF17" s="236">
        <f t="shared" si="59"/>
        <v>282</v>
      </c>
      <c r="BG17" s="605">
        <f>BD17</f>
        <v>282</v>
      </c>
      <c r="BH17" s="56">
        <f>BG17</f>
        <v>282</v>
      </c>
      <c r="BI17" s="236">
        <f t="shared" si="60"/>
        <v>282</v>
      </c>
      <c r="BJ17" s="605">
        <f>BG17</f>
        <v>282</v>
      </c>
      <c r="BK17" s="56">
        <f>BJ17</f>
        <v>282</v>
      </c>
      <c r="BL17" s="236">
        <f t="shared" si="61"/>
        <v>282</v>
      </c>
      <c r="BM17" s="605">
        <f t="shared" si="63"/>
        <v>282</v>
      </c>
      <c r="BN17"/>
    </row>
    <row r="18" spans="1:66">
      <c r="A18" s="25" t="s">
        <v>77</v>
      </c>
      <c r="B18" s="40">
        <v>36</v>
      </c>
      <c r="C18" s="40">
        <v>39</v>
      </c>
      <c r="D18" s="40">
        <v>40</v>
      </c>
      <c r="E18" s="40">
        <v>39</v>
      </c>
      <c r="F18" s="40">
        <v>36</v>
      </c>
      <c r="G18" s="40">
        <v>37</v>
      </c>
      <c r="H18" s="40">
        <v>34</v>
      </c>
      <c r="I18" s="40">
        <v>40</v>
      </c>
      <c r="J18" s="40">
        <v>1</v>
      </c>
      <c r="K18" s="40">
        <v>2</v>
      </c>
      <c r="L18" s="40">
        <v>328</v>
      </c>
      <c r="M18" s="40">
        <v>11</v>
      </c>
      <c r="N18" s="40">
        <v>11</v>
      </c>
      <c r="O18" s="40">
        <v>321</v>
      </c>
      <c r="P18" s="40">
        <v>7</v>
      </c>
      <c r="Q18" s="40">
        <v>2</v>
      </c>
      <c r="R18" s="40">
        <v>1</v>
      </c>
      <c r="S18" s="630">
        <f t="shared" si="46"/>
        <v>3</v>
      </c>
      <c r="T18" s="653">
        <v>3</v>
      </c>
      <c r="U18" s="40">
        <v>3</v>
      </c>
      <c r="V18" s="630">
        <f t="shared" si="47"/>
        <v>3</v>
      </c>
      <c r="W18" s="653">
        <v>3</v>
      </c>
      <c r="X18" s="40"/>
      <c r="Y18" s="630"/>
      <c r="Z18" s="653">
        <v>3</v>
      </c>
      <c r="AA18" s="40">
        <v>7</v>
      </c>
      <c r="AB18" s="630">
        <f t="shared" si="48"/>
        <v>6</v>
      </c>
      <c r="AC18" s="653">
        <v>6</v>
      </c>
      <c r="AD18" s="40">
        <v>0</v>
      </c>
      <c r="AE18" s="630">
        <f t="shared" si="49"/>
        <v>6</v>
      </c>
      <c r="AF18" s="653">
        <v>6</v>
      </c>
      <c r="AG18" s="40">
        <v>0</v>
      </c>
      <c r="AH18" s="630">
        <f t="shared" si="50"/>
        <v>0</v>
      </c>
      <c r="AI18" s="653">
        <v>0</v>
      </c>
      <c r="AJ18" s="40">
        <v>1</v>
      </c>
      <c r="AK18" s="630">
        <f t="shared" si="51"/>
        <v>8</v>
      </c>
      <c r="AL18" s="653">
        <v>8</v>
      </c>
      <c r="AM18" s="40">
        <v>1</v>
      </c>
      <c r="AN18" s="630">
        <f t="shared" si="52"/>
        <v>11</v>
      </c>
      <c r="AO18" s="653">
        <v>11</v>
      </c>
      <c r="AP18" s="40">
        <v>0</v>
      </c>
      <c r="AQ18" s="630">
        <f t="shared" si="53"/>
        <v>0</v>
      </c>
      <c r="AR18" s="653">
        <v>0</v>
      </c>
      <c r="AS18" s="40">
        <v>0</v>
      </c>
      <c r="AT18" s="630">
        <f t="shared" si="54"/>
        <v>0</v>
      </c>
      <c r="AU18" s="653">
        <v>0</v>
      </c>
      <c r="AV18" s="40">
        <v>0</v>
      </c>
      <c r="AW18" s="630">
        <f t="shared" si="55"/>
        <v>0</v>
      </c>
      <c r="AX18" s="653">
        <v>0</v>
      </c>
      <c r="AY18" s="40">
        <v>0</v>
      </c>
      <c r="AZ18" s="236">
        <f t="shared" si="56"/>
        <v>0</v>
      </c>
      <c r="BA18" s="605">
        <f>AX18-CFS!BA64</f>
        <v>0</v>
      </c>
      <c r="BB18" s="56">
        <f>BA18-CFS!BB64</f>
        <v>0</v>
      </c>
      <c r="BC18" s="236">
        <f t="shared" si="58"/>
        <v>0</v>
      </c>
      <c r="BD18" s="605">
        <f>BA18-CFS!BD64</f>
        <v>0</v>
      </c>
      <c r="BE18" s="56">
        <f>BD18-CFS!BE64</f>
        <v>0</v>
      </c>
      <c r="BF18" s="236">
        <f t="shared" si="59"/>
        <v>0</v>
      </c>
      <c r="BG18" s="605">
        <f>BD18-CFS!BG64</f>
        <v>0</v>
      </c>
      <c r="BH18" s="56">
        <f>BG18-CFS!BH64</f>
        <v>0</v>
      </c>
      <c r="BI18" s="236">
        <f t="shared" si="60"/>
        <v>0</v>
      </c>
      <c r="BJ18" s="605">
        <f>BG18-CFS!BJ64</f>
        <v>0</v>
      </c>
      <c r="BK18" s="56">
        <f>BJ18-CFS!BK64</f>
        <v>0</v>
      </c>
      <c r="BL18" s="236">
        <f t="shared" si="61"/>
        <v>0</v>
      </c>
      <c r="BM18" s="605">
        <f>BJ18-CFS!BM64</f>
        <v>0</v>
      </c>
      <c r="BN18"/>
    </row>
    <row r="19" spans="1:66">
      <c r="A19" s="25" t="s">
        <v>78</v>
      </c>
      <c r="B19" s="40">
        <f>106+498</f>
        <v>604</v>
      </c>
      <c r="C19" s="40">
        <f>262+578</f>
        <v>840</v>
      </c>
      <c r="D19" s="40">
        <f>634+44</f>
        <v>678</v>
      </c>
      <c r="E19" s="40">
        <f>135+794</f>
        <v>929</v>
      </c>
      <c r="F19" s="40">
        <v>1452</v>
      </c>
      <c r="G19" s="40">
        <v>1757</v>
      </c>
      <c r="H19" s="40">
        <v>2185</v>
      </c>
      <c r="I19" s="40">
        <v>1896</v>
      </c>
      <c r="J19" s="40">
        <v>2471</v>
      </c>
      <c r="K19" s="40">
        <v>2962</v>
      </c>
      <c r="L19" s="40">
        <v>2859</v>
      </c>
      <c r="M19" s="40">
        <v>1310</v>
      </c>
      <c r="N19" s="40">
        <v>2585</v>
      </c>
      <c r="O19" s="40">
        <v>3990</v>
      </c>
      <c r="P19" s="40">
        <v>2862</v>
      </c>
      <c r="Q19" s="40">
        <v>3176</v>
      </c>
      <c r="R19" s="40">
        <v>2287</v>
      </c>
      <c r="S19" s="630">
        <f t="shared" si="46"/>
        <v>2771</v>
      </c>
      <c r="T19" s="653">
        <v>2771</v>
      </c>
      <c r="U19" s="40">
        <v>2336</v>
      </c>
      <c r="V19" s="630">
        <f t="shared" si="47"/>
        <v>2953</v>
      </c>
      <c r="W19" s="653">
        <v>2953</v>
      </c>
      <c r="X19" s="40"/>
      <c r="Y19" s="630"/>
      <c r="Z19" s="653">
        <v>2953</v>
      </c>
      <c r="AA19" s="40">
        <v>4379</v>
      </c>
      <c r="AB19" s="630">
        <f t="shared" si="48"/>
        <v>4974</v>
      </c>
      <c r="AC19" s="653">
        <v>4974</v>
      </c>
      <c r="AD19" s="40">
        <v>4208</v>
      </c>
      <c r="AE19" s="630">
        <f t="shared" si="49"/>
        <v>4443</v>
      </c>
      <c r="AF19" s="653">
        <v>4443</v>
      </c>
      <c r="AG19" s="40">
        <v>4239</v>
      </c>
      <c r="AH19" s="630">
        <f t="shared" si="50"/>
        <v>3452</v>
      </c>
      <c r="AI19" s="653">
        <v>3452</v>
      </c>
      <c r="AJ19" s="40">
        <v>2915</v>
      </c>
      <c r="AK19" s="630">
        <f t="shared" si="51"/>
        <v>2621</v>
      </c>
      <c r="AL19" s="653">
        <v>2621</v>
      </c>
      <c r="AM19" s="40">
        <v>2747</v>
      </c>
      <c r="AN19" s="630">
        <f t="shared" si="52"/>
        <v>2607</v>
      </c>
      <c r="AO19" s="653">
        <v>2607</v>
      </c>
      <c r="AP19" s="40">
        <v>2861</v>
      </c>
      <c r="AQ19" s="630">
        <f t="shared" si="53"/>
        <v>3784</v>
      </c>
      <c r="AR19" s="653">
        <v>3784</v>
      </c>
      <c r="AS19" s="40">
        <v>4319</v>
      </c>
      <c r="AT19" s="630">
        <f t="shared" si="54"/>
        <v>5575</v>
      </c>
      <c r="AU19" s="653">
        <v>5575</v>
      </c>
      <c r="AV19" s="40">
        <v>6044</v>
      </c>
      <c r="AW19" s="630">
        <f t="shared" si="55"/>
        <v>6244</v>
      </c>
      <c r="AX19" s="653">
        <v>6244</v>
      </c>
      <c r="AY19" s="40">
        <v>6484</v>
      </c>
      <c r="AZ19" s="236">
        <f t="shared" si="56"/>
        <v>6782.0189816936108</v>
      </c>
      <c r="BA19" s="605">
        <f>AX19+CFS!BA76</f>
        <v>6782.0189816936108</v>
      </c>
      <c r="BB19" s="56">
        <f>BA19+CFS!BB76</f>
        <v>8900.1785276494047</v>
      </c>
      <c r="BC19" s="236">
        <f t="shared" si="58"/>
        <v>7670.3133866163571</v>
      </c>
      <c r="BD19" s="605">
        <f>BA19+CFS!BD76</f>
        <v>7670.3133866163571</v>
      </c>
      <c r="BE19" s="56">
        <f>BD19+CFS!BE76</f>
        <v>9003.1754827074801</v>
      </c>
      <c r="BF19" s="236">
        <f t="shared" si="59"/>
        <v>9496.2755349535819</v>
      </c>
      <c r="BG19" s="605">
        <f>BD19+CFS!BG76</f>
        <v>9496.2755349535819</v>
      </c>
      <c r="BH19" s="56">
        <f>BG19+CFS!BH76</f>
        <v>12216.310107483194</v>
      </c>
      <c r="BI19" s="236">
        <f t="shared" si="60"/>
        <v>14582.34240973395</v>
      </c>
      <c r="BJ19" s="605">
        <f>BG19+CFS!BJ76</f>
        <v>14582.34240973395</v>
      </c>
      <c r="BK19" s="56">
        <f>BJ19+CFS!BK76</f>
        <v>17634.696380937472</v>
      </c>
      <c r="BL19" s="236">
        <f t="shared" si="61"/>
        <v>20486.402584305833</v>
      </c>
      <c r="BM19" s="605">
        <f>BJ19+CFS!BM76</f>
        <v>20486.402584305833</v>
      </c>
      <c r="BN19"/>
    </row>
    <row r="20" spans="1:66">
      <c r="A20" s="25" t="s">
        <v>79</v>
      </c>
      <c r="B20" s="40">
        <v>0</v>
      </c>
      <c r="C20" s="40">
        <v>0</v>
      </c>
      <c r="D20" s="40">
        <v>0</v>
      </c>
      <c r="E20" s="40">
        <v>0</v>
      </c>
      <c r="F20" s="40">
        <v>0</v>
      </c>
      <c r="G20" s="40">
        <v>0</v>
      </c>
      <c r="H20" s="40">
        <v>0</v>
      </c>
      <c r="I20" s="40">
        <v>7</v>
      </c>
      <c r="J20" s="40">
        <v>12</v>
      </c>
      <c r="K20" s="40">
        <v>9</v>
      </c>
      <c r="L20" s="40">
        <v>9</v>
      </c>
      <c r="M20" s="40">
        <v>313</v>
      </c>
      <c r="N20" s="40">
        <v>4</v>
      </c>
      <c r="O20" s="40">
        <v>6</v>
      </c>
      <c r="P20" s="40">
        <v>1</v>
      </c>
      <c r="Q20" s="40">
        <v>5</v>
      </c>
      <c r="R20" s="40">
        <v>5</v>
      </c>
      <c r="S20" s="630">
        <f t="shared" si="46"/>
        <v>5</v>
      </c>
      <c r="T20" s="653">
        <v>5</v>
      </c>
      <c r="U20" s="40">
        <v>3</v>
      </c>
      <c r="V20" s="630">
        <f t="shared" si="47"/>
        <v>7</v>
      </c>
      <c r="W20" s="653">
        <v>7</v>
      </c>
      <c r="X20" s="40"/>
      <c r="Y20" s="630"/>
      <c r="Z20" s="653">
        <v>7</v>
      </c>
      <c r="AA20" s="40">
        <v>829</v>
      </c>
      <c r="AB20" s="630">
        <f t="shared" si="48"/>
        <v>750</v>
      </c>
      <c r="AC20" s="653">
        <v>750</v>
      </c>
      <c r="AD20" s="40">
        <v>0</v>
      </c>
      <c r="AE20" s="630">
        <f t="shared" si="49"/>
        <v>18</v>
      </c>
      <c r="AF20" s="653">
        <v>18</v>
      </c>
      <c r="AG20" s="40">
        <v>0</v>
      </c>
      <c r="AH20" s="630">
        <f t="shared" si="50"/>
        <v>288</v>
      </c>
      <c r="AI20" s="653">
        <v>288</v>
      </c>
      <c r="AJ20" s="40">
        <v>2306</v>
      </c>
      <c r="AK20" s="630">
        <f t="shared" si="51"/>
        <v>2028</v>
      </c>
      <c r="AL20" s="653">
        <v>2028</v>
      </c>
      <c r="AM20" s="40">
        <v>2101</v>
      </c>
      <c r="AN20" s="630">
        <f t="shared" si="52"/>
        <v>0</v>
      </c>
      <c r="AO20" s="653">
        <v>0</v>
      </c>
      <c r="AP20" s="40">
        <v>0</v>
      </c>
      <c r="AQ20" s="630">
        <f t="shared" si="53"/>
        <v>109</v>
      </c>
      <c r="AR20" s="653">
        <v>109</v>
      </c>
      <c r="AS20" s="40">
        <v>64</v>
      </c>
      <c r="AT20" s="630">
        <f t="shared" si="54"/>
        <v>153</v>
      </c>
      <c r="AU20" s="653">
        <v>153</v>
      </c>
      <c r="AV20" s="40">
        <v>157</v>
      </c>
      <c r="AW20" s="630">
        <f t="shared" si="55"/>
        <v>15</v>
      </c>
      <c r="AX20" s="653">
        <v>15</v>
      </c>
      <c r="AY20" s="40">
        <v>11</v>
      </c>
      <c r="AZ20" s="236">
        <f t="shared" si="56"/>
        <v>15</v>
      </c>
      <c r="BA20" s="605">
        <f>AX20</f>
        <v>15</v>
      </c>
      <c r="BB20" s="56">
        <f>BA20</f>
        <v>15</v>
      </c>
      <c r="BC20" s="236">
        <f t="shared" si="58"/>
        <v>15</v>
      </c>
      <c r="BD20" s="605">
        <f>BA20</f>
        <v>15</v>
      </c>
      <c r="BE20" s="56">
        <f>BD20</f>
        <v>15</v>
      </c>
      <c r="BF20" s="236">
        <f t="shared" si="59"/>
        <v>15</v>
      </c>
      <c r="BG20" s="605">
        <f>BD20</f>
        <v>15</v>
      </c>
      <c r="BH20" s="56">
        <f>BG20</f>
        <v>15</v>
      </c>
      <c r="BI20" s="236">
        <f t="shared" si="60"/>
        <v>15</v>
      </c>
      <c r="BJ20" s="605">
        <f>BG20</f>
        <v>15</v>
      </c>
      <c r="BK20" s="56">
        <f>BJ20</f>
        <v>15</v>
      </c>
      <c r="BL20" s="236">
        <f t="shared" si="61"/>
        <v>15</v>
      </c>
      <c r="BM20" s="605">
        <f t="shared" si="63"/>
        <v>15</v>
      </c>
      <c r="BN20"/>
    </row>
    <row r="21" spans="1:66">
      <c r="A21" s="68" t="s">
        <v>81</v>
      </c>
      <c r="B21" s="46">
        <f t="shared" ref="B21:L21" si="64">SUM(B14:B20)</f>
        <v>3892</v>
      </c>
      <c r="C21" s="46">
        <f t="shared" si="64"/>
        <v>4454</v>
      </c>
      <c r="D21" s="46">
        <f t="shared" si="64"/>
        <v>4184</v>
      </c>
      <c r="E21" s="46">
        <f t="shared" si="64"/>
        <v>4419</v>
      </c>
      <c r="F21" s="46">
        <f t="shared" si="64"/>
        <v>4629</v>
      </c>
      <c r="G21" s="46">
        <f t="shared" si="64"/>
        <v>5617</v>
      </c>
      <c r="H21" s="46">
        <f t="shared" si="64"/>
        <v>7178</v>
      </c>
      <c r="I21" s="46">
        <f t="shared" si="64"/>
        <v>7252</v>
      </c>
      <c r="J21" s="46">
        <f t="shared" si="64"/>
        <v>9046</v>
      </c>
      <c r="K21" s="46">
        <f t="shared" si="64"/>
        <v>9374</v>
      </c>
      <c r="L21" s="46">
        <f t="shared" si="64"/>
        <v>9824</v>
      </c>
      <c r="M21" s="46">
        <f t="shared" ref="M21:BM21" si="65">SUM(M14:M20)</f>
        <v>8315</v>
      </c>
      <c r="N21" s="46">
        <f t="shared" si="65"/>
        <v>9593</v>
      </c>
      <c r="O21" s="46">
        <f t="shared" si="65"/>
        <v>12818</v>
      </c>
      <c r="P21" s="46">
        <f t="shared" si="65"/>
        <v>11188</v>
      </c>
      <c r="Q21" s="46">
        <f t="shared" si="65"/>
        <v>12116</v>
      </c>
      <c r="R21" s="46">
        <f t="shared" ref="R21:S21" si="66">SUM(R14:R20)</f>
        <v>12664</v>
      </c>
      <c r="S21" s="643">
        <f t="shared" si="66"/>
        <v>12858</v>
      </c>
      <c r="T21" s="667">
        <f t="shared" si="65"/>
        <v>12858</v>
      </c>
      <c r="U21" s="46">
        <f t="shared" ref="U21:V21" si="67">SUM(U14:U20)</f>
        <v>13112</v>
      </c>
      <c r="V21" s="643">
        <f t="shared" si="67"/>
        <v>14595</v>
      </c>
      <c r="W21" s="667">
        <f>SUM(W14:W20)</f>
        <v>14595</v>
      </c>
      <c r="X21" s="46"/>
      <c r="Y21" s="643"/>
      <c r="Z21" s="667">
        <f>SUM(Z14:Z20)</f>
        <v>13117</v>
      </c>
      <c r="AA21" s="46">
        <f>SUM(AA14:AA20)</f>
        <v>15699</v>
      </c>
      <c r="AB21" s="643">
        <f t="shared" ref="AB21" si="68">SUM(AB14:AB20)</f>
        <v>16820</v>
      </c>
      <c r="AC21" s="667">
        <f t="shared" si="65"/>
        <v>16820</v>
      </c>
      <c r="AD21" s="46">
        <f t="shared" ref="AD21:AE21" si="69">SUM(AD14:AD20)</f>
        <v>15960</v>
      </c>
      <c r="AE21" s="643">
        <f t="shared" si="69"/>
        <v>16072</v>
      </c>
      <c r="AF21" s="667">
        <f t="shared" si="65"/>
        <v>16072</v>
      </c>
      <c r="AG21" s="46">
        <f t="shared" ref="AG21:AH21" si="70">SUM(AG14:AG20)</f>
        <v>16952</v>
      </c>
      <c r="AH21" s="643">
        <f t="shared" si="70"/>
        <v>14619</v>
      </c>
      <c r="AI21" s="667">
        <f t="shared" si="65"/>
        <v>14619</v>
      </c>
      <c r="AJ21" s="46">
        <f t="shared" ref="AJ21:AK21" si="71">SUM(AJ14:AJ20)</f>
        <v>15484</v>
      </c>
      <c r="AK21" s="643">
        <f t="shared" si="71"/>
        <v>15315</v>
      </c>
      <c r="AL21" s="667">
        <f t="shared" si="65"/>
        <v>15315</v>
      </c>
      <c r="AM21" s="46">
        <f t="shared" ref="AM21:AN21" si="72">SUM(AM14:AM20)</f>
        <v>17019</v>
      </c>
      <c r="AN21" s="643">
        <f t="shared" si="72"/>
        <v>16011</v>
      </c>
      <c r="AO21" s="667">
        <f t="shared" si="65"/>
        <v>16011</v>
      </c>
      <c r="AP21" s="46">
        <f t="shared" ref="AP21:AR21" si="73">SUM(AP14:AP20)</f>
        <v>16807</v>
      </c>
      <c r="AQ21" s="643">
        <f t="shared" si="73"/>
        <v>18220</v>
      </c>
      <c r="AR21" s="667">
        <f t="shared" si="73"/>
        <v>18220</v>
      </c>
      <c r="AS21" s="46">
        <f t="shared" ref="AS21:AU21" si="74">SUM(AS14:AS20)</f>
        <v>19485</v>
      </c>
      <c r="AT21" s="643">
        <f t="shared" si="74"/>
        <v>21626</v>
      </c>
      <c r="AU21" s="667">
        <f t="shared" si="74"/>
        <v>21626</v>
      </c>
      <c r="AV21" s="46">
        <f t="shared" ref="AV21" si="75">SUM(AV14:AV20)</f>
        <v>22683</v>
      </c>
      <c r="AW21" s="643">
        <f t="shared" si="65"/>
        <v>23187</v>
      </c>
      <c r="AX21" s="667">
        <f t="shared" si="65"/>
        <v>23187</v>
      </c>
      <c r="AY21" s="46">
        <f t="shared" si="65"/>
        <v>24344</v>
      </c>
      <c r="AZ21" s="250">
        <f t="shared" si="65"/>
        <v>23131.991669579464</v>
      </c>
      <c r="BA21" s="615">
        <f t="shared" si="65"/>
        <v>23131.991669579464</v>
      </c>
      <c r="BB21" s="249">
        <f t="shared" si="65"/>
        <v>24320.303441024269</v>
      </c>
      <c r="BC21" s="250">
        <f t="shared" si="65"/>
        <v>23462.049033808005</v>
      </c>
      <c r="BD21" s="615">
        <f t="shared" si="65"/>
        <v>23462.049033808005</v>
      </c>
      <c r="BE21" s="249">
        <f t="shared" si="65"/>
        <v>23965.672972870219</v>
      </c>
      <c r="BF21" s="250">
        <f t="shared" si="65"/>
        <v>25004.673547448445</v>
      </c>
      <c r="BG21" s="615">
        <f t="shared" si="65"/>
        <v>25004.673547448445</v>
      </c>
      <c r="BH21" s="249">
        <f t="shared" si="65"/>
        <v>27309.501275148759</v>
      </c>
      <c r="BI21" s="250">
        <f t="shared" si="65"/>
        <v>30178.318363310518</v>
      </c>
      <c r="BJ21" s="615">
        <f t="shared" si="65"/>
        <v>30178.318363310518</v>
      </c>
      <c r="BK21" s="249">
        <f t="shared" si="65"/>
        <v>32938.742550509785</v>
      </c>
      <c r="BL21" s="250">
        <f t="shared" si="65"/>
        <v>36281.674207752571</v>
      </c>
      <c r="BM21" s="615">
        <f t="shared" si="65"/>
        <v>36281.674207752571</v>
      </c>
      <c r="BN21"/>
    </row>
    <row r="22" spans="1:66">
      <c r="A22" s="37" t="s">
        <v>82</v>
      </c>
      <c r="B22" s="84">
        <f t="shared" ref="B22:BM22" si="76">B13+B21</f>
        <v>6856</v>
      </c>
      <c r="C22" s="84">
        <f t="shared" si="76"/>
        <v>7340</v>
      </c>
      <c r="D22" s="84">
        <f t="shared" si="76"/>
        <v>7299</v>
      </c>
      <c r="E22" s="84">
        <f t="shared" si="76"/>
        <v>7414</v>
      </c>
      <c r="F22" s="84">
        <f t="shared" si="76"/>
        <v>8114</v>
      </c>
      <c r="G22" s="84">
        <f t="shared" si="76"/>
        <v>9319</v>
      </c>
      <c r="H22" s="84">
        <f t="shared" si="76"/>
        <v>10798</v>
      </c>
      <c r="I22" s="84">
        <f t="shared" si="76"/>
        <v>11490</v>
      </c>
      <c r="J22" s="84">
        <f t="shared" si="76"/>
        <v>15348</v>
      </c>
      <c r="K22" s="84">
        <f t="shared" si="76"/>
        <v>15422</v>
      </c>
      <c r="L22" s="84">
        <f t="shared" si="76"/>
        <v>16234</v>
      </c>
      <c r="M22" s="84">
        <f t="shared" si="76"/>
        <v>16423</v>
      </c>
      <c r="N22" s="84">
        <f t="shared" si="76"/>
        <v>18146</v>
      </c>
      <c r="O22" s="84">
        <f t="shared" si="76"/>
        <v>23063</v>
      </c>
      <c r="P22" s="84">
        <f t="shared" si="76"/>
        <v>22224</v>
      </c>
      <c r="Q22" s="84">
        <f t="shared" si="76"/>
        <v>22324</v>
      </c>
      <c r="R22" s="84">
        <f t="shared" ref="R22:S22" si="77">R13+R21</f>
        <v>24687</v>
      </c>
      <c r="S22" s="632">
        <f t="shared" si="77"/>
        <v>25538</v>
      </c>
      <c r="T22" s="655">
        <f t="shared" si="76"/>
        <v>25538</v>
      </c>
      <c r="U22" s="84">
        <f t="shared" ref="U22:V22" si="78">U13+U21</f>
        <v>25632</v>
      </c>
      <c r="V22" s="632">
        <f t="shared" si="78"/>
        <v>30002</v>
      </c>
      <c r="W22" s="655">
        <f>W13+W21</f>
        <v>30002</v>
      </c>
      <c r="X22" s="84"/>
      <c r="Y22" s="632"/>
      <c r="Z22" s="655">
        <f>Z13+Z21</f>
        <v>27927</v>
      </c>
      <c r="AA22" s="84">
        <f>AA13+AA21</f>
        <v>30071</v>
      </c>
      <c r="AB22" s="632">
        <f t="shared" ref="AB22" si="79">AB13+AB21</f>
        <v>31857</v>
      </c>
      <c r="AC22" s="655">
        <f t="shared" si="76"/>
        <v>31857</v>
      </c>
      <c r="AD22" s="84">
        <f t="shared" ref="AD22:AE22" si="80">AD13+AD21</f>
        <v>32419</v>
      </c>
      <c r="AE22" s="632">
        <f t="shared" si="80"/>
        <v>32266</v>
      </c>
      <c r="AF22" s="655">
        <f>AF13+AF21</f>
        <v>32266</v>
      </c>
      <c r="AG22" s="84">
        <f>AG13+AG21</f>
        <v>33140</v>
      </c>
      <c r="AH22" s="632">
        <f t="shared" ref="AH22" si="81">AH13+AH21</f>
        <v>29517</v>
      </c>
      <c r="AI22" s="655">
        <f t="shared" si="76"/>
        <v>29517</v>
      </c>
      <c r="AJ22" s="84">
        <f t="shared" ref="AJ22:AK22" si="82">AJ13+AJ21</f>
        <v>28755</v>
      </c>
      <c r="AK22" s="632">
        <f t="shared" si="82"/>
        <v>28674</v>
      </c>
      <c r="AL22" s="655">
        <f t="shared" si="76"/>
        <v>28674</v>
      </c>
      <c r="AM22" s="84">
        <f t="shared" ref="AM22:AN22" si="83">AM13+AM21</f>
        <v>30613</v>
      </c>
      <c r="AN22" s="632">
        <f t="shared" si="83"/>
        <v>29450</v>
      </c>
      <c r="AO22" s="655">
        <f t="shared" si="76"/>
        <v>29450</v>
      </c>
      <c r="AP22" s="84">
        <f t="shared" ref="AP22:AR22" si="84">AP13+AP21</f>
        <v>29742</v>
      </c>
      <c r="AQ22" s="632">
        <f t="shared" si="84"/>
        <v>31512</v>
      </c>
      <c r="AR22" s="655">
        <f t="shared" si="84"/>
        <v>31512</v>
      </c>
      <c r="AS22" s="84">
        <f t="shared" ref="AS22:AU22" si="85">AS13+AS21</f>
        <v>33011</v>
      </c>
      <c r="AT22" s="632">
        <f t="shared" si="85"/>
        <v>35686</v>
      </c>
      <c r="AU22" s="655">
        <f t="shared" si="85"/>
        <v>35686</v>
      </c>
      <c r="AV22" s="84">
        <f t="shared" ref="AV22" si="86">AV13+AV21</f>
        <v>37940</v>
      </c>
      <c r="AW22" s="632">
        <f t="shared" si="76"/>
        <v>38115</v>
      </c>
      <c r="AX22" s="655">
        <f t="shared" si="76"/>
        <v>38115</v>
      </c>
      <c r="AY22" s="84">
        <f t="shared" si="76"/>
        <v>39006</v>
      </c>
      <c r="AZ22" s="244">
        <f t="shared" si="76"/>
        <v>38395.677099924025</v>
      </c>
      <c r="BA22" s="581">
        <f t="shared" si="76"/>
        <v>38395.677099924025</v>
      </c>
      <c r="BB22" s="181">
        <f t="shared" si="76"/>
        <v>39776.270275524053</v>
      </c>
      <c r="BC22" s="244">
        <f t="shared" si="76"/>
        <v>39125.618811350389</v>
      </c>
      <c r="BD22" s="581">
        <f t="shared" si="76"/>
        <v>39125.618811350389</v>
      </c>
      <c r="BE22" s="181">
        <f t="shared" si="76"/>
        <v>39845.553188750695</v>
      </c>
      <c r="BF22" s="244">
        <f t="shared" si="76"/>
        <v>41122.766125456052</v>
      </c>
      <c r="BG22" s="581">
        <f t="shared" si="76"/>
        <v>41122.766125456052</v>
      </c>
      <c r="BH22" s="181">
        <f t="shared" si="76"/>
        <v>43676.349661388631</v>
      </c>
      <c r="BI22" s="244">
        <f t="shared" si="76"/>
        <v>46818.386167214718</v>
      </c>
      <c r="BJ22" s="581">
        <f t="shared" si="76"/>
        <v>46818.386167214718</v>
      </c>
      <c r="BK22" s="181">
        <f t="shared" si="76"/>
        <v>49863.933486345632</v>
      </c>
      <c r="BL22" s="244">
        <f t="shared" si="76"/>
        <v>53518.772949472972</v>
      </c>
      <c r="BM22" s="581">
        <f t="shared" si="76"/>
        <v>53518.772949472972</v>
      </c>
      <c r="BN22"/>
    </row>
    <row r="23" spans="1:66">
      <c r="B23" s="40"/>
      <c r="C23" s="40"/>
      <c r="D23" s="40"/>
      <c r="E23" s="40"/>
      <c r="F23" s="40"/>
      <c r="G23" s="40"/>
      <c r="H23" s="40"/>
      <c r="I23" s="40"/>
      <c r="J23" s="40"/>
      <c r="K23" s="40"/>
      <c r="L23" s="40"/>
      <c r="M23" s="40"/>
      <c r="N23" s="40"/>
      <c r="O23" s="40"/>
      <c r="P23" s="40"/>
      <c r="Q23" s="40"/>
      <c r="R23" s="40"/>
      <c r="S23" s="630"/>
      <c r="T23" s="653"/>
      <c r="U23" s="40"/>
      <c r="V23" s="630"/>
      <c r="W23" s="653"/>
      <c r="X23" s="40"/>
      <c r="Y23" s="630"/>
      <c r="Z23" s="653"/>
      <c r="AA23" s="40"/>
      <c r="AB23" s="630"/>
      <c r="AC23" s="653"/>
      <c r="AD23" s="40"/>
      <c r="AE23" s="630"/>
      <c r="AF23" s="653"/>
      <c r="AG23" s="40"/>
      <c r="AH23" s="630"/>
      <c r="AI23" s="653"/>
      <c r="AJ23" s="40"/>
      <c r="AK23" s="630"/>
      <c r="AL23" s="653"/>
      <c r="AM23" s="40"/>
      <c r="AN23" s="630"/>
      <c r="AO23" s="653"/>
      <c r="AP23" s="40"/>
      <c r="AQ23" s="630"/>
      <c r="AR23" s="653"/>
      <c r="AS23"/>
      <c r="AT23" s="630"/>
      <c r="AU23" s="653"/>
      <c r="AV23" s="40"/>
      <c r="AW23" s="630"/>
      <c r="AX23" s="653"/>
      <c r="AY23" s="40"/>
      <c r="AZ23" s="539"/>
      <c r="BA23" s="550"/>
      <c r="BB23"/>
      <c r="BC23" s="539"/>
      <c r="BD23" s="550"/>
      <c r="BE23"/>
      <c r="BF23" s="539"/>
      <c r="BG23" s="550"/>
      <c r="BH23"/>
      <c r="BI23" s="539"/>
      <c r="BJ23" s="550"/>
      <c r="BK23"/>
      <c r="BL23" s="539"/>
      <c r="BM23" s="550"/>
      <c r="BN23"/>
    </row>
    <row r="24" spans="1:66">
      <c r="A24" s="25" t="s">
        <v>84</v>
      </c>
      <c r="B24" s="40">
        <v>272</v>
      </c>
      <c r="C24" s="40">
        <v>276</v>
      </c>
      <c r="D24" s="40">
        <v>275</v>
      </c>
      <c r="E24" s="40">
        <v>94</v>
      </c>
      <c r="F24" s="40">
        <v>207</v>
      </c>
      <c r="G24" s="40">
        <v>75</v>
      </c>
      <c r="H24" s="40">
        <v>400</v>
      </c>
      <c r="I24" s="40">
        <v>34</v>
      </c>
      <c r="J24" s="40">
        <v>23</v>
      </c>
      <c r="K24" s="40">
        <v>126</v>
      </c>
      <c r="L24" s="40">
        <v>717</v>
      </c>
      <c r="M24" s="40">
        <v>20</v>
      </c>
      <c r="N24" s="40">
        <v>149</v>
      </c>
      <c r="O24" s="40">
        <v>207</v>
      </c>
      <c r="P24" s="40">
        <v>68</v>
      </c>
      <c r="Q24" s="40">
        <v>419</v>
      </c>
      <c r="R24" s="40">
        <v>120</v>
      </c>
      <c r="S24" s="630">
        <f t="shared" ref="S24:S29" si="87">T24</f>
        <v>172</v>
      </c>
      <c r="T24" s="653">
        <v>172</v>
      </c>
      <c r="U24" s="40">
        <v>170</v>
      </c>
      <c r="V24" s="630">
        <f t="shared" ref="V24:V29" si="88">W24</f>
        <v>82</v>
      </c>
      <c r="W24" s="653">
        <v>82</v>
      </c>
      <c r="X24" s="40"/>
      <c r="Y24" s="630"/>
      <c r="Z24" s="653">
        <v>82</v>
      </c>
      <c r="AA24" s="40">
        <v>797</v>
      </c>
      <c r="AB24" s="630">
        <f t="shared" ref="AB24:AB29" si="89">AC24</f>
        <v>858</v>
      </c>
      <c r="AC24" s="653">
        <v>858</v>
      </c>
      <c r="AD24" s="40">
        <v>464</v>
      </c>
      <c r="AE24" s="630">
        <f t="shared" ref="AE24:AE29" si="90">AF24</f>
        <v>775</v>
      </c>
      <c r="AF24" s="653">
        <v>775</v>
      </c>
      <c r="AG24" s="40">
        <v>1776</v>
      </c>
      <c r="AH24" s="630">
        <f t="shared" ref="AH24:AH29" si="91">AI24</f>
        <v>1272</v>
      </c>
      <c r="AI24" s="653">
        <v>1272</v>
      </c>
      <c r="AJ24" s="40">
        <v>221</v>
      </c>
      <c r="AK24" s="630">
        <f t="shared" ref="AK24:AK29" si="92">AL24</f>
        <v>279</v>
      </c>
      <c r="AL24" s="653">
        <v>279</v>
      </c>
      <c r="AM24" s="40">
        <v>321</v>
      </c>
      <c r="AN24" s="630">
        <f t="shared" ref="AN24:AN29" si="93">AO24</f>
        <v>358</v>
      </c>
      <c r="AO24" s="653">
        <v>358</v>
      </c>
      <c r="AP24" s="40">
        <v>756</v>
      </c>
      <c r="AQ24" s="630">
        <f t="shared" ref="AQ24:AQ29" si="94">AR24</f>
        <v>809</v>
      </c>
      <c r="AR24" s="653">
        <v>809</v>
      </c>
      <c r="AS24" s="40">
        <v>305</v>
      </c>
      <c r="AT24" s="630">
        <f t="shared" ref="AT24:AT29" si="95">AU24</f>
        <v>1097</v>
      </c>
      <c r="AU24" s="653">
        <v>1097</v>
      </c>
      <c r="AV24" s="40">
        <v>2071</v>
      </c>
      <c r="AW24" s="630">
        <f t="shared" ref="AW24:AW29" si="96">AX24</f>
        <v>1426</v>
      </c>
      <c r="AX24" s="653">
        <v>1426</v>
      </c>
      <c r="AY24" s="40">
        <v>452</v>
      </c>
      <c r="AZ24" s="236">
        <f t="shared" ref="AZ24:AZ29" si="97">BA24</f>
        <v>1426</v>
      </c>
      <c r="BA24" s="605">
        <f>AX24</f>
        <v>1426</v>
      </c>
      <c r="BB24" s="56">
        <f>BA24</f>
        <v>1426</v>
      </c>
      <c r="BC24" s="236">
        <f t="shared" ref="BC24:BC29" si="98">BD24</f>
        <v>1426</v>
      </c>
      <c r="BD24" s="605">
        <f>BA24</f>
        <v>1426</v>
      </c>
      <c r="BE24" s="56">
        <f>BD24</f>
        <v>1426</v>
      </c>
      <c r="BF24" s="236">
        <f t="shared" ref="BF24:BF29" si="99">BG24</f>
        <v>1426</v>
      </c>
      <c r="BG24" s="605">
        <f>BD24</f>
        <v>1426</v>
      </c>
      <c r="BH24" s="56">
        <f>BG24</f>
        <v>1426</v>
      </c>
      <c r="BI24" s="236">
        <f t="shared" ref="BI24:BI29" si="100">BJ24</f>
        <v>1426</v>
      </c>
      <c r="BJ24" s="605">
        <f>BG24</f>
        <v>1426</v>
      </c>
      <c r="BK24" s="56">
        <f>BJ24</f>
        <v>1426</v>
      </c>
      <c r="BL24" s="236">
        <f t="shared" ref="BL24:BL29" si="101">BM24</f>
        <v>1426</v>
      </c>
      <c r="BM24" s="605">
        <f t="shared" ref="BM24" si="102">BJ24</f>
        <v>1426</v>
      </c>
      <c r="BN24"/>
    </row>
    <row r="25" spans="1:66">
      <c r="A25" s="25" t="s">
        <v>85</v>
      </c>
      <c r="B25" s="40">
        <v>0</v>
      </c>
      <c r="C25" s="40">
        <v>0</v>
      </c>
      <c r="D25" s="40">
        <v>0</v>
      </c>
      <c r="E25" s="40">
        <v>0</v>
      </c>
      <c r="F25" s="40">
        <v>0</v>
      </c>
      <c r="G25" s="40">
        <v>234</v>
      </c>
      <c r="H25" s="40">
        <v>37</v>
      </c>
      <c r="I25" s="40">
        <v>69</v>
      </c>
      <c r="J25" s="40">
        <v>316</v>
      </c>
      <c r="K25" s="40">
        <v>181</v>
      </c>
      <c r="L25" s="40">
        <v>105</v>
      </c>
      <c r="M25" s="40">
        <v>111</v>
      </c>
      <c r="N25" s="40">
        <v>312</v>
      </c>
      <c r="O25" s="40">
        <v>1976</v>
      </c>
      <c r="P25" s="40">
        <v>209</v>
      </c>
      <c r="Q25" s="40">
        <v>331</v>
      </c>
      <c r="R25" s="40">
        <v>521</v>
      </c>
      <c r="S25" s="630">
        <f t="shared" si="87"/>
        <v>651</v>
      </c>
      <c r="T25" s="653">
        <v>651</v>
      </c>
      <c r="U25" s="40">
        <v>648</v>
      </c>
      <c r="V25" s="630">
        <f t="shared" si="88"/>
        <v>581</v>
      </c>
      <c r="W25" s="653">
        <v>581</v>
      </c>
      <c r="X25" s="40"/>
      <c r="Y25" s="630"/>
      <c r="Z25" s="653">
        <v>601</v>
      </c>
      <c r="AA25" s="40">
        <v>768</v>
      </c>
      <c r="AB25" s="630">
        <f t="shared" si="89"/>
        <v>647</v>
      </c>
      <c r="AC25" s="653">
        <v>647</v>
      </c>
      <c r="AD25" s="40">
        <v>918</v>
      </c>
      <c r="AE25" s="630">
        <f t="shared" si="90"/>
        <v>493</v>
      </c>
      <c r="AF25" s="653">
        <v>493</v>
      </c>
      <c r="AG25" s="40">
        <v>640</v>
      </c>
      <c r="AH25" s="630">
        <f t="shared" si="91"/>
        <v>608</v>
      </c>
      <c r="AI25" s="653">
        <v>608</v>
      </c>
      <c r="AJ25" s="40">
        <v>663</v>
      </c>
      <c r="AK25" s="630">
        <f t="shared" si="92"/>
        <v>689</v>
      </c>
      <c r="AL25" s="653">
        <v>689</v>
      </c>
      <c r="AM25" s="40">
        <v>992</v>
      </c>
      <c r="AN25" s="630">
        <f t="shared" si="93"/>
        <v>1016</v>
      </c>
      <c r="AO25" s="653">
        <v>1016</v>
      </c>
      <c r="AP25" s="40">
        <v>660</v>
      </c>
      <c r="AQ25" s="630">
        <f t="shared" si="94"/>
        <v>448</v>
      </c>
      <c r="AR25" s="653">
        <v>448</v>
      </c>
      <c r="AS25" s="40">
        <v>560</v>
      </c>
      <c r="AT25" s="630">
        <f t="shared" si="95"/>
        <v>642</v>
      </c>
      <c r="AU25" s="653">
        <v>642</v>
      </c>
      <c r="AV25" s="40">
        <v>416</v>
      </c>
      <c r="AW25" s="630">
        <f t="shared" si="96"/>
        <v>293</v>
      </c>
      <c r="AX25" s="653">
        <v>293</v>
      </c>
      <c r="AY25" s="40">
        <v>447</v>
      </c>
      <c r="AZ25" s="236">
        <f t="shared" si="97"/>
        <v>398</v>
      </c>
      <c r="BA25" s="605">
        <f>AX25-BS!BA210+CFS!BA60</f>
        <v>398</v>
      </c>
      <c r="BB25" s="56">
        <f>BA25-BS!BB210+CFS!BB60</f>
        <v>464</v>
      </c>
      <c r="BC25" s="236">
        <f t="shared" si="98"/>
        <v>530</v>
      </c>
      <c r="BD25" s="605">
        <f>BA25-BS!BD210+CFS!BD60</f>
        <v>530</v>
      </c>
      <c r="BE25" s="56">
        <f>BD25-BS!BE210+CFS!BE60</f>
        <v>596</v>
      </c>
      <c r="BF25" s="236">
        <f t="shared" si="99"/>
        <v>662</v>
      </c>
      <c r="BG25" s="605">
        <f>BD25-BS!BG210+CFS!BG60</f>
        <v>662</v>
      </c>
      <c r="BH25" s="56">
        <f>BG25-BS!BH210+CFS!BH60</f>
        <v>728</v>
      </c>
      <c r="BI25" s="236">
        <f t="shared" si="100"/>
        <v>794</v>
      </c>
      <c r="BJ25" s="605">
        <f>BG25-BS!BJ210+CFS!BJ60</f>
        <v>794</v>
      </c>
      <c r="BK25" s="56">
        <f>BJ25-BS!BK210+CFS!BK60</f>
        <v>860</v>
      </c>
      <c r="BL25" s="236">
        <f t="shared" si="101"/>
        <v>926</v>
      </c>
      <c r="BM25" s="605">
        <f>BJ25-BS!BM210+CFS!BM60</f>
        <v>926</v>
      </c>
      <c r="BN25"/>
    </row>
    <row r="26" spans="1:66">
      <c r="A26" s="25" t="s">
        <v>86</v>
      </c>
      <c r="B26" s="40">
        <f>2559-B27</f>
        <v>2372</v>
      </c>
      <c r="C26" s="40">
        <f>2720-C27</f>
        <v>2509</v>
      </c>
      <c r="D26" s="40">
        <f>2727-D27</f>
        <v>2529</v>
      </c>
      <c r="E26" s="40">
        <f>2759-E27</f>
        <v>2574</v>
      </c>
      <c r="F26" s="40">
        <v>2395</v>
      </c>
      <c r="G26" s="40">
        <v>2689</v>
      </c>
      <c r="H26" s="40">
        <v>3688</v>
      </c>
      <c r="I26" s="40">
        <v>4736</v>
      </c>
      <c r="J26" s="40">
        <v>5735</v>
      </c>
      <c r="K26" s="40">
        <v>5628</v>
      </c>
      <c r="L26" s="40">
        <v>5910</v>
      </c>
      <c r="M26" s="40">
        <v>6236</v>
      </c>
      <c r="N26" s="40">
        <v>6401</v>
      </c>
      <c r="O26" s="40">
        <v>7045</v>
      </c>
      <c r="P26" s="40">
        <v>6791</v>
      </c>
      <c r="Q26" s="40">
        <v>6923</v>
      </c>
      <c r="R26" s="40">
        <v>7524</v>
      </c>
      <c r="S26" s="630">
        <f t="shared" si="87"/>
        <v>7957</v>
      </c>
      <c r="T26" s="653">
        <v>7957</v>
      </c>
      <c r="U26" s="40">
        <v>8117</v>
      </c>
      <c r="V26" s="630">
        <f t="shared" si="88"/>
        <v>9527</v>
      </c>
      <c r="W26" s="653">
        <v>9527</v>
      </c>
      <c r="X26" s="40"/>
      <c r="Y26" s="630"/>
      <c r="Z26" s="653">
        <f>6885+4104</f>
        <v>10989</v>
      </c>
      <c r="AA26" s="40">
        <v>10183</v>
      </c>
      <c r="AB26" s="630">
        <f t="shared" si="89"/>
        <v>12086</v>
      </c>
      <c r="AC26" s="653">
        <f>8292+3794</f>
        <v>12086</v>
      </c>
      <c r="AD26" s="40">
        <f>8216+4248</f>
        <v>12464</v>
      </c>
      <c r="AE26" s="630">
        <f t="shared" si="90"/>
        <v>12678</v>
      </c>
      <c r="AF26" s="653">
        <f>8450+4228</f>
        <v>12678</v>
      </c>
      <c r="AG26" s="40">
        <f>8299+4538</f>
        <v>12837</v>
      </c>
      <c r="AH26" s="630">
        <f t="shared" si="91"/>
        <v>10840</v>
      </c>
      <c r="AI26" s="653">
        <f>6653+4187</f>
        <v>10840</v>
      </c>
      <c r="AJ26" s="40">
        <f>5720+3811</f>
        <v>9531</v>
      </c>
      <c r="AK26" s="630">
        <f t="shared" si="92"/>
        <v>9615</v>
      </c>
      <c r="AL26" s="653">
        <f>3599+6016</f>
        <v>9615</v>
      </c>
      <c r="AM26" s="40">
        <f>6681+4214</f>
        <v>10895</v>
      </c>
      <c r="AN26" s="630">
        <f t="shared" si="93"/>
        <v>11808</v>
      </c>
      <c r="AO26" s="653">
        <f>6983+4825</f>
        <v>11808</v>
      </c>
      <c r="AP26" s="40">
        <f>7493+5104</f>
        <v>12597</v>
      </c>
      <c r="AQ26" s="630">
        <f t="shared" si="94"/>
        <v>12994</v>
      </c>
      <c r="AR26" s="653">
        <f>6896+6098</f>
        <v>12994</v>
      </c>
      <c r="AS26" s="40">
        <f>7557+6118</f>
        <v>13675</v>
      </c>
      <c r="AT26" s="630">
        <f t="shared" si="95"/>
        <v>14318</v>
      </c>
      <c r="AU26" s="653">
        <f>8009+6309</f>
        <v>14318</v>
      </c>
      <c r="AV26" s="40">
        <f>8105+7048</f>
        <v>15153</v>
      </c>
      <c r="AW26" s="630">
        <f t="shared" si="96"/>
        <v>16695</v>
      </c>
      <c r="AX26" s="653">
        <f>8863+7832</f>
        <v>16695</v>
      </c>
      <c r="AY26" s="40">
        <f>9461+8618</f>
        <v>18079</v>
      </c>
      <c r="AZ26" s="236">
        <f t="shared" si="97"/>
        <v>16695</v>
      </c>
      <c r="BA26" s="605">
        <f>+AX26</f>
        <v>16695</v>
      </c>
      <c r="BB26" s="56">
        <f>+BA26</f>
        <v>16695</v>
      </c>
      <c r="BC26" s="236">
        <f t="shared" si="98"/>
        <v>16695</v>
      </c>
      <c r="BD26" s="605">
        <f>+BA26</f>
        <v>16695</v>
      </c>
      <c r="BE26" s="56">
        <f>+BD26</f>
        <v>16695</v>
      </c>
      <c r="BF26" s="236">
        <f t="shared" si="99"/>
        <v>16695</v>
      </c>
      <c r="BG26" s="605">
        <f>+BD26</f>
        <v>16695</v>
      </c>
      <c r="BH26" s="56">
        <f>+BG26</f>
        <v>16695</v>
      </c>
      <c r="BI26" s="236">
        <f t="shared" si="100"/>
        <v>16695</v>
      </c>
      <c r="BJ26" s="605">
        <f>+BG26</f>
        <v>16695</v>
      </c>
      <c r="BK26" s="56">
        <f>+BJ26</f>
        <v>16695</v>
      </c>
      <c r="BL26" s="236">
        <f t="shared" si="101"/>
        <v>16695</v>
      </c>
      <c r="BM26" s="605">
        <f t="shared" ref="BM26" si="103">+BJ26</f>
        <v>16695</v>
      </c>
      <c r="BN26"/>
    </row>
    <row r="27" spans="1:66">
      <c r="A27" s="25" t="s">
        <v>87</v>
      </c>
      <c r="B27" s="40">
        <v>187</v>
      </c>
      <c r="C27" s="40">
        <v>211</v>
      </c>
      <c r="D27" s="40">
        <v>198</v>
      </c>
      <c r="E27" s="40">
        <v>185</v>
      </c>
      <c r="F27" s="40">
        <v>176</v>
      </c>
      <c r="G27" s="40">
        <v>171</v>
      </c>
      <c r="H27" s="40">
        <v>191</v>
      </c>
      <c r="I27" s="40">
        <v>188</v>
      </c>
      <c r="J27" s="40">
        <v>184</v>
      </c>
      <c r="K27" s="40">
        <v>167</v>
      </c>
      <c r="L27" s="40">
        <v>170</v>
      </c>
      <c r="M27" s="40">
        <v>138</v>
      </c>
      <c r="N27" s="40">
        <v>126</v>
      </c>
      <c r="O27" s="40">
        <v>204</v>
      </c>
      <c r="P27" s="40">
        <v>184</v>
      </c>
      <c r="Q27" s="40">
        <v>164</v>
      </c>
      <c r="R27" s="40">
        <v>119</v>
      </c>
      <c r="S27" s="630">
        <f t="shared" si="87"/>
        <v>211</v>
      </c>
      <c r="T27" s="653">
        <v>211</v>
      </c>
      <c r="U27" s="40">
        <v>185</v>
      </c>
      <c r="V27" s="630">
        <f t="shared" si="88"/>
        <v>209</v>
      </c>
      <c r="W27" s="653">
        <v>209</v>
      </c>
      <c r="X27" s="40"/>
      <c r="Y27" s="630"/>
      <c r="Z27" s="653">
        <v>209</v>
      </c>
      <c r="AA27" s="40">
        <v>141</v>
      </c>
      <c r="AB27" s="630">
        <f t="shared" si="89"/>
        <v>138</v>
      </c>
      <c r="AC27" s="653">
        <v>138</v>
      </c>
      <c r="AD27" s="40">
        <v>178</v>
      </c>
      <c r="AE27" s="630">
        <f t="shared" si="90"/>
        <v>172</v>
      </c>
      <c r="AF27" s="653">
        <v>172</v>
      </c>
      <c r="AG27" s="40">
        <v>265</v>
      </c>
      <c r="AH27" s="630">
        <f t="shared" si="91"/>
        <v>154</v>
      </c>
      <c r="AI27" s="653">
        <v>154</v>
      </c>
      <c r="AJ27" s="40">
        <v>96</v>
      </c>
      <c r="AK27" s="630">
        <f t="shared" si="92"/>
        <v>101</v>
      </c>
      <c r="AL27" s="653">
        <v>101</v>
      </c>
      <c r="AM27" s="40">
        <v>113</v>
      </c>
      <c r="AN27" s="630">
        <f t="shared" si="93"/>
        <v>104</v>
      </c>
      <c r="AO27" s="653">
        <v>104</v>
      </c>
      <c r="AP27" s="40">
        <v>84</v>
      </c>
      <c r="AQ27" s="630">
        <f t="shared" si="94"/>
        <v>143</v>
      </c>
      <c r="AR27" s="653">
        <v>143</v>
      </c>
      <c r="AS27" s="40">
        <v>168</v>
      </c>
      <c r="AT27" s="630">
        <f t="shared" si="95"/>
        <v>117</v>
      </c>
      <c r="AU27" s="653">
        <v>117</v>
      </c>
      <c r="AV27" s="40">
        <v>53</v>
      </c>
      <c r="AW27" s="630">
        <f t="shared" si="96"/>
        <v>366</v>
      </c>
      <c r="AX27" s="653">
        <v>366</v>
      </c>
      <c r="AY27" s="40">
        <v>202</v>
      </c>
      <c r="AZ27" s="236">
        <f t="shared" si="97"/>
        <v>366</v>
      </c>
      <c r="BA27" s="605">
        <f>AX27</f>
        <v>366</v>
      </c>
      <c r="BB27" s="56">
        <f>BA27</f>
        <v>366</v>
      </c>
      <c r="BC27" s="236">
        <f t="shared" si="98"/>
        <v>366</v>
      </c>
      <c r="BD27" s="605">
        <f>BA27</f>
        <v>366</v>
      </c>
      <c r="BE27" s="56">
        <f>BD27</f>
        <v>366</v>
      </c>
      <c r="BF27" s="236">
        <f t="shared" si="99"/>
        <v>366</v>
      </c>
      <c r="BG27" s="605">
        <f>BD27</f>
        <v>366</v>
      </c>
      <c r="BH27" s="56">
        <f>BG27</f>
        <v>366</v>
      </c>
      <c r="BI27" s="236">
        <f t="shared" si="100"/>
        <v>366</v>
      </c>
      <c r="BJ27" s="605">
        <f>BG27</f>
        <v>366</v>
      </c>
      <c r="BK27" s="56">
        <f>BJ27</f>
        <v>366</v>
      </c>
      <c r="BL27" s="236">
        <f t="shared" si="101"/>
        <v>366</v>
      </c>
      <c r="BM27" s="605">
        <f t="shared" ref="BM27" si="104">BJ27</f>
        <v>366</v>
      </c>
      <c r="BN27"/>
    </row>
    <row r="28" spans="1:66">
      <c r="A28" s="25" t="s">
        <v>88</v>
      </c>
      <c r="B28" s="40">
        <v>0</v>
      </c>
      <c r="C28" s="40">
        <v>0</v>
      </c>
      <c r="D28" s="40">
        <v>0</v>
      </c>
      <c r="E28" s="40">
        <v>0</v>
      </c>
      <c r="F28" s="40">
        <v>173</v>
      </c>
      <c r="G28" s="40">
        <v>138</v>
      </c>
      <c r="H28" s="40">
        <v>146</v>
      </c>
      <c r="I28" s="40">
        <v>121</v>
      </c>
      <c r="J28" s="40">
        <v>181</v>
      </c>
      <c r="K28" s="40">
        <v>210</v>
      </c>
      <c r="L28" s="40">
        <v>276</v>
      </c>
      <c r="M28" s="40">
        <v>276</v>
      </c>
      <c r="N28" s="40">
        <v>220</v>
      </c>
      <c r="O28" s="40">
        <v>348</v>
      </c>
      <c r="P28" s="40">
        <v>433</v>
      </c>
      <c r="Q28" s="40">
        <v>336</v>
      </c>
      <c r="R28" s="40">
        <v>408</v>
      </c>
      <c r="S28" s="630">
        <f t="shared" si="87"/>
        <v>543</v>
      </c>
      <c r="T28" s="653">
        <v>543</v>
      </c>
      <c r="U28" s="40">
        <v>407</v>
      </c>
      <c r="V28" s="630">
        <f t="shared" si="88"/>
        <v>526</v>
      </c>
      <c r="W28" s="653">
        <v>526</v>
      </c>
      <c r="X28" s="40"/>
      <c r="Y28" s="630"/>
      <c r="Z28" s="653">
        <v>550</v>
      </c>
      <c r="AA28" s="40">
        <v>843</v>
      </c>
      <c r="AB28" s="630">
        <f t="shared" si="89"/>
        <v>1122</v>
      </c>
      <c r="AC28" s="653">
        <v>1122</v>
      </c>
      <c r="AD28" s="40">
        <v>919</v>
      </c>
      <c r="AE28" s="630">
        <f t="shared" si="90"/>
        <v>858</v>
      </c>
      <c r="AF28" s="653">
        <v>858</v>
      </c>
      <c r="AG28" s="40">
        <v>1124</v>
      </c>
      <c r="AH28" s="630">
        <f t="shared" si="91"/>
        <v>826</v>
      </c>
      <c r="AI28" s="653">
        <v>826</v>
      </c>
      <c r="AJ28" s="40">
        <v>568</v>
      </c>
      <c r="AK28" s="630">
        <f t="shared" si="92"/>
        <v>475</v>
      </c>
      <c r="AL28" s="653">
        <v>475</v>
      </c>
      <c r="AM28" s="40">
        <v>567</v>
      </c>
      <c r="AN28" s="630">
        <f t="shared" si="93"/>
        <v>632</v>
      </c>
      <c r="AO28" s="653">
        <v>632</v>
      </c>
      <c r="AP28" s="40">
        <v>651</v>
      </c>
      <c r="AQ28" s="630">
        <f t="shared" si="94"/>
        <v>532</v>
      </c>
      <c r="AR28" s="653">
        <v>532</v>
      </c>
      <c r="AS28" s="40">
        <v>556</v>
      </c>
      <c r="AT28" s="630">
        <f t="shared" si="95"/>
        <v>589</v>
      </c>
      <c r="AU28" s="653">
        <v>589</v>
      </c>
      <c r="AV28" s="40">
        <v>525</v>
      </c>
      <c r="AW28" s="630">
        <f t="shared" si="96"/>
        <v>507</v>
      </c>
      <c r="AX28" s="653">
        <v>507</v>
      </c>
      <c r="AY28" s="40">
        <v>467</v>
      </c>
      <c r="AZ28" s="236">
        <f t="shared" si="97"/>
        <v>377</v>
      </c>
      <c r="BA28" s="605">
        <f>AX28+CFS!BA17+CFS!BA18</f>
        <v>377</v>
      </c>
      <c r="BB28" s="56">
        <f>BA28+CFS!BB17+CFS!BB18</f>
        <v>377</v>
      </c>
      <c r="BC28" s="236">
        <f t="shared" si="98"/>
        <v>377</v>
      </c>
      <c r="BD28" s="605">
        <f>BA28+CFS!BD17+CFS!BD18</f>
        <v>377</v>
      </c>
      <c r="BE28" s="56">
        <f>BD28+CFS!BE17+CFS!BE18</f>
        <v>377</v>
      </c>
      <c r="BF28" s="236">
        <f t="shared" si="99"/>
        <v>377</v>
      </c>
      <c r="BG28" s="605">
        <f>BD28+CFS!BG17+CFS!BG18</f>
        <v>377</v>
      </c>
      <c r="BH28" s="56">
        <f>BG28+CFS!BH17+CFS!BH18</f>
        <v>377</v>
      </c>
      <c r="BI28" s="236">
        <f t="shared" si="100"/>
        <v>377</v>
      </c>
      <c r="BJ28" s="605">
        <f>BG28+CFS!BJ17+CFS!BJ18</f>
        <v>377</v>
      </c>
      <c r="BK28" s="56">
        <f>BJ28+CFS!BK17+CFS!BK18</f>
        <v>377</v>
      </c>
      <c r="BL28" s="236">
        <f t="shared" si="101"/>
        <v>377</v>
      </c>
      <c r="BM28" s="605">
        <f>BJ28+CFS!BM17+CFS!BM18</f>
        <v>377</v>
      </c>
      <c r="BN28"/>
    </row>
    <row r="29" spans="1:66">
      <c r="A29" s="25" t="s">
        <v>236</v>
      </c>
      <c r="B29" s="40">
        <v>0</v>
      </c>
      <c r="C29" s="40">
        <v>0</v>
      </c>
      <c r="D29" s="40">
        <v>0</v>
      </c>
      <c r="E29" s="40">
        <v>0</v>
      </c>
      <c r="F29" s="40">
        <v>0</v>
      </c>
      <c r="G29" s="40">
        <v>0</v>
      </c>
      <c r="H29" s="40">
        <v>0</v>
      </c>
      <c r="I29" s="40">
        <v>0</v>
      </c>
      <c r="J29" s="40">
        <v>0</v>
      </c>
      <c r="K29" s="40">
        <v>0</v>
      </c>
      <c r="L29" s="40">
        <v>0</v>
      </c>
      <c r="M29" s="40">
        <v>135</v>
      </c>
      <c r="N29" s="40">
        <v>0</v>
      </c>
      <c r="O29" s="40">
        <v>0</v>
      </c>
      <c r="P29" s="40">
        <v>0</v>
      </c>
      <c r="Q29" s="40">
        <v>0</v>
      </c>
      <c r="R29" s="40">
        <v>0</v>
      </c>
      <c r="S29" s="630">
        <f t="shared" si="87"/>
        <v>0</v>
      </c>
      <c r="T29" s="653">
        <v>0</v>
      </c>
      <c r="U29" s="40">
        <v>0</v>
      </c>
      <c r="V29" s="630">
        <f t="shared" si="88"/>
        <v>0</v>
      </c>
      <c r="W29" s="653">
        <f>(T29)/-1</f>
        <v>0</v>
      </c>
      <c r="X29" s="40"/>
      <c r="Y29" s="630"/>
      <c r="Z29" s="653">
        <v>0</v>
      </c>
      <c r="AA29" s="40">
        <v>463</v>
      </c>
      <c r="AB29" s="630">
        <f t="shared" si="89"/>
        <v>376</v>
      </c>
      <c r="AC29" s="653">
        <v>376</v>
      </c>
      <c r="AD29" s="40">
        <v>0</v>
      </c>
      <c r="AE29" s="630">
        <f t="shared" si="90"/>
        <v>15</v>
      </c>
      <c r="AF29" s="653">
        <v>15</v>
      </c>
      <c r="AG29" s="40">
        <v>0</v>
      </c>
      <c r="AH29" s="630">
        <f t="shared" si="91"/>
        <v>228</v>
      </c>
      <c r="AI29" s="653">
        <v>228</v>
      </c>
      <c r="AJ29" s="40">
        <v>904</v>
      </c>
      <c r="AK29" s="630">
        <f t="shared" si="92"/>
        <v>723</v>
      </c>
      <c r="AL29" s="653">
        <v>723</v>
      </c>
      <c r="AM29" s="40">
        <v>781</v>
      </c>
      <c r="AN29" s="630">
        <f t="shared" si="93"/>
        <v>0</v>
      </c>
      <c r="AO29" s="653">
        <v>0</v>
      </c>
      <c r="AP29" s="40">
        <v>0</v>
      </c>
      <c r="AQ29" s="630">
        <f t="shared" si="94"/>
        <v>55</v>
      </c>
      <c r="AR29" s="653">
        <v>55</v>
      </c>
      <c r="AS29" s="40">
        <v>13</v>
      </c>
      <c r="AT29" s="630">
        <f t="shared" si="95"/>
        <v>100</v>
      </c>
      <c r="AU29" s="653">
        <v>100</v>
      </c>
      <c r="AV29" s="40">
        <v>88</v>
      </c>
      <c r="AW29" s="630">
        <f t="shared" si="96"/>
        <v>19</v>
      </c>
      <c r="AX29" s="653">
        <v>19</v>
      </c>
      <c r="AY29" s="40">
        <v>11</v>
      </c>
      <c r="AZ29" s="236">
        <f t="shared" si="97"/>
        <v>19</v>
      </c>
      <c r="BA29" s="605">
        <f>AX29</f>
        <v>19</v>
      </c>
      <c r="BB29" s="56">
        <f>BA29</f>
        <v>19</v>
      </c>
      <c r="BC29" s="236">
        <f t="shared" si="98"/>
        <v>19</v>
      </c>
      <c r="BD29" s="605">
        <f>BA29</f>
        <v>19</v>
      </c>
      <c r="BE29" s="56">
        <f>BD29</f>
        <v>19</v>
      </c>
      <c r="BF29" s="236">
        <f t="shared" si="99"/>
        <v>19</v>
      </c>
      <c r="BG29" s="605">
        <f>BD29</f>
        <v>19</v>
      </c>
      <c r="BH29" s="56">
        <f>BG29</f>
        <v>19</v>
      </c>
      <c r="BI29" s="236">
        <f t="shared" si="100"/>
        <v>19</v>
      </c>
      <c r="BJ29" s="605">
        <f>BG29</f>
        <v>19</v>
      </c>
      <c r="BK29" s="56">
        <f>BJ29</f>
        <v>19</v>
      </c>
      <c r="BL29" s="236">
        <f t="shared" si="101"/>
        <v>19</v>
      </c>
      <c r="BM29" s="605">
        <f t="shared" ref="BM29" si="105">BJ29</f>
        <v>19</v>
      </c>
      <c r="BN29"/>
    </row>
    <row r="30" spans="1:66">
      <c r="A30" s="68" t="s">
        <v>89</v>
      </c>
      <c r="B30" s="46">
        <f t="shared" ref="B30:L30" si="106">SUM(B24:B29)</f>
        <v>2831</v>
      </c>
      <c r="C30" s="46">
        <f t="shared" si="106"/>
        <v>2996</v>
      </c>
      <c r="D30" s="46">
        <f t="shared" si="106"/>
        <v>3002</v>
      </c>
      <c r="E30" s="46">
        <f t="shared" si="106"/>
        <v>2853</v>
      </c>
      <c r="F30" s="46">
        <f t="shared" si="106"/>
        <v>2951</v>
      </c>
      <c r="G30" s="46">
        <f t="shared" si="106"/>
        <v>3307</v>
      </c>
      <c r="H30" s="46">
        <f t="shared" si="106"/>
        <v>4462</v>
      </c>
      <c r="I30" s="46">
        <f t="shared" si="106"/>
        <v>5148</v>
      </c>
      <c r="J30" s="46">
        <f t="shared" si="106"/>
        <v>6439</v>
      </c>
      <c r="K30" s="46">
        <f t="shared" si="106"/>
        <v>6312</v>
      </c>
      <c r="L30" s="46">
        <f t="shared" si="106"/>
        <v>7178</v>
      </c>
      <c r="M30" s="46">
        <f>SUM(M24:M29)</f>
        <v>6916</v>
      </c>
      <c r="N30" s="46">
        <f t="shared" ref="N30:BM30" si="107">SUM(N24:N29)</f>
        <v>7208</v>
      </c>
      <c r="O30" s="46">
        <f t="shared" si="107"/>
        <v>9780</v>
      </c>
      <c r="P30" s="46">
        <f t="shared" si="107"/>
        <v>7685</v>
      </c>
      <c r="Q30" s="46">
        <f t="shared" si="107"/>
        <v>8173</v>
      </c>
      <c r="R30" s="46">
        <f t="shared" ref="R30:S30" si="108">SUM(R24:R29)</f>
        <v>8692</v>
      </c>
      <c r="S30" s="643">
        <f t="shared" si="108"/>
        <v>9534</v>
      </c>
      <c r="T30" s="667">
        <f t="shared" si="107"/>
        <v>9534</v>
      </c>
      <c r="U30" s="46">
        <f t="shared" ref="U30:V30" si="109">SUM(U24:U29)</f>
        <v>9527</v>
      </c>
      <c r="V30" s="643">
        <f t="shared" si="109"/>
        <v>10925</v>
      </c>
      <c r="W30" s="667">
        <f t="shared" si="107"/>
        <v>10925</v>
      </c>
      <c r="X30" s="46"/>
      <c r="Y30" s="643"/>
      <c r="Z30" s="667">
        <f t="shared" si="107"/>
        <v>12431</v>
      </c>
      <c r="AA30" s="46">
        <f t="shared" ref="AA30:AB30" si="110">SUM(AA24:AA29)</f>
        <v>13195</v>
      </c>
      <c r="AB30" s="643">
        <f t="shared" si="110"/>
        <v>15227</v>
      </c>
      <c r="AC30" s="667">
        <f t="shared" si="107"/>
        <v>15227</v>
      </c>
      <c r="AD30" s="46">
        <f t="shared" ref="AD30:AE30" si="111">SUM(AD24:AD29)</f>
        <v>14943</v>
      </c>
      <c r="AE30" s="643">
        <f t="shared" si="111"/>
        <v>14991</v>
      </c>
      <c r="AF30" s="667">
        <f t="shared" si="107"/>
        <v>14991</v>
      </c>
      <c r="AG30" s="46">
        <f t="shared" ref="AG30:AH30" si="112">SUM(AG24:AG29)</f>
        <v>16642</v>
      </c>
      <c r="AH30" s="643">
        <f t="shared" si="112"/>
        <v>13928</v>
      </c>
      <c r="AI30" s="667">
        <f t="shared" si="107"/>
        <v>13928</v>
      </c>
      <c r="AJ30" s="46">
        <f t="shared" ref="AJ30:AK30" si="113">SUM(AJ24:AJ29)</f>
        <v>11983</v>
      </c>
      <c r="AK30" s="643">
        <f t="shared" si="113"/>
        <v>11882</v>
      </c>
      <c r="AL30" s="667">
        <f t="shared" si="107"/>
        <v>11882</v>
      </c>
      <c r="AM30" s="46">
        <f t="shared" ref="AM30:AN30" si="114">SUM(AM24:AM29)</f>
        <v>13669</v>
      </c>
      <c r="AN30" s="643">
        <f t="shared" si="114"/>
        <v>13918</v>
      </c>
      <c r="AO30" s="667">
        <f t="shared" si="107"/>
        <v>13918</v>
      </c>
      <c r="AP30" s="46">
        <f t="shared" ref="AP30:AR30" si="115">SUM(AP24:AP29)</f>
        <v>14748</v>
      </c>
      <c r="AQ30" s="643">
        <f t="shared" si="115"/>
        <v>14981</v>
      </c>
      <c r="AR30" s="667">
        <f t="shared" si="115"/>
        <v>14981</v>
      </c>
      <c r="AS30" s="46">
        <f t="shared" ref="AS30:AU30" si="116">SUM(AS24:AS29)</f>
        <v>15277</v>
      </c>
      <c r="AT30" s="643">
        <f t="shared" si="116"/>
        <v>16863</v>
      </c>
      <c r="AU30" s="667">
        <f t="shared" si="116"/>
        <v>16863</v>
      </c>
      <c r="AV30" s="46">
        <f t="shared" ref="AV30" si="117">SUM(AV24:AV29)</f>
        <v>18306</v>
      </c>
      <c r="AW30" s="643">
        <f t="shared" ref="AW30:AY30" si="118">SUM(AW24:AW29)</f>
        <v>19306</v>
      </c>
      <c r="AX30" s="667">
        <f t="shared" si="118"/>
        <v>19306</v>
      </c>
      <c r="AY30" s="46">
        <f t="shared" si="118"/>
        <v>19658</v>
      </c>
      <c r="AZ30" s="250">
        <f t="shared" ref="AZ30" si="119">SUM(AZ24:AZ29)</f>
        <v>19281</v>
      </c>
      <c r="BA30" s="615">
        <f t="shared" si="107"/>
        <v>19281</v>
      </c>
      <c r="BB30" s="249">
        <f t="shared" si="107"/>
        <v>19347</v>
      </c>
      <c r="BC30" s="250">
        <f t="shared" ref="BC30" si="120">SUM(BC24:BC29)</f>
        <v>19413</v>
      </c>
      <c r="BD30" s="615">
        <f t="shared" si="107"/>
        <v>19413</v>
      </c>
      <c r="BE30" s="249">
        <f t="shared" si="107"/>
        <v>19479</v>
      </c>
      <c r="BF30" s="250">
        <f t="shared" ref="BF30" si="121">SUM(BF24:BF29)</f>
        <v>19545</v>
      </c>
      <c r="BG30" s="615">
        <f t="shared" si="107"/>
        <v>19545</v>
      </c>
      <c r="BH30" s="249">
        <f t="shared" si="107"/>
        <v>19611</v>
      </c>
      <c r="BI30" s="250">
        <f t="shared" ref="BI30" si="122">SUM(BI24:BI29)</f>
        <v>19677</v>
      </c>
      <c r="BJ30" s="615">
        <f t="shared" si="107"/>
        <v>19677</v>
      </c>
      <c r="BK30" s="249">
        <f t="shared" si="107"/>
        <v>19743</v>
      </c>
      <c r="BL30" s="250">
        <f t="shared" ref="BL30" si="123">SUM(BL24:BL29)</f>
        <v>19809</v>
      </c>
      <c r="BM30" s="615">
        <f t="shared" si="107"/>
        <v>19809</v>
      </c>
      <c r="BN30"/>
    </row>
    <row r="31" spans="1:66">
      <c r="A31" s="25" t="s">
        <v>769</v>
      </c>
      <c r="B31" s="40">
        <v>1058</v>
      </c>
      <c r="C31" s="40">
        <v>1104</v>
      </c>
      <c r="D31" s="40">
        <v>1038</v>
      </c>
      <c r="E31" s="40">
        <v>1197</v>
      </c>
      <c r="F31" s="40">
        <v>1430</v>
      </c>
      <c r="G31" s="40">
        <v>1458</v>
      </c>
      <c r="H31" s="40">
        <v>990</v>
      </c>
      <c r="I31" s="40">
        <v>1030</v>
      </c>
      <c r="J31" s="40">
        <v>1325</v>
      </c>
      <c r="K31" s="40">
        <v>1787</v>
      </c>
      <c r="L31" s="40">
        <v>1135</v>
      </c>
      <c r="M31" s="40">
        <v>1184</v>
      </c>
      <c r="N31" s="40">
        <v>1234</v>
      </c>
      <c r="O31" s="40">
        <v>2164</v>
      </c>
      <c r="P31" s="40">
        <v>2193</v>
      </c>
      <c r="Q31" s="40">
        <v>2883</v>
      </c>
      <c r="R31" s="40">
        <v>3212</v>
      </c>
      <c r="S31" s="630">
        <f t="shared" ref="S31:S37" si="124">T31</f>
        <v>3185</v>
      </c>
      <c r="T31" s="653">
        <v>3185</v>
      </c>
      <c r="U31" s="40">
        <v>3402</v>
      </c>
      <c r="V31" s="630">
        <f t="shared" ref="V31:V37" si="125">W31</f>
        <v>3406</v>
      </c>
      <c r="W31" s="653">
        <v>3406</v>
      </c>
      <c r="X31" s="40"/>
      <c r="Y31" s="630"/>
      <c r="Z31" s="653">
        <v>3406</v>
      </c>
      <c r="AA31" s="40">
        <v>3644</v>
      </c>
      <c r="AB31" s="630">
        <f t="shared" ref="AB31:AB37" si="126">AC31</f>
        <v>3804</v>
      </c>
      <c r="AC31" s="653">
        <v>3804</v>
      </c>
      <c r="AD31" s="40">
        <v>6065</v>
      </c>
      <c r="AE31" s="630">
        <f t="shared" ref="AE31:AE37" si="127">AF31</f>
        <v>4910</v>
      </c>
      <c r="AF31" s="653">
        <v>4910</v>
      </c>
      <c r="AG31" s="40">
        <v>6988</v>
      </c>
      <c r="AH31" s="630">
        <f t="shared" ref="AH31:AH37" si="128">AI31</f>
        <v>6058</v>
      </c>
      <c r="AI31" s="653">
        <v>6058</v>
      </c>
      <c r="AJ31" s="40">
        <v>7693</v>
      </c>
      <c r="AK31" s="630">
        <f t="shared" ref="AK31:AK37" si="129">AL31</f>
        <v>7497</v>
      </c>
      <c r="AL31" s="653">
        <v>7497</v>
      </c>
      <c r="AM31" s="40">
        <v>7655</v>
      </c>
      <c r="AN31" s="630">
        <f t="shared" ref="AN31:AN37" si="130">AO31</f>
        <v>5597</v>
      </c>
      <c r="AO31" s="653">
        <v>5597</v>
      </c>
      <c r="AP31" s="40">
        <v>4901</v>
      </c>
      <c r="AQ31" s="630">
        <f t="shared" ref="AQ31:AQ37" si="131">AR31</f>
        <v>4950</v>
      </c>
      <c r="AR31" s="653">
        <v>4950</v>
      </c>
      <c r="AS31" s="40">
        <v>4845</v>
      </c>
      <c r="AT31" s="630">
        <f t="shared" ref="AT31:AT37" si="132">AU31</f>
        <v>4035</v>
      </c>
      <c r="AU31" s="653">
        <v>4035</v>
      </c>
      <c r="AV31" s="1084">
        <v>2838</v>
      </c>
      <c r="AW31" s="630">
        <f t="shared" ref="AW31:AW37" si="133">AX31</f>
        <v>2846</v>
      </c>
      <c r="AX31" s="653">
        <v>2846</v>
      </c>
      <c r="AY31" s="1084">
        <v>3859</v>
      </c>
      <c r="AZ31" s="236">
        <f t="shared" ref="AZ31:AZ32" si="134">BA31</f>
        <v>2653</v>
      </c>
      <c r="BA31" s="605">
        <f>AX31+CFS!BA56-SUM(BA66:BA67,BA70)+BA171</f>
        <v>2653</v>
      </c>
      <c r="BB31" s="1070">
        <f>BA31+CFS!BB56-SUM(BB66:BB67,BB70)+BB171</f>
        <v>2653</v>
      </c>
      <c r="BC31" s="236">
        <f t="shared" ref="BC31:BC32" si="135">BD31</f>
        <v>2653</v>
      </c>
      <c r="BD31" s="605">
        <f>BA31+CFS!BD56-SUM(BD66:BD67,BD70)+BD171</f>
        <v>2653</v>
      </c>
      <c r="BE31" s="1070">
        <f>BD31+CFS!BE56-SUM(BE66:BE67,BE70)+BE171</f>
        <v>2653</v>
      </c>
      <c r="BF31" s="236">
        <f t="shared" ref="BF31:BF32" si="136">BG31</f>
        <v>2653</v>
      </c>
      <c r="BG31" s="605">
        <f>BD31+CFS!BG56-SUM(BG66:BG67,BG70)+BG171</f>
        <v>2653</v>
      </c>
      <c r="BH31" s="1070">
        <f>BG31+CFS!BH56-SUM(BH66:BH67,BH70)+BH171</f>
        <v>2653</v>
      </c>
      <c r="BI31" s="236">
        <f t="shared" ref="BI31:BI32" si="137">BJ31</f>
        <v>2653</v>
      </c>
      <c r="BJ31" s="605">
        <f>BG31+CFS!BJ56-SUM(BJ66:BJ67,BJ70)+BJ171</f>
        <v>2653</v>
      </c>
      <c r="BK31" s="1070">
        <f>BJ31+CFS!BK56-SUM(BK66:BK67,BK70)+BK171</f>
        <v>2653</v>
      </c>
      <c r="BL31" s="236">
        <f t="shared" ref="BL31:BL32" si="138">BM31</f>
        <v>2653</v>
      </c>
      <c r="BM31" s="605">
        <f>BJ31+CFS!BM56-SUM(BM66:BM67,BM70)+BM171</f>
        <v>2653</v>
      </c>
      <c r="BN31"/>
    </row>
    <row r="32" spans="1:66">
      <c r="A32" s="25" t="s">
        <v>85</v>
      </c>
      <c r="B32" s="40">
        <v>0</v>
      </c>
      <c r="C32" s="40">
        <v>0</v>
      </c>
      <c r="D32" s="40">
        <v>0</v>
      </c>
      <c r="E32" s="40">
        <v>0</v>
      </c>
      <c r="F32" s="40">
        <v>0</v>
      </c>
      <c r="G32" s="40">
        <v>339</v>
      </c>
      <c r="H32" s="40">
        <v>336</v>
      </c>
      <c r="I32" s="40">
        <v>303</v>
      </c>
      <c r="J32" s="40">
        <v>2525</v>
      </c>
      <c r="K32" s="40">
        <v>868</v>
      </c>
      <c r="L32" s="40">
        <v>945</v>
      </c>
      <c r="M32" s="40">
        <v>919</v>
      </c>
      <c r="N32" s="40">
        <v>418</v>
      </c>
      <c r="O32" s="40">
        <v>360</v>
      </c>
      <c r="P32" s="40">
        <v>717</v>
      </c>
      <c r="Q32" s="40">
        <v>1651</v>
      </c>
      <c r="R32" s="40">
        <v>3497</v>
      </c>
      <c r="S32" s="630">
        <f t="shared" si="124"/>
        <v>5129</v>
      </c>
      <c r="T32" s="653">
        <v>5129</v>
      </c>
      <c r="U32" s="40">
        <v>3492</v>
      </c>
      <c r="V32" s="630">
        <f t="shared" si="125"/>
        <v>2435</v>
      </c>
      <c r="W32" s="653">
        <v>2435</v>
      </c>
      <c r="X32" s="40"/>
      <c r="Y32" s="630"/>
      <c r="Z32" s="653">
        <v>2461</v>
      </c>
      <c r="AA32" s="40">
        <v>2694</v>
      </c>
      <c r="AB32" s="630">
        <f t="shared" si="126"/>
        <v>3542</v>
      </c>
      <c r="AC32" s="653">
        <v>3542</v>
      </c>
      <c r="AD32" s="40">
        <v>3636</v>
      </c>
      <c r="AE32" s="630">
        <f t="shared" si="127"/>
        <v>3094</v>
      </c>
      <c r="AF32" s="653">
        <v>3094</v>
      </c>
      <c r="AG32" s="40">
        <v>5465</v>
      </c>
      <c r="AH32" s="630">
        <f t="shared" si="128"/>
        <v>3046</v>
      </c>
      <c r="AI32" s="653">
        <v>3046</v>
      </c>
      <c r="AJ32" s="40">
        <v>2462</v>
      </c>
      <c r="AK32" s="630">
        <f t="shared" si="129"/>
        <v>2715</v>
      </c>
      <c r="AL32" s="653">
        <v>2715</v>
      </c>
      <c r="AM32" s="40">
        <v>3478</v>
      </c>
      <c r="AN32" s="630">
        <f t="shared" si="130"/>
        <v>3230</v>
      </c>
      <c r="AO32" s="653">
        <v>3230</v>
      </c>
      <c r="AP32" s="40">
        <v>2365</v>
      </c>
      <c r="AQ32" s="630">
        <f t="shared" si="131"/>
        <v>1983</v>
      </c>
      <c r="AR32" s="653">
        <v>1983</v>
      </c>
      <c r="AS32" s="40">
        <v>1596</v>
      </c>
      <c r="AT32" s="630">
        <f t="shared" si="132"/>
        <v>1640</v>
      </c>
      <c r="AU32" s="653">
        <v>1640</v>
      </c>
      <c r="AV32" s="1085">
        <v>736</v>
      </c>
      <c r="AW32" s="630">
        <f t="shared" si="133"/>
        <v>627</v>
      </c>
      <c r="AX32" s="653">
        <v>627</v>
      </c>
      <c r="AY32" s="1085">
        <v>344</v>
      </c>
      <c r="AZ32" s="236">
        <f t="shared" si="134"/>
        <v>618</v>
      </c>
      <c r="BA32" s="605">
        <f>AX32-IS!BA85-IS!BA88-IS!BA91</f>
        <v>618</v>
      </c>
      <c r="BB32" s="209">
        <f>BA32-IS!BB85-IS!BB88-IS!BB91</f>
        <v>618</v>
      </c>
      <c r="BC32" s="236">
        <f t="shared" si="135"/>
        <v>618</v>
      </c>
      <c r="BD32" s="605">
        <f>BA32-IS!BD85-IS!BD88-IS!BD91</f>
        <v>618</v>
      </c>
      <c r="BE32" s="209">
        <f>BD32-IS!BE85-IS!BE88-IS!BE91</f>
        <v>618</v>
      </c>
      <c r="BF32" s="236">
        <f t="shared" si="136"/>
        <v>618</v>
      </c>
      <c r="BG32" s="605">
        <f>BD32-IS!BG85-IS!BG88-IS!BG91</f>
        <v>618</v>
      </c>
      <c r="BH32" s="209">
        <f>BG32-IS!BH85-IS!BH88-IS!BH91</f>
        <v>618</v>
      </c>
      <c r="BI32" s="236">
        <f t="shared" si="137"/>
        <v>618</v>
      </c>
      <c r="BJ32" s="605">
        <f>BG32-IS!BJ85-IS!BJ88-IS!BJ91</f>
        <v>618</v>
      </c>
      <c r="BK32" s="209">
        <f>BJ32-IS!BK85-IS!BK88-IS!BK91</f>
        <v>618</v>
      </c>
      <c r="BL32" s="236">
        <f t="shared" si="138"/>
        <v>618</v>
      </c>
      <c r="BM32" s="605">
        <f>BJ32-IS!BM85-IS!BM88-IS!BM91</f>
        <v>618</v>
      </c>
      <c r="BN32"/>
    </row>
    <row r="33" spans="1:66">
      <c r="A33" s="25" t="s">
        <v>86</v>
      </c>
      <c r="B33" s="40">
        <v>206</v>
      </c>
      <c r="C33" s="40">
        <v>288</v>
      </c>
      <c r="D33" s="40">
        <v>450</v>
      </c>
      <c r="E33" s="40">
        <v>426</v>
      </c>
      <c r="F33" s="40">
        <v>543</v>
      </c>
      <c r="G33" s="40">
        <v>650</v>
      </c>
      <c r="H33" s="40">
        <v>827</v>
      </c>
      <c r="I33" s="40">
        <v>965</v>
      </c>
      <c r="J33" s="40">
        <v>1318</v>
      </c>
      <c r="K33" s="40">
        <v>1145</v>
      </c>
      <c r="L33" s="40">
        <v>1271</v>
      </c>
      <c r="M33" s="40">
        <v>1314</v>
      </c>
      <c r="N33" s="40">
        <v>1672</v>
      </c>
      <c r="O33" s="40">
        <v>2138</v>
      </c>
      <c r="P33" s="40">
        <v>2445</v>
      </c>
      <c r="Q33" s="40">
        <v>2317</v>
      </c>
      <c r="R33" s="40">
        <v>2807</v>
      </c>
      <c r="S33" s="630">
        <f t="shared" si="124"/>
        <v>3459</v>
      </c>
      <c r="T33" s="653">
        <v>3459</v>
      </c>
      <c r="U33" s="40">
        <v>3484</v>
      </c>
      <c r="V33" s="630">
        <f t="shared" si="125"/>
        <v>4178</v>
      </c>
      <c r="W33" s="653">
        <v>4178</v>
      </c>
      <c r="X33" s="40"/>
      <c r="Y33" s="630"/>
      <c r="Z33" s="653">
        <f>2238+3607</f>
        <v>5845</v>
      </c>
      <c r="AA33" s="40">
        <v>7195</v>
      </c>
      <c r="AB33" s="630">
        <f t="shared" si="126"/>
        <v>7276</v>
      </c>
      <c r="AC33" s="653">
        <f>1940+5336</f>
        <v>7276</v>
      </c>
      <c r="AD33" s="40">
        <f>1964+5515</f>
        <v>7479</v>
      </c>
      <c r="AE33" s="630">
        <f t="shared" si="127"/>
        <v>8683</v>
      </c>
      <c r="AF33" s="653">
        <f>2071+6612</f>
        <v>8683</v>
      </c>
      <c r="AG33" s="40">
        <f>1793+6566</f>
        <v>8359</v>
      </c>
      <c r="AH33" s="630">
        <f t="shared" si="128"/>
        <v>8167</v>
      </c>
      <c r="AI33" s="653">
        <f>1922+6245</f>
        <v>8167</v>
      </c>
      <c r="AJ33" s="40">
        <f>1792+6427</f>
        <v>8219</v>
      </c>
      <c r="AK33" s="630">
        <f t="shared" si="129"/>
        <v>8285</v>
      </c>
      <c r="AL33" s="653">
        <f>1575+6710</f>
        <v>8285</v>
      </c>
      <c r="AM33" s="40">
        <f>1888+6930</f>
        <v>8818</v>
      </c>
      <c r="AN33" s="630">
        <f t="shared" si="130"/>
        <v>9701</v>
      </c>
      <c r="AO33" s="653">
        <f>2364+7337</f>
        <v>9701</v>
      </c>
      <c r="AP33" s="40">
        <f>1902+8005</f>
        <v>9907</v>
      </c>
      <c r="AQ33" s="630">
        <f t="shared" si="131"/>
        <v>10365</v>
      </c>
      <c r="AR33" s="653">
        <f>1927+8438</f>
        <v>10365</v>
      </c>
      <c r="AS33" s="40">
        <f>1795+8968</f>
        <v>10763</v>
      </c>
      <c r="AT33" s="630">
        <f t="shared" si="132"/>
        <v>11412</v>
      </c>
      <c r="AU33" s="653">
        <f>1965+9447</f>
        <v>11412</v>
      </c>
      <c r="AV33" s="40">
        <f>1766+9602</f>
        <v>11368</v>
      </c>
      <c r="AW33" s="630">
        <f t="shared" si="133"/>
        <v>10540</v>
      </c>
      <c r="AX33" s="653">
        <f>1778+8762</f>
        <v>10540</v>
      </c>
      <c r="AY33" s="40">
        <f>1664+8655</f>
        <v>10319</v>
      </c>
      <c r="AZ33" s="236">
        <f t="shared" ref="AZ33:AZ37" si="139">BA33</f>
        <v>10545.56863832323</v>
      </c>
      <c r="BA33" s="605">
        <f>+AX33-BA87-(BA26-AX26)</f>
        <v>10545.56863832323</v>
      </c>
      <c r="BB33" s="56">
        <f>+BA33-BB87-(BB26-AY26)</f>
        <v>11765.187138849575</v>
      </c>
      <c r="BC33" s="236">
        <f t="shared" ref="BC33:BC37" si="140">BD33</f>
        <v>10749.397986832711</v>
      </c>
      <c r="BD33" s="605">
        <f>+BA33-BD87-(BD26-BA26)</f>
        <v>10749.397986832711</v>
      </c>
      <c r="BE33" s="56">
        <f>+BD33-BE87-(BE26-BB26)</f>
        <v>10933.196669283014</v>
      </c>
      <c r="BF33" s="236">
        <f t="shared" ref="BF33:BF37" si="141">BG33</f>
        <v>11530.788873287178</v>
      </c>
      <c r="BG33" s="605">
        <f>+BD33-BG87-(BG26-BD26)</f>
        <v>11530.788873287178</v>
      </c>
      <c r="BH33" s="56">
        <f>+BG33-BH87-(BH26-BE26)</f>
        <v>11829.360416841497</v>
      </c>
      <c r="BI33" s="236">
        <f t="shared" ref="BI33:BI37" si="142">BJ33</f>
        <v>12546.869362016452</v>
      </c>
      <c r="BJ33" s="605">
        <f>+BG33-BJ87-(BJ26-BG26)</f>
        <v>12546.869362016452</v>
      </c>
      <c r="BK33" s="56">
        <f>+BJ33-BK87-(BK26-BH26)</f>
        <v>12903.338090098741</v>
      </c>
      <c r="BL33" s="236">
        <f t="shared" ref="BL33:BL37" si="143">BM33</f>
        <v>13680.826813552412</v>
      </c>
      <c r="BM33" s="605">
        <f>+BJ33-BM87-(BM26-BJ26)</f>
        <v>13680.826813552412</v>
      </c>
      <c r="BN33"/>
    </row>
    <row r="34" spans="1:66">
      <c r="A34" s="25" t="s">
        <v>90</v>
      </c>
      <c r="B34" s="40">
        <v>0</v>
      </c>
      <c r="C34" s="40">
        <v>0</v>
      </c>
      <c r="D34" s="40">
        <v>0</v>
      </c>
      <c r="E34" s="40">
        <v>0</v>
      </c>
      <c r="F34" s="40">
        <v>0</v>
      </c>
      <c r="G34" s="40">
        <v>0</v>
      </c>
      <c r="H34" s="40">
        <v>0</v>
      </c>
      <c r="I34" s="40">
        <v>0</v>
      </c>
      <c r="J34" s="40">
        <v>1</v>
      </c>
      <c r="K34" s="40">
        <v>0</v>
      </c>
      <c r="L34" s="40">
        <v>0</v>
      </c>
      <c r="M34" s="40">
        <v>0</v>
      </c>
      <c r="N34" s="40">
        <v>0</v>
      </c>
      <c r="O34" s="40">
        <v>10</v>
      </c>
      <c r="P34" s="40">
        <v>10</v>
      </c>
      <c r="Q34" s="40">
        <v>1</v>
      </c>
      <c r="R34" s="40">
        <v>1</v>
      </c>
      <c r="S34" s="630">
        <f t="shared" si="124"/>
        <v>0</v>
      </c>
      <c r="T34" s="653">
        <v>0</v>
      </c>
      <c r="U34" s="40">
        <v>0</v>
      </c>
      <c r="V34" s="630">
        <f t="shared" si="125"/>
        <v>0</v>
      </c>
      <c r="W34" s="653">
        <v>0</v>
      </c>
      <c r="X34" s="40"/>
      <c r="Y34" s="630"/>
      <c r="Z34" s="653">
        <v>0</v>
      </c>
      <c r="AA34" s="40">
        <v>0</v>
      </c>
      <c r="AB34" s="630">
        <f t="shared" si="126"/>
        <v>0</v>
      </c>
      <c r="AC34" s="653">
        <v>0</v>
      </c>
      <c r="AD34" s="40">
        <v>0</v>
      </c>
      <c r="AE34" s="630">
        <f t="shared" si="127"/>
        <v>0</v>
      </c>
      <c r="AF34" s="653">
        <v>0</v>
      </c>
      <c r="AG34" s="40">
        <v>0</v>
      </c>
      <c r="AH34" s="630">
        <f t="shared" si="128"/>
        <v>0</v>
      </c>
      <c r="AI34" s="653">
        <v>0</v>
      </c>
      <c r="AJ34" s="40">
        <v>0</v>
      </c>
      <c r="AK34" s="630">
        <f t="shared" si="129"/>
        <v>0</v>
      </c>
      <c r="AL34" s="653">
        <v>0</v>
      </c>
      <c r="AM34" s="40">
        <v>0</v>
      </c>
      <c r="AN34" s="630">
        <f t="shared" si="130"/>
        <v>0</v>
      </c>
      <c r="AO34" s="653">
        <f>AL34</f>
        <v>0</v>
      </c>
      <c r="AP34" s="40">
        <v>0</v>
      </c>
      <c r="AQ34" s="630">
        <f t="shared" si="131"/>
        <v>0</v>
      </c>
      <c r="AR34" s="653">
        <v>0</v>
      </c>
      <c r="AS34" s="40">
        <v>0</v>
      </c>
      <c r="AT34" s="630">
        <f t="shared" si="132"/>
        <v>0</v>
      </c>
      <c r="AU34" s="653">
        <v>0</v>
      </c>
      <c r="AV34" s="40">
        <v>0</v>
      </c>
      <c r="AW34" s="630">
        <f t="shared" si="133"/>
        <v>0</v>
      </c>
      <c r="AX34" s="653">
        <v>0</v>
      </c>
      <c r="AY34" s="40">
        <v>0</v>
      </c>
      <c r="AZ34" s="236">
        <f t="shared" si="139"/>
        <v>0</v>
      </c>
      <c r="BA34" s="605">
        <f>AX34</f>
        <v>0</v>
      </c>
      <c r="BB34" s="56">
        <f>BA34</f>
        <v>0</v>
      </c>
      <c r="BC34" s="236">
        <f t="shared" si="140"/>
        <v>0</v>
      </c>
      <c r="BD34" s="605">
        <f>BA34</f>
        <v>0</v>
      </c>
      <c r="BE34" s="56">
        <f>BD34</f>
        <v>0</v>
      </c>
      <c r="BF34" s="236">
        <f t="shared" si="141"/>
        <v>0</v>
      </c>
      <c r="BG34" s="605">
        <f>BD34</f>
        <v>0</v>
      </c>
      <c r="BH34" s="56">
        <f>BG34</f>
        <v>0</v>
      </c>
      <c r="BI34" s="236">
        <f t="shared" si="142"/>
        <v>0</v>
      </c>
      <c r="BJ34" s="605">
        <f>BG34</f>
        <v>0</v>
      </c>
      <c r="BK34" s="56">
        <f>BJ34</f>
        <v>0</v>
      </c>
      <c r="BL34" s="236">
        <f t="shared" si="143"/>
        <v>0</v>
      </c>
      <c r="BM34" s="605">
        <f t="shared" ref="BM34" si="144">BJ34</f>
        <v>0</v>
      </c>
      <c r="BN34"/>
    </row>
    <row r="35" spans="1:66">
      <c r="A35" s="25" t="s">
        <v>91</v>
      </c>
      <c r="B35" s="40">
        <v>168</v>
      </c>
      <c r="C35" s="40">
        <v>149</v>
      </c>
      <c r="D35" s="40">
        <v>179</v>
      </c>
      <c r="E35" s="40">
        <v>214</v>
      </c>
      <c r="F35" s="40">
        <v>115</v>
      </c>
      <c r="G35" s="40">
        <v>178</v>
      </c>
      <c r="H35" s="40">
        <v>252</v>
      </c>
      <c r="I35" s="40">
        <v>345</v>
      </c>
      <c r="J35" s="40">
        <v>307</v>
      </c>
      <c r="K35" s="40">
        <v>366</v>
      </c>
      <c r="L35" s="40">
        <v>438</v>
      </c>
      <c r="M35" s="40">
        <v>445</v>
      </c>
      <c r="N35" s="40">
        <v>584</v>
      </c>
      <c r="O35" s="40">
        <v>882</v>
      </c>
      <c r="P35" s="40">
        <v>1228</v>
      </c>
      <c r="Q35" s="40">
        <v>839</v>
      </c>
      <c r="R35" s="40">
        <v>863</v>
      </c>
      <c r="S35" s="630">
        <f t="shared" si="124"/>
        <v>776</v>
      </c>
      <c r="T35" s="653">
        <v>776</v>
      </c>
      <c r="U35" s="40">
        <v>793</v>
      </c>
      <c r="V35" s="630">
        <f t="shared" si="125"/>
        <v>1144</v>
      </c>
      <c r="W35" s="653">
        <v>1144</v>
      </c>
      <c r="X35" s="40"/>
      <c r="Y35" s="630"/>
      <c r="Z35" s="653">
        <v>1071</v>
      </c>
      <c r="AA35" s="40">
        <v>485</v>
      </c>
      <c r="AB35" s="630">
        <f t="shared" si="126"/>
        <v>962</v>
      </c>
      <c r="AC35" s="653">
        <v>962</v>
      </c>
      <c r="AD35" s="40">
        <v>661</v>
      </c>
      <c r="AE35" s="630">
        <f t="shared" si="127"/>
        <v>618</v>
      </c>
      <c r="AF35" s="653">
        <v>618</v>
      </c>
      <c r="AG35" s="40">
        <v>785</v>
      </c>
      <c r="AH35" s="630">
        <f t="shared" si="128"/>
        <v>494</v>
      </c>
      <c r="AI35" s="653">
        <v>494</v>
      </c>
      <c r="AJ35" s="40">
        <v>392</v>
      </c>
      <c r="AK35" s="630">
        <f t="shared" si="129"/>
        <v>451</v>
      </c>
      <c r="AL35" s="653">
        <v>451</v>
      </c>
      <c r="AM35" s="40">
        <v>464</v>
      </c>
      <c r="AN35" s="630">
        <f t="shared" si="130"/>
        <v>286</v>
      </c>
      <c r="AO35" s="653">
        <v>286</v>
      </c>
      <c r="AP35" s="40">
        <v>264</v>
      </c>
      <c r="AQ35" s="630">
        <f t="shared" si="131"/>
        <v>330</v>
      </c>
      <c r="AR35" s="653">
        <v>330</v>
      </c>
      <c r="AS35" s="40">
        <v>283</v>
      </c>
      <c r="AT35" s="630">
        <f t="shared" si="132"/>
        <v>231</v>
      </c>
      <c r="AU35" s="653">
        <v>231</v>
      </c>
      <c r="AV35" s="40">
        <v>224</v>
      </c>
      <c r="AW35" s="630">
        <f t="shared" si="133"/>
        <v>101</v>
      </c>
      <c r="AX35" s="653">
        <v>101</v>
      </c>
      <c r="AY35" s="40">
        <v>86</v>
      </c>
      <c r="AZ35" s="236">
        <f t="shared" si="139"/>
        <v>258.48435957080255</v>
      </c>
      <c r="BA35" s="605">
        <f>AX35-IS!BA34+CFS!BA30</f>
        <v>258.48435957080255</v>
      </c>
      <c r="BB35" s="56">
        <f>BA35-IS!BB34+CFS!BB30</f>
        <v>425.53535803055718</v>
      </c>
      <c r="BC35" s="236">
        <f t="shared" si="140"/>
        <v>600.34173391490322</v>
      </c>
      <c r="BD35" s="605">
        <f>BA35-IS!BD34+CFS!BD30</f>
        <v>600.34173391490322</v>
      </c>
      <c r="BE35" s="56">
        <f>BD35-IS!BE34+CFS!BE30</f>
        <v>793.48930275461419</v>
      </c>
      <c r="BF35" s="236">
        <f t="shared" si="141"/>
        <v>1000.0013549055634</v>
      </c>
      <c r="BG35" s="605">
        <f>BD35-IS!BG34+CFS!BG30</f>
        <v>1000.0013549055634</v>
      </c>
      <c r="BH35" s="56">
        <f>BG35-IS!BH34+CFS!BH30</f>
        <v>1229.199478730847</v>
      </c>
      <c r="BI35" s="236">
        <f t="shared" si="142"/>
        <v>1474.7488446358366</v>
      </c>
      <c r="BJ35" s="605">
        <f>BG35-IS!BJ34+CFS!BJ30</f>
        <v>1474.7488446358366</v>
      </c>
      <c r="BK35" s="56">
        <f>BJ35-IS!BK34+CFS!BK30</f>
        <v>1749.2681594345008</v>
      </c>
      <c r="BL35" s="236">
        <f t="shared" si="143"/>
        <v>2043.112213366421</v>
      </c>
      <c r="BM35" s="605">
        <f>BJ35-IS!BM34+CFS!BM30</f>
        <v>2043.112213366421</v>
      </c>
      <c r="BN35"/>
    </row>
    <row r="36" spans="1:66">
      <c r="A36" s="25" t="s">
        <v>88</v>
      </c>
      <c r="B36" s="40">
        <f>720-B37-B35</f>
        <v>422</v>
      </c>
      <c r="C36" s="40">
        <f>882-C37-C35</f>
        <v>576</v>
      </c>
      <c r="D36" s="40">
        <f>772-D37-D35</f>
        <v>435</v>
      </c>
      <c r="E36" s="40">
        <f>795-E37-E35</f>
        <v>421</v>
      </c>
      <c r="F36" s="40">
        <v>220</v>
      </c>
      <c r="G36" s="40">
        <v>223</v>
      </c>
      <c r="H36" s="40">
        <v>189</v>
      </c>
      <c r="I36" s="40">
        <v>180</v>
      </c>
      <c r="J36" s="40">
        <v>188</v>
      </c>
      <c r="K36" s="40">
        <v>232</v>
      </c>
      <c r="L36" s="40">
        <v>268</v>
      </c>
      <c r="M36" s="40">
        <v>226</v>
      </c>
      <c r="N36" s="40">
        <v>241</v>
      </c>
      <c r="O36" s="40">
        <v>385</v>
      </c>
      <c r="P36" s="40">
        <v>374</v>
      </c>
      <c r="Q36" s="40">
        <v>304</v>
      </c>
      <c r="R36" s="40">
        <v>369</v>
      </c>
      <c r="S36" s="630">
        <f t="shared" si="124"/>
        <v>216</v>
      </c>
      <c r="T36" s="653">
        <v>216</v>
      </c>
      <c r="U36" s="40">
        <v>327</v>
      </c>
      <c r="V36" s="630">
        <f t="shared" si="125"/>
        <v>357</v>
      </c>
      <c r="W36" s="653">
        <v>357</v>
      </c>
      <c r="X36" s="40"/>
      <c r="Y36" s="630"/>
      <c r="Z36" s="653">
        <v>393</v>
      </c>
      <c r="AA36" s="40">
        <v>782</v>
      </c>
      <c r="AB36" s="630">
        <f t="shared" si="126"/>
        <v>795</v>
      </c>
      <c r="AC36" s="653">
        <v>795</v>
      </c>
      <c r="AD36" s="40">
        <v>756</v>
      </c>
      <c r="AE36" s="630">
        <f t="shared" si="127"/>
        <v>1946</v>
      </c>
      <c r="AF36" s="653">
        <v>1946</v>
      </c>
      <c r="AG36" s="40">
        <v>1529</v>
      </c>
      <c r="AH36" s="630">
        <f t="shared" si="128"/>
        <v>1119</v>
      </c>
      <c r="AI36" s="653">
        <v>1119</v>
      </c>
      <c r="AJ36" s="40">
        <v>1152</v>
      </c>
      <c r="AK36" s="630">
        <f t="shared" si="129"/>
        <v>1107</v>
      </c>
      <c r="AL36" s="653">
        <v>1107</v>
      </c>
      <c r="AM36" s="40">
        <v>1681</v>
      </c>
      <c r="AN36" s="630">
        <f t="shared" si="130"/>
        <v>1701</v>
      </c>
      <c r="AO36" s="653">
        <v>1701</v>
      </c>
      <c r="AP36" s="40">
        <v>1521</v>
      </c>
      <c r="AQ36" s="630">
        <f t="shared" si="131"/>
        <v>1497</v>
      </c>
      <c r="AR36" s="653">
        <v>1497</v>
      </c>
      <c r="AS36" s="40">
        <v>1517</v>
      </c>
      <c r="AT36" s="630">
        <f t="shared" si="132"/>
        <v>1405</v>
      </c>
      <c r="AU36" s="653">
        <v>1405</v>
      </c>
      <c r="AV36" s="40">
        <v>1092</v>
      </c>
      <c r="AW36" s="630">
        <f t="shared" si="133"/>
        <v>1050</v>
      </c>
      <c r="AX36" s="653">
        <v>1050</v>
      </c>
      <c r="AY36" s="40">
        <v>988</v>
      </c>
      <c r="AZ36" s="236">
        <f t="shared" si="139"/>
        <v>1050</v>
      </c>
      <c r="BA36" s="605">
        <f>AX36</f>
        <v>1050</v>
      </c>
      <c r="BB36" s="56">
        <f>BA36</f>
        <v>1050</v>
      </c>
      <c r="BC36" s="236">
        <f t="shared" si="140"/>
        <v>1050</v>
      </c>
      <c r="BD36" s="605">
        <f>BA36</f>
        <v>1050</v>
      </c>
      <c r="BE36" s="56">
        <f>BD36</f>
        <v>1050</v>
      </c>
      <c r="BF36" s="236">
        <f t="shared" si="141"/>
        <v>1050</v>
      </c>
      <c r="BG36" s="605">
        <f>BD36</f>
        <v>1050</v>
      </c>
      <c r="BH36" s="56">
        <f>BG36</f>
        <v>1050</v>
      </c>
      <c r="BI36" s="236">
        <f t="shared" si="142"/>
        <v>1050</v>
      </c>
      <c r="BJ36" s="605">
        <f>BG36</f>
        <v>1050</v>
      </c>
      <c r="BK36" s="56">
        <f>BJ36</f>
        <v>1050</v>
      </c>
      <c r="BL36" s="236">
        <f t="shared" si="143"/>
        <v>1050</v>
      </c>
      <c r="BM36" s="605">
        <f t="shared" ref="BM36" si="145">BJ36</f>
        <v>1050</v>
      </c>
      <c r="BN36"/>
    </row>
    <row r="37" spans="1:66">
      <c r="A37" s="25" t="s">
        <v>92</v>
      </c>
      <c r="B37" s="40">
        <v>130</v>
      </c>
      <c r="C37" s="40">
        <v>157</v>
      </c>
      <c r="D37" s="40">
        <v>158</v>
      </c>
      <c r="E37" s="40">
        <v>160</v>
      </c>
      <c r="F37" s="40">
        <v>1409</v>
      </c>
      <c r="G37" s="40">
        <v>1659</v>
      </c>
      <c r="H37" s="40">
        <v>1017</v>
      </c>
      <c r="I37" s="40">
        <v>333</v>
      </c>
      <c r="J37" s="40">
        <v>1020</v>
      </c>
      <c r="K37" s="40">
        <v>930</v>
      </c>
      <c r="L37" s="40">
        <v>1020</v>
      </c>
      <c r="M37" s="40">
        <v>900</v>
      </c>
      <c r="N37" s="40">
        <v>793</v>
      </c>
      <c r="O37" s="40">
        <v>1041</v>
      </c>
      <c r="P37" s="40">
        <v>1185</v>
      </c>
      <c r="Q37" s="40">
        <v>1140</v>
      </c>
      <c r="R37" s="40">
        <v>1404</v>
      </c>
      <c r="S37" s="630">
        <f t="shared" si="124"/>
        <v>1375</v>
      </c>
      <c r="T37" s="653">
        <v>1375</v>
      </c>
      <c r="U37" s="40">
        <v>1364</v>
      </c>
      <c r="V37" s="630">
        <f t="shared" si="125"/>
        <v>1387</v>
      </c>
      <c r="W37" s="653">
        <v>1387</v>
      </c>
      <c r="X37" s="40"/>
      <c r="Y37" s="630"/>
      <c r="Z37" s="653">
        <v>1387</v>
      </c>
      <c r="AA37" s="40">
        <v>1306</v>
      </c>
      <c r="AB37" s="630">
        <f t="shared" si="126"/>
        <v>1303</v>
      </c>
      <c r="AC37" s="653">
        <v>1303</v>
      </c>
      <c r="AD37" s="40">
        <v>1478</v>
      </c>
      <c r="AE37" s="630">
        <f t="shared" si="127"/>
        <v>1378</v>
      </c>
      <c r="AF37" s="653">
        <v>1378</v>
      </c>
      <c r="AG37" s="40">
        <v>1496</v>
      </c>
      <c r="AH37" s="630">
        <f t="shared" si="128"/>
        <v>1580</v>
      </c>
      <c r="AI37" s="653">
        <v>1580</v>
      </c>
      <c r="AJ37" s="40">
        <v>1444</v>
      </c>
      <c r="AK37" s="630">
        <f t="shared" si="129"/>
        <v>1373</v>
      </c>
      <c r="AL37" s="653">
        <v>1373</v>
      </c>
      <c r="AM37" s="40">
        <v>1109</v>
      </c>
      <c r="AN37" s="630">
        <f t="shared" si="130"/>
        <v>1033</v>
      </c>
      <c r="AO37" s="653">
        <v>1033</v>
      </c>
      <c r="AP37" s="40">
        <v>1002</v>
      </c>
      <c r="AQ37" s="630">
        <f t="shared" si="131"/>
        <v>1035</v>
      </c>
      <c r="AR37" s="653">
        <v>1035</v>
      </c>
      <c r="AS37" s="40">
        <v>967</v>
      </c>
      <c r="AT37" s="630">
        <f t="shared" si="132"/>
        <v>981</v>
      </c>
      <c r="AU37" s="653">
        <v>981</v>
      </c>
      <c r="AV37" s="40">
        <v>942</v>
      </c>
      <c r="AW37" s="630">
        <f t="shared" si="133"/>
        <v>892</v>
      </c>
      <c r="AX37" s="653">
        <v>892</v>
      </c>
      <c r="AY37" s="40">
        <v>870</v>
      </c>
      <c r="AZ37" s="236">
        <f t="shared" si="139"/>
        <v>850</v>
      </c>
      <c r="BA37" s="605">
        <f>AX37+CFS!BA24</f>
        <v>850</v>
      </c>
      <c r="BB37" s="56">
        <f>BA37+CFS!BB24</f>
        <v>829</v>
      </c>
      <c r="BC37" s="236">
        <f t="shared" si="140"/>
        <v>808</v>
      </c>
      <c r="BD37" s="605">
        <f>BA37+CFS!BD24</f>
        <v>808</v>
      </c>
      <c r="BE37" s="56">
        <f>BD37+CFS!BE24</f>
        <v>787</v>
      </c>
      <c r="BF37" s="236">
        <f t="shared" si="141"/>
        <v>766</v>
      </c>
      <c r="BG37" s="605">
        <f>BD37+CFS!BG24</f>
        <v>766</v>
      </c>
      <c r="BH37" s="56">
        <f>BG37+CFS!BH24</f>
        <v>745</v>
      </c>
      <c r="BI37" s="236">
        <f t="shared" si="142"/>
        <v>724</v>
      </c>
      <c r="BJ37" s="605">
        <f>BG37+CFS!BJ24</f>
        <v>724</v>
      </c>
      <c r="BK37" s="56">
        <f>BJ37+CFS!BK24</f>
        <v>703</v>
      </c>
      <c r="BL37" s="236">
        <f t="shared" si="143"/>
        <v>682</v>
      </c>
      <c r="BM37" s="605">
        <f>BJ37+CFS!BM24</f>
        <v>682</v>
      </c>
      <c r="BN37"/>
    </row>
    <row r="38" spans="1:66">
      <c r="A38" s="68" t="s">
        <v>93</v>
      </c>
      <c r="B38" s="46">
        <f t="shared" ref="B38:BM38" si="146">SUM(B31:B37)</f>
        <v>1984</v>
      </c>
      <c r="C38" s="46">
        <f t="shared" si="146"/>
        <v>2274</v>
      </c>
      <c r="D38" s="46">
        <f t="shared" si="146"/>
        <v>2260</v>
      </c>
      <c r="E38" s="46">
        <f t="shared" si="146"/>
        <v>2418</v>
      </c>
      <c r="F38" s="46">
        <f t="shared" si="146"/>
        <v>3717</v>
      </c>
      <c r="G38" s="46">
        <f t="shared" si="146"/>
        <v>4507</v>
      </c>
      <c r="H38" s="46">
        <f t="shared" si="146"/>
        <v>3611</v>
      </c>
      <c r="I38" s="46">
        <f t="shared" si="146"/>
        <v>3156</v>
      </c>
      <c r="J38" s="46">
        <f t="shared" si="146"/>
        <v>6684</v>
      </c>
      <c r="K38" s="46">
        <f t="shared" si="146"/>
        <v>5328</v>
      </c>
      <c r="L38" s="46">
        <f t="shared" si="146"/>
        <v>5077</v>
      </c>
      <c r="M38" s="46">
        <f t="shared" si="146"/>
        <v>4988</v>
      </c>
      <c r="N38" s="46">
        <f t="shared" si="146"/>
        <v>4942</v>
      </c>
      <c r="O38" s="46">
        <f t="shared" si="146"/>
        <v>6980</v>
      </c>
      <c r="P38" s="46">
        <f t="shared" si="146"/>
        <v>8152</v>
      </c>
      <c r="Q38" s="46">
        <f t="shared" si="146"/>
        <v>9135</v>
      </c>
      <c r="R38" s="46">
        <f t="shared" ref="R38" si="147">SUM(R31:R37)</f>
        <v>12153</v>
      </c>
      <c r="S38" s="643">
        <f t="shared" ref="S38" si="148">SUM(S31:S37)</f>
        <v>14140</v>
      </c>
      <c r="T38" s="667">
        <f t="shared" si="146"/>
        <v>14140</v>
      </c>
      <c r="U38" s="46">
        <f t="shared" ref="U38" si="149">SUM(U31:U37)</f>
        <v>12862</v>
      </c>
      <c r="V38" s="643">
        <f t="shared" ref="V38" si="150">SUM(V31:V37)</f>
        <v>12907</v>
      </c>
      <c r="W38" s="667">
        <f t="shared" si="146"/>
        <v>12907</v>
      </c>
      <c r="X38" s="46"/>
      <c r="Y38" s="643"/>
      <c r="Z38" s="667">
        <f t="shared" si="146"/>
        <v>14563</v>
      </c>
      <c r="AA38" s="46">
        <f t="shared" ref="AA38" si="151">SUM(AA31:AA37)</f>
        <v>16106</v>
      </c>
      <c r="AB38" s="643">
        <f t="shared" ref="AB38" si="152">SUM(AB31:AB37)</f>
        <v>17682</v>
      </c>
      <c r="AC38" s="667">
        <f t="shared" si="146"/>
        <v>17682</v>
      </c>
      <c r="AD38" s="46">
        <f t="shared" ref="AD38" si="153">SUM(AD31:AD37)</f>
        <v>20075</v>
      </c>
      <c r="AE38" s="643">
        <f t="shared" ref="AE38" si="154">SUM(AE31:AE37)</f>
        <v>20629</v>
      </c>
      <c r="AF38" s="667">
        <f t="shared" si="146"/>
        <v>20629</v>
      </c>
      <c r="AG38" s="46">
        <f t="shared" ref="AG38" si="155">SUM(AG31:AG37)</f>
        <v>24622</v>
      </c>
      <c r="AH38" s="643">
        <f t="shared" ref="AH38" si="156">SUM(AH31:AH37)</f>
        <v>20464</v>
      </c>
      <c r="AI38" s="667">
        <f t="shared" si="146"/>
        <v>20464</v>
      </c>
      <c r="AJ38" s="46">
        <f t="shared" ref="AJ38" si="157">SUM(AJ31:AJ37)</f>
        <v>21362</v>
      </c>
      <c r="AK38" s="643">
        <f t="shared" ref="AK38" si="158">SUM(AK31:AK37)</f>
        <v>21428</v>
      </c>
      <c r="AL38" s="667">
        <f t="shared" si="146"/>
        <v>21428</v>
      </c>
      <c r="AM38" s="46">
        <f t="shared" ref="AM38:AN38" si="159">SUM(AM31:AM37)</f>
        <v>23205</v>
      </c>
      <c r="AN38" s="643">
        <f t="shared" si="159"/>
        <v>21548</v>
      </c>
      <c r="AO38" s="667">
        <f t="shared" si="146"/>
        <v>21548</v>
      </c>
      <c r="AP38" s="46">
        <f t="shared" ref="AP38:AQ38" si="160">SUM(AP31:AP37)</f>
        <v>19960</v>
      </c>
      <c r="AQ38" s="643">
        <f t="shared" si="160"/>
        <v>20160</v>
      </c>
      <c r="AR38" s="667">
        <f t="shared" ref="AR38:AT38" si="161">SUM(AR31:AR37)</f>
        <v>20160</v>
      </c>
      <c r="AS38" s="46">
        <f t="shared" si="161"/>
        <v>19971</v>
      </c>
      <c r="AT38" s="643">
        <f t="shared" si="161"/>
        <v>19704</v>
      </c>
      <c r="AU38" s="667">
        <f t="shared" ref="AU38:AV38" si="162">SUM(AU31:AU37)</f>
        <v>19704</v>
      </c>
      <c r="AV38" s="46">
        <f t="shared" si="162"/>
        <v>17200</v>
      </c>
      <c r="AW38" s="643">
        <f t="shared" si="146"/>
        <v>16056</v>
      </c>
      <c r="AX38" s="667">
        <f t="shared" ref="AX38:AY38" si="163">SUM(AX31:AX37)</f>
        <v>16056</v>
      </c>
      <c r="AY38" s="46">
        <f t="shared" si="163"/>
        <v>16466</v>
      </c>
      <c r="AZ38" s="250">
        <f t="shared" si="146"/>
        <v>15975.052997894032</v>
      </c>
      <c r="BA38" s="615">
        <f t="shared" si="146"/>
        <v>15975.052997894032</v>
      </c>
      <c r="BB38" s="249">
        <f t="shared" si="146"/>
        <v>17340.722496880131</v>
      </c>
      <c r="BC38" s="250">
        <f t="shared" si="146"/>
        <v>16478.739720747617</v>
      </c>
      <c r="BD38" s="615">
        <f t="shared" si="146"/>
        <v>16478.739720747617</v>
      </c>
      <c r="BE38" s="249">
        <f t="shared" si="146"/>
        <v>16834.685972037631</v>
      </c>
      <c r="BF38" s="250">
        <f t="shared" si="146"/>
        <v>17617.790228192742</v>
      </c>
      <c r="BG38" s="615">
        <f t="shared" si="146"/>
        <v>17617.790228192742</v>
      </c>
      <c r="BH38" s="249">
        <f t="shared" si="146"/>
        <v>18124.559895572344</v>
      </c>
      <c r="BI38" s="250">
        <f t="shared" si="146"/>
        <v>19066.618206652289</v>
      </c>
      <c r="BJ38" s="615">
        <f t="shared" si="146"/>
        <v>19066.618206652289</v>
      </c>
      <c r="BK38" s="249">
        <f t="shared" si="146"/>
        <v>19676.606249533241</v>
      </c>
      <c r="BL38" s="250">
        <f t="shared" si="146"/>
        <v>20726.939026918833</v>
      </c>
      <c r="BM38" s="615">
        <f t="shared" si="146"/>
        <v>20726.939026918833</v>
      </c>
      <c r="BN38"/>
    </row>
    <row r="39" spans="1:66">
      <c r="A39" s="37" t="s">
        <v>94</v>
      </c>
      <c r="B39" s="84">
        <f t="shared" ref="B39:BM39" si="164">B30+B38</f>
        <v>4815</v>
      </c>
      <c r="C39" s="84">
        <f t="shared" si="164"/>
        <v>5270</v>
      </c>
      <c r="D39" s="84">
        <f t="shared" si="164"/>
        <v>5262</v>
      </c>
      <c r="E39" s="84">
        <f t="shared" si="164"/>
        <v>5271</v>
      </c>
      <c r="F39" s="84">
        <f t="shared" si="164"/>
        <v>6668</v>
      </c>
      <c r="G39" s="84">
        <f t="shared" si="164"/>
        <v>7814</v>
      </c>
      <c r="H39" s="84">
        <f t="shared" si="164"/>
        <v>8073</v>
      </c>
      <c r="I39" s="84">
        <f t="shared" si="164"/>
        <v>8304</v>
      </c>
      <c r="J39" s="84">
        <f t="shared" si="164"/>
        <v>13123</v>
      </c>
      <c r="K39" s="84">
        <f t="shared" si="164"/>
        <v>11640</v>
      </c>
      <c r="L39" s="84">
        <f t="shared" si="164"/>
        <v>12255</v>
      </c>
      <c r="M39" s="84">
        <f t="shared" si="164"/>
        <v>11904</v>
      </c>
      <c r="N39" s="84">
        <f t="shared" si="164"/>
        <v>12150</v>
      </c>
      <c r="O39" s="84">
        <f t="shared" si="164"/>
        <v>16760</v>
      </c>
      <c r="P39" s="84">
        <f t="shared" si="164"/>
        <v>15837</v>
      </c>
      <c r="Q39" s="84">
        <f t="shared" si="164"/>
        <v>17308</v>
      </c>
      <c r="R39" s="84">
        <f t="shared" ref="R39:S39" si="165">R30+R38</f>
        <v>20845</v>
      </c>
      <c r="S39" s="632">
        <f t="shared" si="165"/>
        <v>23674</v>
      </c>
      <c r="T39" s="655">
        <f t="shared" si="164"/>
        <v>23674</v>
      </c>
      <c r="U39" s="84">
        <f t="shared" ref="U39:V39" si="166">U30+U38</f>
        <v>22389</v>
      </c>
      <c r="V39" s="632">
        <f t="shared" si="166"/>
        <v>23832</v>
      </c>
      <c r="W39" s="655">
        <f t="shared" si="164"/>
        <v>23832</v>
      </c>
      <c r="X39" s="84"/>
      <c r="Y39" s="632"/>
      <c r="Z39" s="655">
        <f t="shared" si="164"/>
        <v>26994</v>
      </c>
      <c r="AA39" s="84">
        <f t="shared" ref="AA39:AB39" si="167">AA30+AA38</f>
        <v>29301</v>
      </c>
      <c r="AB39" s="632">
        <f t="shared" si="167"/>
        <v>32909</v>
      </c>
      <c r="AC39" s="655">
        <f t="shared" si="164"/>
        <v>32909</v>
      </c>
      <c r="AD39" s="84">
        <f t="shared" ref="AD39:AE39" si="168">AD30+AD38</f>
        <v>35018</v>
      </c>
      <c r="AE39" s="632">
        <f t="shared" si="168"/>
        <v>35620</v>
      </c>
      <c r="AF39" s="655">
        <f t="shared" si="164"/>
        <v>35620</v>
      </c>
      <c r="AG39" s="84">
        <f t="shared" ref="AG39:AH39" si="169">AG30+AG38</f>
        <v>41264</v>
      </c>
      <c r="AH39" s="632">
        <f t="shared" si="169"/>
        <v>34392</v>
      </c>
      <c r="AI39" s="655">
        <f t="shared" si="164"/>
        <v>34392</v>
      </c>
      <c r="AJ39" s="84">
        <f t="shared" ref="AJ39:AK39" si="170">AJ30+AJ38</f>
        <v>33345</v>
      </c>
      <c r="AK39" s="632">
        <f t="shared" si="170"/>
        <v>33310</v>
      </c>
      <c r="AL39" s="655">
        <f t="shared" si="164"/>
        <v>33310</v>
      </c>
      <c r="AM39" s="84">
        <f t="shared" ref="AM39:AN39" si="171">AM30+AM38</f>
        <v>36874</v>
      </c>
      <c r="AN39" s="632">
        <f t="shared" si="171"/>
        <v>35466</v>
      </c>
      <c r="AO39" s="655">
        <f t="shared" si="164"/>
        <v>35466</v>
      </c>
      <c r="AP39" s="84">
        <f t="shared" ref="AP39:AR39" si="172">AP30+AP38</f>
        <v>34708</v>
      </c>
      <c r="AQ39" s="632">
        <f t="shared" si="172"/>
        <v>35141</v>
      </c>
      <c r="AR39" s="655">
        <f t="shared" si="172"/>
        <v>35141</v>
      </c>
      <c r="AS39" s="84">
        <f t="shared" ref="AS39:AU39" si="173">AS30+AS38</f>
        <v>35248</v>
      </c>
      <c r="AT39" s="632">
        <f t="shared" si="173"/>
        <v>36567</v>
      </c>
      <c r="AU39" s="655">
        <f t="shared" si="173"/>
        <v>36567</v>
      </c>
      <c r="AV39" s="84">
        <f t="shared" ref="AV39" si="174">AV30+AV38</f>
        <v>35506</v>
      </c>
      <c r="AW39" s="632">
        <f t="shared" si="164"/>
        <v>35362</v>
      </c>
      <c r="AX39" s="655">
        <f t="shared" si="164"/>
        <v>35362</v>
      </c>
      <c r="AY39" s="84">
        <f t="shared" si="164"/>
        <v>36124</v>
      </c>
      <c r="AZ39" s="244">
        <f t="shared" si="164"/>
        <v>35256.052997894032</v>
      </c>
      <c r="BA39" s="581">
        <f t="shared" si="164"/>
        <v>35256.052997894032</v>
      </c>
      <c r="BB39" s="181">
        <f t="shared" si="164"/>
        <v>36687.722496880131</v>
      </c>
      <c r="BC39" s="244">
        <f t="shared" si="164"/>
        <v>35891.739720747617</v>
      </c>
      <c r="BD39" s="581">
        <f t="shared" si="164"/>
        <v>35891.739720747617</v>
      </c>
      <c r="BE39" s="181">
        <f t="shared" si="164"/>
        <v>36313.685972037631</v>
      </c>
      <c r="BF39" s="244">
        <f t="shared" si="164"/>
        <v>37162.790228192738</v>
      </c>
      <c r="BG39" s="581">
        <f t="shared" si="164"/>
        <v>37162.790228192738</v>
      </c>
      <c r="BH39" s="181">
        <f t="shared" si="164"/>
        <v>37735.55989557234</v>
      </c>
      <c r="BI39" s="244">
        <f t="shared" si="164"/>
        <v>38743.618206652289</v>
      </c>
      <c r="BJ39" s="581">
        <f t="shared" si="164"/>
        <v>38743.618206652289</v>
      </c>
      <c r="BK39" s="181">
        <f t="shared" si="164"/>
        <v>39419.606249533244</v>
      </c>
      <c r="BL39" s="244">
        <f t="shared" si="164"/>
        <v>40535.93902691883</v>
      </c>
      <c r="BM39" s="581">
        <f t="shared" si="164"/>
        <v>40535.93902691883</v>
      </c>
      <c r="BN39"/>
    </row>
    <row r="40" spans="1:66">
      <c r="B40" s="40"/>
      <c r="C40" s="40"/>
      <c r="D40" s="40"/>
      <c r="E40" s="40"/>
      <c r="F40" s="40"/>
      <c r="G40" s="40"/>
      <c r="H40" s="40"/>
      <c r="I40" s="40"/>
      <c r="J40" s="40"/>
      <c r="K40" s="40"/>
      <c r="L40" s="40"/>
      <c r="M40" s="40"/>
      <c r="N40" s="40"/>
      <c r="O40" s="40"/>
      <c r="P40" s="40"/>
      <c r="Q40" s="40"/>
      <c r="R40" s="40"/>
      <c r="S40" s="630"/>
      <c r="T40" s="653"/>
      <c r="U40" s="40"/>
      <c r="V40" s="630"/>
      <c r="W40" s="653"/>
      <c r="X40" s="40"/>
      <c r="Y40" s="630"/>
      <c r="Z40" s="653"/>
      <c r="AA40" s="40"/>
      <c r="AB40" s="630"/>
      <c r="AC40" s="653"/>
      <c r="AD40" s="40"/>
      <c r="AE40" s="630"/>
      <c r="AF40" s="653"/>
      <c r="AG40" s="40"/>
      <c r="AH40" s="630"/>
      <c r="AI40" s="653"/>
      <c r="AJ40" s="40"/>
      <c r="AK40" s="630"/>
      <c r="AL40" s="653"/>
      <c r="AM40" s="40"/>
      <c r="AN40" s="630"/>
      <c r="AO40" s="653"/>
      <c r="AP40" s="40"/>
      <c r="AQ40" s="630"/>
      <c r="AR40" s="653"/>
      <c r="AS40" s="40"/>
      <c r="AT40" s="630"/>
      <c r="AU40" s="653"/>
      <c r="AV40" s="40"/>
      <c r="AW40" s="630"/>
      <c r="AX40" s="653"/>
      <c r="AY40" s="40"/>
      <c r="AZ40" s="539"/>
      <c r="BA40" s="550"/>
      <c r="BB40"/>
      <c r="BC40" s="539"/>
      <c r="BD40" s="550"/>
      <c r="BE40"/>
      <c r="BF40" s="539"/>
      <c r="BG40" s="550"/>
      <c r="BH40"/>
      <c r="BI40" s="539"/>
      <c r="BJ40" s="550"/>
      <c r="BK40"/>
      <c r="BL40" s="539"/>
      <c r="BM40" s="550"/>
      <c r="BN40"/>
    </row>
    <row r="41" spans="1:66">
      <c r="A41" s="37" t="s">
        <v>95</v>
      </c>
      <c r="B41" s="84">
        <f t="shared" ref="B41:BM41" si="175">B22-B39</f>
        <v>2041</v>
      </c>
      <c r="C41" s="84">
        <f t="shared" si="175"/>
        <v>2070</v>
      </c>
      <c r="D41" s="84">
        <f t="shared" si="175"/>
        <v>2037</v>
      </c>
      <c r="E41" s="84">
        <f t="shared" si="175"/>
        <v>2143</v>
      </c>
      <c r="F41" s="84">
        <f t="shared" si="175"/>
        <v>1446</v>
      </c>
      <c r="G41" s="84">
        <f t="shared" si="175"/>
        <v>1505</v>
      </c>
      <c r="H41" s="84">
        <f t="shared" si="175"/>
        <v>2725</v>
      </c>
      <c r="I41" s="84">
        <f t="shared" si="175"/>
        <v>3186</v>
      </c>
      <c r="J41" s="84">
        <f t="shared" si="175"/>
        <v>2225</v>
      </c>
      <c r="K41" s="84">
        <f t="shared" si="175"/>
        <v>3782</v>
      </c>
      <c r="L41" s="84">
        <f t="shared" si="175"/>
        <v>3979</v>
      </c>
      <c r="M41" s="84">
        <f t="shared" si="175"/>
        <v>4519</v>
      </c>
      <c r="N41" s="84">
        <f t="shared" si="175"/>
        <v>5996</v>
      </c>
      <c r="O41" s="84">
        <f t="shared" si="175"/>
        <v>6303</v>
      </c>
      <c r="P41" s="84">
        <f t="shared" si="175"/>
        <v>6387</v>
      </c>
      <c r="Q41" s="84">
        <f t="shared" si="175"/>
        <v>5016</v>
      </c>
      <c r="R41" s="84">
        <f t="shared" ref="R41:S41" si="176">R22-R39</f>
        <v>3842</v>
      </c>
      <c r="S41" s="632">
        <f t="shared" si="176"/>
        <v>1864</v>
      </c>
      <c r="T41" s="655">
        <f t="shared" si="175"/>
        <v>1864</v>
      </c>
      <c r="U41" s="84">
        <f t="shared" ref="U41:V41" si="177">U22-U39</f>
        <v>3243</v>
      </c>
      <c r="V41" s="632">
        <f t="shared" si="177"/>
        <v>6170</v>
      </c>
      <c r="W41" s="655">
        <f t="shared" si="175"/>
        <v>6170</v>
      </c>
      <c r="X41" s="84"/>
      <c r="Y41" s="632"/>
      <c r="Z41" s="655">
        <f t="shared" si="175"/>
        <v>933</v>
      </c>
      <c r="AA41" s="84">
        <f t="shared" ref="AA41:AB41" si="178">AA22-AA39</f>
        <v>770</v>
      </c>
      <c r="AB41" s="632">
        <f t="shared" si="178"/>
        <v>-1052</v>
      </c>
      <c r="AC41" s="655">
        <f t="shared" si="175"/>
        <v>-1052</v>
      </c>
      <c r="AD41" s="84">
        <f t="shared" ref="AD41:AE41" si="179">AD22-AD39</f>
        <v>-2599</v>
      </c>
      <c r="AE41" s="632">
        <f t="shared" si="179"/>
        <v>-3354</v>
      </c>
      <c r="AF41" s="655">
        <f t="shared" si="175"/>
        <v>-3354</v>
      </c>
      <c r="AG41" s="84">
        <f t="shared" ref="AG41:AH41" si="180">AG22-AG39</f>
        <v>-8124</v>
      </c>
      <c r="AH41" s="632">
        <f t="shared" si="180"/>
        <v>-4875</v>
      </c>
      <c r="AI41" s="655">
        <f>AI22-AI39</f>
        <v>-4875</v>
      </c>
      <c r="AJ41" s="84">
        <f>AJ22-AJ39</f>
        <v>-4590</v>
      </c>
      <c r="AK41" s="632">
        <f t="shared" ref="AK41" si="181">AK22-AK39</f>
        <v>-4636</v>
      </c>
      <c r="AL41" s="655">
        <f t="shared" si="175"/>
        <v>-4636</v>
      </c>
      <c r="AM41" s="84">
        <f t="shared" ref="AM41:AN41" si="182">AM22-AM39</f>
        <v>-6261</v>
      </c>
      <c r="AN41" s="632">
        <f t="shared" si="182"/>
        <v>-6016</v>
      </c>
      <c r="AO41" s="655">
        <f t="shared" si="175"/>
        <v>-6016</v>
      </c>
      <c r="AP41" s="84">
        <f t="shared" ref="AP41:AR41" si="183">AP22-AP39</f>
        <v>-4966</v>
      </c>
      <c r="AQ41" s="632">
        <f t="shared" si="183"/>
        <v>-3629</v>
      </c>
      <c r="AR41" s="655">
        <f t="shared" si="183"/>
        <v>-3629</v>
      </c>
      <c r="AS41" s="84">
        <f t="shared" ref="AS41:AU41" si="184">AS22-AS39</f>
        <v>-2237</v>
      </c>
      <c r="AT41" s="632">
        <f t="shared" si="184"/>
        <v>-881</v>
      </c>
      <c r="AU41" s="655">
        <f t="shared" si="184"/>
        <v>-881</v>
      </c>
      <c r="AV41" s="84">
        <f t="shared" ref="AV41" si="185">AV22-AV39</f>
        <v>2434</v>
      </c>
      <c r="AW41" s="632">
        <f t="shared" si="175"/>
        <v>2753</v>
      </c>
      <c r="AX41" s="655">
        <f t="shared" si="175"/>
        <v>2753</v>
      </c>
      <c r="AY41" s="84">
        <f t="shared" si="175"/>
        <v>2882</v>
      </c>
      <c r="AZ41" s="244">
        <f t="shared" si="175"/>
        <v>3139.6241020299931</v>
      </c>
      <c r="BA41" s="581">
        <f t="shared" si="175"/>
        <v>3139.6241020299931</v>
      </c>
      <c r="BB41" s="181">
        <f t="shared" si="175"/>
        <v>3088.5477786439224</v>
      </c>
      <c r="BC41" s="244">
        <f t="shared" si="175"/>
        <v>3233.8790906027716</v>
      </c>
      <c r="BD41" s="581">
        <f t="shared" si="175"/>
        <v>3233.8790906027716</v>
      </c>
      <c r="BE41" s="181">
        <f t="shared" si="175"/>
        <v>3531.8672167130644</v>
      </c>
      <c r="BF41" s="244">
        <f t="shared" si="175"/>
        <v>3959.9758972633135</v>
      </c>
      <c r="BG41" s="581">
        <f t="shared" si="175"/>
        <v>3959.9758972633135</v>
      </c>
      <c r="BH41" s="181">
        <f t="shared" si="175"/>
        <v>5940.789765816291</v>
      </c>
      <c r="BI41" s="244">
        <f t="shared" si="175"/>
        <v>8074.7679605624289</v>
      </c>
      <c r="BJ41" s="581">
        <f t="shared" si="175"/>
        <v>8074.7679605624289</v>
      </c>
      <c r="BK41" s="181">
        <f t="shared" si="175"/>
        <v>10444.327236812387</v>
      </c>
      <c r="BL41" s="244">
        <f t="shared" si="175"/>
        <v>12982.833922554142</v>
      </c>
      <c r="BM41" s="581">
        <f t="shared" si="175"/>
        <v>12982.833922554142</v>
      </c>
      <c r="BN41"/>
    </row>
    <row r="42" spans="1:66"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630"/>
      <c r="T42" s="653"/>
      <c r="U42" s="40"/>
      <c r="V42" s="630"/>
      <c r="W42" s="653"/>
      <c r="X42" s="40"/>
      <c r="Y42" s="630"/>
      <c r="Z42" s="653"/>
      <c r="AA42" s="40"/>
      <c r="AB42" s="630"/>
      <c r="AC42" s="653"/>
      <c r="AD42" s="40"/>
      <c r="AE42" s="630"/>
      <c r="AF42" s="653"/>
      <c r="AG42" s="40"/>
      <c r="AH42" s="630"/>
      <c r="AI42" s="653"/>
      <c r="AJ42" s="40"/>
      <c r="AK42" s="630"/>
      <c r="AL42" s="653"/>
      <c r="AM42" s="40"/>
      <c r="AN42" s="630"/>
      <c r="AO42" s="653"/>
      <c r="AP42" s="40"/>
      <c r="AQ42" s="630"/>
      <c r="AR42" s="653"/>
      <c r="AS42" s="40"/>
      <c r="AT42" s="630"/>
      <c r="AU42" s="653"/>
      <c r="AV42" s="40"/>
      <c r="AW42" s="630"/>
      <c r="AX42" s="653"/>
      <c r="AY42" s="40"/>
      <c r="AZ42" s="539"/>
      <c r="BA42" s="550"/>
      <c r="BB42"/>
      <c r="BC42" s="539"/>
      <c r="BD42" s="550"/>
      <c r="BE42"/>
      <c r="BF42" s="539"/>
      <c r="BG42" s="550"/>
      <c r="BH42"/>
      <c r="BI42" s="539"/>
      <c r="BJ42" s="550"/>
      <c r="BK42"/>
      <c r="BL42" s="539"/>
      <c r="BM42" s="550"/>
      <c r="BN42"/>
    </row>
    <row r="43" spans="1:66">
      <c r="A43" s="25" t="s">
        <v>96</v>
      </c>
      <c r="B43" s="40">
        <v>314</v>
      </c>
      <c r="C43" s="40">
        <v>320</v>
      </c>
      <c r="D43" s="40">
        <v>323</v>
      </c>
      <c r="E43" s="40">
        <v>333</v>
      </c>
      <c r="F43" s="40">
        <v>346</v>
      </c>
      <c r="G43" s="40">
        <v>352</v>
      </c>
      <c r="H43" s="40">
        <v>356</v>
      </c>
      <c r="I43" s="40">
        <v>326</v>
      </c>
      <c r="J43" s="40">
        <v>369</v>
      </c>
      <c r="K43" s="40">
        <v>371</v>
      </c>
      <c r="L43" s="40">
        <v>374</v>
      </c>
      <c r="M43" s="40">
        <v>374</v>
      </c>
      <c r="N43" s="40">
        <v>374</v>
      </c>
      <c r="O43" s="40">
        <v>376</v>
      </c>
      <c r="P43" s="40">
        <v>376</v>
      </c>
      <c r="Q43" s="40">
        <v>367</v>
      </c>
      <c r="R43" s="40">
        <v>367</v>
      </c>
      <c r="S43" s="630">
        <f t="shared" ref="S43:S48" si="186">T43</f>
        <v>367</v>
      </c>
      <c r="T43" s="653">
        <v>367</v>
      </c>
      <c r="U43" s="40">
        <v>367</v>
      </c>
      <c r="V43" s="630">
        <f t="shared" ref="V43:V48" si="187">W43</f>
        <v>368</v>
      </c>
      <c r="W43" s="653">
        <v>368</v>
      </c>
      <c r="X43" s="40"/>
      <c r="Y43" s="630"/>
      <c r="Z43" s="653">
        <v>368</v>
      </c>
      <c r="AA43" s="40">
        <v>374</v>
      </c>
      <c r="AB43" s="630">
        <f t="shared" ref="AB43:AB48" si="188">AC43</f>
        <v>379</v>
      </c>
      <c r="AC43" s="653">
        <v>379</v>
      </c>
      <c r="AD43" s="40">
        <v>383</v>
      </c>
      <c r="AE43" s="630">
        <f t="shared" ref="AE43:AE48" si="189">AF43</f>
        <v>386</v>
      </c>
      <c r="AF43" s="653">
        <v>386</v>
      </c>
      <c r="AG43" s="40">
        <v>386</v>
      </c>
      <c r="AH43" s="630">
        <f t="shared" ref="AH43:AH48" si="190">AI43</f>
        <v>1674</v>
      </c>
      <c r="AI43" s="653">
        <v>1674</v>
      </c>
      <c r="AJ43" s="40">
        <v>1674</v>
      </c>
      <c r="AK43" s="630">
        <f t="shared" ref="AK43:AK48" si="191">AL43</f>
        <v>1674</v>
      </c>
      <c r="AL43" s="653">
        <v>1674</v>
      </c>
      <c r="AM43" s="40">
        <v>1674</v>
      </c>
      <c r="AN43" s="630">
        <f t="shared" ref="AN43:AN48" si="192">AO43</f>
        <v>1674</v>
      </c>
      <c r="AO43" s="653">
        <v>1674</v>
      </c>
      <c r="AP43" s="40">
        <v>1684</v>
      </c>
      <c r="AQ43" s="630">
        <f t="shared" ref="AQ43:AQ48" si="193">AR43</f>
        <v>1684</v>
      </c>
      <c r="AR43" s="653">
        <v>1684</v>
      </c>
      <c r="AS43" s="40">
        <v>1701</v>
      </c>
      <c r="AT43" s="630">
        <f t="shared" ref="AT43:AT48" si="194">AU43</f>
        <v>1701</v>
      </c>
      <c r="AU43" s="653">
        <v>1701</v>
      </c>
      <c r="AV43" s="40">
        <v>1691</v>
      </c>
      <c r="AW43" s="630">
        <f t="shared" ref="AW43:AW48" si="195">AX43</f>
        <v>1689</v>
      </c>
      <c r="AX43" s="653">
        <v>1689</v>
      </c>
      <c r="AY43" s="40">
        <v>1671</v>
      </c>
      <c r="AZ43" s="236">
        <f t="shared" ref="AZ43:AZ48" si="196">BA43</f>
        <v>1689</v>
      </c>
      <c r="BA43" s="605">
        <f>AX43</f>
        <v>1689</v>
      </c>
      <c r="BB43" s="56">
        <f>BA43</f>
        <v>1689</v>
      </c>
      <c r="BC43" s="236">
        <f t="shared" ref="BC43:BC48" si="197">BD43</f>
        <v>1689</v>
      </c>
      <c r="BD43" s="605">
        <f>BA43</f>
        <v>1689</v>
      </c>
      <c r="BE43" s="56">
        <f>BD43</f>
        <v>1689</v>
      </c>
      <c r="BF43" s="236">
        <f t="shared" ref="BF43:BF48" si="198">BG43</f>
        <v>1689</v>
      </c>
      <c r="BG43" s="605">
        <f>BD43</f>
        <v>1689</v>
      </c>
      <c r="BH43" s="56">
        <f>BG43</f>
        <v>1689</v>
      </c>
      <c r="BI43" s="236">
        <f t="shared" ref="BI43:BI48" si="199">BJ43</f>
        <v>1689</v>
      </c>
      <c r="BJ43" s="605">
        <f>BG43</f>
        <v>1689</v>
      </c>
      <c r="BK43" s="56">
        <f>BJ43</f>
        <v>1689</v>
      </c>
      <c r="BL43" s="236">
        <f t="shared" ref="BL43:BL48" si="200">BM43</f>
        <v>1689</v>
      </c>
      <c r="BM43" s="605">
        <f t="shared" ref="BM43" si="201">BJ43</f>
        <v>1689</v>
      </c>
      <c r="BN43"/>
    </row>
    <row r="44" spans="1:66">
      <c r="A44" s="25" t="s">
        <v>97</v>
      </c>
      <c r="B44" s="40">
        <v>623</v>
      </c>
      <c r="C44" s="40">
        <v>636</v>
      </c>
      <c r="D44" s="40">
        <v>634</v>
      </c>
      <c r="E44" s="40">
        <v>1</v>
      </c>
      <c r="F44" s="40">
        <v>4</v>
      </c>
      <c r="G44" s="40">
        <v>30</v>
      </c>
      <c r="H44" s="40">
        <v>43</v>
      </c>
      <c r="I44" s="40">
        <v>631</v>
      </c>
      <c r="J44" s="40">
        <v>82</v>
      </c>
      <c r="K44" s="40">
        <v>98</v>
      </c>
      <c r="L44" s="40">
        <v>133</v>
      </c>
      <c r="M44" s="40">
        <v>0</v>
      </c>
      <c r="N44" s="40">
        <v>0</v>
      </c>
      <c r="O44" s="40">
        <v>80</v>
      </c>
      <c r="P44" s="40">
        <v>179</v>
      </c>
      <c r="Q44" s="40">
        <v>180</v>
      </c>
      <c r="R44" s="40">
        <v>180</v>
      </c>
      <c r="S44" s="630">
        <f t="shared" si="186"/>
        <v>181</v>
      </c>
      <c r="T44" s="653">
        <v>181</v>
      </c>
      <c r="U44" s="40">
        <v>196</v>
      </c>
      <c r="V44" s="630">
        <f t="shared" si="187"/>
        <v>195</v>
      </c>
      <c r="W44" s="653">
        <v>195</v>
      </c>
      <c r="X44" s="40"/>
      <c r="Y44" s="630"/>
      <c r="Z44" s="653">
        <v>195</v>
      </c>
      <c r="AA44" s="40">
        <v>435</v>
      </c>
      <c r="AB44" s="630">
        <f t="shared" si="188"/>
        <v>268</v>
      </c>
      <c r="AC44" s="653">
        <v>268</v>
      </c>
      <c r="AD44" s="40">
        <v>269</v>
      </c>
      <c r="AE44" s="630">
        <f t="shared" si="189"/>
        <v>319</v>
      </c>
      <c r="AF44" s="653">
        <v>319</v>
      </c>
      <c r="AG44" s="40">
        <v>319</v>
      </c>
      <c r="AH44" s="630">
        <f t="shared" si="190"/>
        <v>1012</v>
      </c>
      <c r="AI44" s="653">
        <v>1012</v>
      </c>
      <c r="AJ44" s="40">
        <v>1012</v>
      </c>
      <c r="AK44" s="630">
        <f t="shared" si="191"/>
        <v>1012</v>
      </c>
      <c r="AL44" s="653">
        <v>1012</v>
      </c>
      <c r="AM44" s="40">
        <v>1012</v>
      </c>
      <c r="AN44" s="630">
        <f t="shared" si="192"/>
        <v>1012</v>
      </c>
      <c r="AO44" s="653">
        <v>1012</v>
      </c>
      <c r="AP44" s="40">
        <v>1012</v>
      </c>
      <c r="AQ44" s="630">
        <f t="shared" si="193"/>
        <v>1012</v>
      </c>
      <c r="AR44" s="653">
        <v>1012</v>
      </c>
      <c r="AS44" s="40">
        <v>1012</v>
      </c>
      <c r="AT44" s="630">
        <f t="shared" si="194"/>
        <v>1012</v>
      </c>
      <c r="AU44" s="653">
        <v>1012</v>
      </c>
      <c r="AV44" s="40">
        <v>0</v>
      </c>
      <c r="AW44" s="630">
        <f t="shared" si="195"/>
        <v>0</v>
      </c>
      <c r="AX44" s="653">
        <v>0</v>
      </c>
      <c r="AY44" s="40">
        <v>0</v>
      </c>
      <c r="AZ44" s="236">
        <f t="shared" si="196"/>
        <v>0</v>
      </c>
      <c r="BA44" s="605">
        <f>AX44+CFS!BA66</f>
        <v>0</v>
      </c>
      <c r="BB44" s="56">
        <f>BA44+CFS!BB66</f>
        <v>0</v>
      </c>
      <c r="BC44" s="236">
        <f t="shared" si="197"/>
        <v>0</v>
      </c>
      <c r="BD44" s="605">
        <f>BA44+CFS!BD66</f>
        <v>0</v>
      </c>
      <c r="BE44" s="56">
        <f>BD44+CFS!BE66</f>
        <v>0</v>
      </c>
      <c r="BF44" s="236">
        <f t="shared" si="198"/>
        <v>0</v>
      </c>
      <c r="BG44" s="605">
        <f>BD44+CFS!BG66</f>
        <v>0</v>
      </c>
      <c r="BH44" s="56">
        <f>BG44+CFS!BH66</f>
        <v>0</v>
      </c>
      <c r="BI44" s="236">
        <f t="shared" si="199"/>
        <v>0</v>
      </c>
      <c r="BJ44" s="605">
        <f>BG44+CFS!BJ66</f>
        <v>0</v>
      </c>
      <c r="BK44" s="56">
        <f>BJ44+CFS!BK66</f>
        <v>0</v>
      </c>
      <c r="BL44" s="236">
        <f t="shared" si="200"/>
        <v>0</v>
      </c>
      <c r="BM44" s="605">
        <f>BJ44+CFS!BM66</f>
        <v>0</v>
      </c>
    </row>
    <row r="45" spans="1:66">
      <c r="A45" s="25" t="s">
        <v>98</v>
      </c>
      <c r="B45" s="40">
        <v>0</v>
      </c>
      <c r="C45" s="40">
        <v>0</v>
      </c>
      <c r="D45" s="40">
        <v>0</v>
      </c>
      <c r="E45" s="40">
        <v>0</v>
      </c>
      <c r="F45" s="40">
        <v>74</v>
      </c>
      <c r="G45" s="40">
        <v>206</v>
      </c>
      <c r="H45" s="40">
        <v>197</v>
      </c>
      <c r="I45" s="40">
        <v>0</v>
      </c>
      <c r="J45" s="40">
        <v>204</v>
      </c>
      <c r="K45" s="40">
        <v>191</v>
      </c>
      <c r="L45" s="40">
        <v>209</v>
      </c>
      <c r="M45" s="40">
        <v>173</v>
      </c>
      <c r="N45" s="40">
        <v>169</v>
      </c>
      <c r="O45" s="40">
        <v>163</v>
      </c>
      <c r="P45" s="40">
        <v>159</v>
      </c>
      <c r="Q45" s="40">
        <v>161</v>
      </c>
      <c r="R45" s="40">
        <v>159</v>
      </c>
      <c r="S45" s="630">
        <f t="shared" si="186"/>
        <v>162</v>
      </c>
      <c r="T45" s="653">
        <v>162</v>
      </c>
      <c r="U45" s="40">
        <v>162</v>
      </c>
      <c r="V45" s="630">
        <f t="shared" si="187"/>
        <v>162</v>
      </c>
      <c r="W45" s="653">
        <v>162</v>
      </c>
      <c r="X45" s="40"/>
      <c r="Y45" s="630"/>
      <c r="Z45" s="653">
        <v>162</v>
      </c>
      <c r="AA45" s="40">
        <v>162</v>
      </c>
      <c r="AB45" s="630">
        <f t="shared" si="188"/>
        <v>161</v>
      </c>
      <c r="AC45" s="653">
        <v>161</v>
      </c>
      <c r="AD45" s="40">
        <v>160</v>
      </c>
      <c r="AE45" s="630">
        <f t="shared" si="189"/>
        <v>159</v>
      </c>
      <c r="AF45" s="653">
        <v>159</v>
      </c>
      <c r="AG45" s="40">
        <v>161</v>
      </c>
      <c r="AH45" s="630">
        <f t="shared" si="190"/>
        <v>162</v>
      </c>
      <c r="AI45" s="653">
        <v>162</v>
      </c>
      <c r="AJ45" s="40">
        <v>164</v>
      </c>
      <c r="AK45" s="630">
        <f t="shared" si="191"/>
        <v>165</v>
      </c>
      <c r="AL45" s="653">
        <v>165</v>
      </c>
      <c r="AM45" s="40">
        <v>166</v>
      </c>
      <c r="AN45" s="630">
        <f t="shared" si="192"/>
        <v>166</v>
      </c>
      <c r="AO45" s="653">
        <v>166</v>
      </c>
      <c r="AP45" s="40">
        <v>166</v>
      </c>
      <c r="AQ45" s="630">
        <f t="shared" si="193"/>
        <v>167</v>
      </c>
      <c r="AR45" s="653">
        <v>167</v>
      </c>
      <c r="AS45" s="40">
        <v>167</v>
      </c>
      <c r="AT45" s="630">
        <f t="shared" si="194"/>
        <v>168</v>
      </c>
      <c r="AU45" s="653">
        <v>168</v>
      </c>
      <c r="AV45" s="40">
        <v>2</v>
      </c>
      <c r="AW45" s="630">
        <f t="shared" si="195"/>
        <v>5</v>
      </c>
      <c r="AX45" s="653">
        <v>5</v>
      </c>
      <c r="AY45" s="40">
        <v>23</v>
      </c>
      <c r="AZ45" s="236">
        <f t="shared" si="196"/>
        <v>5</v>
      </c>
      <c r="BA45" s="605">
        <f>AX45</f>
        <v>5</v>
      </c>
      <c r="BB45" s="56">
        <f>BA45</f>
        <v>5</v>
      </c>
      <c r="BC45" s="236">
        <f t="shared" si="197"/>
        <v>5</v>
      </c>
      <c r="BD45" s="605">
        <f>BA45</f>
        <v>5</v>
      </c>
      <c r="BE45" s="56">
        <f>BD45</f>
        <v>5</v>
      </c>
      <c r="BF45" s="236">
        <f t="shared" si="198"/>
        <v>5</v>
      </c>
      <c r="BG45" s="605">
        <f>BD45</f>
        <v>5</v>
      </c>
      <c r="BH45" s="56">
        <f>BG45</f>
        <v>5</v>
      </c>
      <c r="BI45" s="236">
        <f t="shared" si="199"/>
        <v>5</v>
      </c>
      <c r="BJ45" s="605">
        <f>BG45</f>
        <v>5</v>
      </c>
      <c r="BK45" s="56">
        <f>BJ45</f>
        <v>5</v>
      </c>
      <c r="BL45" s="236">
        <f t="shared" si="200"/>
        <v>5</v>
      </c>
      <c r="BM45" s="605">
        <f t="shared" ref="BM45" si="202">BJ45</f>
        <v>5</v>
      </c>
    </row>
    <row r="46" spans="1:66">
      <c r="A46" s="25" t="s">
        <v>241</v>
      </c>
      <c r="B46" s="40">
        <v>0</v>
      </c>
      <c r="C46" s="40">
        <v>0</v>
      </c>
      <c r="D46" s="40">
        <v>0</v>
      </c>
      <c r="E46" s="40">
        <v>0</v>
      </c>
      <c r="F46" s="40">
        <v>0</v>
      </c>
      <c r="G46" s="40">
        <v>379</v>
      </c>
      <c r="H46" s="40">
        <v>177</v>
      </c>
      <c r="I46" s="40">
        <v>77</v>
      </c>
      <c r="J46" s="40">
        <v>-22</v>
      </c>
      <c r="K46" s="40">
        <v>-19</v>
      </c>
      <c r="L46" s="40">
        <v>-37</v>
      </c>
      <c r="M46" s="40">
        <v>-52</v>
      </c>
      <c r="N46" s="40">
        <v>-63</v>
      </c>
      <c r="O46" s="40">
        <v>-68</v>
      </c>
      <c r="P46" s="40">
        <v>-81</v>
      </c>
      <c r="Q46" s="40">
        <v>-100</v>
      </c>
      <c r="R46" s="40">
        <v>-105</v>
      </c>
      <c r="S46" s="630">
        <f t="shared" si="186"/>
        <v>-107</v>
      </c>
      <c r="T46" s="653">
        <v>-107</v>
      </c>
      <c r="U46" s="40">
        <v>-110</v>
      </c>
      <c r="V46" s="630">
        <f t="shared" si="187"/>
        <v>-112</v>
      </c>
      <c r="W46" s="653">
        <v>-112</v>
      </c>
      <c r="X46" s="40"/>
      <c r="Y46" s="630"/>
      <c r="Z46" s="653">
        <v>-112</v>
      </c>
      <c r="AA46" s="40">
        <v>-103</v>
      </c>
      <c r="AB46" s="630">
        <f t="shared" si="188"/>
        <v>-106</v>
      </c>
      <c r="AC46" s="653">
        <v>-106</v>
      </c>
      <c r="AD46" s="40">
        <v>-105</v>
      </c>
      <c r="AE46" s="630">
        <f t="shared" si="189"/>
        <v>-96</v>
      </c>
      <c r="AF46" s="653">
        <v>-96</v>
      </c>
      <c r="AG46" s="40">
        <v>-124</v>
      </c>
      <c r="AH46" s="630">
        <f t="shared" si="190"/>
        <v>-94</v>
      </c>
      <c r="AI46" s="653">
        <v>-94</v>
      </c>
      <c r="AJ46" s="40">
        <v>-63</v>
      </c>
      <c r="AK46" s="630">
        <f t="shared" si="191"/>
        <v>-45</v>
      </c>
      <c r="AL46" s="653">
        <v>-45</v>
      </c>
      <c r="AM46" s="40">
        <v>-50</v>
      </c>
      <c r="AN46" s="630">
        <f t="shared" si="192"/>
        <v>26</v>
      </c>
      <c r="AO46" s="653">
        <v>26</v>
      </c>
      <c r="AP46" s="40">
        <v>51</v>
      </c>
      <c r="AQ46" s="630">
        <f t="shared" si="193"/>
        <v>12</v>
      </c>
      <c r="AR46" s="653">
        <v>12</v>
      </c>
      <c r="AS46" s="40">
        <v>9</v>
      </c>
      <c r="AT46" s="630">
        <f t="shared" si="194"/>
        <v>13</v>
      </c>
      <c r="AU46" s="653">
        <v>13</v>
      </c>
      <c r="AV46" s="40">
        <v>13</v>
      </c>
      <c r="AW46" s="630">
        <f t="shared" si="195"/>
        <v>7</v>
      </c>
      <c r="AX46" s="653">
        <v>7</v>
      </c>
      <c r="AY46" s="40">
        <v>0</v>
      </c>
      <c r="AZ46" s="236">
        <f t="shared" si="196"/>
        <v>7</v>
      </c>
      <c r="BA46" s="605">
        <f>AX46+BA70</f>
        <v>7</v>
      </c>
      <c r="BB46" s="56">
        <f>BA46+BB70</f>
        <v>7</v>
      </c>
      <c r="BC46" s="236">
        <f t="shared" si="197"/>
        <v>7</v>
      </c>
      <c r="BD46" s="605">
        <f>BA46+BD70</f>
        <v>7</v>
      </c>
      <c r="BE46" s="56">
        <f>BD46+BE70</f>
        <v>7</v>
      </c>
      <c r="BF46" s="236">
        <f t="shared" si="198"/>
        <v>7</v>
      </c>
      <c r="BG46" s="605">
        <f>BD46+BG70</f>
        <v>7</v>
      </c>
      <c r="BH46" s="56">
        <f>BG46+BH70</f>
        <v>7</v>
      </c>
      <c r="BI46" s="236">
        <f t="shared" si="199"/>
        <v>7</v>
      </c>
      <c r="BJ46" s="605">
        <f>BG46+BJ70</f>
        <v>7</v>
      </c>
      <c r="BK46" s="56">
        <f>BJ46+BK70</f>
        <v>7</v>
      </c>
      <c r="BL46" s="236">
        <f t="shared" si="200"/>
        <v>7</v>
      </c>
      <c r="BM46" s="605">
        <f t="shared" ref="BM46" si="203">BJ46+BM70</f>
        <v>7</v>
      </c>
    </row>
    <row r="47" spans="1:66">
      <c r="A47" s="25" t="s">
        <v>99</v>
      </c>
      <c r="B47" s="40">
        <f>108+182</f>
        <v>290</v>
      </c>
      <c r="C47" s="40">
        <f>103+189</f>
        <v>292</v>
      </c>
      <c r="D47" s="40">
        <f>100+195</f>
        <v>295</v>
      </c>
      <c r="E47" s="40">
        <f>96+3</f>
        <v>99</v>
      </c>
      <c r="F47" s="40">
        <f>3+-38</f>
        <v>-35</v>
      </c>
      <c r="G47" s="40">
        <f>3+17</f>
        <v>20</v>
      </c>
      <c r="H47" s="40">
        <v>-55</v>
      </c>
      <c r="I47" s="40">
        <v>59</v>
      </c>
      <c r="J47" s="40">
        <v>663</v>
      </c>
      <c r="K47" s="40">
        <v>506</v>
      </c>
      <c r="L47" s="40">
        <v>527</v>
      </c>
      <c r="M47" s="40">
        <v>433</v>
      </c>
      <c r="N47" s="40">
        <v>314</v>
      </c>
      <c r="O47" s="40">
        <v>250</v>
      </c>
      <c r="P47" s="40">
        <v>78</v>
      </c>
      <c r="Q47" s="40">
        <v>-51</v>
      </c>
      <c r="R47" s="40">
        <v>508</v>
      </c>
      <c r="S47" s="630">
        <f t="shared" si="186"/>
        <v>814</v>
      </c>
      <c r="T47" s="653">
        <v>814</v>
      </c>
      <c r="U47" s="40">
        <v>756</v>
      </c>
      <c r="V47" s="630">
        <f t="shared" si="187"/>
        <v>673</v>
      </c>
      <c r="W47" s="653">
        <v>673</v>
      </c>
      <c r="X47" s="40"/>
      <c r="Y47" s="630"/>
      <c r="Z47" s="653">
        <f>3+657</f>
        <v>660</v>
      </c>
      <c r="AA47" s="40">
        <v>687</v>
      </c>
      <c r="AB47" s="630">
        <f t="shared" si="188"/>
        <v>1215</v>
      </c>
      <c r="AC47" s="653">
        <f>406+809</f>
        <v>1215</v>
      </c>
      <c r="AD47" s="40">
        <f>567+731</f>
        <v>1298</v>
      </c>
      <c r="AE47" s="630">
        <f t="shared" si="189"/>
        <v>1047</v>
      </c>
      <c r="AF47" s="653">
        <f>650+397</f>
        <v>1047</v>
      </c>
      <c r="AG47" s="40">
        <f>650+846</f>
        <v>1496</v>
      </c>
      <c r="AH47" s="630">
        <f t="shared" si="190"/>
        <v>1174</v>
      </c>
      <c r="AI47" s="653">
        <f>650+524</f>
        <v>1174</v>
      </c>
      <c r="AJ47" s="40">
        <f>650+348</f>
        <v>998</v>
      </c>
      <c r="AK47" s="630">
        <f t="shared" si="191"/>
        <v>992</v>
      </c>
      <c r="AL47" s="653">
        <f>650+342</f>
        <v>992</v>
      </c>
      <c r="AM47" s="40">
        <f>650+717</f>
        <v>1367</v>
      </c>
      <c r="AN47" s="630">
        <f t="shared" si="192"/>
        <v>861</v>
      </c>
      <c r="AO47" s="653">
        <v>861</v>
      </c>
      <c r="AP47" s="40">
        <v>634</v>
      </c>
      <c r="AQ47" s="630">
        <f t="shared" si="193"/>
        <v>634</v>
      </c>
      <c r="AR47" s="653">
        <v>634</v>
      </c>
      <c r="AS47" s="40">
        <v>610</v>
      </c>
      <c r="AT47" s="630">
        <f t="shared" si="194"/>
        <v>603</v>
      </c>
      <c r="AU47" s="653">
        <v>603</v>
      </c>
      <c r="AV47" s="1085">
        <v>307</v>
      </c>
      <c r="AW47" s="630">
        <f t="shared" si="195"/>
        <v>418</v>
      </c>
      <c r="AX47" s="653">
        <v>418</v>
      </c>
      <c r="AY47" s="1085">
        <v>461</v>
      </c>
      <c r="AZ47" s="236">
        <f t="shared" si="196"/>
        <v>418</v>
      </c>
      <c r="BA47" s="605">
        <f t="shared" ref="BA47" si="204">AX47+SUM(BA66:BA67)+BA175</f>
        <v>418</v>
      </c>
      <c r="BB47" s="209">
        <f>BA47+SUM(BB66:BB67)+BB175</f>
        <v>418</v>
      </c>
      <c r="BC47" s="236">
        <f t="shared" si="197"/>
        <v>418</v>
      </c>
      <c r="BD47" s="605">
        <f t="shared" ref="BD47" si="205">BA47+SUM(BD66:BD67)+BD175</f>
        <v>418</v>
      </c>
      <c r="BE47" s="209">
        <f>BD47+SUM(BE66:BE67)+BE175</f>
        <v>418</v>
      </c>
      <c r="BF47" s="236">
        <f t="shared" si="198"/>
        <v>418</v>
      </c>
      <c r="BG47" s="605">
        <f t="shared" ref="BG47" si="206">BD47+SUM(BG66:BG67)+BG175</f>
        <v>418</v>
      </c>
      <c r="BH47" s="209">
        <f>BG47+SUM(BH66:BH67)+BH175</f>
        <v>418</v>
      </c>
      <c r="BI47" s="236">
        <f t="shared" si="199"/>
        <v>418</v>
      </c>
      <c r="BJ47" s="605">
        <f t="shared" ref="BJ47" si="207">BG47+SUM(BJ66:BJ67)+BJ175</f>
        <v>418</v>
      </c>
      <c r="BK47" s="209">
        <f>BJ47+SUM(BK66:BK67)+BK175</f>
        <v>418</v>
      </c>
      <c r="BL47" s="236">
        <f t="shared" si="200"/>
        <v>418</v>
      </c>
      <c r="BM47" s="605">
        <f t="shared" ref="BM47" si="208">BJ47+SUM(BM66:BM67)+BM175</f>
        <v>418</v>
      </c>
    </row>
    <row r="48" spans="1:66">
      <c r="A48" s="25" t="s">
        <v>100</v>
      </c>
      <c r="B48" s="40">
        <v>813</v>
      </c>
      <c r="C48" s="40">
        <v>820</v>
      </c>
      <c r="D48" s="40">
        <v>783</v>
      </c>
      <c r="E48" s="40">
        <v>1707</v>
      </c>
      <c r="F48" s="40">
        <v>1053</v>
      </c>
      <c r="G48" s="40">
        <v>512</v>
      </c>
      <c r="H48" s="40">
        <v>2000</v>
      </c>
      <c r="I48" s="40">
        <v>2081</v>
      </c>
      <c r="J48" s="40">
        <v>920</v>
      </c>
      <c r="K48" s="40">
        <v>2635</v>
      </c>
      <c r="L48" s="40">
        <v>2769</v>
      </c>
      <c r="M48" s="40">
        <v>3590</v>
      </c>
      <c r="N48" s="40">
        <v>5185</v>
      </c>
      <c r="O48" s="40">
        <v>4804</v>
      </c>
      <c r="P48" s="40">
        <v>5671</v>
      </c>
      <c r="Q48" s="40">
        <v>4457</v>
      </c>
      <c r="R48" s="40">
        <v>2731</v>
      </c>
      <c r="S48" s="630">
        <f t="shared" si="186"/>
        <v>445</v>
      </c>
      <c r="T48" s="653">
        <v>445</v>
      </c>
      <c r="U48" s="40">
        <v>1870</v>
      </c>
      <c r="V48" s="630">
        <f t="shared" si="187"/>
        <v>4881</v>
      </c>
      <c r="W48" s="653">
        <v>4881</v>
      </c>
      <c r="X48" s="40"/>
      <c r="Y48" s="630"/>
      <c r="Z48" s="653">
        <v>-343</v>
      </c>
      <c r="AA48" s="40">
        <v>-804</v>
      </c>
      <c r="AB48" s="630">
        <f t="shared" si="188"/>
        <v>-2991</v>
      </c>
      <c r="AC48" s="653">
        <v>-2991</v>
      </c>
      <c r="AD48" s="40">
        <v>-4628</v>
      </c>
      <c r="AE48" s="630">
        <f t="shared" si="189"/>
        <v>-5191</v>
      </c>
      <c r="AF48" s="653">
        <f>-5191</f>
        <v>-5191</v>
      </c>
      <c r="AG48" s="40">
        <v>-10386</v>
      </c>
      <c r="AH48" s="630">
        <f t="shared" si="190"/>
        <v>-8825</v>
      </c>
      <c r="AI48" s="653">
        <v>-8825</v>
      </c>
      <c r="AJ48" s="40">
        <v>-8399</v>
      </c>
      <c r="AK48" s="630">
        <f t="shared" si="191"/>
        <v>-8460</v>
      </c>
      <c r="AL48" s="653">
        <v>-8460</v>
      </c>
      <c r="AM48" s="40">
        <v>-10460</v>
      </c>
      <c r="AN48" s="630">
        <f t="shared" si="192"/>
        <v>-9789</v>
      </c>
      <c r="AO48" s="653">
        <v>-9789</v>
      </c>
      <c r="AP48" s="40">
        <v>-8551</v>
      </c>
      <c r="AQ48" s="630">
        <f t="shared" si="193"/>
        <v>-7190</v>
      </c>
      <c r="AR48" s="653">
        <v>-7190</v>
      </c>
      <c r="AS48" s="40">
        <v>-5791</v>
      </c>
      <c r="AT48" s="630">
        <f t="shared" si="194"/>
        <v>-4409</v>
      </c>
      <c r="AU48" s="653">
        <v>-4409</v>
      </c>
      <c r="AV48" s="40">
        <v>395</v>
      </c>
      <c r="AW48" s="630">
        <f t="shared" si="195"/>
        <v>607</v>
      </c>
      <c r="AX48" s="653">
        <v>607</v>
      </c>
      <c r="AY48" s="40">
        <v>698</v>
      </c>
      <c r="AZ48" s="236">
        <f t="shared" si="196"/>
        <v>958.62410202998785</v>
      </c>
      <c r="BA48" s="605">
        <f>AX48+IS!BA42+CFS!BA71+SUM(CFS!BA67:BA69)+CFS!BA27</f>
        <v>958.62410202998785</v>
      </c>
      <c r="BB48" s="56">
        <f>BA48+IS!BB42+CFS!BB71+SUM(CFS!BB67:BB69)+CFS!BB27</f>
        <v>891.04777864391724</v>
      </c>
      <c r="BC48" s="236">
        <f t="shared" si="197"/>
        <v>1019.8790906027768</v>
      </c>
      <c r="BD48" s="605">
        <f>BA48+IS!BD42+CFS!BD71+SUM(CFS!BD67:BD69)+CFS!BD27</f>
        <v>1019.8790906027768</v>
      </c>
      <c r="BE48" s="56">
        <f>BD48+IS!BE42+CFS!BE71+SUM(CFS!BE67:BE69)+CFS!BE27</f>
        <v>1301.3672167130644</v>
      </c>
      <c r="BF48" s="236">
        <f t="shared" si="198"/>
        <v>1712.9758972633122</v>
      </c>
      <c r="BG48" s="605">
        <f>BD48+IS!BG42+CFS!BG71+SUM(CFS!BG67:BG69)+CFS!BG27</f>
        <v>1712.9758972633122</v>
      </c>
      <c r="BH48" s="56">
        <f>BG48+IS!BH42+CFS!BH71+SUM(CFS!BH67:BH69)+CFS!BH27</f>
        <v>3677.2897658162888</v>
      </c>
      <c r="BI48" s="236">
        <f t="shared" si="199"/>
        <v>5794.7679605624262</v>
      </c>
      <c r="BJ48" s="605">
        <f>BG48+IS!BJ42+CFS!BJ71+SUM(CFS!BJ67:BJ69)+CFS!BJ27</f>
        <v>5794.7679605624262</v>
      </c>
      <c r="BK48" s="56">
        <f>BJ48+IS!BK42+CFS!BK71+SUM(CFS!BK67:BK69)+CFS!BK27</f>
        <v>8147.8272368123862</v>
      </c>
      <c r="BL48" s="236">
        <f t="shared" si="200"/>
        <v>10669.83392255414</v>
      </c>
      <c r="BM48" s="605">
        <f>BJ48+IS!BM42+CFS!BM71+SUM(CFS!BM67:BM69)+CFS!BM27</f>
        <v>10669.83392255414</v>
      </c>
    </row>
    <row r="49" spans="1:73">
      <c r="A49" s="62" t="s">
        <v>101</v>
      </c>
      <c r="B49" s="82">
        <f t="shared" ref="B49:L49" si="209">SUM(B43:B48)</f>
        <v>2040</v>
      </c>
      <c r="C49" s="82">
        <f t="shared" si="209"/>
        <v>2068</v>
      </c>
      <c r="D49" s="82">
        <f t="shared" si="209"/>
        <v>2035</v>
      </c>
      <c r="E49" s="82">
        <f t="shared" si="209"/>
        <v>2140</v>
      </c>
      <c r="F49" s="82">
        <f t="shared" si="209"/>
        <v>1442</v>
      </c>
      <c r="G49" s="82">
        <f t="shared" si="209"/>
        <v>1499</v>
      </c>
      <c r="H49" s="82">
        <f t="shared" si="209"/>
        <v>2718</v>
      </c>
      <c r="I49" s="82">
        <f t="shared" si="209"/>
        <v>3174</v>
      </c>
      <c r="J49" s="82">
        <f t="shared" si="209"/>
        <v>2216</v>
      </c>
      <c r="K49" s="82">
        <f t="shared" si="209"/>
        <v>3782</v>
      </c>
      <c r="L49" s="82">
        <f t="shared" si="209"/>
        <v>3975</v>
      </c>
      <c r="M49" s="82">
        <f t="shared" ref="M49:Z49" si="210">SUM(M43:M48)</f>
        <v>4518</v>
      </c>
      <c r="N49" s="82">
        <f t="shared" si="210"/>
        <v>5979</v>
      </c>
      <c r="O49" s="82">
        <f t="shared" si="210"/>
        <v>5605</v>
      </c>
      <c r="P49" s="82">
        <f t="shared" si="210"/>
        <v>6382</v>
      </c>
      <c r="Q49" s="82">
        <f t="shared" si="210"/>
        <v>5014</v>
      </c>
      <c r="R49" s="82">
        <f t="shared" ref="R49:S49" si="211">SUM(R43:R48)</f>
        <v>3840</v>
      </c>
      <c r="S49" s="694">
        <f t="shared" si="211"/>
        <v>1862</v>
      </c>
      <c r="T49" s="709">
        <f t="shared" si="210"/>
        <v>1862</v>
      </c>
      <c r="U49" s="82">
        <f t="shared" ref="U49:V49" si="212">SUM(U43:U48)</f>
        <v>3241</v>
      </c>
      <c r="V49" s="694">
        <f t="shared" si="212"/>
        <v>6167</v>
      </c>
      <c r="W49" s="709">
        <f t="shared" si="210"/>
        <v>6167</v>
      </c>
      <c r="X49" s="82"/>
      <c r="Y49" s="694"/>
      <c r="Z49" s="709">
        <f t="shared" si="210"/>
        <v>930</v>
      </c>
      <c r="AA49" s="82">
        <f t="shared" ref="AA49:AB49" si="213">SUM(AA43:AA48)</f>
        <v>751</v>
      </c>
      <c r="AB49" s="694">
        <f t="shared" si="213"/>
        <v>-1074</v>
      </c>
      <c r="AC49" s="709">
        <f>SUM(AC43:AC48)</f>
        <v>-1074</v>
      </c>
      <c r="AD49" s="82">
        <f>SUM(AD43:AD48)</f>
        <v>-2623</v>
      </c>
      <c r="AE49" s="694">
        <f t="shared" ref="AE49" si="214">SUM(AE43:AE48)</f>
        <v>-3376</v>
      </c>
      <c r="AF49" s="709">
        <f t="shared" ref="AF49:BM49" si="215">SUM(AF43:AF48)</f>
        <v>-3376</v>
      </c>
      <c r="AG49" s="82">
        <f t="shared" ref="AG49:AH49" si="216">SUM(AG43:AG48)</f>
        <v>-8148</v>
      </c>
      <c r="AH49" s="694">
        <f t="shared" si="216"/>
        <v>-4897</v>
      </c>
      <c r="AI49" s="709">
        <f>SUM(AI43:AI48)</f>
        <v>-4897</v>
      </c>
      <c r="AJ49" s="82">
        <f>SUM(AJ43:AJ48)</f>
        <v>-4614</v>
      </c>
      <c r="AK49" s="694">
        <f t="shared" ref="AK49" si="217">SUM(AK43:AK48)</f>
        <v>-4662</v>
      </c>
      <c r="AL49" s="709">
        <f>SUM(AL43:AL48)</f>
        <v>-4662</v>
      </c>
      <c r="AM49" s="82">
        <f>SUM(AM43:AM48)</f>
        <v>-6291</v>
      </c>
      <c r="AN49" s="694">
        <f t="shared" ref="AN49" si="218">SUM(AN43:AN48)</f>
        <v>-6050</v>
      </c>
      <c r="AO49" s="709">
        <f t="shared" si="215"/>
        <v>-6050</v>
      </c>
      <c r="AP49" s="82">
        <f t="shared" ref="AP49:AR49" si="219">SUM(AP43:AP48)</f>
        <v>-5004</v>
      </c>
      <c r="AQ49" s="694">
        <f t="shared" si="219"/>
        <v>-3681</v>
      </c>
      <c r="AR49" s="709">
        <f t="shared" si="219"/>
        <v>-3681</v>
      </c>
      <c r="AS49" s="82">
        <f t="shared" ref="AS49:AU49" si="220">SUM(AS43:AS48)</f>
        <v>-2292</v>
      </c>
      <c r="AT49" s="694">
        <f t="shared" si="220"/>
        <v>-912</v>
      </c>
      <c r="AU49" s="709">
        <f t="shared" si="220"/>
        <v>-912</v>
      </c>
      <c r="AV49" s="82">
        <f t="shared" ref="AV49" si="221">SUM(AV43:AV48)</f>
        <v>2408</v>
      </c>
      <c r="AW49" s="694">
        <f t="shared" ref="AW49:AY49" si="222">SUM(AW43:AW48)</f>
        <v>2726</v>
      </c>
      <c r="AX49" s="709">
        <f t="shared" si="222"/>
        <v>2726</v>
      </c>
      <c r="AY49" s="82">
        <f t="shared" si="222"/>
        <v>2853</v>
      </c>
      <c r="AZ49" s="241">
        <f t="shared" ref="AZ49" si="223">SUM(AZ43:AZ48)</f>
        <v>3077.6241020299876</v>
      </c>
      <c r="BA49" s="579">
        <f t="shared" si="215"/>
        <v>3077.6241020299876</v>
      </c>
      <c r="BB49" s="204">
        <f t="shared" si="215"/>
        <v>3010.0477786439174</v>
      </c>
      <c r="BC49" s="241">
        <f t="shared" ref="BC49" si="224">SUM(BC43:BC48)</f>
        <v>3138.8790906027771</v>
      </c>
      <c r="BD49" s="579">
        <f t="shared" si="215"/>
        <v>3138.8790906027771</v>
      </c>
      <c r="BE49" s="204">
        <f t="shared" si="215"/>
        <v>3420.3672167130644</v>
      </c>
      <c r="BF49" s="241">
        <f t="shared" ref="BF49" si="225">SUM(BF43:BF48)</f>
        <v>3831.9758972633122</v>
      </c>
      <c r="BG49" s="579">
        <f t="shared" si="215"/>
        <v>3831.9758972633122</v>
      </c>
      <c r="BH49" s="204">
        <f t="shared" si="215"/>
        <v>5796.2897658162892</v>
      </c>
      <c r="BI49" s="241">
        <f t="shared" ref="BI49" si="226">SUM(BI43:BI48)</f>
        <v>7913.7679605624262</v>
      </c>
      <c r="BJ49" s="579">
        <f t="shared" si="215"/>
        <v>7913.7679605624262</v>
      </c>
      <c r="BK49" s="204">
        <f t="shared" si="215"/>
        <v>10266.827236812387</v>
      </c>
      <c r="BL49" s="241">
        <f t="shared" ref="BL49" si="227">SUM(BL43:BL48)</f>
        <v>12788.83392255414</v>
      </c>
      <c r="BM49" s="579">
        <f t="shared" si="215"/>
        <v>12788.83392255414</v>
      </c>
    </row>
    <row r="50" spans="1:73">
      <c r="A50" s="25" t="s">
        <v>102</v>
      </c>
      <c r="B50" s="40">
        <v>1</v>
      </c>
      <c r="C50" s="40">
        <v>2</v>
      </c>
      <c r="D50" s="40">
        <v>2</v>
      </c>
      <c r="E50" s="40">
        <v>3</v>
      </c>
      <c r="F50" s="40">
        <v>4</v>
      </c>
      <c r="G50" s="40">
        <v>6</v>
      </c>
      <c r="H50" s="40">
        <v>7</v>
      </c>
      <c r="I50" s="40">
        <v>12</v>
      </c>
      <c r="J50" s="40">
        <v>9</v>
      </c>
      <c r="K50" s="40">
        <v>0</v>
      </c>
      <c r="L50" s="40">
        <v>4</v>
      </c>
      <c r="M50" s="40">
        <v>1</v>
      </c>
      <c r="N50" s="40">
        <v>17</v>
      </c>
      <c r="O50" s="40">
        <v>698</v>
      </c>
      <c r="P50" s="40">
        <v>5</v>
      </c>
      <c r="Q50" s="40">
        <v>2</v>
      </c>
      <c r="R50" s="40">
        <v>2</v>
      </c>
      <c r="S50" s="630">
        <f>T50</f>
        <v>2</v>
      </c>
      <c r="T50" s="653">
        <v>2</v>
      </c>
      <c r="U50" s="40">
        <v>2</v>
      </c>
      <c r="V50" s="630">
        <f>W50</f>
        <v>3</v>
      </c>
      <c r="W50" s="653">
        <v>3</v>
      </c>
      <c r="X50" s="40"/>
      <c r="Y50" s="630"/>
      <c r="Z50" s="653">
        <v>3</v>
      </c>
      <c r="AA50" s="40">
        <v>19</v>
      </c>
      <c r="AB50" s="630">
        <f>AC50</f>
        <v>22</v>
      </c>
      <c r="AC50" s="653">
        <v>22</v>
      </c>
      <c r="AD50" s="40">
        <v>24</v>
      </c>
      <c r="AE50" s="630">
        <f>AF50</f>
        <v>22</v>
      </c>
      <c r="AF50" s="653">
        <v>22</v>
      </c>
      <c r="AG50" s="40">
        <v>24</v>
      </c>
      <c r="AH50" s="630">
        <f>AI50</f>
        <v>22</v>
      </c>
      <c r="AI50" s="653">
        <v>22</v>
      </c>
      <c r="AJ50" s="40">
        <v>24</v>
      </c>
      <c r="AK50" s="630">
        <f>AL50</f>
        <v>26</v>
      </c>
      <c r="AL50" s="653">
        <v>26</v>
      </c>
      <c r="AM50" s="40">
        <v>30</v>
      </c>
      <c r="AN50" s="630">
        <f>AO50</f>
        <v>34</v>
      </c>
      <c r="AO50" s="653">
        <v>34</v>
      </c>
      <c r="AP50" s="40">
        <v>38</v>
      </c>
      <c r="AQ50" s="630">
        <f>AR50</f>
        <v>52</v>
      </c>
      <c r="AR50" s="653">
        <v>52</v>
      </c>
      <c r="AS50" s="40">
        <v>55</v>
      </c>
      <c r="AT50" s="630">
        <f>AU50</f>
        <v>31</v>
      </c>
      <c r="AU50" s="653">
        <v>31</v>
      </c>
      <c r="AV50" s="40">
        <v>26</v>
      </c>
      <c r="AW50" s="630">
        <f>AX50</f>
        <v>27</v>
      </c>
      <c r="AX50" s="653">
        <v>27</v>
      </c>
      <c r="AY50" s="40">
        <v>29</v>
      </c>
      <c r="AZ50" s="236">
        <f>BA50</f>
        <v>62</v>
      </c>
      <c r="BA50" s="605">
        <f>AX50-IS!BA40+CFS!BA70</f>
        <v>62</v>
      </c>
      <c r="BB50" s="56">
        <f>BA50-IS!BB40+CFS!BB70</f>
        <v>78.5</v>
      </c>
      <c r="BC50" s="236">
        <f>BD50</f>
        <v>95</v>
      </c>
      <c r="BD50" s="605">
        <f>BA50-IS!BD40+CFS!BD70</f>
        <v>95</v>
      </c>
      <c r="BE50" s="56">
        <f>BD50-IS!BE40+CFS!BE70</f>
        <v>111.5</v>
      </c>
      <c r="BF50" s="236">
        <f>BG50</f>
        <v>128</v>
      </c>
      <c r="BG50" s="605">
        <f>BD50-IS!BG40+CFS!BG70</f>
        <v>128</v>
      </c>
      <c r="BH50" s="56">
        <f>BG50-IS!BH40+CFS!BH70</f>
        <v>144.5</v>
      </c>
      <c r="BI50" s="236">
        <f>BJ50</f>
        <v>161</v>
      </c>
      <c r="BJ50" s="605">
        <f>BG50-IS!BJ40+CFS!BJ70</f>
        <v>161</v>
      </c>
      <c r="BK50" s="56">
        <f>BJ50-IS!BK40+CFS!BK70</f>
        <v>177.5</v>
      </c>
      <c r="BL50" s="236">
        <f>BM50</f>
        <v>194</v>
      </c>
      <c r="BM50" s="605">
        <f>BJ50-IS!BM40+CFS!BM70</f>
        <v>194</v>
      </c>
    </row>
    <row r="51" spans="1:73">
      <c r="A51" s="37" t="s">
        <v>103</v>
      </c>
      <c r="B51" s="84">
        <f>B49+B50</f>
        <v>2041</v>
      </c>
      <c r="C51" s="84">
        <f>C49+C50</f>
        <v>2070</v>
      </c>
      <c r="D51" s="84">
        <f t="shared" ref="D51:T51" si="228">D49+D50</f>
        <v>2037</v>
      </c>
      <c r="E51" s="84">
        <f t="shared" si="228"/>
        <v>2143</v>
      </c>
      <c r="F51" s="84">
        <f t="shared" si="228"/>
        <v>1446</v>
      </c>
      <c r="G51" s="84">
        <f t="shared" si="228"/>
        <v>1505</v>
      </c>
      <c r="H51" s="84">
        <f t="shared" si="228"/>
        <v>2725</v>
      </c>
      <c r="I51" s="84">
        <f t="shared" si="228"/>
        <v>3186</v>
      </c>
      <c r="J51" s="84">
        <f t="shared" si="228"/>
        <v>2225</v>
      </c>
      <c r="K51" s="84">
        <f t="shared" si="228"/>
        <v>3782</v>
      </c>
      <c r="L51" s="84">
        <f t="shared" si="228"/>
        <v>3979</v>
      </c>
      <c r="M51" s="84">
        <f t="shared" si="228"/>
        <v>4519</v>
      </c>
      <c r="N51" s="84">
        <f t="shared" si="228"/>
        <v>5996</v>
      </c>
      <c r="O51" s="84">
        <f t="shared" si="228"/>
        <v>6303</v>
      </c>
      <c r="P51" s="84">
        <f t="shared" si="228"/>
        <v>6387</v>
      </c>
      <c r="Q51" s="84">
        <f t="shared" si="228"/>
        <v>5016</v>
      </c>
      <c r="R51" s="84">
        <f t="shared" ref="R51:S51" si="229">R49+R50</f>
        <v>3842</v>
      </c>
      <c r="S51" s="632">
        <f t="shared" si="229"/>
        <v>1864</v>
      </c>
      <c r="T51" s="655">
        <f t="shared" si="228"/>
        <v>1864</v>
      </c>
      <c r="U51" s="84">
        <f t="shared" ref="U51:V51" si="230">U49+U50</f>
        <v>3243</v>
      </c>
      <c r="V51" s="632">
        <f t="shared" si="230"/>
        <v>6170</v>
      </c>
      <c r="W51" s="655">
        <f>W49+W50</f>
        <v>6170</v>
      </c>
      <c r="X51" s="84"/>
      <c r="Y51" s="632"/>
      <c r="Z51" s="655">
        <f>Z49+Z50</f>
        <v>933</v>
      </c>
      <c r="AA51" s="84">
        <f>AA49+AA50</f>
        <v>770</v>
      </c>
      <c r="AB51" s="632">
        <f t="shared" ref="AB51" si="231">AB49+AB50</f>
        <v>-1052</v>
      </c>
      <c r="AC51" s="655">
        <f>AC49+AC50</f>
        <v>-1052</v>
      </c>
      <c r="AD51" s="84">
        <f>AD49+AD50</f>
        <v>-2599</v>
      </c>
      <c r="AE51" s="632">
        <f t="shared" ref="AE51" si="232">AE49+AE50</f>
        <v>-3354</v>
      </c>
      <c r="AF51" s="655">
        <f t="shared" ref="AF51:BM51" si="233">AF49+AF50</f>
        <v>-3354</v>
      </c>
      <c r="AG51" s="84">
        <f t="shared" ref="AG51:AH51" si="234">AG49+AG50</f>
        <v>-8124</v>
      </c>
      <c r="AH51" s="632">
        <f t="shared" si="234"/>
        <v>-4875</v>
      </c>
      <c r="AI51" s="655">
        <f t="shared" si="233"/>
        <v>-4875</v>
      </c>
      <c r="AJ51" s="84">
        <f t="shared" ref="AJ51:AK51" si="235">AJ49+AJ50</f>
        <v>-4590</v>
      </c>
      <c r="AK51" s="632">
        <f t="shared" si="235"/>
        <v>-4636</v>
      </c>
      <c r="AL51" s="655">
        <f t="shared" si="233"/>
        <v>-4636</v>
      </c>
      <c r="AM51" s="84">
        <f t="shared" ref="AM51:AN51" si="236">AM49+AM50</f>
        <v>-6261</v>
      </c>
      <c r="AN51" s="632">
        <f t="shared" si="236"/>
        <v>-6016</v>
      </c>
      <c r="AO51" s="655">
        <f t="shared" si="233"/>
        <v>-6016</v>
      </c>
      <c r="AP51" s="84">
        <f t="shared" ref="AP51:AR51" si="237">AP49+AP50</f>
        <v>-4966</v>
      </c>
      <c r="AQ51" s="632">
        <f t="shared" si="237"/>
        <v>-3629</v>
      </c>
      <c r="AR51" s="655">
        <f t="shared" si="237"/>
        <v>-3629</v>
      </c>
      <c r="AS51" s="84">
        <f t="shared" ref="AS51:AU51" si="238">AS49+AS50</f>
        <v>-2237</v>
      </c>
      <c r="AT51" s="632">
        <f t="shared" si="238"/>
        <v>-881</v>
      </c>
      <c r="AU51" s="655">
        <f t="shared" si="238"/>
        <v>-881</v>
      </c>
      <c r="AV51" s="84">
        <f t="shared" ref="AV51" si="239">AV49+AV50</f>
        <v>2434</v>
      </c>
      <c r="AW51" s="632">
        <f t="shared" si="233"/>
        <v>2753</v>
      </c>
      <c r="AX51" s="655">
        <f t="shared" si="233"/>
        <v>2753</v>
      </c>
      <c r="AY51" s="84">
        <f t="shared" si="233"/>
        <v>2882</v>
      </c>
      <c r="AZ51" s="244">
        <f t="shared" si="233"/>
        <v>3139.6241020299876</v>
      </c>
      <c r="BA51" s="581">
        <f t="shared" si="233"/>
        <v>3139.6241020299876</v>
      </c>
      <c r="BB51" s="181">
        <f t="shared" si="233"/>
        <v>3088.5477786439174</v>
      </c>
      <c r="BC51" s="244">
        <f t="shared" si="233"/>
        <v>3233.8790906027771</v>
      </c>
      <c r="BD51" s="581">
        <f t="shared" si="233"/>
        <v>3233.8790906027771</v>
      </c>
      <c r="BE51" s="181">
        <f t="shared" si="233"/>
        <v>3531.8672167130644</v>
      </c>
      <c r="BF51" s="244">
        <f t="shared" si="233"/>
        <v>3959.9758972633122</v>
      </c>
      <c r="BG51" s="581">
        <f t="shared" si="233"/>
        <v>3959.9758972633122</v>
      </c>
      <c r="BH51" s="181">
        <f t="shared" si="233"/>
        <v>5940.7897658162892</v>
      </c>
      <c r="BI51" s="244">
        <f t="shared" si="233"/>
        <v>8074.7679605624262</v>
      </c>
      <c r="BJ51" s="581">
        <f t="shared" si="233"/>
        <v>8074.7679605624262</v>
      </c>
      <c r="BK51" s="181">
        <f t="shared" si="233"/>
        <v>10444.327236812387</v>
      </c>
      <c r="BL51" s="244">
        <f t="shared" si="233"/>
        <v>12982.83392255414</v>
      </c>
      <c r="BM51" s="581">
        <f t="shared" si="233"/>
        <v>12982.83392255414</v>
      </c>
    </row>
    <row r="52" spans="1:73" s="60" customFormat="1">
      <c r="R52" s="60">
        <f t="shared" ref="R52" si="240">R41-R51</f>
        <v>0</v>
      </c>
      <c r="S52" s="593">
        <f>S22-S39-S51</f>
        <v>0</v>
      </c>
      <c r="T52" s="617">
        <f t="shared" ref="T52" si="241">T41-T51</f>
        <v>0</v>
      </c>
      <c r="U52" s="60">
        <f t="shared" ref="U52" si="242">U41-U51</f>
        <v>0</v>
      </c>
      <c r="V52" s="593">
        <f>V22-V39-V51</f>
        <v>0</v>
      </c>
      <c r="W52" s="617">
        <f t="shared" ref="W52" si="243">W41-W51</f>
        <v>0</v>
      </c>
      <c r="Y52" s="593"/>
      <c r="Z52" s="617">
        <f t="shared" ref="Z52:AO52" si="244">Z41-Z51</f>
        <v>0</v>
      </c>
      <c r="AA52" s="60">
        <f t="shared" ref="AA52" si="245">AA41-AA51</f>
        <v>0</v>
      </c>
      <c r="AB52" s="593">
        <f>AB22-AB39-AB51</f>
        <v>0</v>
      </c>
      <c r="AC52" s="617">
        <f t="shared" si="244"/>
        <v>0</v>
      </c>
      <c r="AD52" s="60">
        <f t="shared" ref="AD52" si="246">AD41-AD51</f>
        <v>0</v>
      </c>
      <c r="AE52" s="593">
        <f>AE22-AE39-AE51</f>
        <v>0</v>
      </c>
      <c r="AF52" s="617">
        <f t="shared" si="244"/>
        <v>0</v>
      </c>
      <c r="AG52" s="60">
        <f t="shared" ref="AG52" si="247">AG41-AG51</f>
        <v>0</v>
      </c>
      <c r="AH52" s="593">
        <f>AH22-AH39-AH51</f>
        <v>0</v>
      </c>
      <c r="AI52" s="617">
        <f t="shared" si="244"/>
        <v>0</v>
      </c>
      <c r="AJ52" s="60">
        <f t="shared" ref="AJ52" si="248">AJ41-AJ51</f>
        <v>0</v>
      </c>
      <c r="AK52" s="593">
        <f>AK22-AK39-AK51</f>
        <v>0</v>
      </c>
      <c r="AL52" s="617">
        <f t="shared" si="244"/>
        <v>0</v>
      </c>
      <c r="AM52" s="60">
        <f t="shared" ref="AM52" si="249">AM41-AM51</f>
        <v>0</v>
      </c>
      <c r="AN52" s="593">
        <f>AN22-AN39-AN51</f>
        <v>0</v>
      </c>
      <c r="AO52" s="617">
        <f t="shared" si="244"/>
        <v>0</v>
      </c>
      <c r="AP52" s="60">
        <f t="shared" ref="AP52" si="250">AP41-AP51</f>
        <v>0</v>
      </c>
      <c r="AQ52" s="542">
        <f>AQ22-AQ39-AQ51</f>
        <v>0</v>
      </c>
      <c r="AR52" s="580">
        <f>AR22-AR39-AR51</f>
        <v>0</v>
      </c>
      <c r="AS52" s="21">
        <f t="shared" ref="AS52" si="251">AS22-AS39-AS51</f>
        <v>0</v>
      </c>
      <c r="AT52" s="542">
        <f>AT22-AT39-AT51</f>
        <v>0</v>
      </c>
      <c r="AU52" s="580">
        <f t="shared" ref="AU52:BM52" si="252">AU22-AU39-AU51</f>
        <v>0</v>
      </c>
      <c r="AV52" s="21">
        <f t="shared" ref="AV52" si="253">AV22-AV39-AV51</f>
        <v>0</v>
      </c>
      <c r="AW52" s="542">
        <f>AW22-AW39-AW51</f>
        <v>0</v>
      </c>
      <c r="AX52" s="580">
        <f t="shared" ref="AX52:AY52" si="254">AX22-AX39-AX51</f>
        <v>0</v>
      </c>
      <c r="AY52" s="21">
        <f t="shared" si="254"/>
        <v>0</v>
      </c>
      <c r="AZ52" s="542">
        <f>AZ22-AZ39-AZ51</f>
        <v>5.4569682106375694E-12</v>
      </c>
      <c r="BA52" s="580">
        <f t="shared" si="252"/>
        <v>5.4569682106375694E-12</v>
      </c>
      <c r="BB52" s="21">
        <f t="shared" si="252"/>
        <v>5.0022208597511053E-12</v>
      </c>
      <c r="BC52" s="542">
        <f>BC22-BC39-BC51</f>
        <v>-5.4569682106375694E-12</v>
      </c>
      <c r="BD52" s="580">
        <f t="shared" si="252"/>
        <v>-5.4569682106375694E-12</v>
      </c>
      <c r="BE52" s="21">
        <f t="shared" si="252"/>
        <v>0</v>
      </c>
      <c r="BF52" s="542">
        <f>BF22-BF39-BF51</f>
        <v>0</v>
      </c>
      <c r="BG52" s="580">
        <f t="shared" si="252"/>
        <v>0</v>
      </c>
      <c r="BH52" s="21">
        <f t="shared" si="252"/>
        <v>0</v>
      </c>
      <c r="BI52" s="542">
        <f>BI22-BI39-BI51</f>
        <v>0</v>
      </c>
      <c r="BJ52" s="580">
        <f t="shared" si="252"/>
        <v>0</v>
      </c>
      <c r="BK52" s="21">
        <f t="shared" si="252"/>
        <v>0</v>
      </c>
      <c r="BL52" s="542">
        <f>BL22-BL39-BL51</f>
        <v>0</v>
      </c>
      <c r="BM52" s="580">
        <f t="shared" si="252"/>
        <v>0</v>
      </c>
      <c r="BP52"/>
      <c r="BQ52"/>
      <c r="BR52"/>
      <c r="BS52"/>
      <c r="BT52"/>
      <c r="BU52"/>
    </row>
    <row r="53" spans="1:73">
      <c r="A53" s="310" t="s">
        <v>104</v>
      </c>
      <c r="B53" s="318"/>
      <c r="C53" s="318"/>
      <c r="D53" s="318"/>
      <c r="E53" s="318"/>
      <c r="F53" s="318"/>
      <c r="G53" s="318"/>
      <c r="H53" s="318"/>
      <c r="I53" s="318"/>
      <c r="J53" s="318"/>
      <c r="K53" s="318"/>
      <c r="L53" s="318"/>
      <c r="M53" s="318"/>
      <c r="N53" s="318"/>
      <c r="O53" s="318"/>
      <c r="P53" s="318"/>
      <c r="Q53" s="318"/>
      <c r="R53" s="529"/>
      <c r="S53" s="319"/>
      <c r="T53" s="664"/>
      <c r="U53" s="529"/>
      <c r="V53" s="319"/>
      <c r="W53" s="664"/>
      <c r="X53" s="527"/>
      <c r="Y53" s="320"/>
      <c r="Z53" s="664"/>
      <c r="AA53" s="527"/>
      <c r="AB53" s="320"/>
      <c r="AC53" s="664"/>
      <c r="AD53" s="527"/>
      <c r="AE53" s="320"/>
      <c r="AF53" s="664"/>
      <c r="AG53" s="527"/>
      <c r="AH53" s="320"/>
      <c r="AI53" s="664"/>
      <c r="AJ53" s="527"/>
      <c r="AK53" s="320"/>
      <c r="AL53" s="664"/>
      <c r="AM53" s="527"/>
      <c r="AN53" s="320"/>
      <c r="AO53" s="664"/>
      <c r="AP53" s="527"/>
      <c r="AQ53" s="320"/>
      <c r="AR53" s="664"/>
      <c r="AS53" s="527"/>
      <c r="AT53" s="320"/>
      <c r="AU53" s="664"/>
      <c r="AV53" s="527"/>
      <c r="AW53" s="320"/>
      <c r="AX53" s="664"/>
      <c r="AY53" s="527"/>
      <c r="AZ53" s="215"/>
      <c r="BA53" s="574"/>
      <c r="BB53" s="179"/>
      <c r="BC53" s="215"/>
      <c r="BD53" s="574"/>
      <c r="BE53" s="179"/>
      <c r="BF53" s="215"/>
      <c r="BG53" s="574"/>
      <c r="BH53" s="179"/>
      <c r="BI53" s="215"/>
      <c r="BJ53" s="574"/>
      <c r="BK53" s="179"/>
      <c r="BL53" s="215"/>
      <c r="BM53" s="574"/>
    </row>
    <row r="54" spans="1:73">
      <c r="B54" s="40"/>
      <c r="C54" s="40"/>
      <c r="D54" s="40"/>
      <c r="E54" s="40"/>
      <c r="F54" s="40"/>
      <c r="G54" s="40"/>
      <c r="H54" s="40"/>
      <c r="I54" s="40"/>
      <c r="J54" s="40"/>
      <c r="K54" s="40"/>
      <c r="L54" s="40"/>
      <c r="M54" s="40"/>
      <c r="N54" s="40"/>
      <c r="O54" s="40"/>
      <c r="P54" s="40"/>
      <c r="Q54" s="40"/>
      <c r="R54" s="40"/>
      <c r="S54" s="630"/>
      <c r="T54" s="653"/>
      <c r="U54" s="40"/>
      <c r="V54" s="630"/>
      <c r="W54" s="653"/>
      <c r="X54" s="40"/>
      <c r="Y54" s="630"/>
      <c r="Z54" s="653"/>
      <c r="AA54" s="40"/>
      <c r="AB54" s="630"/>
      <c r="AC54" s="653"/>
      <c r="AD54" s="40"/>
      <c r="AE54" s="630"/>
      <c r="AF54" s="653"/>
      <c r="AG54" s="40"/>
      <c r="AH54" s="630"/>
      <c r="AI54" s="653"/>
      <c r="AJ54" s="40"/>
      <c r="AK54" s="630"/>
      <c r="AL54" s="653"/>
      <c r="AM54" s="40"/>
      <c r="AN54" s="630"/>
      <c r="AO54" s="653"/>
      <c r="AP54" s="40"/>
      <c r="AQ54" s="539"/>
      <c r="AR54" s="550"/>
      <c r="AS54"/>
      <c r="AT54" s="539"/>
      <c r="AU54" s="550"/>
      <c r="AV54"/>
      <c r="AW54" s="539"/>
      <c r="AX54" s="550"/>
      <c r="AY54"/>
      <c r="AZ54" s="539"/>
      <c r="BA54" s="550"/>
      <c r="BB54"/>
      <c r="BC54" s="539"/>
      <c r="BD54" s="550"/>
      <c r="BE54"/>
      <c r="BF54" s="539"/>
      <c r="BG54" s="550"/>
      <c r="BH54"/>
      <c r="BI54" s="539"/>
      <c r="BJ54" s="550"/>
      <c r="BK54"/>
      <c r="BL54" s="539"/>
      <c r="BM54" s="550"/>
    </row>
    <row r="55" spans="1:73">
      <c r="A55" s="25" t="s">
        <v>78</v>
      </c>
      <c r="B55" s="40">
        <f t="shared" ref="B55:BM55" si="255">B19</f>
        <v>604</v>
      </c>
      <c r="C55" s="40">
        <f t="shared" si="255"/>
        <v>840</v>
      </c>
      <c r="D55" s="40">
        <f t="shared" si="255"/>
        <v>678</v>
      </c>
      <c r="E55" s="40">
        <f t="shared" si="255"/>
        <v>929</v>
      </c>
      <c r="F55" s="40">
        <f t="shared" si="255"/>
        <v>1452</v>
      </c>
      <c r="G55" s="40">
        <f t="shared" si="255"/>
        <v>1757</v>
      </c>
      <c r="H55" s="40">
        <f t="shared" si="255"/>
        <v>2185</v>
      </c>
      <c r="I55" s="40">
        <f t="shared" si="255"/>
        <v>1896</v>
      </c>
      <c r="J55" s="40">
        <f t="shared" si="255"/>
        <v>2471</v>
      </c>
      <c r="K55" s="40">
        <f t="shared" si="255"/>
        <v>2962</v>
      </c>
      <c r="L55" s="40">
        <f t="shared" si="255"/>
        <v>2859</v>
      </c>
      <c r="M55" s="40">
        <f t="shared" si="255"/>
        <v>1310</v>
      </c>
      <c r="N55" s="40">
        <f t="shared" si="255"/>
        <v>2585</v>
      </c>
      <c r="O55" s="40">
        <f t="shared" si="255"/>
        <v>3990</v>
      </c>
      <c r="P55" s="40">
        <f t="shared" si="255"/>
        <v>2862</v>
      </c>
      <c r="Q55" s="40">
        <f t="shared" si="255"/>
        <v>3176</v>
      </c>
      <c r="R55" s="40">
        <f>R19</f>
        <v>2287</v>
      </c>
      <c r="S55" s="630">
        <f>T55</f>
        <v>2771</v>
      </c>
      <c r="T55" s="653">
        <f t="shared" si="255"/>
        <v>2771</v>
      </c>
      <c r="U55" s="40">
        <f>U19</f>
        <v>2336</v>
      </c>
      <c r="V55" s="630">
        <f>W55</f>
        <v>2953</v>
      </c>
      <c r="W55" s="653">
        <f t="shared" si="255"/>
        <v>2953</v>
      </c>
      <c r="X55" s="40"/>
      <c r="Y55" s="630"/>
      <c r="Z55" s="653">
        <f t="shared" si="255"/>
        <v>2953</v>
      </c>
      <c r="AA55" s="40">
        <f>AA19</f>
        <v>4379</v>
      </c>
      <c r="AB55" s="630">
        <f>AC55</f>
        <v>4974</v>
      </c>
      <c r="AC55" s="653">
        <f t="shared" si="255"/>
        <v>4974</v>
      </c>
      <c r="AD55" s="40">
        <f>AD19</f>
        <v>4208</v>
      </c>
      <c r="AE55" s="630">
        <f>AF55</f>
        <v>4443</v>
      </c>
      <c r="AF55" s="653">
        <f>AF19</f>
        <v>4443</v>
      </c>
      <c r="AG55" s="40">
        <f>AG19</f>
        <v>4239</v>
      </c>
      <c r="AH55" s="630">
        <f>AI55</f>
        <v>3503</v>
      </c>
      <c r="AI55" s="653">
        <f>AI19+51</f>
        <v>3503</v>
      </c>
      <c r="AJ55" s="40">
        <f>AJ19+69</f>
        <v>2984</v>
      </c>
      <c r="AK55" s="630">
        <f>AL55</f>
        <v>2646</v>
      </c>
      <c r="AL55" s="653">
        <f>AL19+25</f>
        <v>2646</v>
      </c>
      <c r="AM55" s="40">
        <f>AM19+37</f>
        <v>2784</v>
      </c>
      <c r="AN55" s="630">
        <f t="shared" ref="AN55" si="256">AN19</f>
        <v>2607</v>
      </c>
      <c r="AO55" s="653">
        <f t="shared" si="255"/>
        <v>2607</v>
      </c>
      <c r="AP55" s="40">
        <f t="shared" ref="AP55:AR55" si="257">AP19</f>
        <v>2861</v>
      </c>
      <c r="AQ55" s="630">
        <f t="shared" si="257"/>
        <v>3784</v>
      </c>
      <c r="AR55" s="653">
        <f t="shared" si="257"/>
        <v>3784</v>
      </c>
      <c r="AS55" s="40">
        <f t="shared" ref="AS55:AU55" si="258">AS19</f>
        <v>4319</v>
      </c>
      <c r="AT55" s="630">
        <f t="shared" si="258"/>
        <v>5575</v>
      </c>
      <c r="AU55" s="653">
        <f t="shared" si="258"/>
        <v>5575</v>
      </c>
      <c r="AV55" s="40">
        <f t="shared" ref="AV55:AX55" si="259">AV19</f>
        <v>6044</v>
      </c>
      <c r="AW55" s="630">
        <f t="shared" si="259"/>
        <v>6244</v>
      </c>
      <c r="AX55" s="653">
        <f t="shared" si="259"/>
        <v>6244</v>
      </c>
      <c r="AY55" s="40">
        <f t="shared" ref="AY55" si="260">AY19</f>
        <v>6484</v>
      </c>
      <c r="AZ55" s="236">
        <f t="shared" ref="AZ55" si="261">AZ19</f>
        <v>6782.0189816936108</v>
      </c>
      <c r="BA55" s="605">
        <f t="shared" si="255"/>
        <v>6782.0189816936108</v>
      </c>
      <c r="BB55" s="56">
        <f>BB19</f>
        <v>8900.1785276494047</v>
      </c>
      <c r="BC55" s="236">
        <f t="shared" ref="BC55" si="262">BC19</f>
        <v>7670.3133866163571</v>
      </c>
      <c r="BD55" s="605">
        <f t="shared" si="255"/>
        <v>7670.3133866163571</v>
      </c>
      <c r="BE55" s="56">
        <f>BE19</f>
        <v>9003.1754827074801</v>
      </c>
      <c r="BF55" s="236">
        <f t="shared" ref="BF55" si="263">BF19</f>
        <v>9496.2755349535819</v>
      </c>
      <c r="BG55" s="605">
        <f t="shared" si="255"/>
        <v>9496.2755349535819</v>
      </c>
      <c r="BH55" s="56">
        <f>BH19</f>
        <v>12216.310107483194</v>
      </c>
      <c r="BI55" s="236">
        <f t="shared" ref="BI55" si="264">BI19</f>
        <v>14582.34240973395</v>
      </c>
      <c r="BJ55" s="605">
        <f t="shared" si="255"/>
        <v>14582.34240973395</v>
      </c>
      <c r="BK55" s="56">
        <f>BK19</f>
        <v>17634.696380937472</v>
      </c>
      <c r="BL55" s="236">
        <f t="shared" ref="BL55" si="265">BL19</f>
        <v>20486.402584305833</v>
      </c>
      <c r="BM55" s="605">
        <f t="shared" si="255"/>
        <v>20486.402584305833</v>
      </c>
    </row>
    <row r="56" spans="1:73">
      <c r="A56" s="25" t="s">
        <v>77</v>
      </c>
      <c r="B56" s="40">
        <f t="shared" ref="B56:BM56" si="266">B18</f>
        <v>36</v>
      </c>
      <c r="C56" s="40">
        <f t="shared" si="266"/>
        <v>39</v>
      </c>
      <c r="D56" s="40">
        <f t="shared" si="266"/>
        <v>40</v>
      </c>
      <c r="E56" s="40">
        <f t="shared" si="266"/>
        <v>39</v>
      </c>
      <c r="F56" s="40">
        <f t="shared" si="266"/>
        <v>36</v>
      </c>
      <c r="G56" s="40">
        <f t="shared" si="266"/>
        <v>37</v>
      </c>
      <c r="H56" s="40">
        <f t="shared" si="266"/>
        <v>34</v>
      </c>
      <c r="I56" s="40">
        <f t="shared" si="266"/>
        <v>40</v>
      </c>
      <c r="J56" s="40">
        <f t="shared" si="266"/>
        <v>1</v>
      </c>
      <c r="K56" s="40">
        <f t="shared" si="266"/>
        <v>2</v>
      </c>
      <c r="L56" s="40">
        <f t="shared" si="266"/>
        <v>328</v>
      </c>
      <c r="M56" s="40">
        <f t="shared" si="266"/>
        <v>11</v>
      </c>
      <c r="N56" s="40">
        <f t="shared" si="266"/>
        <v>11</v>
      </c>
      <c r="O56" s="40">
        <f t="shared" si="266"/>
        <v>321</v>
      </c>
      <c r="P56" s="40">
        <f t="shared" si="266"/>
        <v>7</v>
      </c>
      <c r="Q56" s="40">
        <f t="shared" si="266"/>
        <v>2</v>
      </c>
      <c r="R56" s="40">
        <f t="shared" si="266"/>
        <v>1</v>
      </c>
      <c r="S56" s="630">
        <f>S18</f>
        <v>3</v>
      </c>
      <c r="T56" s="653">
        <f t="shared" si="266"/>
        <v>3</v>
      </c>
      <c r="U56" s="40">
        <f t="shared" ref="U56" si="267">U18</f>
        <v>3</v>
      </c>
      <c r="V56" s="630">
        <f>V18</f>
        <v>3</v>
      </c>
      <c r="W56" s="653">
        <f t="shared" si="266"/>
        <v>3</v>
      </c>
      <c r="X56" s="40"/>
      <c r="Y56" s="630"/>
      <c r="Z56" s="653">
        <f t="shared" si="266"/>
        <v>3</v>
      </c>
      <c r="AA56" s="40">
        <f t="shared" si="266"/>
        <v>7</v>
      </c>
      <c r="AB56" s="630">
        <f>AB18</f>
        <v>6</v>
      </c>
      <c r="AC56" s="653">
        <f t="shared" si="266"/>
        <v>6</v>
      </c>
      <c r="AD56" s="40">
        <f t="shared" ref="AD56" si="268">AD18</f>
        <v>0</v>
      </c>
      <c r="AE56" s="630">
        <f>AE18</f>
        <v>6</v>
      </c>
      <c r="AF56" s="653">
        <f t="shared" si="266"/>
        <v>6</v>
      </c>
      <c r="AG56" s="40">
        <f t="shared" si="266"/>
        <v>0</v>
      </c>
      <c r="AH56" s="630">
        <f>AH18</f>
        <v>0</v>
      </c>
      <c r="AI56" s="653">
        <f t="shared" si="266"/>
        <v>0</v>
      </c>
      <c r="AJ56" s="40">
        <f t="shared" ref="AJ56" si="269">AJ18</f>
        <v>1</v>
      </c>
      <c r="AK56" s="630">
        <f>AK18</f>
        <v>8</v>
      </c>
      <c r="AL56" s="653">
        <f t="shared" si="266"/>
        <v>8</v>
      </c>
      <c r="AM56" s="40">
        <f t="shared" si="266"/>
        <v>1</v>
      </c>
      <c r="AN56" s="630">
        <f>AN18</f>
        <v>11</v>
      </c>
      <c r="AO56" s="653">
        <f t="shared" si="266"/>
        <v>11</v>
      </c>
      <c r="AP56" s="40">
        <f t="shared" ref="AP56" si="270">AP18</f>
        <v>0</v>
      </c>
      <c r="AQ56" s="630">
        <f>AQ18</f>
        <v>0</v>
      </c>
      <c r="AR56" s="653">
        <f t="shared" ref="AR56:AS56" si="271">AR18</f>
        <v>0</v>
      </c>
      <c r="AS56" s="40">
        <f t="shared" si="271"/>
        <v>0</v>
      </c>
      <c r="AT56" s="630">
        <f>AT18</f>
        <v>0</v>
      </c>
      <c r="AU56" s="653">
        <f t="shared" ref="AU56:AV56" si="272">AU18</f>
        <v>0</v>
      </c>
      <c r="AV56" s="40">
        <f t="shared" si="272"/>
        <v>0</v>
      </c>
      <c r="AW56" s="630">
        <f>AW18</f>
        <v>0</v>
      </c>
      <c r="AX56" s="653">
        <f t="shared" ref="AX56:AY56" si="273">AX18</f>
        <v>0</v>
      </c>
      <c r="AY56" s="40">
        <f t="shared" si="273"/>
        <v>0</v>
      </c>
      <c r="AZ56" s="236">
        <f>AZ18</f>
        <v>0</v>
      </c>
      <c r="BA56" s="605">
        <f t="shared" si="266"/>
        <v>0</v>
      </c>
      <c r="BB56" s="56">
        <f t="shared" si="266"/>
        <v>0</v>
      </c>
      <c r="BC56" s="236">
        <f>BC18</f>
        <v>0</v>
      </c>
      <c r="BD56" s="605">
        <f t="shared" si="266"/>
        <v>0</v>
      </c>
      <c r="BE56" s="56">
        <f t="shared" si="266"/>
        <v>0</v>
      </c>
      <c r="BF56" s="236">
        <f>BF18</f>
        <v>0</v>
      </c>
      <c r="BG56" s="605">
        <f t="shared" si="266"/>
        <v>0</v>
      </c>
      <c r="BH56" s="56">
        <f t="shared" si="266"/>
        <v>0</v>
      </c>
      <c r="BI56" s="236">
        <f>BI18</f>
        <v>0</v>
      </c>
      <c r="BJ56" s="605">
        <f t="shared" si="266"/>
        <v>0</v>
      </c>
      <c r="BK56" s="56">
        <f t="shared" si="266"/>
        <v>0</v>
      </c>
      <c r="BL56" s="236">
        <f>BL18</f>
        <v>0</v>
      </c>
      <c r="BM56" s="605">
        <f t="shared" si="266"/>
        <v>0</v>
      </c>
    </row>
    <row r="57" spans="1:73">
      <c r="A57" s="25" t="s">
        <v>108</v>
      </c>
      <c r="B57" s="40">
        <f t="shared" ref="B57:BM57" si="274">-(B24+B31)</f>
        <v>-1330</v>
      </c>
      <c r="C57" s="40">
        <f t="shared" si="274"/>
        <v>-1380</v>
      </c>
      <c r="D57" s="40">
        <f t="shared" si="274"/>
        <v>-1313</v>
      </c>
      <c r="E57" s="40">
        <f t="shared" si="274"/>
        <v>-1291</v>
      </c>
      <c r="F57" s="40">
        <f t="shared" si="274"/>
        <v>-1637</v>
      </c>
      <c r="G57" s="40">
        <f t="shared" si="274"/>
        <v>-1533</v>
      </c>
      <c r="H57" s="40">
        <f t="shared" si="274"/>
        <v>-1390</v>
      </c>
      <c r="I57" s="40">
        <f t="shared" si="274"/>
        <v>-1064</v>
      </c>
      <c r="J57" s="40">
        <f t="shared" si="274"/>
        <v>-1348</v>
      </c>
      <c r="K57" s="40">
        <f t="shared" si="274"/>
        <v>-1913</v>
      </c>
      <c r="L57" s="40">
        <f t="shared" si="274"/>
        <v>-1852</v>
      </c>
      <c r="M57" s="40">
        <f t="shared" si="274"/>
        <v>-1204</v>
      </c>
      <c r="N57" s="40">
        <f t="shared" si="274"/>
        <v>-1383</v>
      </c>
      <c r="O57" s="40">
        <f t="shared" si="274"/>
        <v>-2371</v>
      </c>
      <c r="P57" s="40">
        <f t="shared" si="274"/>
        <v>-2261</v>
      </c>
      <c r="Q57" s="40">
        <f t="shared" si="274"/>
        <v>-3302</v>
      </c>
      <c r="R57" s="40">
        <f>-(R24+R31)</f>
        <v>-3332</v>
      </c>
      <c r="S57" s="630">
        <f>T57</f>
        <v>-3357</v>
      </c>
      <c r="T57" s="653">
        <f t="shared" si="274"/>
        <v>-3357</v>
      </c>
      <c r="U57" s="40">
        <f>-(U24+U31)</f>
        <v>-3572</v>
      </c>
      <c r="V57" s="630">
        <f>W57</f>
        <v>-3488</v>
      </c>
      <c r="W57" s="653">
        <f t="shared" si="274"/>
        <v>-3488</v>
      </c>
      <c r="X57" s="40"/>
      <c r="Y57" s="630"/>
      <c r="Z57" s="653">
        <f t="shared" si="274"/>
        <v>-3488</v>
      </c>
      <c r="AA57" s="40">
        <f>-(AA24+AA31)</f>
        <v>-4441</v>
      </c>
      <c r="AB57" s="630">
        <f>AC57</f>
        <v>-4662</v>
      </c>
      <c r="AC57" s="653">
        <f t="shared" si="274"/>
        <v>-4662</v>
      </c>
      <c r="AD57" s="40">
        <f>-(AD24+AD31)</f>
        <v>-6529</v>
      </c>
      <c r="AE57" s="630">
        <f>AF57</f>
        <v>-5685</v>
      </c>
      <c r="AF57" s="653">
        <f>-(AF24+AF31)</f>
        <v>-5685</v>
      </c>
      <c r="AG57" s="40">
        <f>-(AG24+AG31)</f>
        <v>-8764</v>
      </c>
      <c r="AH57" s="630">
        <f>AI57</f>
        <v>-7330</v>
      </c>
      <c r="AI57" s="653">
        <f>-(AI24+AI31)</f>
        <v>-7330</v>
      </c>
      <c r="AJ57" s="40">
        <f>-(AJ24+AJ31)-77-23</f>
        <v>-8014</v>
      </c>
      <c r="AK57" s="630">
        <f>AL57</f>
        <v>-7848</v>
      </c>
      <c r="AL57" s="653">
        <f>-(AL24+AL31)-59-13</f>
        <v>-7848</v>
      </c>
      <c r="AM57" s="40">
        <f>-(AM24+AM31)-40-13</f>
        <v>-8029</v>
      </c>
      <c r="AN57" s="630">
        <f t="shared" ref="AN57:AS57" si="275">-(AN24+AN31)</f>
        <v>-5955</v>
      </c>
      <c r="AO57" s="653">
        <f t="shared" si="275"/>
        <v>-5955</v>
      </c>
      <c r="AP57" s="40">
        <f t="shared" si="275"/>
        <v>-5657</v>
      </c>
      <c r="AQ57" s="630">
        <f t="shared" si="275"/>
        <v>-5759</v>
      </c>
      <c r="AR57" s="653">
        <f t="shared" si="275"/>
        <v>-5759</v>
      </c>
      <c r="AS57" s="40">
        <f t="shared" si="275"/>
        <v>-5150</v>
      </c>
      <c r="AT57" s="630">
        <f t="shared" ref="AT57:AV57" si="276">-(AT24+AT31)</f>
        <v>-5132</v>
      </c>
      <c r="AU57" s="653">
        <f t="shared" si="276"/>
        <v>-5132</v>
      </c>
      <c r="AV57" s="40">
        <f t="shared" si="276"/>
        <v>-4909</v>
      </c>
      <c r="AW57" s="630">
        <f t="shared" ref="AW57:AY57" si="277">-(AW24+AW31)</f>
        <v>-4272</v>
      </c>
      <c r="AX57" s="653">
        <f t="shared" si="277"/>
        <v>-4272</v>
      </c>
      <c r="AY57" s="40">
        <f t="shared" si="277"/>
        <v>-4311</v>
      </c>
      <c r="AZ57" s="236">
        <f>-(AZ24+AZ31)</f>
        <v>-4079</v>
      </c>
      <c r="BA57" s="605">
        <f t="shared" si="274"/>
        <v>-4079</v>
      </c>
      <c r="BB57" s="56">
        <f t="shared" si="274"/>
        <v>-4079</v>
      </c>
      <c r="BC57" s="236">
        <f>-(BC24+BC31)</f>
        <v>-4079</v>
      </c>
      <c r="BD57" s="605">
        <f t="shared" si="274"/>
        <v>-4079</v>
      </c>
      <c r="BE57" s="56">
        <f t="shared" si="274"/>
        <v>-4079</v>
      </c>
      <c r="BF57" s="236">
        <f>-(BF24+BF31)</f>
        <v>-4079</v>
      </c>
      <c r="BG57" s="605">
        <f t="shared" si="274"/>
        <v>-4079</v>
      </c>
      <c r="BH57" s="56">
        <f t="shared" si="274"/>
        <v>-4079</v>
      </c>
      <c r="BI57" s="236">
        <f>-(BI24+BI31)</f>
        <v>-4079</v>
      </c>
      <c r="BJ57" s="605">
        <f t="shared" si="274"/>
        <v>-4079</v>
      </c>
      <c r="BK57" s="56">
        <f t="shared" si="274"/>
        <v>-4079</v>
      </c>
      <c r="BL57" s="236">
        <f>-(BL24+BL31)</f>
        <v>-4079</v>
      </c>
      <c r="BM57" s="605">
        <f t="shared" si="274"/>
        <v>-4079</v>
      </c>
    </row>
    <row r="58" spans="1:73">
      <c r="A58" s="31" t="s">
        <v>106</v>
      </c>
      <c r="B58" s="51">
        <f t="shared" ref="B58:L58" si="278">SUM(B55:B57)</f>
        <v>-690</v>
      </c>
      <c r="C58" s="51">
        <f t="shared" si="278"/>
        <v>-501</v>
      </c>
      <c r="D58" s="51">
        <f t="shared" si="278"/>
        <v>-595</v>
      </c>
      <c r="E58" s="51">
        <f t="shared" si="278"/>
        <v>-323</v>
      </c>
      <c r="F58" s="51">
        <f t="shared" si="278"/>
        <v>-149</v>
      </c>
      <c r="G58" s="51">
        <f t="shared" si="278"/>
        <v>261</v>
      </c>
      <c r="H58" s="51">
        <f t="shared" si="278"/>
        <v>829</v>
      </c>
      <c r="I58" s="51">
        <f t="shared" si="278"/>
        <v>872</v>
      </c>
      <c r="J58" s="51">
        <f t="shared" si="278"/>
        <v>1124</v>
      </c>
      <c r="K58" s="51">
        <f t="shared" si="278"/>
        <v>1051</v>
      </c>
      <c r="L58" s="51">
        <f t="shared" si="278"/>
        <v>1335</v>
      </c>
      <c r="M58" s="51">
        <f t="shared" ref="M58:W58" si="279">SUM(M55:M57)</f>
        <v>117</v>
      </c>
      <c r="N58" s="51">
        <f t="shared" si="279"/>
        <v>1213</v>
      </c>
      <c r="O58" s="51">
        <f t="shared" si="279"/>
        <v>1940</v>
      </c>
      <c r="P58" s="51">
        <f t="shared" si="279"/>
        <v>608</v>
      </c>
      <c r="Q58" s="51">
        <f t="shared" si="279"/>
        <v>-124</v>
      </c>
      <c r="R58" s="51">
        <f t="shared" ref="R58:S58" si="280">SUM(R55:R57)</f>
        <v>-1044</v>
      </c>
      <c r="S58" s="629">
        <f t="shared" si="280"/>
        <v>-583</v>
      </c>
      <c r="T58" s="652">
        <f t="shared" si="279"/>
        <v>-583</v>
      </c>
      <c r="U58" s="51">
        <f t="shared" si="279"/>
        <v>-1233</v>
      </c>
      <c r="V58" s="629">
        <f t="shared" si="279"/>
        <v>-532</v>
      </c>
      <c r="W58" s="652">
        <f t="shared" si="279"/>
        <v>-532</v>
      </c>
      <c r="X58" s="51"/>
      <c r="Y58" s="629"/>
      <c r="Z58" s="652">
        <f t="shared" ref="Z58:BM58" si="281">SUM(Z55:Z57)</f>
        <v>-532</v>
      </c>
      <c r="AA58" s="51">
        <f t="shared" si="281"/>
        <v>-55</v>
      </c>
      <c r="AB58" s="629">
        <f t="shared" si="281"/>
        <v>318</v>
      </c>
      <c r="AC58" s="652">
        <f t="shared" si="281"/>
        <v>318</v>
      </c>
      <c r="AD58" s="51">
        <f t="shared" ref="AD58:AE58" si="282">SUM(AD55:AD57)</f>
        <v>-2321</v>
      </c>
      <c r="AE58" s="629">
        <f t="shared" si="282"/>
        <v>-1236</v>
      </c>
      <c r="AF58" s="652">
        <f t="shared" si="281"/>
        <v>-1236</v>
      </c>
      <c r="AG58" s="51">
        <f t="shared" si="281"/>
        <v>-4525</v>
      </c>
      <c r="AH58" s="629">
        <f t="shared" si="281"/>
        <v>-3827</v>
      </c>
      <c r="AI58" s="652">
        <f t="shared" si="281"/>
        <v>-3827</v>
      </c>
      <c r="AJ58" s="51">
        <f t="shared" ref="AJ58:AK58" si="283">SUM(AJ55:AJ57)</f>
        <v>-5029</v>
      </c>
      <c r="AK58" s="629">
        <f t="shared" si="283"/>
        <v>-5194</v>
      </c>
      <c r="AL58" s="652">
        <f t="shared" si="281"/>
        <v>-5194</v>
      </c>
      <c r="AM58" s="51">
        <f t="shared" si="281"/>
        <v>-5244</v>
      </c>
      <c r="AN58" s="629">
        <f t="shared" si="281"/>
        <v>-3337</v>
      </c>
      <c r="AO58" s="652">
        <f t="shared" si="281"/>
        <v>-3337</v>
      </c>
      <c r="AP58" s="51">
        <f t="shared" ref="AP58:AR58" si="284">SUM(AP55:AP57)</f>
        <v>-2796</v>
      </c>
      <c r="AQ58" s="629">
        <f t="shared" si="284"/>
        <v>-1975</v>
      </c>
      <c r="AR58" s="652">
        <f t="shared" si="284"/>
        <v>-1975</v>
      </c>
      <c r="AS58" s="51">
        <f t="shared" ref="AS58:AU58" si="285">SUM(AS55:AS57)</f>
        <v>-831</v>
      </c>
      <c r="AT58" s="629">
        <f t="shared" si="285"/>
        <v>443</v>
      </c>
      <c r="AU58" s="652">
        <f t="shared" si="285"/>
        <v>443</v>
      </c>
      <c r="AV58" s="51">
        <f t="shared" ref="AV58:AX58" si="286">SUM(AV55:AV57)</f>
        <v>1135</v>
      </c>
      <c r="AW58" s="629">
        <f t="shared" si="286"/>
        <v>1972</v>
      </c>
      <c r="AX58" s="652">
        <f t="shared" si="286"/>
        <v>1972</v>
      </c>
      <c r="AY58" s="51">
        <f t="shared" ref="AY58" si="287">SUM(AY55:AY57)</f>
        <v>2173</v>
      </c>
      <c r="AZ58" s="237">
        <f t="shared" ref="AZ58" si="288">SUM(AZ55:AZ57)</f>
        <v>2703.0189816936108</v>
      </c>
      <c r="BA58" s="576">
        <f t="shared" si="281"/>
        <v>2703.0189816936108</v>
      </c>
      <c r="BB58" s="48">
        <f>SUM(BB55:BB57)</f>
        <v>4821.1785276494047</v>
      </c>
      <c r="BC58" s="237">
        <f t="shared" ref="BC58" si="289">SUM(BC55:BC57)</f>
        <v>3591.3133866163571</v>
      </c>
      <c r="BD58" s="576">
        <f t="shared" si="281"/>
        <v>3591.3133866163571</v>
      </c>
      <c r="BE58" s="48">
        <f>SUM(BE55:BE57)</f>
        <v>4924.1754827074801</v>
      </c>
      <c r="BF58" s="237">
        <f t="shared" ref="BF58" si="290">SUM(BF55:BF57)</f>
        <v>5417.2755349535819</v>
      </c>
      <c r="BG58" s="576">
        <f t="shared" si="281"/>
        <v>5417.2755349535819</v>
      </c>
      <c r="BH58" s="48">
        <f>SUM(BH55:BH57)</f>
        <v>8137.3101074831939</v>
      </c>
      <c r="BI58" s="237">
        <f t="shared" ref="BI58" si="291">SUM(BI55:BI57)</f>
        <v>10503.34240973395</v>
      </c>
      <c r="BJ58" s="576">
        <f t="shared" si="281"/>
        <v>10503.34240973395</v>
      </c>
      <c r="BK58" s="48">
        <f>SUM(BK55:BK57)</f>
        <v>13555.696380937472</v>
      </c>
      <c r="BL58" s="237">
        <f t="shared" ref="BL58" si="292">SUM(BL55:BL57)</f>
        <v>16407.402584305833</v>
      </c>
      <c r="BM58" s="576">
        <f t="shared" si="281"/>
        <v>16407.402584305833</v>
      </c>
    </row>
    <row r="59" spans="1:73">
      <c r="A59" s="25" t="s">
        <v>105</v>
      </c>
      <c r="B59" s="40">
        <v>0</v>
      </c>
      <c r="C59" s="40">
        <v>0</v>
      </c>
      <c r="D59" s="40">
        <v>0</v>
      </c>
      <c r="E59" s="40">
        <v>0</v>
      </c>
      <c r="F59" s="40">
        <v>0</v>
      </c>
      <c r="G59" s="40">
        <v>74</v>
      </c>
      <c r="H59" s="40">
        <v>-3</v>
      </c>
      <c r="I59" s="40">
        <v>15</v>
      </c>
      <c r="J59" s="40">
        <v>334</v>
      </c>
      <c r="K59" s="40">
        <v>224</v>
      </c>
      <c r="L59" s="40">
        <v>198</v>
      </c>
      <c r="M59" s="40">
        <v>106</v>
      </c>
      <c r="N59" s="40">
        <v>104</v>
      </c>
      <c r="O59" s="40">
        <v>-1</v>
      </c>
      <c r="P59" s="40">
        <v>58</v>
      </c>
      <c r="Q59" s="40">
        <v>13</v>
      </c>
      <c r="R59" s="40">
        <v>332</v>
      </c>
      <c r="S59" s="630">
        <f>T59</f>
        <v>358</v>
      </c>
      <c r="T59" s="653">
        <v>358</v>
      </c>
      <c r="U59" s="40">
        <v>302</v>
      </c>
      <c r="V59" s="630">
        <f>W59</f>
        <v>227</v>
      </c>
      <c r="W59" s="653">
        <v>227</v>
      </c>
      <c r="X59" s="40"/>
      <c r="Y59" s="630"/>
      <c r="Z59" s="653">
        <v>227</v>
      </c>
      <c r="AA59" s="40">
        <v>220</v>
      </c>
      <c r="AB59" s="630">
        <f>AC59</f>
        <v>293</v>
      </c>
      <c r="AC59" s="653">
        <v>293</v>
      </c>
      <c r="AD59" s="40">
        <v>384</v>
      </c>
      <c r="AE59" s="630">
        <f>AF59</f>
        <v>243</v>
      </c>
      <c r="AF59" s="653">
        <v>243</v>
      </c>
      <c r="AG59" s="40">
        <v>456</v>
      </c>
      <c r="AH59" s="630">
        <f>AI59</f>
        <v>251</v>
      </c>
      <c r="AI59" s="653">
        <v>251</v>
      </c>
      <c r="AJ59" s="40">
        <v>57</v>
      </c>
      <c r="AK59" s="630">
        <f>AL59</f>
        <v>37</v>
      </c>
      <c r="AL59" s="653">
        <v>37</v>
      </c>
      <c r="AM59" s="40">
        <v>102</v>
      </c>
      <c r="AN59" s="630">
        <f>AO59</f>
        <v>86</v>
      </c>
      <c r="AO59" s="653">
        <v>86</v>
      </c>
      <c r="AP59" s="40">
        <v>-49</v>
      </c>
      <c r="AQ59" s="630">
        <f>AR59</f>
        <v>23</v>
      </c>
      <c r="AR59" s="653">
        <v>23</v>
      </c>
      <c r="AS59" s="40">
        <v>9</v>
      </c>
      <c r="AT59" s="630">
        <f>AU59</f>
        <v>32</v>
      </c>
      <c r="AU59" s="653">
        <f>33-1</f>
        <v>32</v>
      </c>
      <c r="AV59" s="40">
        <f>-50-1</f>
        <v>-51</v>
      </c>
      <c r="AW59" s="630">
        <f>AX59</f>
        <v>-77</v>
      </c>
      <c r="AX59" s="653">
        <v>-77</v>
      </c>
      <c r="AY59" s="40">
        <v>-37</v>
      </c>
      <c r="AZ59" s="236">
        <f>BA59</f>
        <v>-77</v>
      </c>
      <c r="BA59" s="605">
        <f>AX59</f>
        <v>-77</v>
      </c>
      <c r="BB59" s="56">
        <f>BD59</f>
        <v>-77</v>
      </c>
      <c r="BC59" s="236">
        <f>BD59</f>
        <v>-77</v>
      </c>
      <c r="BD59" s="605">
        <f>BA59</f>
        <v>-77</v>
      </c>
      <c r="BE59" s="56">
        <f>BG59</f>
        <v>-77</v>
      </c>
      <c r="BF59" s="236">
        <f>BG59</f>
        <v>-77</v>
      </c>
      <c r="BG59" s="605">
        <f>BD59</f>
        <v>-77</v>
      </c>
      <c r="BH59" s="56">
        <f>BJ59</f>
        <v>-77</v>
      </c>
      <c r="BI59" s="236">
        <f>BJ59</f>
        <v>-77</v>
      </c>
      <c r="BJ59" s="605">
        <f>BG59</f>
        <v>-77</v>
      </c>
      <c r="BK59" s="56">
        <f>BM59</f>
        <v>-77</v>
      </c>
      <c r="BL59" s="236">
        <f>BM59</f>
        <v>-77</v>
      </c>
      <c r="BM59" s="605">
        <f t="shared" ref="BM59" si="293">BJ59</f>
        <v>-77</v>
      </c>
    </row>
    <row r="60" spans="1:73">
      <c r="A60" s="37" t="s">
        <v>107</v>
      </c>
      <c r="B60" s="84">
        <f t="shared" ref="B60:BM60" si="294">B58+B59</f>
        <v>-690</v>
      </c>
      <c r="C60" s="84">
        <f t="shared" si="294"/>
        <v>-501</v>
      </c>
      <c r="D60" s="84">
        <f t="shared" si="294"/>
        <v>-595</v>
      </c>
      <c r="E60" s="84">
        <f t="shared" si="294"/>
        <v>-323</v>
      </c>
      <c r="F60" s="84">
        <f t="shared" si="294"/>
        <v>-149</v>
      </c>
      <c r="G60" s="84">
        <f t="shared" si="294"/>
        <v>335</v>
      </c>
      <c r="H60" s="84">
        <f t="shared" si="294"/>
        <v>826</v>
      </c>
      <c r="I60" s="84">
        <f t="shared" si="294"/>
        <v>887</v>
      </c>
      <c r="J60" s="84">
        <f t="shared" si="294"/>
        <v>1458</v>
      </c>
      <c r="K60" s="84">
        <f t="shared" si="294"/>
        <v>1275</v>
      </c>
      <c r="L60" s="84">
        <f t="shared" si="294"/>
        <v>1533</v>
      </c>
      <c r="M60" s="84">
        <f t="shared" si="294"/>
        <v>223</v>
      </c>
      <c r="N60" s="84">
        <f t="shared" si="294"/>
        <v>1317</v>
      </c>
      <c r="O60" s="84">
        <f t="shared" si="294"/>
        <v>1939</v>
      </c>
      <c r="P60" s="84">
        <f t="shared" si="294"/>
        <v>666</v>
      </c>
      <c r="Q60" s="84">
        <f t="shared" si="294"/>
        <v>-111</v>
      </c>
      <c r="R60" s="84">
        <f>R58+R59</f>
        <v>-712</v>
      </c>
      <c r="S60" s="632">
        <f t="shared" ref="S60" si="295">S58+S59</f>
        <v>-225</v>
      </c>
      <c r="T60" s="655">
        <f t="shared" si="294"/>
        <v>-225</v>
      </c>
      <c r="U60" s="84">
        <f>U58+U59</f>
        <v>-931</v>
      </c>
      <c r="V60" s="632">
        <f t="shared" ref="V60" si="296">V58+V59</f>
        <v>-305</v>
      </c>
      <c r="W60" s="655">
        <f t="shared" si="294"/>
        <v>-305</v>
      </c>
      <c r="X60" s="84">
        <v>-931</v>
      </c>
      <c r="Y60" s="632">
        <f>Z60</f>
        <v>-305</v>
      </c>
      <c r="Z60" s="655">
        <f t="shared" si="294"/>
        <v>-305</v>
      </c>
      <c r="AA60" s="84">
        <f>AA58+AA59</f>
        <v>165</v>
      </c>
      <c r="AB60" s="632">
        <f t="shared" ref="AB60" si="297">AB58+AB59</f>
        <v>611</v>
      </c>
      <c r="AC60" s="655">
        <f t="shared" si="294"/>
        <v>611</v>
      </c>
      <c r="AD60" s="84">
        <f>AD58+AD59</f>
        <v>-1937</v>
      </c>
      <c r="AE60" s="632">
        <f t="shared" ref="AE60" si="298">AE58+AE59</f>
        <v>-993</v>
      </c>
      <c r="AF60" s="655">
        <f>AF58+AF59</f>
        <v>-993</v>
      </c>
      <c r="AG60" s="84">
        <f>AG58+AG59</f>
        <v>-4069</v>
      </c>
      <c r="AH60" s="632">
        <f t="shared" ref="AH60" si="299">AH58+AH59</f>
        <v>-3576</v>
      </c>
      <c r="AI60" s="655">
        <f>AI58+AI59</f>
        <v>-3576</v>
      </c>
      <c r="AJ60" s="84">
        <f>AJ58+AJ59</f>
        <v>-4972</v>
      </c>
      <c r="AK60" s="632">
        <f t="shared" ref="AK60" si="300">AK58+AK59</f>
        <v>-5157</v>
      </c>
      <c r="AL60" s="655">
        <f>AL58+AL59</f>
        <v>-5157</v>
      </c>
      <c r="AM60" s="84">
        <f>AM58+AM59</f>
        <v>-5142</v>
      </c>
      <c r="AN60" s="632">
        <f t="shared" ref="AN60" si="301">AN58+AN59</f>
        <v>-3251</v>
      </c>
      <c r="AO60" s="655">
        <f>AO58+AO59</f>
        <v>-3251</v>
      </c>
      <c r="AP60" s="84">
        <f>AP58+AP59</f>
        <v>-2845</v>
      </c>
      <c r="AQ60" s="632">
        <f t="shared" ref="AQ60" si="302">AQ58+AQ59</f>
        <v>-1952</v>
      </c>
      <c r="AR60" s="655">
        <f>AR58+AR59</f>
        <v>-1952</v>
      </c>
      <c r="AS60" s="84">
        <f>AS58+AS59</f>
        <v>-822</v>
      </c>
      <c r="AT60" s="632">
        <f t="shared" ref="AT60" si="303">AT58+AT59</f>
        <v>475</v>
      </c>
      <c r="AU60" s="655">
        <f>AU58+AU59</f>
        <v>475</v>
      </c>
      <c r="AV60" s="84">
        <f>AV58+AV59</f>
        <v>1084</v>
      </c>
      <c r="AW60" s="632">
        <f t="shared" ref="AW60" si="304">AW58+AW59</f>
        <v>1895</v>
      </c>
      <c r="AX60" s="655">
        <f>AX58+AX59</f>
        <v>1895</v>
      </c>
      <c r="AY60" s="84">
        <f>AY58+AY59</f>
        <v>2136</v>
      </c>
      <c r="AZ60" s="244">
        <f t="shared" ref="AZ60" si="305">AZ58+AZ59</f>
        <v>2626.0189816936108</v>
      </c>
      <c r="BA60" s="581">
        <f t="shared" si="294"/>
        <v>2626.0189816936108</v>
      </c>
      <c r="BB60" s="181">
        <f t="shared" si="294"/>
        <v>4744.1785276494047</v>
      </c>
      <c r="BC60" s="244">
        <f t="shared" si="294"/>
        <v>3514.3133866163571</v>
      </c>
      <c r="BD60" s="581">
        <f t="shared" si="294"/>
        <v>3514.3133866163571</v>
      </c>
      <c r="BE60" s="181">
        <f t="shared" si="294"/>
        <v>4847.1754827074801</v>
      </c>
      <c r="BF60" s="244">
        <f t="shared" si="294"/>
        <v>5340.2755349535819</v>
      </c>
      <c r="BG60" s="581">
        <f t="shared" si="294"/>
        <v>5340.2755349535819</v>
      </c>
      <c r="BH60" s="181">
        <f t="shared" si="294"/>
        <v>8060.3101074831939</v>
      </c>
      <c r="BI60" s="244">
        <f t="shared" si="294"/>
        <v>10426.34240973395</v>
      </c>
      <c r="BJ60" s="581">
        <f t="shared" si="294"/>
        <v>10426.34240973395</v>
      </c>
      <c r="BK60" s="181">
        <f t="shared" si="294"/>
        <v>13478.696380937472</v>
      </c>
      <c r="BL60" s="244">
        <f t="shared" si="294"/>
        <v>16330.402584305833</v>
      </c>
      <c r="BM60" s="581">
        <f t="shared" si="294"/>
        <v>16330.402584305833</v>
      </c>
    </row>
    <row r="61" spans="1:73">
      <c r="A61" s="31"/>
      <c r="B61" s="51"/>
      <c r="C61" s="51"/>
      <c r="D61" s="51"/>
      <c r="E61" s="51"/>
      <c r="F61" s="51"/>
      <c r="G61" s="51"/>
      <c r="H61" s="51"/>
      <c r="I61" s="51"/>
      <c r="J61" s="51"/>
      <c r="K61" s="51"/>
      <c r="L61" s="51"/>
      <c r="M61" s="51"/>
      <c r="N61" s="51"/>
      <c r="O61" s="51"/>
      <c r="P61" s="51"/>
      <c r="Q61" s="51"/>
      <c r="R61" s="51"/>
      <c r="S61" s="629"/>
      <c r="T61" s="652"/>
      <c r="U61" s="51"/>
      <c r="V61" s="629"/>
      <c r="W61" s="652"/>
      <c r="X61" s="51"/>
      <c r="Y61" s="629"/>
      <c r="Z61" s="652"/>
      <c r="AA61" s="40"/>
      <c r="AB61" s="630"/>
      <c r="AC61" s="653"/>
      <c r="AD61" s="40"/>
      <c r="AE61" s="630"/>
      <c r="AF61" s="653"/>
      <c r="AG61" s="40"/>
      <c r="AH61" s="630"/>
      <c r="AI61" s="653"/>
      <c r="AJ61" s="40"/>
      <c r="AK61" s="630"/>
      <c r="AL61" s="653"/>
      <c r="AM61" s="40"/>
      <c r="AN61" s="630"/>
      <c r="AO61" s="653"/>
      <c r="AP61" s="40"/>
      <c r="AQ61" s="539"/>
      <c r="AR61" s="550"/>
      <c r="AS61"/>
      <c r="AT61" s="539"/>
      <c r="AU61" s="550"/>
      <c r="AV61"/>
      <c r="AW61" s="539"/>
      <c r="AX61" s="550"/>
      <c r="AY61"/>
      <c r="AZ61" s="539"/>
      <c r="BA61" s="550"/>
      <c r="BB61"/>
      <c r="BC61" s="539"/>
      <c r="BD61" s="550"/>
      <c r="BE61"/>
      <c r="BF61" s="539"/>
      <c r="BG61" s="550"/>
      <c r="BH61"/>
      <c r="BI61" s="539"/>
      <c r="BJ61" s="550"/>
      <c r="BK61"/>
      <c r="BL61" s="539"/>
      <c r="BM61" s="550"/>
    </row>
    <row r="62" spans="1:73">
      <c r="A62" s="31" t="s">
        <v>120</v>
      </c>
      <c r="B62" s="40"/>
      <c r="C62" s="40"/>
      <c r="D62" s="40"/>
      <c r="E62" s="40"/>
      <c r="F62" s="40"/>
      <c r="G62" s="40"/>
      <c r="H62" s="40"/>
      <c r="I62" s="40"/>
      <c r="J62" s="40"/>
      <c r="K62" s="40"/>
      <c r="L62" s="40"/>
      <c r="M62" s="40"/>
      <c r="N62" s="51"/>
      <c r="O62" s="51">
        <f>CFS!O111</f>
        <v>781</v>
      </c>
      <c r="P62" s="51">
        <f>CFS!P111</f>
        <v>447</v>
      </c>
      <c r="Q62" s="51">
        <f>CFS!Q111</f>
        <v>179</v>
      </c>
      <c r="R62" s="51">
        <f>CFS!R111</f>
        <v>-399</v>
      </c>
      <c r="S62" s="629">
        <f>CFS!S111</f>
        <v>499</v>
      </c>
      <c r="T62" s="652">
        <f>CFS!T111</f>
        <v>100</v>
      </c>
      <c r="U62" s="51">
        <f>CFS!U111</f>
        <v>-339</v>
      </c>
      <c r="V62" s="629">
        <f>CFS!V111</f>
        <v>598</v>
      </c>
      <c r="W62" s="652">
        <f>CFS!W111</f>
        <v>259</v>
      </c>
      <c r="X62" s="51"/>
      <c r="Y62" s="629"/>
      <c r="Z62" s="652">
        <f>CFS!Z111</f>
        <v>259</v>
      </c>
      <c r="AA62" s="51">
        <f>CFS!AA111</f>
        <v>-72</v>
      </c>
      <c r="AB62" s="629">
        <f>CFS!AB111</f>
        <v>640</v>
      </c>
      <c r="AC62" s="652">
        <f>CFS!AC111</f>
        <v>568</v>
      </c>
      <c r="AD62" s="51">
        <f>CFS!AD111</f>
        <v>-429</v>
      </c>
      <c r="AE62" s="629">
        <f>CFS!AE111</f>
        <v>1304</v>
      </c>
      <c r="AF62" s="652">
        <f>CFS!AF111</f>
        <v>875</v>
      </c>
      <c r="AG62" s="51">
        <f>CFS!AG111</f>
        <v>-2801</v>
      </c>
      <c r="AH62" s="629">
        <f>CFS!AH111</f>
        <v>-1384</v>
      </c>
      <c r="AI62" s="652">
        <f>CFS!AI111</f>
        <v>-4185</v>
      </c>
      <c r="AJ62" s="51">
        <f>CFS!AJ111</f>
        <v>-1151</v>
      </c>
      <c r="AK62" s="629">
        <f>CFS!AK111</f>
        <v>-291</v>
      </c>
      <c r="AL62" s="652">
        <f>CFS!AL111</f>
        <v>-1442</v>
      </c>
      <c r="AM62" s="51">
        <f>CFS!AM111</f>
        <v>-77</v>
      </c>
      <c r="AN62" s="629">
        <f>CFS!AN111</f>
        <v>568</v>
      </c>
      <c r="AO62" s="652">
        <f>CFS!AO111</f>
        <v>491</v>
      </c>
      <c r="AP62" s="51">
        <f>CFS!AP111</f>
        <v>356</v>
      </c>
      <c r="AQ62" s="629">
        <f>CFS!AQ111</f>
        <v>929</v>
      </c>
      <c r="AR62" s="652">
        <f>CFS!AR111</f>
        <v>1285</v>
      </c>
      <c r="AS62" s="51">
        <f>CFS!AS111</f>
        <v>1158</v>
      </c>
      <c r="AT62" s="629">
        <f>CFS!AT111</f>
        <v>1267</v>
      </c>
      <c r="AU62" s="652">
        <f>CFS!AU111</f>
        <v>2425</v>
      </c>
      <c r="AV62" s="51">
        <f>CFS!AV111</f>
        <v>1582</v>
      </c>
      <c r="AW62" s="629">
        <f>CFS!AW111</f>
        <v>1688</v>
      </c>
      <c r="AX62" s="652">
        <f>CFS!AX111</f>
        <v>3270</v>
      </c>
      <c r="AY62" s="51">
        <f>CFS!AY111</f>
        <v>1964</v>
      </c>
      <c r="AZ62" s="237">
        <f>CFS!AZ111</f>
        <v>2260.2264816936108</v>
      </c>
      <c r="BA62" s="576">
        <f>CFS!BA111</f>
        <v>4224.2264816936095</v>
      </c>
      <c r="BB62" s="48">
        <f>CFS!BB111</f>
        <v>4218.276087143875</v>
      </c>
      <c r="BC62" s="237">
        <f>CFS!BC111</f>
        <v>808.28209805069366</v>
      </c>
      <c r="BD62" s="576">
        <f>CFS!BD111</f>
        <v>5026.5581851945681</v>
      </c>
      <c r="BE62" s="48">
        <f>CFS!BE111</f>
        <v>3381.8563335919143</v>
      </c>
      <c r="BF62" s="237">
        <f>CFS!BF111</f>
        <v>2619.6897177920919</v>
      </c>
      <c r="BG62" s="576">
        <f>CFS!BG111</f>
        <v>6001.546051384008</v>
      </c>
      <c r="BH62" s="48">
        <f>CFS!BH111</f>
        <v>3482.7439463190394</v>
      </c>
      <c r="BI62" s="237">
        <f>CFS!BI111</f>
        <v>3224.8166928377141</v>
      </c>
      <c r="BJ62" s="576">
        <f>CFS!BJ111</f>
        <v>6707.5606391567535</v>
      </c>
      <c r="BK62" s="48">
        <f>CFS!BK111</f>
        <v>3853.7979561857087</v>
      </c>
      <c r="BL62" s="237">
        <f>CFS!BL111</f>
        <v>3775.2977379539002</v>
      </c>
      <c r="BM62" s="576">
        <f>CFS!BM111</f>
        <v>7629.0956941396116</v>
      </c>
    </row>
    <row r="63" spans="1:73">
      <c r="A63" s="25" t="s">
        <v>117</v>
      </c>
      <c r="B63" s="40"/>
      <c r="C63" s="40"/>
      <c r="D63" s="40"/>
      <c r="E63" s="40"/>
      <c r="F63" s="40"/>
      <c r="G63" s="40"/>
      <c r="H63" s="40"/>
      <c r="I63" s="40"/>
      <c r="J63" s="40"/>
      <c r="K63" s="40"/>
      <c r="L63" s="40"/>
      <c r="M63" s="40"/>
      <c r="N63" s="40"/>
      <c r="O63" s="40">
        <v>-417</v>
      </c>
      <c r="P63" s="40">
        <v>-482</v>
      </c>
      <c r="Q63" s="40">
        <v>-421</v>
      </c>
      <c r="R63" s="40">
        <v>-168</v>
      </c>
      <c r="S63" s="630">
        <f t="shared" ref="S63:S70" si="306">T63-R63</f>
        <v>-133</v>
      </c>
      <c r="T63" s="653">
        <v>-301</v>
      </c>
      <c r="U63" s="40">
        <v>-85</v>
      </c>
      <c r="V63" s="630">
        <f t="shared" ref="V63:V70" si="307">W63-U63</f>
        <v>-129</v>
      </c>
      <c r="W63" s="653">
        <v>-214</v>
      </c>
      <c r="X63" s="40"/>
      <c r="Y63" s="630"/>
      <c r="Z63" s="653">
        <v>-214</v>
      </c>
      <c r="AA63" s="40">
        <v>-85</v>
      </c>
      <c r="AB63" s="630">
        <f t="shared" ref="AB63:AB70" si="308">AC63-AA63</f>
        <v>-134</v>
      </c>
      <c r="AC63" s="653">
        <v>-219</v>
      </c>
      <c r="AD63" s="40">
        <v>-85</v>
      </c>
      <c r="AE63" s="630">
        <f t="shared" ref="AE63:AE70" si="309">AF63-AD63</f>
        <v>-139</v>
      </c>
      <c r="AF63" s="653">
        <v>-224</v>
      </c>
      <c r="AG63" s="40">
        <v>-90</v>
      </c>
      <c r="AH63" s="630">
        <f>AI63-AG63</f>
        <v>-2</v>
      </c>
      <c r="AI63" s="653">
        <v>-92</v>
      </c>
      <c r="AJ63" s="40">
        <v>-2</v>
      </c>
      <c r="AK63" s="630">
        <f>AL63-AJ63</f>
        <v>-2</v>
      </c>
      <c r="AL63" s="653">
        <v>-4</v>
      </c>
      <c r="AM63" s="40">
        <v>0</v>
      </c>
      <c r="AN63" s="630">
        <f>AO63-AM63</f>
        <v>0</v>
      </c>
      <c r="AO63" s="653">
        <v>0</v>
      </c>
      <c r="AP63" s="40">
        <v>0</v>
      </c>
      <c r="AQ63" s="630">
        <f>AR63-AP63</f>
        <v>0</v>
      </c>
      <c r="AR63" s="653">
        <v>0</v>
      </c>
      <c r="AS63" s="40">
        <v>0</v>
      </c>
      <c r="AT63" s="630">
        <f>AU63-AS63</f>
        <v>0</v>
      </c>
      <c r="AU63" s="653">
        <v>0</v>
      </c>
      <c r="AV63" s="40">
        <f>CFS!AV71</f>
        <v>-508</v>
      </c>
      <c r="AW63" s="630">
        <f>AX63-AV63</f>
        <v>-379</v>
      </c>
      <c r="AX63" s="653">
        <f>CFS!AX71</f>
        <v>-887</v>
      </c>
      <c r="AY63" s="40">
        <f>CFS!AY71</f>
        <v>-417</v>
      </c>
      <c r="AZ63" s="236">
        <f>CFS!AZ71</f>
        <v>-501</v>
      </c>
      <c r="BA63" s="605">
        <f>CFS!BA71</f>
        <v>-918</v>
      </c>
      <c r="BB63" s="56">
        <f>CFS!BB71</f>
        <v>-778.59951573042349</v>
      </c>
      <c r="BC63" s="236">
        <f>CFS!BC71</f>
        <v>-716.63021362607901</v>
      </c>
      <c r="BD63" s="605">
        <f>CFS!BD71</f>
        <v>-1495.2297293565025</v>
      </c>
      <c r="BE63" s="56">
        <f>CFS!BE71</f>
        <v>-749.68457216620106</v>
      </c>
      <c r="BF63" s="236">
        <f>CFS!BF71</f>
        <v>-827.28000021139803</v>
      </c>
      <c r="BG63" s="605">
        <f>CFS!BG71</f>
        <v>-1576.9645723775991</v>
      </c>
      <c r="BH63" s="56">
        <f>CFS!BH71</f>
        <v>-884.04876216326784</v>
      </c>
      <c r="BI63" s="236">
        <f>CFS!BI71</f>
        <v>-980.12377896079886</v>
      </c>
      <c r="BJ63" s="605">
        <f>CFS!BJ71</f>
        <v>-1864.1725411240668</v>
      </c>
      <c r="BK63" s="56">
        <f>CFS!BK71</f>
        <v>-1049.9350452255369</v>
      </c>
      <c r="BL63" s="236">
        <f>CFS!BL71</f>
        <v>-1172.0825948288843</v>
      </c>
      <c r="BM63" s="605">
        <f>CFS!BM71</f>
        <v>-2222.0176400544215</v>
      </c>
    </row>
    <row r="64" spans="1:73">
      <c r="A64" s="25" t="s">
        <v>800</v>
      </c>
      <c r="B64" s="40"/>
      <c r="C64" s="40"/>
      <c r="D64" s="40"/>
      <c r="E64" s="40"/>
      <c r="F64" s="40"/>
      <c r="G64" s="40"/>
      <c r="H64" s="40"/>
      <c r="I64" s="40"/>
      <c r="J64" s="40"/>
      <c r="K64" s="40"/>
      <c r="L64" s="40"/>
      <c r="M64" s="40"/>
      <c r="N64" s="40"/>
      <c r="O64" s="40">
        <v>0</v>
      </c>
      <c r="P64" s="40">
        <v>-69</v>
      </c>
      <c r="Q64" s="40">
        <v>-414</v>
      </c>
      <c r="R64" s="40">
        <v>0</v>
      </c>
      <c r="S64" s="630">
        <f t="shared" si="306"/>
        <v>0</v>
      </c>
      <c r="T64" s="653">
        <v>0</v>
      </c>
      <c r="U64" s="40">
        <v>0</v>
      </c>
      <c r="V64" s="630">
        <f t="shared" si="307"/>
        <v>0</v>
      </c>
      <c r="W64" s="653">
        <v>0</v>
      </c>
      <c r="X64" s="40"/>
      <c r="Y64" s="630"/>
      <c r="Z64" s="653">
        <v>0</v>
      </c>
      <c r="AA64" s="40">
        <v>0</v>
      </c>
      <c r="AB64" s="630">
        <f t="shared" si="308"/>
        <v>0</v>
      </c>
      <c r="AC64" s="653">
        <v>0</v>
      </c>
      <c r="AD64" s="40">
        <v>0</v>
      </c>
      <c r="AE64" s="630">
        <f t="shared" si="309"/>
        <v>0</v>
      </c>
      <c r="AF64" s="653">
        <v>0</v>
      </c>
      <c r="AG64" s="40">
        <v>0</v>
      </c>
      <c r="AH64" s="630">
        <f>CFS!AH65</f>
        <v>1972</v>
      </c>
      <c r="AI64" s="653">
        <v>1972</v>
      </c>
      <c r="AJ64" s="40">
        <v>0</v>
      </c>
      <c r="AK64" s="630">
        <f>CFS!AK65</f>
        <v>0</v>
      </c>
      <c r="AL64" s="653">
        <v>0</v>
      </c>
      <c r="AM64" s="40">
        <v>0</v>
      </c>
      <c r="AN64" s="630">
        <f>CFS!AN65</f>
        <v>0</v>
      </c>
      <c r="AO64" s="653">
        <v>0</v>
      </c>
      <c r="AP64" s="40">
        <v>0</v>
      </c>
      <c r="AQ64" s="630">
        <f>AR64-AP64</f>
        <v>0</v>
      </c>
      <c r="AR64" s="653">
        <v>0</v>
      </c>
      <c r="AS64" s="40">
        <v>0</v>
      </c>
      <c r="AT64" s="630">
        <f>AU64-AS64</f>
        <v>0</v>
      </c>
      <c r="AU64" s="653">
        <v>0</v>
      </c>
      <c r="AV64" s="40">
        <v>0</v>
      </c>
      <c r="AW64" s="630">
        <f>AX64-AV64</f>
        <v>0</v>
      </c>
      <c r="AX64" s="653">
        <v>0</v>
      </c>
      <c r="AY64" s="40">
        <v>0</v>
      </c>
      <c r="AZ64" s="236">
        <f t="shared" ref="AZ64:AZ65" si="310">BA64-AY64</f>
        <v>-2467</v>
      </c>
      <c r="BA64" s="605">
        <f>CFS!BA65+CFS!BA70</f>
        <v>-2467</v>
      </c>
      <c r="BB64" s="1069">
        <f>CFS!BB65+CFS!BB70</f>
        <v>-1358.5</v>
      </c>
      <c r="BC64" s="236">
        <f t="shared" ref="BC64:BC65" si="311">BD64-BB64</f>
        <v>-1358.5</v>
      </c>
      <c r="BD64" s="605">
        <f>CFS!BD65+CFS!BD70</f>
        <v>-2717</v>
      </c>
      <c r="BE64" s="1069">
        <f>CFS!BE65+CFS!BE70</f>
        <v>-1358.5</v>
      </c>
      <c r="BF64" s="236">
        <f t="shared" ref="BF64:BF65" si="312">BG64-BE64</f>
        <v>-1358.5</v>
      </c>
      <c r="BG64" s="605">
        <f>CFS!BG65+CFS!BG70</f>
        <v>-2717</v>
      </c>
      <c r="BH64" s="1069">
        <f>CFS!BH65+CFS!BH70</f>
        <v>16.5</v>
      </c>
      <c r="BI64" s="236">
        <f t="shared" ref="BI64:BI65" si="313">BJ64-BH64</f>
        <v>16.5</v>
      </c>
      <c r="BJ64" s="605">
        <f>CFS!BJ65+CFS!BJ70</f>
        <v>33</v>
      </c>
      <c r="BK64" s="1069">
        <f>CFS!BK65+CFS!BK70</f>
        <v>16.5</v>
      </c>
      <c r="BL64" s="236">
        <f t="shared" ref="BL64:BL65" si="314">BM64-BK64</f>
        <v>16.5</v>
      </c>
      <c r="BM64" s="605">
        <f>CFS!BM65+CFS!BM70</f>
        <v>33</v>
      </c>
    </row>
    <row r="65" spans="1:65">
      <c r="A65" s="25" t="s">
        <v>14</v>
      </c>
      <c r="B65" s="40"/>
      <c r="C65" s="40"/>
      <c r="D65" s="40"/>
      <c r="E65" s="40"/>
      <c r="F65" s="40"/>
      <c r="G65" s="40"/>
      <c r="H65" s="40"/>
      <c r="I65" s="40"/>
      <c r="J65" s="40"/>
      <c r="K65" s="40"/>
      <c r="L65" s="40"/>
      <c r="M65" s="40"/>
      <c r="N65" s="40"/>
      <c r="O65" s="40">
        <v>265</v>
      </c>
      <c r="P65" s="40">
        <v>-965</v>
      </c>
      <c r="Q65" s="40">
        <v>-3</v>
      </c>
      <c r="R65" s="40">
        <v>7</v>
      </c>
      <c r="S65" s="630">
        <f t="shared" si="306"/>
        <v>-160</v>
      </c>
      <c r="T65" s="653">
        <v>-153</v>
      </c>
      <c r="U65" s="40">
        <v>5</v>
      </c>
      <c r="V65" s="630">
        <f t="shared" si="307"/>
        <v>-22</v>
      </c>
      <c r="W65" s="653">
        <f>-17</f>
        <v>-17</v>
      </c>
      <c r="X65" s="40"/>
      <c r="Y65" s="630"/>
      <c r="Z65" s="653">
        <f>-17</f>
        <v>-17</v>
      </c>
      <c r="AA65" s="40">
        <v>584</v>
      </c>
      <c r="AB65" s="630">
        <f t="shared" si="308"/>
        <v>-1</v>
      </c>
      <c r="AC65" s="653">
        <v>583</v>
      </c>
      <c r="AD65" s="40">
        <v>458</v>
      </c>
      <c r="AE65" s="630">
        <f t="shared" si="309"/>
        <v>-48</v>
      </c>
      <c r="AF65" s="653">
        <f>-43+453</f>
        <v>410</v>
      </c>
      <c r="AG65" s="40">
        <v>2</v>
      </c>
      <c r="AH65" s="630">
        <f t="shared" ref="AH65:AH70" si="315">AI65-AG65</f>
        <v>-121</v>
      </c>
      <c r="AI65" s="653">
        <v>-119</v>
      </c>
      <c r="AJ65" s="40">
        <v>-22</v>
      </c>
      <c r="AK65" s="630">
        <f t="shared" ref="AK65:AK70" si="316">AL65-AJ65</f>
        <v>71</v>
      </c>
      <c r="AL65" s="653">
        <v>49</v>
      </c>
      <c r="AM65" s="40">
        <f>179-14</f>
        <v>165</v>
      </c>
      <c r="AN65" s="630">
        <f t="shared" ref="AN65:AN70" si="317">AO65-AM65</f>
        <v>1209</v>
      </c>
      <c r="AO65" s="653">
        <f>1398-24</f>
        <v>1374</v>
      </c>
      <c r="AP65" s="40">
        <f>3-8</f>
        <v>-5</v>
      </c>
      <c r="AQ65" s="630">
        <f t="shared" ref="AQ65:AQ70" si="318">AR65-AP65</f>
        <v>-8</v>
      </c>
      <c r="AR65" s="653">
        <f>-4-9</f>
        <v>-13</v>
      </c>
      <c r="AS65" s="40">
        <v>-16</v>
      </c>
      <c r="AT65" s="630">
        <f t="shared" ref="AT65:AT70" si="319">AU65-AS65</f>
        <v>61</v>
      </c>
      <c r="AU65" s="653">
        <f>62-17</f>
        <v>45</v>
      </c>
      <c r="AV65" s="40">
        <v>-4</v>
      </c>
      <c r="AW65" s="630">
        <f t="shared" ref="AW65:AW70" si="320">AX65-AV65</f>
        <v>20</v>
      </c>
      <c r="AX65" s="653">
        <v>16</v>
      </c>
      <c r="AY65" s="40">
        <v>8</v>
      </c>
      <c r="AZ65" s="236">
        <f t="shared" si="310"/>
        <v>-13</v>
      </c>
      <c r="BA65" s="605">
        <f>CFS!BA41+CFS!BA49</f>
        <v>-5</v>
      </c>
      <c r="BB65" s="1069">
        <f>CFS!BB41+CFS!BB49</f>
        <v>0</v>
      </c>
      <c r="BC65" s="236">
        <f t="shared" si="311"/>
        <v>0</v>
      </c>
      <c r="BD65" s="605">
        <f>CFS!BD41+CFS!BD49</f>
        <v>0</v>
      </c>
      <c r="BE65" s="1069">
        <f>CFS!BE41+CFS!BE49</f>
        <v>0</v>
      </c>
      <c r="BF65" s="236">
        <f t="shared" si="312"/>
        <v>0</v>
      </c>
      <c r="BG65" s="605">
        <f>CFS!BG41+CFS!BG49</f>
        <v>0</v>
      </c>
      <c r="BH65" s="1069">
        <f>CFS!BH41+CFS!BH49</f>
        <v>0</v>
      </c>
      <c r="BI65" s="236">
        <f t="shared" si="313"/>
        <v>0</v>
      </c>
      <c r="BJ65" s="605">
        <f>CFS!BJ41+CFS!BJ49</f>
        <v>0</v>
      </c>
      <c r="BK65" s="1069">
        <f>CFS!BK41+CFS!BK49</f>
        <v>0</v>
      </c>
      <c r="BL65" s="236">
        <f t="shared" si="314"/>
        <v>0</v>
      </c>
      <c r="BM65" s="605">
        <f>CFS!BM41+CFS!BM49</f>
        <v>0</v>
      </c>
    </row>
    <row r="66" spans="1:65">
      <c r="A66" s="25" t="s">
        <v>358</v>
      </c>
      <c r="B66" s="40"/>
      <c r="C66" s="40"/>
      <c r="D66" s="40"/>
      <c r="E66" s="40"/>
      <c r="F66" s="40"/>
      <c r="G66" s="40"/>
      <c r="H66" s="40"/>
      <c r="I66" s="40"/>
      <c r="J66" s="40"/>
      <c r="K66" s="40"/>
      <c r="L66" s="40"/>
      <c r="M66" s="40"/>
      <c r="N66" s="40"/>
      <c r="O66" s="40">
        <v>36</v>
      </c>
      <c r="P66" s="40">
        <v>-30</v>
      </c>
      <c r="Q66" s="40">
        <v>0</v>
      </c>
      <c r="R66" s="40">
        <v>0</v>
      </c>
      <c r="S66" s="630">
        <f t="shared" si="306"/>
        <v>0</v>
      </c>
      <c r="T66" s="653">
        <v>0</v>
      </c>
      <c r="U66" s="40">
        <v>0</v>
      </c>
      <c r="V66" s="630">
        <f t="shared" si="307"/>
        <v>229</v>
      </c>
      <c r="W66" s="653">
        <v>229</v>
      </c>
      <c r="X66" s="40"/>
      <c r="Y66" s="630"/>
      <c r="Z66" s="653">
        <v>229</v>
      </c>
      <c r="AA66" s="40">
        <v>0</v>
      </c>
      <c r="AB66" s="630">
        <f t="shared" si="308"/>
        <v>0</v>
      </c>
      <c r="AC66" s="653">
        <v>0</v>
      </c>
      <c r="AD66" s="40">
        <v>0</v>
      </c>
      <c r="AE66" s="630">
        <f t="shared" si="309"/>
        <v>0</v>
      </c>
      <c r="AF66" s="653">
        <v>0</v>
      </c>
      <c r="AG66" s="40">
        <v>0</v>
      </c>
      <c r="AH66" s="630">
        <f t="shared" si="315"/>
        <v>0</v>
      </c>
      <c r="AI66" s="653">
        <v>0</v>
      </c>
      <c r="AJ66" s="40">
        <v>0</v>
      </c>
      <c r="AK66" s="630">
        <f t="shared" si="316"/>
        <v>0</v>
      </c>
      <c r="AL66" s="653">
        <v>0</v>
      </c>
      <c r="AM66" s="40">
        <v>0</v>
      </c>
      <c r="AN66" s="630">
        <f t="shared" si="317"/>
        <v>0</v>
      </c>
      <c r="AO66" s="653">
        <v>0</v>
      </c>
      <c r="AP66" s="40">
        <v>0</v>
      </c>
      <c r="AQ66" s="630">
        <f t="shared" si="318"/>
        <v>0</v>
      </c>
      <c r="AR66" s="653">
        <v>0</v>
      </c>
      <c r="AS66" s="40">
        <v>0</v>
      </c>
      <c r="AT66" s="630">
        <f t="shared" si="319"/>
        <v>0</v>
      </c>
      <c r="AU66" s="653">
        <v>0</v>
      </c>
      <c r="AV66" s="40">
        <v>0</v>
      </c>
      <c r="AW66" s="630">
        <f t="shared" si="320"/>
        <v>0</v>
      </c>
      <c r="AX66" s="653">
        <v>0</v>
      </c>
      <c r="AY66" s="40">
        <v>0</v>
      </c>
      <c r="AZ66" s="236">
        <f>BA66-AY66</f>
        <v>0</v>
      </c>
      <c r="BA66" s="580">
        <v>0</v>
      </c>
      <c r="BB66" s="56">
        <f>BD66/2</f>
        <v>0</v>
      </c>
      <c r="BC66" s="236">
        <f>BD66-BB66</f>
        <v>0</v>
      </c>
      <c r="BD66" s="580">
        <v>0</v>
      </c>
      <c r="BE66" s="56">
        <f>BG66/2</f>
        <v>0</v>
      </c>
      <c r="BF66" s="236">
        <f>BG66-BE66</f>
        <v>0</v>
      </c>
      <c r="BG66" s="580">
        <v>0</v>
      </c>
      <c r="BH66" s="56">
        <f>BJ66/2</f>
        <v>0</v>
      </c>
      <c r="BI66" s="236">
        <f>BJ66-BH66</f>
        <v>0</v>
      </c>
      <c r="BJ66" s="580">
        <v>0</v>
      </c>
      <c r="BK66" s="56">
        <f>BM66/2</f>
        <v>0</v>
      </c>
      <c r="BL66" s="236">
        <f>BM66-BK66</f>
        <v>0</v>
      </c>
      <c r="BM66" s="580">
        <v>0</v>
      </c>
    </row>
    <row r="67" spans="1:65">
      <c r="A67" s="25" t="s">
        <v>118</v>
      </c>
      <c r="B67" s="40"/>
      <c r="C67" s="40"/>
      <c r="D67" s="40"/>
      <c r="E67" s="40"/>
      <c r="F67" s="40"/>
      <c r="G67" s="40"/>
      <c r="H67" s="40"/>
      <c r="I67" s="40"/>
      <c r="J67" s="40"/>
      <c r="K67" s="40"/>
      <c r="L67" s="40"/>
      <c r="M67" s="40"/>
      <c r="N67" s="40"/>
      <c r="O67" s="40">
        <v>0</v>
      </c>
      <c r="P67" s="40">
        <v>-193</v>
      </c>
      <c r="Q67" s="40">
        <v>-121</v>
      </c>
      <c r="R67" s="40">
        <v>0</v>
      </c>
      <c r="S67" s="630">
        <f t="shared" si="306"/>
        <v>0</v>
      </c>
      <c r="T67" s="653">
        <v>0</v>
      </c>
      <c r="U67" s="40">
        <v>0</v>
      </c>
      <c r="V67" s="630">
        <f t="shared" si="307"/>
        <v>0</v>
      </c>
      <c r="W67" s="653">
        <v>0</v>
      </c>
      <c r="X67" s="40"/>
      <c r="Y67" s="630"/>
      <c r="Z67" s="653">
        <v>0</v>
      </c>
      <c r="AA67" s="40">
        <v>0</v>
      </c>
      <c r="AB67" s="630">
        <f t="shared" si="308"/>
        <v>0</v>
      </c>
      <c r="AC67" s="653">
        <v>0</v>
      </c>
      <c r="AD67" s="40">
        <v>0</v>
      </c>
      <c r="AE67" s="630">
        <f t="shared" si="309"/>
        <v>0</v>
      </c>
      <c r="AF67" s="653">
        <v>0</v>
      </c>
      <c r="AG67" s="40">
        <v>0</v>
      </c>
      <c r="AH67" s="630">
        <f t="shared" si="315"/>
        <v>0</v>
      </c>
      <c r="AI67" s="653">
        <v>0</v>
      </c>
      <c r="AJ67" s="40">
        <v>0</v>
      </c>
      <c r="AK67" s="630">
        <f t="shared" si="316"/>
        <v>0</v>
      </c>
      <c r="AL67" s="653">
        <v>0</v>
      </c>
      <c r="AM67" s="40">
        <v>0</v>
      </c>
      <c r="AN67" s="630">
        <f t="shared" si="317"/>
        <v>0</v>
      </c>
      <c r="AO67" s="653">
        <v>0</v>
      </c>
      <c r="AP67" s="40">
        <v>0</v>
      </c>
      <c r="AQ67" s="630">
        <f t="shared" si="318"/>
        <v>0</v>
      </c>
      <c r="AR67" s="653">
        <v>0</v>
      </c>
      <c r="AS67" s="40">
        <v>0</v>
      </c>
      <c r="AT67" s="630">
        <f t="shared" si="319"/>
        <v>0</v>
      </c>
      <c r="AU67" s="653">
        <v>0</v>
      </c>
      <c r="AV67" s="40">
        <v>0</v>
      </c>
      <c r="AW67" s="630">
        <f t="shared" si="320"/>
        <v>0</v>
      </c>
      <c r="AX67" s="653">
        <v>0</v>
      </c>
      <c r="AY67" s="40">
        <v>0</v>
      </c>
      <c r="AZ67" s="236">
        <f t="shared" ref="AZ67:AZ70" si="321">BA67-AY67</f>
        <v>0</v>
      </c>
      <c r="BA67" s="580">
        <v>0</v>
      </c>
      <c r="BB67" s="56">
        <f>BD67/2</f>
        <v>0</v>
      </c>
      <c r="BC67" s="236">
        <f t="shared" ref="BC67:BC70" si="322">BD67-BB67</f>
        <v>0</v>
      </c>
      <c r="BD67" s="580">
        <v>0</v>
      </c>
      <c r="BE67" s="56">
        <f>BG67/2</f>
        <v>0</v>
      </c>
      <c r="BF67" s="236">
        <f t="shared" ref="BF67:BF70" si="323">BG67-BE67</f>
        <v>0</v>
      </c>
      <c r="BG67" s="580">
        <v>0</v>
      </c>
      <c r="BH67" s="56">
        <f>BJ67/2</f>
        <v>0</v>
      </c>
      <c r="BI67" s="236">
        <f t="shared" ref="BI67:BI70" si="324">BJ67-BH67</f>
        <v>0</v>
      </c>
      <c r="BJ67" s="580">
        <v>0</v>
      </c>
      <c r="BK67" s="56">
        <f>BM67/2</f>
        <v>0</v>
      </c>
      <c r="BL67" s="236">
        <f t="shared" ref="BL67:BL70" si="325">BM67-BK67</f>
        <v>0</v>
      </c>
      <c r="BM67" s="580">
        <v>0</v>
      </c>
    </row>
    <row r="68" spans="1:65">
      <c r="A68" s="25" t="s">
        <v>674</v>
      </c>
      <c r="B68" s="40"/>
      <c r="C68" s="40"/>
      <c r="D68" s="40"/>
      <c r="E68" s="40"/>
      <c r="F68" s="40"/>
      <c r="G68" s="40"/>
      <c r="H68" s="40"/>
      <c r="I68" s="40"/>
      <c r="J68" s="40"/>
      <c r="K68" s="40"/>
      <c r="L68" s="40"/>
      <c r="M68" s="40"/>
      <c r="N68" s="40"/>
      <c r="O68" s="40">
        <v>0</v>
      </c>
      <c r="P68" s="40">
        <v>0</v>
      </c>
      <c r="Q68" s="40">
        <v>0</v>
      </c>
      <c r="R68" s="40">
        <v>0</v>
      </c>
      <c r="S68" s="630">
        <f t="shared" si="306"/>
        <v>0</v>
      </c>
      <c r="T68" s="653">
        <v>0</v>
      </c>
      <c r="U68" s="40">
        <v>0</v>
      </c>
      <c r="V68" s="630">
        <f t="shared" si="307"/>
        <v>-286</v>
      </c>
      <c r="W68" s="653">
        <v>-286</v>
      </c>
      <c r="X68" s="40"/>
      <c r="Y68" s="630"/>
      <c r="Z68" s="653">
        <v>-286</v>
      </c>
      <c r="AA68" s="40">
        <v>0</v>
      </c>
      <c r="AB68" s="630">
        <f t="shared" si="308"/>
        <v>0</v>
      </c>
      <c r="AC68" s="653">
        <v>0</v>
      </c>
      <c r="AD68" s="40">
        <v>0</v>
      </c>
      <c r="AE68" s="630">
        <f t="shared" si="309"/>
        <v>-102</v>
      </c>
      <c r="AF68" s="653">
        <v>-102</v>
      </c>
      <c r="AG68" s="40">
        <v>0</v>
      </c>
      <c r="AH68" s="630">
        <f t="shared" si="315"/>
        <v>-135</v>
      </c>
      <c r="AI68" s="653">
        <v>-135</v>
      </c>
      <c r="AJ68" s="40">
        <v>0</v>
      </c>
      <c r="AK68" s="630">
        <f t="shared" si="316"/>
        <v>-156</v>
      </c>
      <c r="AL68" s="653">
        <v>-156</v>
      </c>
      <c r="AM68" s="40">
        <v>0</v>
      </c>
      <c r="AN68" s="630">
        <f t="shared" si="317"/>
        <v>0</v>
      </c>
      <c r="AO68" s="653">
        <v>0</v>
      </c>
      <c r="AP68" s="40">
        <v>0</v>
      </c>
      <c r="AQ68" s="630">
        <f t="shared" si="318"/>
        <v>0</v>
      </c>
      <c r="AR68" s="653">
        <v>0</v>
      </c>
      <c r="AS68" s="40">
        <v>0</v>
      </c>
      <c r="AT68" s="630">
        <f t="shared" si="319"/>
        <v>0</v>
      </c>
      <c r="AU68" s="653">
        <v>0</v>
      </c>
      <c r="AV68" s="40">
        <v>0</v>
      </c>
      <c r="AW68" s="630">
        <f t="shared" si="320"/>
        <v>0</v>
      </c>
      <c r="AX68" s="653">
        <v>0</v>
      </c>
      <c r="AY68" s="40">
        <v>0</v>
      </c>
      <c r="AZ68" s="236">
        <f t="shared" si="321"/>
        <v>0</v>
      </c>
      <c r="BA68" s="605">
        <f>CFS!BA18</f>
        <v>0</v>
      </c>
      <c r="BB68" s="56">
        <f>CFS!BB18</f>
        <v>0</v>
      </c>
      <c r="BC68" s="236">
        <f t="shared" si="322"/>
        <v>0</v>
      </c>
      <c r="BD68" s="605">
        <f>CFS!BD18</f>
        <v>0</v>
      </c>
      <c r="BE68" s="56">
        <f>CFS!BE18</f>
        <v>0</v>
      </c>
      <c r="BF68" s="236">
        <f t="shared" si="323"/>
        <v>0</v>
      </c>
      <c r="BG68" s="605">
        <f>CFS!BG18</f>
        <v>0</v>
      </c>
      <c r="BH68" s="56">
        <f>CFS!BH18</f>
        <v>0</v>
      </c>
      <c r="BI68" s="236">
        <f t="shared" si="324"/>
        <v>0</v>
      </c>
      <c r="BJ68" s="605">
        <f>CFS!BJ18</f>
        <v>0</v>
      </c>
      <c r="BK68" s="56">
        <f>CFS!BK18</f>
        <v>0</v>
      </c>
      <c r="BL68" s="236">
        <f t="shared" si="325"/>
        <v>0</v>
      </c>
      <c r="BM68" s="605">
        <f>CFS!BM18</f>
        <v>0</v>
      </c>
    </row>
    <row r="69" spans="1:65">
      <c r="A69" s="25" t="s">
        <v>16</v>
      </c>
      <c r="B69" s="40"/>
      <c r="C69" s="40"/>
      <c r="D69" s="40"/>
      <c r="E69" s="40"/>
      <c r="F69" s="40"/>
      <c r="G69" s="40"/>
      <c r="H69" s="40"/>
      <c r="I69" s="40"/>
      <c r="J69" s="40"/>
      <c r="K69" s="40"/>
      <c r="L69" s="40"/>
      <c r="M69" s="40"/>
      <c r="N69" s="40"/>
      <c r="O69" s="40">
        <v>0</v>
      </c>
      <c r="P69" s="40">
        <v>0</v>
      </c>
      <c r="Q69" s="40">
        <v>0</v>
      </c>
      <c r="R69" s="40">
        <f>R60-Q60-R62-R63-R64-R65-R66-R67-R68-R70</f>
        <v>-21</v>
      </c>
      <c r="S69" s="630">
        <f t="shared" si="306"/>
        <v>21</v>
      </c>
      <c r="T69" s="653">
        <v>0</v>
      </c>
      <c r="U69" s="40">
        <f>U60-T60-U62-U63-U64-U65-U66-U67-U68-U70</f>
        <v>-267</v>
      </c>
      <c r="V69" s="630">
        <f t="shared" si="307"/>
        <v>275</v>
      </c>
      <c r="W69" s="653">
        <v>8</v>
      </c>
      <c r="X69" s="40"/>
      <c r="Y69" s="630"/>
      <c r="Z69" s="653">
        <v>8</v>
      </c>
      <c r="AA69" s="40">
        <f>AA60-Z60-AA62-AA63-AA64-AA65-AA66-AA67-AA68-AA70</f>
        <v>13</v>
      </c>
      <c r="AB69" s="630">
        <f t="shared" si="308"/>
        <v>-83</v>
      </c>
      <c r="AC69" s="653">
        <v>-70</v>
      </c>
      <c r="AD69" s="40">
        <f>AD60-AC60-AD62-AD63-AD64-AD65-AD66-AD67-AD68-AD70</f>
        <v>-2463</v>
      </c>
      <c r="AE69" s="630">
        <f t="shared" si="309"/>
        <v>-2</v>
      </c>
      <c r="AF69" s="653">
        <f>AF60-AC60-AF62-AF63-AF64-AF65-AF66-AF67-AF68-AF70</f>
        <v>-2465</v>
      </c>
      <c r="AG69" s="40">
        <f>AG60-AF60-AG62-AG63-AG64-AG65-AG66-AG67-AG68-AG70</f>
        <v>-185</v>
      </c>
      <c r="AH69" s="630">
        <f t="shared" si="315"/>
        <v>60</v>
      </c>
      <c r="AI69" s="653">
        <v>-125</v>
      </c>
      <c r="AJ69" s="40">
        <f>AJ60-AI60-AJ62-AJ63-AJ64-AJ65-AJ66-AJ67-AJ68-AJ70</f>
        <v>-223</v>
      </c>
      <c r="AK69" s="630">
        <f t="shared" si="316"/>
        <v>281</v>
      </c>
      <c r="AL69" s="653">
        <v>58</v>
      </c>
      <c r="AM69" s="40">
        <f>AM60-AL60-AM62-AM63-AM64-AM65-AM66-AM67-AM68-AM70</f>
        <v>89</v>
      </c>
      <c r="AN69" s="630">
        <f t="shared" si="317"/>
        <v>102</v>
      </c>
      <c r="AO69" s="653">
        <f>AO60-AL60-AO62-AO63-AO64-AO65-AO66-AO67-AO68-AO70</f>
        <v>191</v>
      </c>
      <c r="AP69" s="40">
        <f>AP60-AO60-AP62-AP63-AP64-AP65-AP66-AP67-AP68-AP70</f>
        <v>-11</v>
      </c>
      <c r="AQ69" s="630">
        <f t="shared" si="318"/>
        <v>-19</v>
      </c>
      <c r="AR69" s="653">
        <f>AR60-AO60-AR62-AR63-AR64-AR65-AR66-AR67-AR68-AR70</f>
        <v>-30</v>
      </c>
      <c r="AS69" s="40">
        <f>AS60-AR60-AS62-AS63-AS64-AS65-AS66-AS67-AS68-AS70</f>
        <v>14</v>
      </c>
      <c r="AT69" s="630">
        <f t="shared" si="319"/>
        <v>-7</v>
      </c>
      <c r="AU69" s="653">
        <f>AU60-AR60-AU62-AU63-AU64-AU65-AU66-AU67-AU68-AU70</f>
        <v>7</v>
      </c>
      <c r="AV69" s="40">
        <f>AV60-AU60-AV62-AV63-AV64-AV65-AV66-AV67-AV68-AV70</f>
        <v>-550</v>
      </c>
      <c r="AW69" s="630">
        <f t="shared" si="320"/>
        <v>-547</v>
      </c>
      <c r="AX69" s="653">
        <f>AX60-AU60-AX62-AX63-AX64-AX65-AX66-AX67-AX68-AX70</f>
        <v>-1097</v>
      </c>
      <c r="AY69" s="40">
        <f>AY60-AX60-AY62-AY63-AY64-AY65-AY66-AY67-AY68-AY70</f>
        <v>-1286</v>
      </c>
      <c r="AZ69" s="236">
        <f t="shared" si="321"/>
        <v>1299.7925</v>
      </c>
      <c r="BA69" s="605">
        <f>+CFS!BA60</f>
        <v>13.792500000000018</v>
      </c>
      <c r="BB69" s="1069">
        <f>+CFS!BB60</f>
        <v>36.982974542340287</v>
      </c>
      <c r="BC69" s="236">
        <f t="shared" si="322"/>
        <v>36.982974542340287</v>
      </c>
      <c r="BD69" s="605">
        <f>+CFS!BD60</f>
        <v>73.965949084680574</v>
      </c>
      <c r="BE69" s="1069">
        <f>+CFS!BE60</f>
        <v>59.190334665408955</v>
      </c>
      <c r="BF69" s="236">
        <f t="shared" si="323"/>
        <v>59.190334665408955</v>
      </c>
      <c r="BG69" s="605">
        <f>+CFS!BG60</f>
        <v>118.38066933081791</v>
      </c>
      <c r="BH69" s="1069">
        <f>+CFS!BH60</f>
        <v>104.83938837383957</v>
      </c>
      <c r="BI69" s="236">
        <f t="shared" si="324"/>
        <v>104.83938837383957</v>
      </c>
      <c r="BJ69" s="605">
        <f>+CFS!BJ60</f>
        <v>209.67877674767914</v>
      </c>
      <c r="BK69" s="1069">
        <f>+CFS!BK60</f>
        <v>231.99106024334878</v>
      </c>
      <c r="BL69" s="236">
        <f t="shared" si="325"/>
        <v>231.99106024334878</v>
      </c>
      <c r="BM69" s="605">
        <f>+CFS!BM60</f>
        <v>463.98212048669757</v>
      </c>
    </row>
    <row r="70" spans="1:65">
      <c r="A70" s="25" t="s">
        <v>119</v>
      </c>
      <c r="B70" s="40"/>
      <c r="C70" s="40"/>
      <c r="D70" s="40"/>
      <c r="E70" s="40"/>
      <c r="F70" s="40"/>
      <c r="G70" s="40"/>
      <c r="H70" s="40"/>
      <c r="I70" s="40"/>
      <c r="J70" s="40"/>
      <c r="K70" s="40"/>
      <c r="L70" s="40"/>
      <c r="M70" s="40"/>
      <c r="N70" s="40"/>
      <c r="O70" s="40">
        <v>-43</v>
      </c>
      <c r="P70" s="40">
        <v>19</v>
      </c>
      <c r="Q70" s="40">
        <v>3</v>
      </c>
      <c r="R70" s="40">
        <v>-20</v>
      </c>
      <c r="S70" s="630">
        <f t="shared" si="306"/>
        <v>260</v>
      </c>
      <c r="T70" s="653">
        <v>240</v>
      </c>
      <c r="U70" s="40">
        <v>-20</v>
      </c>
      <c r="V70" s="630">
        <f t="shared" si="307"/>
        <v>-39</v>
      </c>
      <c r="W70" s="653">
        <v>-59</v>
      </c>
      <c r="X70" s="40"/>
      <c r="Y70" s="630"/>
      <c r="Z70" s="653">
        <v>-59</v>
      </c>
      <c r="AA70" s="40">
        <v>30</v>
      </c>
      <c r="AB70" s="630">
        <f t="shared" si="308"/>
        <v>24</v>
      </c>
      <c r="AC70" s="653">
        <v>54</v>
      </c>
      <c r="AD70" s="40">
        <v>-29</v>
      </c>
      <c r="AE70" s="630">
        <f t="shared" si="309"/>
        <v>-69</v>
      </c>
      <c r="AF70" s="653">
        <v>-98</v>
      </c>
      <c r="AG70" s="40">
        <v>-2</v>
      </c>
      <c r="AH70" s="630">
        <f t="shared" si="315"/>
        <v>103</v>
      </c>
      <c r="AI70" s="653">
        <v>101</v>
      </c>
      <c r="AJ70" s="40">
        <v>2</v>
      </c>
      <c r="AK70" s="630">
        <f t="shared" si="316"/>
        <v>-88</v>
      </c>
      <c r="AL70" s="653">
        <v>-86</v>
      </c>
      <c r="AM70" s="40">
        <v>-162</v>
      </c>
      <c r="AN70" s="630">
        <f t="shared" si="317"/>
        <v>12</v>
      </c>
      <c r="AO70" s="653">
        <v>-150</v>
      </c>
      <c r="AP70" s="40">
        <v>66</v>
      </c>
      <c r="AQ70" s="630">
        <f t="shared" si="318"/>
        <v>-9</v>
      </c>
      <c r="AR70" s="653">
        <v>57</v>
      </c>
      <c r="AS70" s="40">
        <v>-26</v>
      </c>
      <c r="AT70" s="630">
        <f t="shared" si="319"/>
        <v>-24</v>
      </c>
      <c r="AU70" s="653">
        <v>-50</v>
      </c>
      <c r="AV70" s="40">
        <v>89</v>
      </c>
      <c r="AW70" s="630">
        <f t="shared" si="320"/>
        <v>29</v>
      </c>
      <c r="AX70" s="653">
        <v>118</v>
      </c>
      <c r="AY70" s="40">
        <v>-28</v>
      </c>
      <c r="AZ70" s="236">
        <f t="shared" si="321"/>
        <v>28</v>
      </c>
      <c r="BA70" s="580">
        <v>0</v>
      </c>
      <c r="BB70" s="56">
        <f>BD70/2</f>
        <v>0</v>
      </c>
      <c r="BC70" s="236">
        <f t="shared" si="322"/>
        <v>0</v>
      </c>
      <c r="BD70" s="580">
        <v>0</v>
      </c>
      <c r="BE70" s="56">
        <f>BG70/2</f>
        <v>0</v>
      </c>
      <c r="BF70" s="236">
        <f t="shared" si="323"/>
        <v>0</v>
      </c>
      <c r="BG70" s="580">
        <v>0</v>
      </c>
      <c r="BH70" s="56">
        <f>BJ70/2</f>
        <v>0</v>
      </c>
      <c r="BI70" s="236">
        <f t="shared" si="324"/>
        <v>0</v>
      </c>
      <c r="BJ70" s="580">
        <v>0</v>
      </c>
      <c r="BK70" s="56">
        <f>BM70/2</f>
        <v>0</v>
      </c>
      <c r="BL70" s="236">
        <f t="shared" si="325"/>
        <v>0</v>
      </c>
      <c r="BM70" s="580">
        <v>0</v>
      </c>
    </row>
    <row r="71" spans="1:65">
      <c r="A71" s="31" t="s">
        <v>387</v>
      </c>
      <c r="B71" s="40"/>
      <c r="C71" s="40"/>
      <c r="D71" s="40"/>
      <c r="E71" s="40"/>
      <c r="F71" s="40"/>
      <c r="G71" s="40"/>
      <c r="H71" s="40"/>
      <c r="I71" s="40"/>
      <c r="J71" s="40"/>
      <c r="K71" s="40"/>
      <c r="L71" s="40"/>
      <c r="M71" s="40"/>
      <c r="N71" s="51"/>
      <c r="O71" s="51">
        <f t="shared" ref="O71:AC71" si="326">SUM(O62:O70)</f>
        <v>622</v>
      </c>
      <c r="P71" s="51">
        <f t="shared" si="326"/>
        <v>-1273</v>
      </c>
      <c r="Q71" s="51">
        <f t="shared" si="326"/>
        <v>-777</v>
      </c>
      <c r="R71" s="51">
        <f t="shared" ref="R71:S71" si="327">SUM(R62:R70)</f>
        <v>-601</v>
      </c>
      <c r="S71" s="629">
        <f t="shared" si="327"/>
        <v>487</v>
      </c>
      <c r="T71" s="652">
        <f t="shared" si="326"/>
        <v>-114</v>
      </c>
      <c r="U71" s="51">
        <f t="shared" ref="U71:V71" si="328">SUM(U62:U70)</f>
        <v>-706</v>
      </c>
      <c r="V71" s="629">
        <f t="shared" si="328"/>
        <v>626</v>
      </c>
      <c r="W71" s="652">
        <f t="shared" si="326"/>
        <v>-80</v>
      </c>
      <c r="X71" s="51"/>
      <c r="Y71" s="629"/>
      <c r="Z71" s="652">
        <f t="shared" si="326"/>
        <v>-80</v>
      </c>
      <c r="AA71" s="51">
        <f t="shared" ref="AA71:AB71" si="329">SUM(AA62:AA70)</f>
        <v>470</v>
      </c>
      <c r="AB71" s="629">
        <f t="shared" si="329"/>
        <v>446</v>
      </c>
      <c r="AC71" s="652">
        <f t="shared" si="326"/>
        <v>916</v>
      </c>
      <c r="AD71" s="51">
        <f t="shared" ref="AD71:AE71" si="330">SUM(AD62:AD70)</f>
        <v>-2548</v>
      </c>
      <c r="AE71" s="629">
        <f t="shared" si="330"/>
        <v>944</v>
      </c>
      <c r="AF71" s="652">
        <f>SUM(AF62:AF70)</f>
        <v>-1604</v>
      </c>
      <c r="AG71" s="51">
        <f t="shared" ref="AG71:BM71" si="331">SUM(AG62:AG70)</f>
        <v>-3076</v>
      </c>
      <c r="AH71" s="629">
        <f t="shared" si="331"/>
        <v>493</v>
      </c>
      <c r="AI71" s="652">
        <f t="shared" si="331"/>
        <v>-2583</v>
      </c>
      <c r="AJ71" s="51">
        <f t="shared" ref="AJ71:AK71" si="332">SUM(AJ62:AJ70)</f>
        <v>-1396</v>
      </c>
      <c r="AK71" s="629">
        <f t="shared" si="332"/>
        <v>-185</v>
      </c>
      <c r="AL71" s="652">
        <f t="shared" si="331"/>
        <v>-1581</v>
      </c>
      <c r="AM71" s="51">
        <f t="shared" si="331"/>
        <v>15</v>
      </c>
      <c r="AN71" s="629">
        <f t="shared" si="331"/>
        <v>1891</v>
      </c>
      <c r="AO71" s="652">
        <f t="shared" si="331"/>
        <v>1906</v>
      </c>
      <c r="AP71" s="51">
        <f t="shared" ref="AP71:AR71" si="333">SUM(AP62:AP70)</f>
        <v>406</v>
      </c>
      <c r="AQ71" s="629">
        <f t="shared" si="333"/>
        <v>893</v>
      </c>
      <c r="AR71" s="652">
        <f t="shared" si="333"/>
        <v>1299</v>
      </c>
      <c r="AS71" s="51">
        <f t="shared" ref="AS71:AU71" si="334">SUM(AS62:AS70)</f>
        <v>1130</v>
      </c>
      <c r="AT71" s="629">
        <f t="shared" si="334"/>
        <v>1297</v>
      </c>
      <c r="AU71" s="652">
        <f t="shared" si="334"/>
        <v>2427</v>
      </c>
      <c r="AV71" s="51">
        <f t="shared" ref="AV71:AX71" si="335">SUM(AV62:AV70)</f>
        <v>609</v>
      </c>
      <c r="AW71" s="629">
        <f t="shared" si="335"/>
        <v>811</v>
      </c>
      <c r="AX71" s="652">
        <f t="shared" si="335"/>
        <v>1420</v>
      </c>
      <c r="AY71" s="51">
        <f t="shared" ref="AY71" si="336">SUM(AY62:AY70)</f>
        <v>241</v>
      </c>
      <c r="AZ71" s="237">
        <f t="shared" ref="AZ71" si="337">SUM(AZ62:AZ70)</f>
        <v>607.01898169361084</v>
      </c>
      <c r="BA71" s="576">
        <f t="shared" si="331"/>
        <v>848.01898169360948</v>
      </c>
      <c r="BB71" s="48">
        <f t="shared" si="331"/>
        <v>2118.1595459557921</v>
      </c>
      <c r="BC71" s="237">
        <f t="shared" si="331"/>
        <v>-1229.8651410330449</v>
      </c>
      <c r="BD71" s="576">
        <f t="shared" si="331"/>
        <v>888.29440492274614</v>
      </c>
      <c r="BE71" s="48">
        <f t="shared" si="331"/>
        <v>1332.8620960911221</v>
      </c>
      <c r="BF71" s="237">
        <f t="shared" si="331"/>
        <v>493.10005224610268</v>
      </c>
      <c r="BG71" s="576">
        <f t="shared" si="331"/>
        <v>1825.9621483372266</v>
      </c>
      <c r="BH71" s="48">
        <f t="shared" si="331"/>
        <v>2720.0345725296111</v>
      </c>
      <c r="BI71" s="237">
        <f t="shared" si="331"/>
        <v>2366.0323022507546</v>
      </c>
      <c r="BJ71" s="576">
        <f t="shared" si="331"/>
        <v>5086.0668747803657</v>
      </c>
      <c r="BK71" s="48">
        <f t="shared" si="331"/>
        <v>3052.3539712035204</v>
      </c>
      <c r="BL71" s="237">
        <f t="shared" si="331"/>
        <v>2851.7062033683646</v>
      </c>
      <c r="BM71" s="576">
        <f t="shared" si="331"/>
        <v>5904.0601745718877</v>
      </c>
    </row>
    <row r="72" spans="1:65">
      <c r="A72" s="60" t="s">
        <v>121</v>
      </c>
      <c r="B72" s="40"/>
      <c r="C72" s="40"/>
      <c r="D72" s="40"/>
      <c r="E72" s="40"/>
      <c r="F72" s="40"/>
      <c r="G72" s="40"/>
      <c r="H72" s="40"/>
      <c r="I72" s="40"/>
      <c r="J72" s="40"/>
      <c r="K72" s="40"/>
      <c r="L72" s="40"/>
      <c r="M72" s="40"/>
      <c r="N72" s="40"/>
      <c r="O72" s="40">
        <f>ROUND(O60-N60-O71,5)</f>
        <v>0</v>
      </c>
      <c r="P72" s="40">
        <f>ROUND(P60-O60-P71,5)</f>
        <v>0</v>
      </c>
      <c r="Q72" s="40">
        <f>ROUND(Q60-P60-Q71,5)</f>
        <v>0</v>
      </c>
      <c r="R72" s="40">
        <f>ROUND(R60-Q60-R71,5)</f>
        <v>0</v>
      </c>
      <c r="S72" s="630">
        <f>ROUND(S60-R60-S71,5)</f>
        <v>0</v>
      </c>
      <c r="T72" s="653">
        <f>ROUND(T60-Q60-T71,5)</f>
        <v>0</v>
      </c>
      <c r="U72" s="40">
        <f>ROUND(U60-T60-U71,5)</f>
        <v>0</v>
      </c>
      <c r="V72" s="630">
        <f>ROUND(V60-U60-V71,5)</f>
        <v>0</v>
      </c>
      <c r="W72" s="653">
        <f>ROUND(W60-T60-W71,5)</f>
        <v>0</v>
      </c>
      <c r="X72" s="40"/>
      <c r="Y72" s="630"/>
      <c r="Z72" s="653"/>
      <c r="AA72" s="40">
        <f>ROUND(AA60-Z60-AA71,5)</f>
        <v>0</v>
      </c>
      <c r="AB72" s="630">
        <f>ROUND(AB60-AA60-AB71,5)</f>
        <v>0</v>
      </c>
      <c r="AC72" s="653">
        <f>ROUND(AC60-W60-AC71,5)</f>
        <v>0</v>
      </c>
      <c r="AD72" s="40">
        <f>ROUND(AD60-AC60-AD71,5)</f>
        <v>0</v>
      </c>
      <c r="AE72" s="630">
        <f>ROUND(AE60-AD60-AE71,5)</f>
        <v>0</v>
      </c>
      <c r="AF72" s="653">
        <f>ROUND(AF60-AC60-AF71,5)</f>
        <v>0</v>
      </c>
      <c r="AG72" s="40">
        <f>ROUND(AG60-AF60-AG71,5)</f>
        <v>0</v>
      </c>
      <c r="AH72" s="630">
        <f>ROUND(AH60-AG60-AH71,5)</f>
        <v>0</v>
      </c>
      <c r="AI72" s="653">
        <f t="shared" ref="AI72" si="338">ROUND(AI60-AF60-AI71,5)</f>
        <v>0</v>
      </c>
      <c r="AJ72" s="40">
        <f>ROUND(AJ60-AI60-AJ71,5)</f>
        <v>0</v>
      </c>
      <c r="AK72" s="630">
        <f>ROUND(AK60-AJ60-AK71,5)</f>
        <v>0</v>
      </c>
      <c r="AL72" s="653">
        <f>ROUND(AL60-AI60-AL71,5)</f>
        <v>0</v>
      </c>
      <c r="AM72" s="40">
        <f>ROUND(AM60-AL60-AM71,5)</f>
        <v>0</v>
      </c>
      <c r="AN72" s="630">
        <f>ROUND(AN60-AM60-AN71,5)</f>
        <v>0</v>
      </c>
      <c r="AO72" s="653">
        <f>ROUND(AO60-AL60-AO71,5)</f>
        <v>0</v>
      </c>
      <c r="AP72" s="40">
        <f>ROUND(AP60-AO60-AP71,5)</f>
        <v>0</v>
      </c>
      <c r="AQ72" s="630">
        <f>ROUND(AQ60-AP60-AQ71,5)</f>
        <v>0</v>
      </c>
      <c r="AR72" s="653">
        <f>ROUND(AR60-AO60-AR71,5)</f>
        <v>0</v>
      </c>
      <c r="AS72" s="40">
        <f>ROUND(AS60-AR60-AS71,5)</f>
        <v>0</v>
      </c>
      <c r="AT72" s="216">
        <f>ROUND(AT60-AS60-AT71,5)</f>
        <v>0</v>
      </c>
      <c r="AU72" s="556">
        <f>ROUND(AU60-AR60-AU71,5)</f>
        <v>0</v>
      </c>
      <c r="AV72" s="40">
        <f>ROUND(AV60-AU60-AV71,5)</f>
        <v>0</v>
      </c>
      <c r="AW72" s="216">
        <f>ROUND(AW60-AV60-AW71,5)</f>
        <v>0</v>
      </c>
      <c r="AX72" s="556">
        <f>ROUND(AX60-AU60-AX71,5)</f>
        <v>0</v>
      </c>
      <c r="AY72" s="40">
        <f>ROUND(AY60-AX60-AY71,5)</f>
        <v>0</v>
      </c>
      <c r="AZ72" s="542">
        <f>ROUND(AZ60-AY60-AZ71,5)</f>
        <v>-117</v>
      </c>
      <c r="BA72" s="580">
        <f>ROUND(BA60-AX60-BA71,5)</f>
        <v>-117</v>
      </c>
      <c r="BB72" s="21">
        <f>ROUND(BB60-BA60-BB71,5)</f>
        <v>0</v>
      </c>
      <c r="BC72" s="542">
        <f>ROUND(BC60-BB60-BC71,5)</f>
        <v>0</v>
      </c>
      <c r="BD72" s="580">
        <f>ROUND(BD60-BA60-BD71,5)</f>
        <v>0</v>
      </c>
      <c r="BE72" s="21">
        <f>ROUND(BE60-BD60-BE71,5)</f>
        <v>0</v>
      </c>
      <c r="BF72" s="542">
        <f>ROUND(BF60-BE60-BF71,5)</f>
        <v>0</v>
      </c>
      <c r="BG72" s="580">
        <f>ROUND(BG60-BD60-BG71,5)</f>
        <v>0</v>
      </c>
      <c r="BH72" s="21">
        <f>ROUND(BH60-BG60-BH71,5)</f>
        <v>0</v>
      </c>
      <c r="BI72" s="542">
        <f>ROUND(BI60-BH60-BI71,5)</f>
        <v>0</v>
      </c>
      <c r="BJ72" s="580">
        <f>ROUND(BJ60-BG60-BJ71,5)</f>
        <v>0</v>
      </c>
      <c r="BK72" s="21">
        <f>ROUND(BK60-BJ60-BK71,5)</f>
        <v>0</v>
      </c>
      <c r="BL72" s="542">
        <f>ROUND(BL60-BK60-BL71,5)</f>
        <v>0</v>
      </c>
      <c r="BM72" s="580">
        <f>ROUND(BM60-BJ60-BM71,5)</f>
        <v>0</v>
      </c>
    </row>
    <row r="73" spans="1:65">
      <c r="B73" s="40"/>
      <c r="C73" s="40"/>
      <c r="D73" s="40"/>
      <c r="E73" s="40"/>
      <c r="F73" s="40"/>
      <c r="G73" s="40"/>
      <c r="H73" s="40"/>
      <c r="I73" s="40"/>
      <c r="J73" s="40"/>
      <c r="K73" s="40"/>
      <c r="L73" s="40"/>
      <c r="M73" s="40"/>
      <c r="N73" s="40"/>
      <c r="O73" s="40"/>
      <c r="P73" s="40"/>
      <c r="Q73" s="40"/>
      <c r="R73" s="40"/>
      <c r="S73" s="630"/>
      <c r="T73" s="653"/>
      <c r="U73" s="40"/>
      <c r="V73" s="630"/>
      <c r="W73" s="653"/>
      <c r="X73" s="40"/>
      <c r="Y73" s="630"/>
      <c r="Z73" s="653"/>
      <c r="AA73" s="40"/>
      <c r="AB73" s="630"/>
      <c r="AC73" s="653"/>
      <c r="AD73" s="40"/>
      <c r="AE73" s="630"/>
      <c r="AF73" s="653"/>
      <c r="AG73" s="40"/>
      <c r="AH73" s="630"/>
      <c r="AI73" s="653"/>
      <c r="AJ73" s="40"/>
      <c r="AK73" s="630"/>
      <c r="AL73" s="653"/>
      <c r="AM73" s="40"/>
      <c r="AN73" s="630"/>
      <c r="AO73" s="653"/>
      <c r="AP73" s="40"/>
      <c r="AQ73" s="539"/>
      <c r="AR73" s="550"/>
      <c r="AS73"/>
      <c r="AT73" s="539"/>
      <c r="AU73" s="550"/>
      <c r="AV73" s="188"/>
      <c r="AW73" s="539"/>
      <c r="AX73" s="550"/>
      <c r="AY73" s="188"/>
      <c r="AZ73" s="539"/>
      <c r="BA73" s="550"/>
      <c r="BB73"/>
      <c r="BC73" s="539"/>
      <c r="BD73" s="550"/>
      <c r="BE73"/>
      <c r="BF73" s="539"/>
      <c r="BG73" s="550"/>
      <c r="BH73"/>
      <c r="BI73" s="539"/>
      <c r="BJ73" s="550"/>
      <c r="BK73"/>
      <c r="BL73" s="539"/>
      <c r="BM73" s="550"/>
    </row>
    <row r="74" spans="1:65">
      <c r="A74" s="310" t="s">
        <v>776</v>
      </c>
      <c r="B74" s="318"/>
      <c r="C74" s="318"/>
      <c r="D74" s="318"/>
      <c r="E74" s="318"/>
      <c r="F74" s="318"/>
      <c r="G74" s="318"/>
      <c r="H74" s="318"/>
      <c r="I74" s="318"/>
      <c r="J74" s="318"/>
      <c r="K74" s="318"/>
      <c r="L74" s="318"/>
      <c r="M74" s="318"/>
      <c r="N74" s="318"/>
      <c r="O74" s="318"/>
      <c r="P74" s="318"/>
      <c r="Q74" s="318"/>
      <c r="R74" s="529"/>
      <c r="S74" s="319"/>
      <c r="T74" s="678"/>
      <c r="U74" s="529"/>
      <c r="V74" s="319"/>
      <c r="W74" s="678"/>
      <c r="X74" s="529"/>
      <c r="Y74" s="319"/>
      <c r="Z74" s="678"/>
      <c r="AA74" s="529"/>
      <c r="AB74" s="319"/>
      <c r="AC74" s="678"/>
      <c r="AD74" s="529"/>
      <c r="AE74" s="319"/>
      <c r="AF74" s="678"/>
      <c r="AG74" s="529"/>
      <c r="AH74" s="319"/>
      <c r="AI74" s="678"/>
      <c r="AJ74" s="529"/>
      <c r="AK74" s="319"/>
      <c r="AL74" s="678"/>
      <c r="AM74" s="529"/>
      <c r="AN74" s="319"/>
      <c r="AO74" s="678"/>
      <c r="AP74" s="529"/>
      <c r="AQ74" s="319"/>
      <c r="AR74" s="678"/>
      <c r="AS74" s="529"/>
      <c r="AT74" s="319"/>
      <c r="AU74" s="678"/>
      <c r="AV74" s="529"/>
      <c r="AW74" s="319"/>
      <c r="AX74" s="678"/>
      <c r="AY74" s="529"/>
      <c r="AZ74" s="215"/>
      <c r="BA74" s="574"/>
      <c r="BB74" s="179"/>
      <c r="BC74" s="215"/>
      <c r="BD74" s="574"/>
      <c r="BE74" s="179"/>
      <c r="BF74" s="215"/>
      <c r="BG74" s="574"/>
      <c r="BH74" s="179"/>
      <c r="BI74" s="215"/>
      <c r="BJ74" s="574"/>
      <c r="BK74" s="179"/>
      <c r="BL74" s="215"/>
      <c r="BM74" s="574"/>
    </row>
    <row r="75" spans="1:65">
      <c r="B75" s="40"/>
      <c r="C75" s="40"/>
      <c r="D75" s="40"/>
      <c r="E75" s="40"/>
      <c r="F75" s="40"/>
      <c r="G75" s="40"/>
      <c r="H75" s="40"/>
      <c r="I75" s="40"/>
      <c r="J75" s="40"/>
      <c r="K75" s="40"/>
      <c r="L75" s="40"/>
      <c r="M75" s="40"/>
      <c r="N75" s="40"/>
      <c r="O75" s="40"/>
      <c r="P75" s="40"/>
      <c r="Q75" s="40"/>
      <c r="R75" s="40"/>
      <c r="S75" s="630"/>
      <c r="T75" s="653"/>
      <c r="U75" s="40"/>
      <c r="V75" s="630"/>
      <c r="W75" s="653"/>
      <c r="X75" s="40"/>
      <c r="Y75" s="630"/>
      <c r="Z75" s="653"/>
      <c r="AA75" s="40"/>
      <c r="AB75" s="630"/>
      <c r="AC75" s="653"/>
      <c r="AD75" s="40"/>
      <c r="AE75" s="630"/>
      <c r="AF75" s="653"/>
      <c r="AG75" s="40"/>
      <c r="AH75" s="630"/>
      <c r="AI75" s="653"/>
      <c r="AJ75" s="40"/>
      <c r="AK75" s="630"/>
      <c r="AL75" s="653"/>
      <c r="AM75" s="40"/>
      <c r="AN75" s="630"/>
      <c r="AO75" s="653"/>
      <c r="AP75" s="40"/>
      <c r="AQ75" s="630"/>
      <c r="AR75" s="653"/>
      <c r="AS75" s="40"/>
      <c r="AT75" s="630"/>
      <c r="AU75" s="653"/>
      <c r="AV75" s="40"/>
      <c r="AW75" s="630"/>
      <c r="AX75" s="653"/>
      <c r="AY75" s="40"/>
      <c r="AZ75" s="630"/>
      <c r="BA75" s="653"/>
      <c r="BB75" s="40"/>
      <c r="BC75" s="630"/>
      <c r="BD75" s="653"/>
      <c r="BE75" s="40"/>
      <c r="BF75" s="630"/>
      <c r="BG75" s="653"/>
      <c r="BH75" s="40"/>
      <c r="BI75" s="630"/>
      <c r="BJ75" s="653"/>
      <c r="BK75" s="40"/>
      <c r="BL75" s="630"/>
      <c r="BM75" s="653"/>
    </row>
    <row r="76" spans="1:65">
      <c r="A76" s="25" t="s">
        <v>74</v>
      </c>
      <c r="B76" s="40">
        <f t="shared" ref="B76:BM77" si="339">B14</f>
        <v>1179</v>
      </c>
      <c r="C76" s="40">
        <f t="shared" si="339"/>
        <v>1222</v>
      </c>
      <c r="D76" s="40">
        <f t="shared" si="339"/>
        <v>1158</v>
      </c>
      <c r="E76" s="40">
        <f t="shared" si="339"/>
        <v>962</v>
      </c>
      <c r="F76" s="40">
        <f t="shared" si="339"/>
        <v>1090</v>
      </c>
      <c r="G76" s="40">
        <f t="shared" si="339"/>
        <v>1309</v>
      </c>
      <c r="H76" s="40">
        <f t="shared" si="339"/>
        <v>1845</v>
      </c>
      <c r="I76" s="40">
        <f t="shared" si="339"/>
        <v>2203</v>
      </c>
      <c r="J76" s="40">
        <f t="shared" si="339"/>
        <v>2600</v>
      </c>
      <c r="K76" s="40">
        <f t="shared" si="339"/>
        <v>2432</v>
      </c>
      <c r="L76" s="40">
        <f t="shared" si="339"/>
        <v>2429</v>
      </c>
      <c r="M76" s="40">
        <f t="shared" si="339"/>
        <v>2561</v>
      </c>
      <c r="N76" s="40">
        <f t="shared" si="339"/>
        <v>2726</v>
      </c>
      <c r="O76" s="40">
        <f t="shared" si="339"/>
        <v>3319</v>
      </c>
      <c r="P76" s="40">
        <f t="shared" si="339"/>
        <v>2768</v>
      </c>
      <c r="Q76" s="40">
        <f t="shared" si="339"/>
        <v>2637</v>
      </c>
      <c r="R76" s="40">
        <f t="shared" si="339"/>
        <v>3165</v>
      </c>
      <c r="S76" s="630">
        <f t="shared" si="339"/>
        <v>3086</v>
      </c>
      <c r="T76" s="653">
        <f t="shared" si="339"/>
        <v>3086</v>
      </c>
      <c r="U76" s="40">
        <f t="shared" ref="U76:V76" si="340">U14</f>
        <v>3501</v>
      </c>
      <c r="V76" s="630">
        <f t="shared" si="340"/>
        <v>3660</v>
      </c>
      <c r="W76" s="653">
        <f t="shared" si="339"/>
        <v>3660</v>
      </c>
      <c r="X76" s="40"/>
      <c r="Y76" s="630"/>
      <c r="Z76" s="653">
        <f t="shared" si="339"/>
        <v>3803</v>
      </c>
      <c r="AA76" s="40">
        <f t="shared" si="339"/>
        <v>4065</v>
      </c>
      <c r="AB76" s="630">
        <f t="shared" si="339"/>
        <v>4287</v>
      </c>
      <c r="AC76" s="653">
        <f>AC14</f>
        <v>4287</v>
      </c>
      <c r="AD76" s="40">
        <f t="shared" ref="AD76:AE76" si="341">AD14</f>
        <v>4711</v>
      </c>
      <c r="AE76" s="630">
        <f t="shared" si="341"/>
        <v>4320</v>
      </c>
      <c r="AF76" s="653">
        <f>AF14</f>
        <v>4320</v>
      </c>
      <c r="AG76" s="40">
        <f t="shared" ref="AG76:AH77" si="342">AG14</f>
        <v>4818</v>
      </c>
      <c r="AH76" s="630">
        <f t="shared" si="342"/>
        <v>3690</v>
      </c>
      <c r="AI76" s="653">
        <f t="shared" si="339"/>
        <v>3690</v>
      </c>
      <c r="AJ76" s="40">
        <f t="shared" si="339"/>
        <v>3673</v>
      </c>
      <c r="AK76" s="630">
        <f t="shared" si="339"/>
        <v>3666</v>
      </c>
      <c r="AL76" s="653">
        <f>AL14</f>
        <v>3666</v>
      </c>
      <c r="AM76" s="40">
        <f t="shared" ref="AM76:AN77" si="343">AM14</f>
        <v>4446</v>
      </c>
      <c r="AN76" s="630">
        <f t="shared" si="343"/>
        <v>4708</v>
      </c>
      <c r="AO76" s="653">
        <f t="shared" si="339"/>
        <v>4708</v>
      </c>
      <c r="AP76" s="40">
        <f t="shared" ref="AP76:AR76" si="344">AP14</f>
        <v>5129</v>
      </c>
      <c r="AQ76" s="630">
        <f t="shared" si="344"/>
        <v>4848</v>
      </c>
      <c r="AR76" s="653">
        <f t="shared" si="344"/>
        <v>4848</v>
      </c>
      <c r="AS76" s="40">
        <f t="shared" ref="AS76:AU77" si="345">AS14</f>
        <v>5449</v>
      </c>
      <c r="AT76" s="630">
        <f t="shared" si="345"/>
        <v>5092</v>
      </c>
      <c r="AU76" s="653">
        <f t="shared" si="345"/>
        <v>5092</v>
      </c>
      <c r="AV76" s="40">
        <f t="shared" ref="AV76:AW76" si="346">AV14</f>
        <v>5611</v>
      </c>
      <c r="AW76" s="630">
        <f t="shared" si="346"/>
        <v>5728</v>
      </c>
      <c r="AX76" s="653">
        <f t="shared" si="339"/>
        <v>5728</v>
      </c>
      <c r="AY76" s="40">
        <f t="shared" si="339"/>
        <v>6151</v>
      </c>
      <c r="AZ76" s="236">
        <f t="shared" ref="AZ76:AZ77" si="347">AZ14</f>
        <v>5788.3710606744962</v>
      </c>
      <c r="BA76" s="605">
        <f t="shared" si="339"/>
        <v>5788.3710606744962</v>
      </c>
      <c r="BB76" s="56">
        <f t="shared" si="339"/>
        <v>6129.4790353245353</v>
      </c>
      <c r="BC76" s="236">
        <f t="shared" si="339"/>
        <v>6283.4585108808169</v>
      </c>
      <c r="BD76" s="605">
        <f t="shared" si="339"/>
        <v>6283.4585108808169</v>
      </c>
      <c r="BE76" s="56">
        <f t="shared" si="339"/>
        <v>6031.6810471733806</v>
      </c>
      <c r="BF76" s="236">
        <f t="shared" si="339"/>
        <v>6259.3697767871017</v>
      </c>
      <c r="BG76" s="605">
        <f t="shared" si="339"/>
        <v>6259.3697767871017</v>
      </c>
      <c r="BH76" s="56">
        <f t="shared" si="339"/>
        <v>6040.869807850584</v>
      </c>
      <c r="BI76" s="236">
        <f t="shared" si="339"/>
        <v>6247.0913944598215</v>
      </c>
      <c r="BJ76" s="605">
        <f t="shared" si="339"/>
        <v>6247.0913944598215</v>
      </c>
      <c r="BK76" s="56">
        <f t="shared" si="339"/>
        <v>6085.1053533429022</v>
      </c>
      <c r="BL76" s="236">
        <f t="shared" si="339"/>
        <v>6282.8501131967359</v>
      </c>
      <c r="BM76" s="605">
        <f t="shared" si="339"/>
        <v>6282.8501131967359</v>
      </c>
    </row>
    <row r="77" spans="1:65">
      <c r="A77" s="25" t="s">
        <v>75</v>
      </c>
      <c r="B77" s="40">
        <f t="shared" si="339"/>
        <v>2062</v>
      </c>
      <c r="C77" s="40">
        <f t="shared" si="339"/>
        <v>2348</v>
      </c>
      <c r="D77" s="40">
        <f t="shared" si="339"/>
        <v>2306</v>
      </c>
      <c r="E77" s="40">
        <f t="shared" si="339"/>
        <v>2488</v>
      </c>
      <c r="F77" s="40">
        <f t="shared" si="339"/>
        <v>2049</v>
      </c>
      <c r="G77" s="40">
        <f t="shared" si="339"/>
        <v>2047</v>
      </c>
      <c r="H77" s="40">
        <f t="shared" si="339"/>
        <v>2465</v>
      </c>
      <c r="I77" s="40">
        <f t="shared" si="339"/>
        <v>2585</v>
      </c>
      <c r="J77" s="40">
        <f t="shared" si="339"/>
        <v>3929</v>
      </c>
      <c r="K77" s="40">
        <f t="shared" si="339"/>
        <v>3877</v>
      </c>
      <c r="L77" s="40">
        <f t="shared" si="339"/>
        <v>3943</v>
      </c>
      <c r="M77" s="40">
        <f t="shared" si="339"/>
        <v>4009</v>
      </c>
      <c r="N77" s="40">
        <f t="shared" si="339"/>
        <v>4119</v>
      </c>
      <c r="O77" s="40">
        <f t="shared" si="339"/>
        <v>5092</v>
      </c>
      <c r="P77" s="40">
        <f t="shared" si="339"/>
        <v>5509</v>
      </c>
      <c r="Q77" s="40">
        <f t="shared" si="339"/>
        <v>6244</v>
      </c>
      <c r="R77" s="40">
        <f>R15</f>
        <v>7145</v>
      </c>
      <c r="S77" s="630">
        <f t="shared" si="339"/>
        <v>6956</v>
      </c>
      <c r="T77" s="653">
        <f t="shared" si="339"/>
        <v>6956</v>
      </c>
      <c r="U77" s="40">
        <f>U15</f>
        <v>7241</v>
      </c>
      <c r="V77" s="630">
        <f t="shared" ref="V77" si="348">V15</f>
        <v>7919</v>
      </c>
      <c r="W77" s="653">
        <f t="shared" si="339"/>
        <v>7919</v>
      </c>
      <c r="X77" s="40"/>
      <c r="Y77" s="630"/>
      <c r="Z77" s="653">
        <f t="shared" si="339"/>
        <v>6298</v>
      </c>
      <c r="AA77" s="40">
        <f>AA15</f>
        <v>6363</v>
      </c>
      <c r="AB77" s="630">
        <f t="shared" si="339"/>
        <v>6747</v>
      </c>
      <c r="AC77" s="653">
        <f t="shared" si="339"/>
        <v>6747</v>
      </c>
      <c r="AD77" s="40">
        <f>AD15</f>
        <v>6981</v>
      </c>
      <c r="AE77" s="630">
        <f t="shared" ref="AE77" si="349">AE15</f>
        <v>7160</v>
      </c>
      <c r="AF77" s="653">
        <f>AF15</f>
        <v>7160</v>
      </c>
      <c r="AG77" s="40">
        <f>AG15</f>
        <v>7676</v>
      </c>
      <c r="AH77" s="630">
        <f t="shared" si="342"/>
        <v>6965</v>
      </c>
      <c r="AI77" s="653">
        <f t="shared" si="339"/>
        <v>6965</v>
      </c>
      <c r="AJ77" s="40">
        <f>AJ15</f>
        <v>6470</v>
      </c>
      <c r="AK77" s="630">
        <f t="shared" ref="AK77" si="350">AK15</f>
        <v>6856</v>
      </c>
      <c r="AL77" s="653">
        <f>AL15</f>
        <v>6856</v>
      </c>
      <c r="AM77" s="40">
        <f>AM15</f>
        <v>7491</v>
      </c>
      <c r="AN77" s="630">
        <f t="shared" si="343"/>
        <v>8417</v>
      </c>
      <c r="AO77" s="653">
        <f>AO15</f>
        <v>8417</v>
      </c>
      <c r="AP77" s="40">
        <f>AP15</f>
        <v>8711</v>
      </c>
      <c r="AQ77" s="630">
        <f t="shared" ref="AQ77" si="351">AQ15</f>
        <v>9365</v>
      </c>
      <c r="AR77" s="653">
        <f>AR15</f>
        <v>9365</v>
      </c>
      <c r="AS77" s="40">
        <f>AS15</f>
        <v>9558</v>
      </c>
      <c r="AT77" s="630">
        <f t="shared" si="345"/>
        <v>10526</v>
      </c>
      <c r="AU77" s="653">
        <f>AU15</f>
        <v>10526</v>
      </c>
      <c r="AV77" s="40">
        <f>AV15</f>
        <v>10420</v>
      </c>
      <c r="AW77" s="630">
        <f t="shared" ref="AW77" si="352">AW15</f>
        <v>10843</v>
      </c>
      <c r="AX77" s="653">
        <f>AX15</f>
        <v>10843</v>
      </c>
      <c r="AY77" s="40">
        <f>AY15</f>
        <v>11325</v>
      </c>
      <c r="AZ77" s="236">
        <f t="shared" si="347"/>
        <v>10189.601627211357</v>
      </c>
      <c r="BA77" s="605">
        <f t="shared" si="339"/>
        <v>10189.601627211357</v>
      </c>
      <c r="BB77" s="56">
        <f t="shared" si="339"/>
        <v>8918.6458780503272</v>
      </c>
      <c r="BC77" s="236">
        <f t="shared" si="339"/>
        <v>9136.2771363108313</v>
      </c>
      <c r="BD77" s="605">
        <f t="shared" si="339"/>
        <v>9136.2771363108313</v>
      </c>
      <c r="BE77" s="56">
        <f t="shared" si="339"/>
        <v>8558.8164429893586</v>
      </c>
      <c r="BF77" s="236">
        <f t="shared" si="339"/>
        <v>8877.0282357077613</v>
      </c>
      <c r="BG77" s="605">
        <f t="shared" si="339"/>
        <v>8877.0282357077613</v>
      </c>
      <c r="BH77" s="56">
        <f t="shared" si="339"/>
        <v>8680.3213598149832</v>
      </c>
      <c r="BI77" s="236">
        <f t="shared" si="339"/>
        <v>8976.8845591167465</v>
      </c>
      <c r="BJ77" s="605">
        <f t="shared" si="339"/>
        <v>8976.8845591167465</v>
      </c>
      <c r="BK77" s="56">
        <f t="shared" si="339"/>
        <v>8846.940816229413</v>
      </c>
      <c r="BL77" s="236">
        <f t="shared" si="339"/>
        <v>9140.4215102500002</v>
      </c>
      <c r="BM77" s="605">
        <f t="shared" si="339"/>
        <v>9140.4215102500002</v>
      </c>
    </row>
    <row r="78" spans="1:65">
      <c r="A78" s="25" t="s">
        <v>310</v>
      </c>
      <c r="B78" s="40">
        <f t="shared" ref="B78:BK78" si="353">-B26-B33</f>
        <v>-2578</v>
      </c>
      <c r="C78" s="40">
        <f t="shared" si="353"/>
        <v>-2797</v>
      </c>
      <c r="D78" s="40">
        <f t="shared" si="353"/>
        <v>-2979</v>
      </c>
      <c r="E78" s="40">
        <f t="shared" si="353"/>
        <v>-3000</v>
      </c>
      <c r="F78" s="40">
        <f t="shared" si="353"/>
        <v>-2938</v>
      </c>
      <c r="G78" s="40">
        <f t="shared" si="353"/>
        <v>-3339</v>
      </c>
      <c r="H78" s="40">
        <f t="shared" si="353"/>
        <v>-4515</v>
      </c>
      <c r="I78" s="40">
        <f t="shared" si="353"/>
        <v>-5701</v>
      </c>
      <c r="J78" s="40">
        <f t="shared" si="353"/>
        <v>-7053</v>
      </c>
      <c r="K78" s="40">
        <f t="shared" si="353"/>
        <v>-6773</v>
      </c>
      <c r="L78" s="40">
        <f t="shared" si="353"/>
        <v>-7181</v>
      </c>
      <c r="M78" s="40">
        <f t="shared" si="353"/>
        <v>-7550</v>
      </c>
      <c r="N78" s="40">
        <f t="shared" si="353"/>
        <v>-8073</v>
      </c>
      <c r="O78" s="40">
        <f t="shared" si="353"/>
        <v>-9183</v>
      </c>
      <c r="P78" s="40">
        <f t="shared" si="353"/>
        <v>-9236</v>
      </c>
      <c r="Q78" s="40">
        <f t="shared" si="353"/>
        <v>-9240</v>
      </c>
      <c r="R78" s="40">
        <f t="shared" ref="R78:S78" si="354">-R26-R33</f>
        <v>-10331</v>
      </c>
      <c r="S78" s="630">
        <f t="shared" si="354"/>
        <v>-11416</v>
      </c>
      <c r="T78" s="653">
        <f t="shared" si="353"/>
        <v>-11416</v>
      </c>
      <c r="U78" s="40">
        <f t="shared" si="353"/>
        <v>-11601</v>
      </c>
      <c r="V78" s="630">
        <f t="shared" si="353"/>
        <v>-13705</v>
      </c>
      <c r="W78" s="653">
        <f t="shared" si="353"/>
        <v>-13705</v>
      </c>
      <c r="X78" s="40"/>
      <c r="Y78" s="630"/>
      <c r="Z78" s="653">
        <f t="shared" si="353"/>
        <v>-16834</v>
      </c>
      <c r="AA78" s="40">
        <f t="shared" ref="AA78:AB78" si="355">-AA26-AA33</f>
        <v>-17378</v>
      </c>
      <c r="AB78" s="630">
        <f t="shared" si="355"/>
        <v>-19362</v>
      </c>
      <c r="AC78" s="653">
        <f t="shared" si="353"/>
        <v>-19362</v>
      </c>
      <c r="AD78" s="40">
        <f t="shared" si="353"/>
        <v>-19943</v>
      </c>
      <c r="AE78" s="630">
        <f t="shared" si="353"/>
        <v>-21361</v>
      </c>
      <c r="AF78" s="653">
        <f t="shared" ref="AF78:AL78" si="356">-AF26-AF33</f>
        <v>-21361</v>
      </c>
      <c r="AG78" s="40">
        <f t="shared" ref="AG78:AH78" si="357">-AG26-AG33</f>
        <v>-21196</v>
      </c>
      <c r="AH78" s="630">
        <f t="shared" si="357"/>
        <v>-19007</v>
      </c>
      <c r="AI78" s="653">
        <f t="shared" si="356"/>
        <v>-19007</v>
      </c>
      <c r="AJ78" s="40">
        <f t="shared" si="356"/>
        <v>-17750</v>
      </c>
      <c r="AK78" s="630">
        <f t="shared" si="356"/>
        <v>-17900</v>
      </c>
      <c r="AL78" s="653">
        <f t="shared" si="356"/>
        <v>-17900</v>
      </c>
      <c r="AM78" s="40">
        <f t="shared" ref="AM78:AP78" si="358">-AM26-AM33</f>
        <v>-19713</v>
      </c>
      <c r="AN78" s="630">
        <f t="shared" si="358"/>
        <v>-21509</v>
      </c>
      <c r="AO78" s="653">
        <f t="shared" si="358"/>
        <v>-21509</v>
      </c>
      <c r="AP78" s="40">
        <f t="shared" si="358"/>
        <v>-22504</v>
      </c>
      <c r="AQ78" s="630">
        <f t="shared" ref="AQ78:AS78" si="359">-AQ26-AQ33</f>
        <v>-23359</v>
      </c>
      <c r="AR78" s="653">
        <f t="shared" si="359"/>
        <v>-23359</v>
      </c>
      <c r="AS78" s="40">
        <f t="shared" si="359"/>
        <v>-24438</v>
      </c>
      <c r="AT78" s="630">
        <f t="shared" ref="AT78:AV78" si="360">-AT26-AT33</f>
        <v>-25730</v>
      </c>
      <c r="AU78" s="653">
        <f t="shared" si="360"/>
        <v>-25730</v>
      </c>
      <c r="AV78" s="40">
        <f t="shared" si="360"/>
        <v>-26521</v>
      </c>
      <c r="AW78" s="630">
        <f t="shared" ref="AW78" si="361">-AW26-AW33</f>
        <v>-27235</v>
      </c>
      <c r="AX78" s="653">
        <f>-AX26-AX33</f>
        <v>-27235</v>
      </c>
      <c r="AY78" s="40">
        <f t="shared" ref="AY78" si="362">-AY26-AY33</f>
        <v>-28398</v>
      </c>
      <c r="AZ78" s="236">
        <f>-AZ26-AZ33</f>
        <v>-27240.568638323231</v>
      </c>
      <c r="BA78" s="605">
        <f>-BA26-BA33</f>
        <v>-27240.568638323231</v>
      </c>
      <c r="BB78" s="56">
        <f t="shared" ref="BB78" si="363">-BB26-BB33</f>
        <v>-28460.187138849575</v>
      </c>
      <c r="BC78" s="236">
        <f>-BC26-BC33</f>
        <v>-27444.397986832711</v>
      </c>
      <c r="BD78" s="605">
        <f t="shared" si="353"/>
        <v>-27444.397986832711</v>
      </c>
      <c r="BE78" s="56">
        <f t="shared" si="353"/>
        <v>-27628.196669283014</v>
      </c>
      <c r="BF78" s="236">
        <f>-BF26-BF33</f>
        <v>-28225.78887328718</v>
      </c>
      <c r="BG78" s="605">
        <f t="shared" si="353"/>
        <v>-28225.78887328718</v>
      </c>
      <c r="BH78" s="56">
        <f t="shared" si="353"/>
        <v>-28524.360416841497</v>
      </c>
      <c r="BI78" s="236">
        <f>-BI26-BI33</f>
        <v>-29241.869362016452</v>
      </c>
      <c r="BJ78" s="605">
        <f>-BJ26-BJ33</f>
        <v>-29241.869362016452</v>
      </c>
      <c r="BK78" s="56">
        <f t="shared" si="353"/>
        <v>-29598.338090098739</v>
      </c>
      <c r="BL78" s="236">
        <f>-BL26-BL33</f>
        <v>-30375.826813552412</v>
      </c>
      <c r="BM78" s="605">
        <f>-BM26-BM33</f>
        <v>-30375.826813552412</v>
      </c>
    </row>
    <row r="79" spans="1:65">
      <c r="A79" s="68" t="s">
        <v>359</v>
      </c>
      <c r="B79" s="46">
        <f t="shared" ref="B79:BM79" si="364">SUM(B76:B78)</f>
        <v>663</v>
      </c>
      <c r="C79" s="46">
        <f t="shared" si="364"/>
        <v>773</v>
      </c>
      <c r="D79" s="46">
        <f t="shared" si="364"/>
        <v>485</v>
      </c>
      <c r="E79" s="46">
        <f t="shared" si="364"/>
        <v>450</v>
      </c>
      <c r="F79" s="46">
        <f t="shared" si="364"/>
        <v>201</v>
      </c>
      <c r="G79" s="46">
        <f t="shared" si="364"/>
        <v>17</v>
      </c>
      <c r="H79" s="46">
        <f t="shared" si="364"/>
        <v>-205</v>
      </c>
      <c r="I79" s="46">
        <f t="shared" si="364"/>
        <v>-913</v>
      </c>
      <c r="J79" s="46">
        <f t="shared" si="364"/>
        <v>-524</v>
      </c>
      <c r="K79" s="46">
        <f t="shared" si="364"/>
        <v>-464</v>
      </c>
      <c r="L79" s="46">
        <f t="shared" si="364"/>
        <v>-809</v>
      </c>
      <c r="M79" s="46">
        <f t="shared" si="364"/>
        <v>-980</v>
      </c>
      <c r="N79" s="46">
        <f t="shared" si="364"/>
        <v>-1228</v>
      </c>
      <c r="O79" s="46">
        <f t="shared" si="364"/>
        <v>-772</v>
      </c>
      <c r="P79" s="46">
        <f t="shared" si="364"/>
        <v>-959</v>
      </c>
      <c r="Q79" s="46">
        <f t="shared" si="364"/>
        <v>-359</v>
      </c>
      <c r="R79" s="46">
        <f t="shared" ref="R79:S79" si="365">SUM(R76:R78)</f>
        <v>-21</v>
      </c>
      <c r="S79" s="643">
        <f t="shared" si="365"/>
        <v>-1374</v>
      </c>
      <c r="T79" s="667">
        <f t="shared" si="364"/>
        <v>-1374</v>
      </c>
      <c r="U79" s="46">
        <f t="shared" ref="U79:V79" si="366">SUM(U76:U78)</f>
        <v>-859</v>
      </c>
      <c r="V79" s="643">
        <f t="shared" si="366"/>
        <v>-2126</v>
      </c>
      <c r="W79" s="667">
        <f t="shared" si="364"/>
        <v>-2126</v>
      </c>
      <c r="X79" s="46"/>
      <c r="Y79" s="643"/>
      <c r="Z79" s="667">
        <f t="shared" si="364"/>
        <v>-6733</v>
      </c>
      <c r="AA79" s="46">
        <f t="shared" ref="AA79:AB79" si="367">SUM(AA76:AA78)</f>
        <v>-6950</v>
      </c>
      <c r="AB79" s="643">
        <f t="shared" si="367"/>
        <v>-8328</v>
      </c>
      <c r="AC79" s="667">
        <f>SUM(AC76:AC78)</f>
        <v>-8328</v>
      </c>
      <c r="AD79" s="46">
        <f t="shared" ref="AD79:AE79" si="368">SUM(AD76:AD78)</f>
        <v>-8251</v>
      </c>
      <c r="AE79" s="643">
        <f t="shared" si="368"/>
        <v>-9881</v>
      </c>
      <c r="AF79" s="667">
        <f>SUM(AF76:AF78)</f>
        <v>-9881</v>
      </c>
      <c r="AG79" s="46">
        <f t="shared" ref="AG79:AH79" si="369">SUM(AG76:AG78)</f>
        <v>-8702</v>
      </c>
      <c r="AH79" s="643">
        <f t="shared" si="369"/>
        <v>-8352</v>
      </c>
      <c r="AI79" s="667">
        <f t="shared" si="364"/>
        <v>-8352</v>
      </c>
      <c r="AJ79" s="46">
        <f t="shared" ref="AJ79:AK79" si="370">SUM(AJ76:AJ78)</f>
        <v>-7607</v>
      </c>
      <c r="AK79" s="643">
        <f t="shared" si="370"/>
        <v>-7378</v>
      </c>
      <c r="AL79" s="667">
        <f>SUM(AL76:AL78)</f>
        <v>-7378</v>
      </c>
      <c r="AM79" s="46">
        <f t="shared" ref="AM79:AN79" si="371">SUM(AM76:AM78)</f>
        <v>-7776</v>
      </c>
      <c r="AN79" s="643">
        <f t="shared" si="371"/>
        <v>-8384</v>
      </c>
      <c r="AO79" s="667">
        <f t="shared" si="364"/>
        <v>-8384</v>
      </c>
      <c r="AP79" s="46">
        <f t="shared" ref="AP79:AQ79" si="372">SUM(AP76:AP78)</f>
        <v>-8664</v>
      </c>
      <c r="AQ79" s="643">
        <f t="shared" si="372"/>
        <v>-9146</v>
      </c>
      <c r="AR79" s="667">
        <f t="shared" ref="AR79:AT79" si="373">SUM(AR76:AR78)</f>
        <v>-9146</v>
      </c>
      <c r="AS79" s="46">
        <f t="shared" si="373"/>
        <v>-9431</v>
      </c>
      <c r="AT79" s="643">
        <f t="shared" si="373"/>
        <v>-10112</v>
      </c>
      <c r="AU79" s="667">
        <f t="shared" ref="AU79:AW79" si="374">SUM(AU76:AU78)</f>
        <v>-10112</v>
      </c>
      <c r="AV79" s="46">
        <f t="shared" si="374"/>
        <v>-10490</v>
      </c>
      <c r="AW79" s="643">
        <f t="shared" si="374"/>
        <v>-10664</v>
      </c>
      <c r="AX79" s="667">
        <f t="shared" ref="AX79:AY79" si="375">SUM(AX76:AX78)</f>
        <v>-10664</v>
      </c>
      <c r="AY79" s="46">
        <f t="shared" si="375"/>
        <v>-10922</v>
      </c>
      <c r="AZ79" s="250">
        <f t="shared" si="364"/>
        <v>-11262.595950437379</v>
      </c>
      <c r="BA79" s="615">
        <f t="shared" si="364"/>
        <v>-11262.595950437379</v>
      </c>
      <c r="BB79" s="249">
        <f t="shared" si="364"/>
        <v>-13412.062225474712</v>
      </c>
      <c r="BC79" s="250">
        <f t="shared" si="364"/>
        <v>-12024.662339641063</v>
      </c>
      <c r="BD79" s="615">
        <f t="shared" si="364"/>
        <v>-12024.662339641063</v>
      </c>
      <c r="BE79" s="249">
        <f t="shared" si="364"/>
        <v>-13037.699179120274</v>
      </c>
      <c r="BF79" s="250">
        <f t="shared" si="364"/>
        <v>-13089.390860792317</v>
      </c>
      <c r="BG79" s="615">
        <f t="shared" si="364"/>
        <v>-13089.390860792317</v>
      </c>
      <c r="BH79" s="249">
        <f t="shared" si="364"/>
        <v>-13803.16924917593</v>
      </c>
      <c r="BI79" s="250">
        <f t="shared" si="364"/>
        <v>-14017.893408439884</v>
      </c>
      <c r="BJ79" s="615">
        <f t="shared" si="364"/>
        <v>-14017.893408439884</v>
      </c>
      <c r="BK79" s="249">
        <f t="shared" si="364"/>
        <v>-14666.291920526424</v>
      </c>
      <c r="BL79" s="250">
        <f t="shared" si="364"/>
        <v>-14952.555190105675</v>
      </c>
      <c r="BM79" s="615">
        <f t="shared" si="364"/>
        <v>-14952.555190105675</v>
      </c>
    </row>
    <row r="80" spans="1:65">
      <c r="A80" s="65" t="s">
        <v>237</v>
      </c>
      <c r="B80" s="51"/>
      <c r="C80" s="40">
        <f t="shared" ref="C80:Q80" si="376">C85</f>
        <v>268</v>
      </c>
      <c r="D80" s="40">
        <f t="shared" si="376"/>
        <v>384</v>
      </c>
      <c r="E80" s="40">
        <f t="shared" si="376"/>
        <v>454</v>
      </c>
      <c r="F80" s="40">
        <f t="shared" si="376"/>
        <v>389</v>
      </c>
      <c r="G80" s="40">
        <f t="shared" si="376"/>
        <v>367</v>
      </c>
      <c r="H80" s="40">
        <f t="shared" si="376"/>
        <v>393</v>
      </c>
      <c r="I80" s="40">
        <f t="shared" si="376"/>
        <v>550</v>
      </c>
      <c r="J80" s="40">
        <f t="shared" si="376"/>
        <v>848</v>
      </c>
      <c r="K80" s="40">
        <f t="shared" si="376"/>
        <v>970</v>
      </c>
      <c r="L80" s="40">
        <f t="shared" si="376"/>
        <v>920</v>
      </c>
      <c r="M80" s="40">
        <f t="shared" si="376"/>
        <v>956</v>
      </c>
      <c r="N80" s="40">
        <f t="shared" si="376"/>
        <v>1312</v>
      </c>
      <c r="O80" s="40">
        <f t="shared" si="376"/>
        <v>1342</v>
      </c>
      <c r="P80" s="40">
        <f t="shared" si="376"/>
        <v>1805</v>
      </c>
      <c r="Q80" s="40">
        <f t="shared" si="376"/>
        <v>2211</v>
      </c>
      <c r="R80" s="40">
        <f>R85</f>
        <v>2360</v>
      </c>
      <c r="S80" s="630">
        <f t="shared" ref="S80" si="377">S85</f>
        <v>2441</v>
      </c>
      <c r="T80" s="653">
        <f t="shared" ref="T80:AI80" si="378">T85</f>
        <v>2441</v>
      </c>
      <c r="U80" s="40">
        <f>U85</f>
        <v>2560</v>
      </c>
      <c r="V80" s="630">
        <f t="shared" ref="V80" si="379">V85</f>
        <v>2503</v>
      </c>
      <c r="W80" s="653">
        <f t="shared" si="378"/>
        <v>2503</v>
      </c>
      <c r="X80" s="40"/>
      <c r="Y80" s="630"/>
      <c r="Z80" s="653">
        <f t="shared" si="378"/>
        <v>-3543</v>
      </c>
      <c r="AA80" s="40">
        <f>AA85</f>
        <v>-4103</v>
      </c>
      <c r="AB80" s="630">
        <f t="shared" ref="AB80" si="380">AB85</f>
        <v>-4487</v>
      </c>
      <c r="AC80" s="653">
        <f t="shared" si="378"/>
        <v>-4487</v>
      </c>
      <c r="AD80" s="40">
        <f>AD85</f>
        <v>-4730</v>
      </c>
      <c r="AE80" s="630">
        <f t="shared" ref="AE80" si="381">AE85</f>
        <v>-5698</v>
      </c>
      <c r="AF80" s="653">
        <f t="shared" si="378"/>
        <v>-5698</v>
      </c>
      <c r="AG80" s="40">
        <f>AG85</f>
        <v>-6393</v>
      </c>
      <c r="AH80" s="630">
        <f t="shared" ref="AH80" si="382">AH85</f>
        <v>-6115</v>
      </c>
      <c r="AI80" s="653">
        <f t="shared" si="378"/>
        <v>-6115</v>
      </c>
      <c r="AJ80" s="40">
        <f>AJ85</f>
        <v>-6048</v>
      </c>
      <c r="AK80" s="630">
        <f t="shared" ref="AK80" si="383">AK85</f>
        <v>-6214</v>
      </c>
      <c r="AL80" s="653">
        <f>AL85</f>
        <v>-6214</v>
      </c>
      <c r="AM80" s="40">
        <f>AM85</f>
        <v>-6736</v>
      </c>
      <c r="AN80" s="630">
        <f t="shared" ref="AN80" si="384">AN85</f>
        <v>-7372</v>
      </c>
      <c r="AO80" s="653">
        <f>AO85</f>
        <v>-7372</v>
      </c>
      <c r="AP80" s="40">
        <f>AP85</f>
        <v>-8229</v>
      </c>
      <c r="AQ80" s="630">
        <f t="shared" ref="AQ80" si="385">AQ85</f>
        <v>-9080</v>
      </c>
      <c r="AR80" s="653">
        <f>AR85</f>
        <v>-9080</v>
      </c>
      <c r="AS80" s="40">
        <f>AS85</f>
        <v>-9868</v>
      </c>
      <c r="AT80" s="630">
        <f t="shared" ref="AT80" si="386">AT85</f>
        <v>-10184</v>
      </c>
      <c r="AU80" s="653">
        <f>AU85</f>
        <v>-10184</v>
      </c>
      <c r="AV80" s="40">
        <f>AV85</f>
        <v>-10693</v>
      </c>
      <c r="AW80" s="630">
        <f t="shared" ref="AW80" si="387">AW85</f>
        <v>-10397</v>
      </c>
      <c r="AX80" s="653">
        <f>AX85</f>
        <v>-10397</v>
      </c>
      <c r="AY80" s="40">
        <f>AY85</f>
        <v>-10435</v>
      </c>
      <c r="AZ80" s="601">
        <f t="shared" ref="AZ80:BM80" si="388">AZ85</f>
        <v>-10402.56863832323</v>
      </c>
      <c r="BA80" s="625">
        <f t="shared" si="388"/>
        <v>-10402.56863832323</v>
      </c>
      <c r="BB80" s="49">
        <f t="shared" si="388"/>
        <v>-10238.187138849575</v>
      </c>
      <c r="BC80" s="601">
        <f t="shared" si="388"/>
        <v>-10606.397986832711</v>
      </c>
      <c r="BD80" s="625">
        <f t="shared" si="388"/>
        <v>-10606.397986832711</v>
      </c>
      <c r="BE80" s="49">
        <f t="shared" si="388"/>
        <v>-10790.196669283014</v>
      </c>
      <c r="BF80" s="601">
        <f t="shared" si="388"/>
        <v>-11387.788873287178</v>
      </c>
      <c r="BG80" s="625">
        <f t="shared" si="388"/>
        <v>-11387.788873287178</v>
      </c>
      <c r="BH80" s="49">
        <f t="shared" si="388"/>
        <v>-11686.360416841497</v>
      </c>
      <c r="BI80" s="601">
        <f t="shared" si="388"/>
        <v>-12403.869362016452</v>
      </c>
      <c r="BJ80" s="625">
        <f t="shared" si="388"/>
        <v>-12403.869362016452</v>
      </c>
      <c r="BK80" s="49">
        <f t="shared" si="388"/>
        <v>-12760.338090098741</v>
      </c>
      <c r="BL80" s="601">
        <f t="shared" si="388"/>
        <v>-13537.826813552412</v>
      </c>
      <c r="BM80" s="625">
        <f t="shared" si="388"/>
        <v>-13537.826813552412</v>
      </c>
    </row>
    <row r="81" spans="1:66">
      <c r="A81" s="72" t="s">
        <v>363</v>
      </c>
      <c r="B81" s="51"/>
      <c r="C81" s="51">
        <f t="shared" ref="C81:V81" si="389">C79-C80</f>
        <v>505</v>
      </c>
      <c r="D81" s="51">
        <f t="shared" si="389"/>
        <v>101</v>
      </c>
      <c r="E81" s="51">
        <f t="shared" si="389"/>
        <v>-4</v>
      </c>
      <c r="F81" s="51">
        <f t="shared" si="389"/>
        <v>-188</v>
      </c>
      <c r="G81" s="51">
        <f t="shared" si="389"/>
        <v>-350</v>
      </c>
      <c r="H81" s="51">
        <f t="shared" si="389"/>
        <v>-598</v>
      </c>
      <c r="I81" s="51">
        <f t="shared" si="389"/>
        <v>-1463</v>
      </c>
      <c r="J81" s="51">
        <f t="shared" si="389"/>
        <v>-1372</v>
      </c>
      <c r="K81" s="51">
        <f t="shared" si="389"/>
        <v>-1434</v>
      </c>
      <c r="L81" s="51">
        <f t="shared" si="389"/>
        <v>-1729</v>
      </c>
      <c r="M81" s="51">
        <f t="shared" si="389"/>
        <v>-1936</v>
      </c>
      <c r="N81" s="51">
        <f t="shared" si="389"/>
        <v>-2540</v>
      </c>
      <c r="O81" s="51">
        <f t="shared" si="389"/>
        <v>-2114</v>
      </c>
      <c r="P81" s="51">
        <f t="shared" si="389"/>
        <v>-2764</v>
      </c>
      <c r="Q81" s="51">
        <f t="shared" si="389"/>
        <v>-2570</v>
      </c>
      <c r="R81" s="51">
        <f t="shared" ref="R81:S81" si="390">R79-R80</f>
        <v>-2381</v>
      </c>
      <c r="S81" s="629">
        <f t="shared" si="390"/>
        <v>-3815</v>
      </c>
      <c r="T81" s="652">
        <f t="shared" si="389"/>
        <v>-3815</v>
      </c>
      <c r="U81" s="51">
        <f t="shared" si="389"/>
        <v>-3419</v>
      </c>
      <c r="V81" s="629">
        <f t="shared" si="389"/>
        <v>-4629</v>
      </c>
      <c r="W81" s="652">
        <f t="shared" ref="W81:BM81" si="391">W79-W80</f>
        <v>-4629</v>
      </c>
      <c r="X81" s="51"/>
      <c r="Y81" s="629"/>
      <c r="Z81" s="652">
        <f t="shared" si="391"/>
        <v>-3190</v>
      </c>
      <c r="AA81" s="51">
        <f t="shared" si="391"/>
        <v>-2847</v>
      </c>
      <c r="AB81" s="629">
        <f t="shared" si="391"/>
        <v>-3841</v>
      </c>
      <c r="AC81" s="652">
        <f t="shared" si="391"/>
        <v>-3841</v>
      </c>
      <c r="AD81" s="51">
        <f t="shared" ref="AD81:AE81" si="392">AD79-AD80</f>
        <v>-3521</v>
      </c>
      <c r="AE81" s="629">
        <f t="shared" si="392"/>
        <v>-4183</v>
      </c>
      <c r="AF81" s="652">
        <f t="shared" si="391"/>
        <v>-4183</v>
      </c>
      <c r="AG81" s="51">
        <f t="shared" si="391"/>
        <v>-2309</v>
      </c>
      <c r="AH81" s="629">
        <f t="shared" si="391"/>
        <v>-2237</v>
      </c>
      <c r="AI81" s="652">
        <f>AI79-AI80</f>
        <v>-2237</v>
      </c>
      <c r="AJ81" s="51">
        <f t="shared" ref="AJ81:AK81" si="393">AJ79-AJ80</f>
        <v>-1559</v>
      </c>
      <c r="AK81" s="629">
        <f t="shared" si="393"/>
        <v>-1164</v>
      </c>
      <c r="AL81" s="652">
        <f t="shared" si="391"/>
        <v>-1164</v>
      </c>
      <c r="AM81" s="51">
        <f t="shared" si="391"/>
        <v>-1040</v>
      </c>
      <c r="AN81" s="629">
        <f t="shared" si="391"/>
        <v>-1012</v>
      </c>
      <c r="AO81" s="652">
        <f t="shared" si="391"/>
        <v>-1012</v>
      </c>
      <c r="AP81" s="51">
        <f t="shared" ref="AP81:AR81" si="394">AP79-AP80</f>
        <v>-435</v>
      </c>
      <c r="AQ81" s="629">
        <f t="shared" si="394"/>
        <v>-66</v>
      </c>
      <c r="AR81" s="652">
        <f t="shared" si="394"/>
        <v>-66</v>
      </c>
      <c r="AS81" s="51">
        <f t="shared" ref="AS81:AU81" si="395">AS79-AS80</f>
        <v>437</v>
      </c>
      <c r="AT81" s="629">
        <f t="shared" si="395"/>
        <v>72</v>
      </c>
      <c r="AU81" s="652">
        <f t="shared" si="395"/>
        <v>72</v>
      </c>
      <c r="AV81" s="51">
        <f t="shared" ref="AV81:AW81" si="396">AV79-AV80</f>
        <v>203</v>
      </c>
      <c r="AW81" s="629">
        <f t="shared" si="396"/>
        <v>-267</v>
      </c>
      <c r="AX81" s="652">
        <f t="shared" si="391"/>
        <v>-267</v>
      </c>
      <c r="AY81" s="51">
        <f t="shared" si="391"/>
        <v>-487</v>
      </c>
      <c r="AZ81" s="600">
        <f t="shared" si="391"/>
        <v>-860.02731211414903</v>
      </c>
      <c r="BA81" s="624">
        <f t="shared" si="391"/>
        <v>-860.02731211414903</v>
      </c>
      <c r="BB81" s="52">
        <f t="shared" si="391"/>
        <v>-3173.8750866251376</v>
      </c>
      <c r="BC81" s="600">
        <f t="shared" si="391"/>
        <v>-1418.2643528083518</v>
      </c>
      <c r="BD81" s="624">
        <f t="shared" si="391"/>
        <v>-1418.2643528083518</v>
      </c>
      <c r="BE81" s="52">
        <f t="shared" si="391"/>
        <v>-2247.5025098372607</v>
      </c>
      <c r="BF81" s="600">
        <f t="shared" si="391"/>
        <v>-1701.6019875051388</v>
      </c>
      <c r="BG81" s="624">
        <f t="shared" si="391"/>
        <v>-1701.6019875051388</v>
      </c>
      <c r="BH81" s="52">
        <f t="shared" si="391"/>
        <v>-2116.8088323344327</v>
      </c>
      <c r="BI81" s="600">
        <f t="shared" si="391"/>
        <v>-1614.0240464234321</v>
      </c>
      <c r="BJ81" s="624">
        <f t="shared" si="391"/>
        <v>-1614.0240464234321</v>
      </c>
      <c r="BK81" s="52">
        <f t="shared" si="391"/>
        <v>-1905.953830427683</v>
      </c>
      <c r="BL81" s="600">
        <f t="shared" si="391"/>
        <v>-1414.7283765532629</v>
      </c>
      <c r="BM81" s="624">
        <f t="shared" si="391"/>
        <v>-1414.7283765532629</v>
      </c>
    </row>
    <row r="82" spans="1:66">
      <c r="B82" s="40"/>
      <c r="C82" s="40"/>
      <c r="D82" s="40"/>
      <c r="E82" s="40"/>
      <c r="F82" s="40"/>
      <c r="G82" s="40"/>
      <c r="H82" s="40"/>
      <c r="I82" s="40"/>
      <c r="J82" s="40"/>
      <c r="K82" s="40"/>
      <c r="L82" s="40"/>
      <c r="M82" s="40"/>
      <c r="N82" s="40"/>
      <c r="O82" s="40"/>
      <c r="P82" s="40"/>
      <c r="Q82" s="40"/>
      <c r="R82" s="40"/>
      <c r="S82" s="630"/>
      <c r="T82" s="653"/>
      <c r="U82" s="40"/>
      <c r="V82" s="630"/>
      <c r="W82" s="653"/>
      <c r="X82" s="40"/>
      <c r="Y82" s="630"/>
      <c r="Z82" s="653"/>
      <c r="AA82" s="40"/>
      <c r="AB82" s="630"/>
      <c r="AC82" s="653"/>
      <c r="AD82" s="40"/>
      <c r="AE82" s="630"/>
      <c r="AF82" s="653"/>
      <c r="AG82" s="40"/>
      <c r="AH82" s="630"/>
      <c r="AI82" s="653"/>
      <c r="AJ82" s="40"/>
      <c r="AK82" s="630"/>
      <c r="AL82" s="653"/>
      <c r="AM82" s="40"/>
      <c r="AN82" s="630"/>
      <c r="AO82" s="653"/>
      <c r="AP82" s="40"/>
      <c r="AQ82" s="539"/>
      <c r="AR82" s="550"/>
      <c r="AS82" s="40"/>
      <c r="AT82" s="539"/>
      <c r="AU82" s="550"/>
      <c r="AV82"/>
      <c r="AW82" s="539"/>
      <c r="AX82" s="550"/>
      <c r="AY82"/>
      <c r="AZ82" s="539"/>
      <c r="BA82" s="550"/>
      <c r="BB82"/>
      <c r="BC82" s="539"/>
      <c r="BD82" s="550"/>
      <c r="BE82"/>
      <c r="BF82" s="539"/>
      <c r="BG82" s="550"/>
      <c r="BH82"/>
      <c r="BI82" s="539"/>
      <c r="BJ82" s="550"/>
      <c r="BK82"/>
      <c r="BL82" s="539"/>
      <c r="BM82" s="550"/>
    </row>
    <row r="83" spans="1:66">
      <c r="A83" s="25" t="s">
        <v>318</v>
      </c>
      <c r="B83" s="40"/>
      <c r="C83" s="40"/>
      <c r="D83" s="40"/>
      <c r="E83" s="40"/>
      <c r="F83" s="40"/>
      <c r="G83" s="40"/>
      <c r="H83" s="40"/>
      <c r="I83" s="40"/>
      <c r="J83" s="40"/>
      <c r="K83" s="40"/>
      <c r="L83" s="40"/>
      <c r="M83" s="40"/>
      <c r="N83" s="40">
        <v>1629</v>
      </c>
      <c r="O83" s="40">
        <v>1901</v>
      </c>
      <c r="P83" s="40">
        <v>2492</v>
      </c>
      <c r="Q83" s="40">
        <v>2994</v>
      </c>
      <c r="R83" s="40">
        <v>3275</v>
      </c>
      <c r="S83" s="630">
        <f>T83</f>
        <v>3348</v>
      </c>
      <c r="T83" s="653">
        <v>3348</v>
      </c>
      <c r="U83" s="40">
        <v>3545</v>
      </c>
      <c r="V83" s="630">
        <f>W83</f>
        <v>3536</v>
      </c>
      <c r="W83" s="653">
        <v>3536</v>
      </c>
      <c r="X83" s="40"/>
      <c r="Y83" s="630"/>
      <c r="Z83" s="653">
        <v>1027</v>
      </c>
      <c r="AA83" s="40">
        <v>1215</v>
      </c>
      <c r="AB83" s="630">
        <f>AC83</f>
        <v>1097</v>
      </c>
      <c r="AC83" s="653">
        <v>1097</v>
      </c>
      <c r="AD83" s="40">
        <v>1217</v>
      </c>
      <c r="AE83" s="630">
        <f>AF83</f>
        <v>1086</v>
      </c>
      <c r="AF83" s="653">
        <v>1086</v>
      </c>
      <c r="AG83" s="40">
        <v>720</v>
      </c>
      <c r="AH83" s="630">
        <f>AI83</f>
        <v>726</v>
      </c>
      <c r="AI83" s="653">
        <v>726</v>
      </c>
      <c r="AJ83" s="40">
        <v>847</v>
      </c>
      <c r="AK83" s="630">
        <f>AL83</f>
        <v>915</v>
      </c>
      <c r="AL83" s="653">
        <v>915</v>
      </c>
      <c r="AM83" s="40">
        <v>928</v>
      </c>
      <c r="AN83" s="630">
        <f>AO83</f>
        <v>885</v>
      </c>
      <c r="AO83" s="653">
        <v>885</v>
      </c>
      <c r="AP83" s="40">
        <v>684</v>
      </c>
      <c r="AQ83" s="630">
        <f>AR83</f>
        <v>494</v>
      </c>
      <c r="AR83" s="653">
        <v>494</v>
      </c>
      <c r="AS83" s="40">
        <v>547</v>
      </c>
      <c r="AT83" s="630">
        <f>AU83</f>
        <v>955</v>
      </c>
      <c r="AU83" s="653">
        <v>955</v>
      </c>
      <c r="AV83" s="40">
        <v>882</v>
      </c>
      <c r="AW83" s="630">
        <f>AX83</f>
        <v>973</v>
      </c>
      <c r="AX83" s="653">
        <v>973</v>
      </c>
      <c r="AY83" s="40">
        <v>1023</v>
      </c>
      <c r="AZ83" s="539"/>
      <c r="BA83" s="550"/>
      <c r="BB83"/>
      <c r="BC83" s="539"/>
      <c r="BD83" s="550"/>
      <c r="BE83"/>
      <c r="BF83" s="539"/>
      <c r="BG83" s="550"/>
      <c r="BH83"/>
      <c r="BI83" s="539"/>
      <c r="BJ83" s="550"/>
      <c r="BK83"/>
      <c r="BL83" s="539"/>
      <c r="BM83" s="550"/>
    </row>
    <row r="84" spans="1:66">
      <c r="A84" s="25" t="s">
        <v>319</v>
      </c>
      <c r="B84" s="40"/>
      <c r="C84" s="40"/>
      <c r="D84" s="40"/>
      <c r="E84" s="40"/>
      <c r="F84" s="40"/>
      <c r="G84" s="40"/>
      <c r="H84" s="40"/>
      <c r="I84" s="40"/>
      <c r="J84" s="40"/>
      <c r="K84" s="40"/>
      <c r="L84" s="40"/>
      <c r="M84" s="40"/>
      <c r="N84" s="40">
        <v>-317</v>
      </c>
      <c r="O84" s="40">
        <v>-559</v>
      </c>
      <c r="P84" s="40">
        <v>-687</v>
      </c>
      <c r="Q84" s="40">
        <v>-783</v>
      </c>
      <c r="R84" s="40">
        <v>-915</v>
      </c>
      <c r="S84" s="630">
        <f>T84</f>
        <v>-907</v>
      </c>
      <c r="T84" s="653">
        <v>-907</v>
      </c>
      <c r="U84" s="40">
        <v>-985</v>
      </c>
      <c r="V84" s="630">
        <f>W84</f>
        <v>-1033</v>
      </c>
      <c r="W84" s="653">
        <v>-1033</v>
      </c>
      <c r="X84" s="40"/>
      <c r="Y84" s="630"/>
      <c r="Z84" s="653">
        <v>-4570</v>
      </c>
      <c r="AA84" s="40">
        <v>-5318</v>
      </c>
      <c r="AB84" s="630">
        <f>AC84</f>
        <v>-5584</v>
      </c>
      <c r="AC84" s="653">
        <v>-5584</v>
      </c>
      <c r="AD84" s="40">
        <v>-5947</v>
      </c>
      <c r="AE84" s="630">
        <f>AF84</f>
        <v>-6784</v>
      </c>
      <c r="AF84" s="653">
        <v>-6784</v>
      </c>
      <c r="AG84" s="40">
        <v>-7113</v>
      </c>
      <c r="AH84" s="630">
        <f>AI84</f>
        <v>-6841</v>
      </c>
      <c r="AI84" s="653">
        <v>-6841</v>
      </c>
      <c r="AJ84" s="40">
        <v>-6895</v>
      </c>
      <c r="AK84" s="630">
        <f>AL84</f>
        <v>-7129</v>
      </c>
      <c r="AL84" s="653">
        <v>-7129</v>
      </c>
      <c r="AM84" s="40">
        <v>-7664</v>
      </c>
      <c r="AN84" s="630">
        <f>AO84</f>
        <v>-8257</v>
      </c>
      <c r="AO84" s="653">
        <v>-8257</v>
      </c>
      <c r="AP84" s="40">
        <v>-8913</v>
      </c>
      <c r="AQ84" s="630">
        <f>AR84</f>
        <v>-9574</v>
      </c>
      <c r="AR84" s="653">
        <v>-9574</v>
      </c>
      <c r="AS84" s="40">
        <v>-10415</v>
      </c>
      <c r="AT84" s="630">
        <f>AU84</f>
        <v>-11139</v>
      </c>
      <c r="AU84" s="653">
        <v>-11139</v>
      </c>
      <c r="AV84" s="40">
        <v>-11575</v>
      </c>
      <c r="AW84" s="630">
        <f>AX84</f>
        <v>-11370</v>
      </c>
      <c r="AX84" s="653">
        <v>-11370</v>
      </c>
      <c r="AY84" s="40">
        <v>-11458</v>
      </c>
      <c r="AZ84" s="539"/>
      <c r="BA84" s="550"/>
      <c r="BB84"/>
      <c r="BC84" s="539"/>
      <c r="BD84" s="550"/>
      <c r="BE84"/>
      <c r="BF84" s="539"/>
      <c r="BG84" s="550"/>
      <c r="BH84"/>
      <c r="BI84" s="539"/>
      <c r="BJ84" s="550"/>
      <c r="BK84"/>
      <c r="BL84" s="539"/>
      <c r="BM84" s="550"/>
    </row>
    <row r="85" spans="1:66" ht="11.4">
      <c r="A85" s="68" t="s">
        <v>716</v>
      </c>
      <c r="B85" s="267"/>
      <c r="C85" s="46">
        <v>268</v>
      </c>
      <c r="D85" s="46">
        <v>384</v>
      </c>
      <c r="E85" s="46">
        <v>454</v>
      </c>
      <c r="F85" s="46">
        <v>389</v>
      </c>
      <c r="G85" s="46">
        <v>367</v>
      </c>
      <c r="H85" s="46">
        <v>393</v>
      </c>
      <c r="I85" s="46">
        <v>550</v>
      </c>
      <c r="J85" s="46">
        <v>848</v>
      </c>
      <c r="K85" s="46">
        <v>970</v>
      </c>
      <c r="L85" s="46">
        <v>920</v>
      </c>
      <c r="M85" s="46">
        <v>956</v>
      </c>
      <c r="N85" s="46">
        <f t="shared" ref="N85:Z85" si="397">SUM(N83:N84)</f>
        <v>1312</v>
      </c>
      <c r="O85" s="46">
        <f t="shared" si="397"/>
        <v>1342</v>
      </c>
      <c r="P85" s="46">
        <f t="shared" si="397"/>
        <v>1805</v>
      </c>
      <c r="Q85" s="46">
        <f t="shared" si="397"/>
        <v>2211</v>
      </c>
      <c r="R85" s="46">
        <f t="shared" ref="R85" si="398">SUM(R83:R84)</f>
        <v>2360</v>
      </c>
      <c r="S85" s="643">
        <f t="shared" ref="S85" si="399">SUM(S83:S84)</f>
        <v>2441</v>
      </c>
      <c r="T85" s="667">
        <f t="shared" si="397"/>
        <v>2441</v>
      </c>
      <c r="U85" s="46">
        <f t="shared" ref="U85" si="400">SUM(U83:U84)</f>
        <v>2560</v>
      </c>
      <c r="V85" s="643">
        <f t="shared" ref="V85" si="401">SUM(V83:V84)</f>
        <v>2503</v>
      </c>
      <c r="W85" s="667">
        <f t="shared" si="397"/>
        <v>2503</v>
      </c>
      <c r="X85" s="46"/>
      <c r="Y85" s="643"/>
      <c r="Z85" s="667">
        <f t="shared" si="397"/>
        <v>-3543</v>
      </c>
      <c r="AA85" s="46">
        <f t="shared" ref="AA85" si="402">SUM(AA83:AA84)</f>
        <v>-4103</v>
      </c>
      <c r="AB85" s="643">
        <f t="shared" ref="AB85" si="403">SUM(AB83:AB84)</f>
        <v>-4487</v>
      </c>
      <c r="AC85" s="667">
        <f>SUM(AC83:AC84)</f>
        <v>-4487</v>
      </c>
      <c r="AD85" s="46">
        <f t="shared" ref="AD85" si="404">SUM(AD83:AD84)</f>
        <v>-4730</v>
      </c>
      <c r="AE85" s="643">
        <f t="shared" ref="AE85" si="405">SUM(AE83:AE84)</f>
        <v>-5698</v>
      </c>
      <c r="AF85" s="667">
        <f t="shared" ref="AF85:AP85" si="406">SUM(AF83:AF84)</f>
        <v>-5698</v>
      </c>
      <c r="AG85" s="46">
        <f t="shared" si="406"/>
        <v>-6393</v>
      </c>
      <c r="AH85" s="643">
        <f t="shared" si="406"/>
        <v>-6115</v>
      </c>
      <c r="AI85" s="667">
        <f t="shared" si="406"/>
        <v>-6115</v>
      </c>
      <c r="AJ85" s="46">
        <f t="shared" si="406"/>
        <v>-6048</v>
      </c>
      <c r="AK85" s="643">
        <f t="shared" si="406"/>
        <v>-6214</v>
      </c>
      <c r="AL85" s="667">
        <f t="shared" si="406"/>
        <v>-6214</v>
      </c>
      <c r="AM85" s="46">
        <f t="shared" si="406"/>
        <v>-6736</v>
      </c>
      <c r="AN85" s="643">
        <f t="shared" si="406"/>
        <v>-7372</v>
      </c>
      <c r="AO85" s="667">
        <f t="shared" si="406"/>
        <v>-7372</v>
      </c>
      <c r="AP85" s="46">
        <f t="shared" si="406"/>
        <v>-8229</v>
      </c>
      <c r="AQ85" s="643">
        <f t="shared" ref="AQ85:AS85" si="407">SUM(AQ83:AQ84)</f>
        <v>-9080</v>
      </c>
      <c r="AR85" s="667">
        <f t="shared" si="407"/>
        <v>-9080</v>
      </c>
      <c r="AS85" s="46">
        <f t="shared" si="407"/>
        <v>-9868</v>
      </c>
      <c r="AT85" s="643">
        <f t="shared" ref="AT85:AV85" si="408">SUM(AT83:AT84)</f>
        <v>-10184</v>
      </c>
      <c r="AU85" s="667">
        <f t="shared" si="408"/>
        <v>-10184</v>
      </c>
      <c r="AV85" s="46">
        <f t="shared" si="408"/>
        <v>-10693</v>
      </c>
      <c r="AW85" s="643">
        <f t="shared" ref="AW85" si="409">SUM(AW83:AW84)</f>
        <v>-10397</v>
      </c>
      <c r="AX85" s="667">
        <f t="shared" ref="AX85:AY85" si="410">SUM(AX83:AX84)</f>
        <v>-10397</v>
      </c>
      <c r="AY85" s="46">
        <f t="shared" si="410"/>
        <v>-10435</v>
      </c>
      <c r="AZ85" s="250">
        <f>BA85</f>
        <v>-10402.56863832323</v>
      </c>
      <c r="BA85" s="615">
        <f>+AX85+BA87</f>
        <v>-10402.56863832323</v>
      </c>
      <c r="BB85" s="249">
        <f>+BA85+BB87</f>
        <v>-10238.187138849575</v>
      </c>
      <c r="BC85" s="250">
        <f>BD85</f>
        <v>-10606.397986832711</v>
      </c>
      <c r="BD85" s="615">
        <f>+BA85+BD87</f>
        <v>-10606.397986832711</v>
      </c>
      <c r="BE85" s="249">
        <f>+BD85+BE87</f>
        <v>-10790.196669283014</v>
      </c>
      <c r="BF85" s="250">
        <f>BG85</f>
        <v>-11387.788873287178</v>
      </c>
      <c r="BG85" s="615">
        <f>+BD85+BG87</f>
        <v>-11387.788873287178</v>
      </c>
      <c r="BH85" s="249">
        <f>+BG85+BH87</f>
        <v>-11686.360416841497</v>
      </c>
      <c r="BI85" s="250">
        <f>BJ85</f>
        <v>-12403.869362016452</v>
      </c>
      <c r="BJ85" s="615">
        <f>+BG85+BJ87</f>
        <v>-12403.869362016452</v>
      </c>
      <c r="BK85" s="249">
        <f>+BJ85+BK87</f>
        <v>-12760.338090098741</v>
      </c>
      <c r="BL85" s="250">
        <f>BM85</f>
        <v>-13537.826813552412</v>
      </c>
      <c r="BM85" s="615">
        <f t="shared" ref="BM85" si="411">+BJ85+BM87</f>
        <v>-13537.826813552412</v>
      </c>
      <c r="BN85" s="38"/>
    </row>
    <row r="86" spans="1:66" ht="11.4">
      <c r="A86" s="31"/>
      <c r="B86" s="40"/>
      <c r="C86" s="40"/>
      <c r="D86" s="51"/>
      <c r="E86" s="51"/>
      <c r="F86" s="51"/>
      <c r="G86" s="51"/>
      <c r="H86" s="51"/>
      <c r="I86" s="51"/>
      <c r="J86" s="51"/>
      <c r="K86" s="51"/>
      <c r="L86" s="51"/>
      <c r="M86" s="51"/>
      <c r="N86" s="51"/>
      <c r="O86" s="51"/>
      <c r="P86" s="51"/>
      <c r="Q86" s="51"/>
      <c r="R86" s="51"/>
      <c r="S86" s="629"/>
      <c r="T86" s="652"/>
      <c r="U86" s="51"/>
      <c r="V86" s="629"/>
      <c r="W86" s="652"/>
      <c r="X86" s="51"/>
      <c r="Y86" s="629"/>
      <c r="Z86" s="652"/>
      <c r="AA86" s="40"/>
      <c r="AB86" s="630"/>
      <c r="AC86" s="653"/>
      <c r="AD86" s="40"/>
      <c r="AE86" s="630"/>
      <c r="AF86" s="653"/>
      <c r="AG86" s="40"/>
      <c r="AH86" s="630"/>
      <c r="AI86" s="653"/>
      <c r="AJ86" s="40"/>
      <c r="AK86" s="630"/>
      <c r="AL86" s="653"/>
      <c r="AM86" s="40"/>
      <c r="AN86" s="630"/>
      <c r="AO86" s="653"/>
      <c r="AP86" s="40"/>
      <c r="AQ86" s="539"/>
      <c r="AR86" s="550"/>
      <c r="AS86"/>
      <c r="AT86" s="539"/>
      <c r="AU86" s="550"/>
      <c r="AV86"/>
      <c r="AW86" s="539"/>
      <c r="AX86" s="550"/>
      <c r="AY86"/>
      <c r="AZ86" s="539"/>
      <c r="BA86" s="550"/>
      <c r="BB86"/>
      <c r="BC86" s="539"/>
      <c r="BD86" s="550"/>
      <c r="BE86"/>
      <c r="BF86" s="539"/>
      <c r="BG86" s="550"/>
      <c r="BH86"/>
      <c r="BI86" s="539"/>
      <c r="BJ86" s="550"/>
      <c r="BK86"/>
      <c r="BL86" s="539"/>
      <c r="BM86" s="550"/>
      <c r="BN86" s="38"/>
    </row>
    <row r="87" spans="1:66" ht="11.4">
      <c r="A87" s="25" t="s">
        <v>360</v>
      </c>
      <c r="B87" s="40"/>
      <c r="C87" s="40"/>
      <c r="D87" s="40">
        <f t="shared" ref="D87:Q87" si="412">D80-C80</f>
        <v>116</v>
      </c>
      <c r="E87" s="40">
        <f t="shared" si="412"/>
        <v>70</v>
      </c>
      <c r="F87" s="40">
        <f t="shared" si="412"/>
        <v>-65</v>
      </c>
      <c r="G87" s="40">
        <f t="shared" si="412"/>
        <v>-22</v>
      </c>
      <c r="H87" s="40">
        <f t="shared" si="412"/>
        <v>26</v>
      </c>
      <c r="I87" s="40">
        <f t="shared" si="412"/>
        <v>157</v>
      </c>
      <c r="J87" s="40">
        <f t="shared" si="412"/>
        <v>298</v>
      </c>
      <c r="K87" s="40">
        <f t="shared" si="412"/>
        <v>122</v>
      </c>
      <c r="L87" s="40">
        <f t="shared" si="412"/>
        <v>-50</v>
      </c>
      <c r="M87" s="40">
        <f t="shared" si="412"/>
        <v>36</v>
      </c>
      <c r="N87" s="40">
        <f t="shared" si="412"/>
        <v>356</v>
      </c>
      <c r="O87" s="40">
        <f t="shared" si="412"/>
        <v>30</v>
      </c>
      <c r="P87" s="40">
        <f t="shared" si="412"/>
        <v>463</v>
      </c>
      <c r="Q87" s="40">
        <f t="shared" si="412"/>
        <v>406</v>
      </c>
      <c r="R87" s="40">
        <f>R80-Q80</f>
        <v>149</v>
      </c>
      <c r="S87" s="630">
        <f>S80-R80</f>
        <v>81</v>
      </c>
      <c r="T87" s="653">
        <f>T80-Q80</f>
        <v>230</v>
      </c>
      <c r="U87" s="40">
        <f>U80-T80</f>
        <v>119</v>
      </c>
      <c r="V87" s="630">
        <f>V80-U80</f>
        <v>-57</v>
      </c>
      <c r="W87" s="653">
        <f>W80-T80</f>
        <v>62</v>
      </c>
      <c r="X87" s="40"/>
      <c r="Y87" s="630"/>
      <c r="Z87" s="653">
        <f>-CFS!Z118</f>
        <v>-1379</v>
      </c>
      <c r="AA87" s="40"/>
      <c r="AB87" s="630"/>
      <c r="AC87" s="653">
        <f>AC80-Z80</f>
        <v>-944</v>
      </c>
      <c r="AD87" s="40">
        <f>+SUM(AD88:AD91)</f>
        <v>-313.5</v>
      </c>
      <c r="AE87" s="630">
        <f t="shared" ref="AE87" si="413">+SUM(AE88:AE91)</f>
        <v>-897.5</v>
      </c>
      <c r="AF87" s="653">
        <f>AF80-AC80</f>
        <v>-1211</v>
      </c>
      <c r="AG87" s="40">
        <f>+SUM(AG88:AG91)</f>
        <v>-1975</v>
      </c>
      <c r="AH87" s="630">
        <f t="shared" ref="AH87" si="414">+SUM(AH88:AH91)</f>
        <v>497</v>
      </c>
      <c r="AI87" s="653">
        <f>+SUM(AI88:AI91)</f>
        <v>-1478</v>
      </c>
      <c r="AJ87" s="40">
        <f>+SUM(AJ88:AJ91)</f>
        <v>251.5</v>
      </c>
      <c r="AK87" s="630">
        <f t="shared" ref="AK87" si="415">+SUM(AK88:AK91)</f>
        <v>-136.5</v>
      </c>
      <c r="AL87" s="653">
        <f>+SUM(AL88:AL91)</f>
        <v>115</v>
      </c>
      <c r="AM87" s="40">
        <f>+SUM(AM88:AM91)</f>
        <v>-375</v>
      </c>
      <c r="AN87" s="630">
        <f t="shared" ref="AN87" si="416">+SUM(AN88:AN91)</f>
        <v>-423</v>
      </c>
      <c r="AO87" s="653">
        <f>+SUM(AO88:AO91)</f>
        <v>-798</v>
      </c>
      <c r="AP87" s="40">
        <f>+SUM(AP88:AP91)</f>
        <v>-834</v>
      </c>
      <c r="AQ87" s="630">
        <f t="shared" ref="AQ87" si="417">+SUM(AQ88:AQ91)</f>
        <v>-978</v>
      </c>
      <c r="AR87" s="653">
        <f>+SUM(AR88:AR91)</f>
        <v>-1812</v>
      </c>
      <c r="AS87" s="40">
        <f>+SUM(AS88:AS91)</f>
        <v>-530</v>
      </c>
      <c r="AT87" s="630">
        <f t="shared" ref="AT87" si="418">+SUM(AT88:AT91)</f>
        <v>-352</v>
      </c>
      <c r="AU87" s="653">
        <f>+SUM(AU88:AU91)</f>
        <v>-882</v>
      </c>
      <c r="AV87" s="40">
        <f>+SUM(AV88:AV91)</f>
        <v>-314</v>
      </c>
      <c r="AW87" s="630">
        <f t="shared" ref="AW87" si="419">+SUM(AW88:AW91)</f>
        <v>-286</v>
      </c>
      <c r="AX87" s="653">
        <f>+SUM(AX88:AX91)</f>
        <v>-600</v>
      </c>
      <c r="AY87" s="40">
        <f>+SUM(AY88:AY91)</f>
        <v>15</v>
      </c>
      <c r="AZ87" s="236">
        <f t="shared" ref="AZ87" si="420">+SUM(AZ88:AZ91)</f>
        <v>2.4313616767706208</v>
      </c>
      <c r="BA87" s="605">
        <f t="shared" ref="BA87:BM87" si="421">+SUM(BA88:BA91)</f>
        <v>-5.5686383232293792</v>
      </c>
      <c r="BB87" s="56">
        <f t="shared" si="421"/>
        <v>164.38149947365537</v>
      </c>
      <c r="BC87" s="236">
        <f t="shared" ref="BC87" si="422">+SUM(BC88:BC91)</f>
        <v>-368.21084798313632</v>
      </c>
      <c r="BD87" s="605">
        <f t="shared" si="421"/>
        <v>-203.82934850948095</v>
      </c>
      <c r="BE87" s="56">
        <f t="shared" si="421"/>
        <v>-183.79868245030138</v>
      </c>
      <c r="BF87" s="236">
        <f t="shared" ref="BF87" si="423">+SUM(BF88:BF91)</f>
        <v>-597.59220400416484</v>
      </c>
      <c r="BG87" s="605">
        <f t="shared" si="421"/>
        <v>-781.39088645446623</v>
      </c>
      <c r="BH87" s="56">
        <f t="shared" si="421"/>
        <v>-298.57154355431885</v>
      </c>
      <c r="BI87" s="236">
        <f t="shared" ref="BI87" si="424">+SUM(BI88:BI91)</f>
        <v>-717.50894517495522</v>
      </c>
      <c r="BJ87" s="605">
        <f t="shared" si="421"/>
        <v>-1016.0804887292741</v>
      </c>
      <c r="BK87" s="56">
        <f t="shared" si="421"/>
        <v>-356.46872808228909</v>
      </c>
      <c r="BL87" s="236">
        <f t="shared" ref="BL87" si="425">+SUM(BL88:BL91)</f>
        <v>-777.48872345367045</v>
      </c>
      <c r="BM87" s="605">
        <f t="shared" si="421"/>
        <v>-1133.9574515359595</v>
      </c>
      <c r="BN87" s="522"/>
    </row>
    <row r="88" spans="1:66" ht="11.4">
      <c r="A88" s="66" t="s">
        <v>782</v>
      </c>
      <c r="B88" s="40"/>
      <c r="C88" s="40"/>
      <c r="D88" s="40"/>
      <c r="E88" s="40"/>
      <c r="F88" s="40"/>
      <c r="G88" s="40"/>
      <c r="H88" s="40"/>
      <c r="I88" s="40"/>
      <c r="J88" s="40"/>
      <c r="K88" s="40"/>
      <c r="L88" s="40"/>
      <c r="M88" s="40"/>
      <c r="N88" s="40"/>
      <c r="O88" s="40"/>
      <c r="P88" s="40"/>
      <c r="Q88" s="40"/>
      <c r="R88" s="40"/>
      <c r="S88" s="630"/>
      <c r="T88" s="653"/>
      <c r="U88" s="40"/>
      <c r="V88" s="630"/>
      <c r="W88" s="653"/>
      <c r="X88" s="40"/>
      <c r="Y88" s="630"/>
      <c r="Z88" s="653"/>
      <c r="AA88" s="40"/>
      <c r="AB88" s="630"/>
      <c r="AC88" s="653">
        <v>-303</v>
      </c>
      <c r="AD88" s="40">
        <v>-8</v>
      </c>
      <c r="AE88" s="630">
        <f>AF88-AD88</f>
        <v>-92</v>
      </c>
      <c r="AF88" s="653">
        <v>-100</v>
      </c>
      <c r="AG88" s="40">
        <v>-1218</v>
      </c>
      <c r="AH88" s="630">
        <f>AI88-AG88</f>
        <v>157</v>
      </c>
      <c r="AI88" s="653">
        <v>-1061</v>
      </c>
      <c r="AJ88" s="40">
        <v>160</v>
      </c>
      <c r="AK88" s="630">
        <f>AL88-AJ88</f>
        <v>54</v>
      </c>
      <c r="AL88" s="653">
        <v>214</v>
      </c>
      <c r="AM88" s="40">
        <v>241</v>
      </c>
      <c r="AN88" s="630">
        <f>AO88-AM88</f>
        <v>119</v>
      </c>
      <c r="AO88" s="653">
        <v>360</v>
      </c>
      <c r="AP88" s="40">
        <v>23</v>
      </c>
      <c r="AQ88" s="630">
        <f>AR88-AP88</f>
        <v>-127</v>
      </c>
      <c r="AR88" s="653">
        <v>-104</v>
      </c>
      <c r="AS88" s="40">
        <v>258</v>
      </c>
      <c r="AT88" s="630">
        <f>AU88-AS88</f>
        <v>53</v>
      </c>
      <c r="AU88" s="653">
        <v>311</v>
      </c>
      <c r="AV88" s="40">
        <v>126</v>
      </c>
      <c r="AW88" s="630">
        <f>AX88-AV88</f>
        <v>153</v>
      </c>
      <c r="AX88" s="653">
        <v>279</v>
      </c>
      <c r="AY88" s="40">
        <v>356</v>
      </c>
      <c r="AZ88" s="236">
        <f>BA88-AY88</f>
        <v>144</v>
      </c>
      <c r="BA88" s="580">
        <v>500</v>
      </c>
      <c r="BB88" s="56">
        <f>BD88/2</f>
        <v>150</v>
      </c>
      <c r="BC88" s="236">
        <f>BD88-BB88</f>
        <v>150</v>
      </c>
      <c r="BD88" s="580">
        <v>300</v>
      </c>
      <c r="BE88" s="56">
        <f>BG88/2</f>
        <v>50</v>
      </c>
      <c r="BF88" s="236">
        <f>BG88-BE88</f>
        <v>50</v>
      </c>
      <c r="BG88" s="580">
        <v>100</v>
      </c>
      <c r="BH88" s="56">
        <f>BJ88/2</f>
        <v>0</v>
      </c>
      <c r="BI88" s="236">
        <f>BJ88-BH88</f>
        <v>0</v>
      </c>
      <c r="BJ88" s="580">
        <v>0</v>
      </c>
      <c r="BK88" s="56">
        <f>BM88/2</f>
        <v>0</v>
      </c>
      <c r="BL88" s="236">
        <f>BM88-BK88</f>
        <v>0</v>
      </c>
      <c r="BM88" s="580">
        <v>0</v>
      </c>
      <c r="BN88" s="19"/>
    </row>
    <row r="89" spans="1:66" ht="11.4">
      <c r="A89" s="66" t="s">
        <v>767</v>
      </c>
      <c r="B89" s="40"/>
      <c r="C89" s="40"/>
      <c r="D89" s="40"/>
      <c r="E89" s="40"/>
      <c r="F89" s="40"/>
      <c r="G89" s="40"/>
      <c r="H89" s="40"/>
      <c r="I89" s="40"/>
      <c r="J89" s="40"/>
      <c r="K89" s="40"/>
      <c r="L89" s="40"/>
      <c r="M89" s="40"/>
      <c r="N89" s="40"/>
      <c r="O89" s="40"/>
      <c r="P89" s="40"/>
      <c r="Q89" s="40"/>
      <c r="R89" s="40"/>
      <c r="S89" s="630"/>
      <c r="T89" s="653"/>
      <c r="U89" s="40"/>
      <c r="V89" s="630"/>
      <c r="W89" s="653"/>
      <c r="X89" s="40"/>
      <c r="Y89" s="630"/>
      <c r="Z89" s="653"/>
      <c r="AA89" s="40"/>
      <c r="AB89" s="630"/>
      <c r="AC89" s="653">
        <v>-265</v>
      </c>
      <c r="AD89" s="40">
        <f>AF89/2</f>
        <v>-228.5</v>
      </c>
      <c r="AE89" s="630">
        <f>AF89-AD89</f>
        <v>-228.5</v>
      </c>
      <c r="AF89" s="653">
        <f>-557-AF88</f>
        <v>-457</v>
      </c>
      <c r="AG89" s="40">
        <f>AI89/2</f>
        <v>31</v>
      </c>
      <c r="AH89" s="630">
        <f>AI89-AG89</f>
        <v>31</v>
      </c>
      <c r="AI89" s="653">
        <v>62</v>
      </c>
      <c r="AJ89" s="40">
        <f>AL89/2</f>
        <v>-16.5</v>
      </c>
      <c r="AK89" s="630">
        <f>AL89-AJ89</f>
        <v>-16.5</v>
      </c>
      <c r="AL89" s="653">
        <v>-33</v>
      </c>
      <c r="AM89" s="40">
        <f>AO89/2</f>
        <v>-183</v>
      </c>
      <c r="AN89" s="630">
        <f>AO89-AM89</f>
        <v>-183</v>
      </c>
      <c r="AO89" s="653">
        <v>-366</v>
      </c>
      <c r="AP89" s="40">
        <v>-130</v>
      </c>
      <c r="AQ89" s="630">
        <f>AR89-AP89</f>
        <v>-247</v>
      </c>
      <c r="AR89" s="653">
        <v>-377</v>
      </c>
      <c r="AS89" s="40">
        <v>-73</v>
      </c>
      <c r="AT89" s="630">
        <f>AU89-AS89</f>
        <v>-210</v>
      </c>
      <c r="AU89" s="653">
        <v>-283</v>
      </c>
      <c r="AV89" s="40">
        <v>1</v>
      </c>
      <c r="AW89" s="630">
        <f>AX89-AV89</f>
        <v>-379</v>
      </c>
      <c r="AX89" s="653">
        <v>-378</v>
      </c>
      <c r="AY89" s="40">
        <v>-229</v>
      </c>
      <c r="AZ89" s="236">
        <f>BA89-AY89</f>
        <v>0</v>
      </c>
      <c r="BA89" s="580">
        <v>-229</v>
      </c>
      <c r="BB89" s="56">
        <f>BD89/2</f>
        <v>0</v>
      </c>
      <c r="BC89" s="236">
        <f>BD89-BB89</f>
        <v>0</v>
      </c>
      <c r="BD89" s="580">
        <v>0</v>
      </c>
      <c r="BE89" s="56">
        <f>BG89/2</f>
        <v>0</v>
      </c>
      <c r="BF89" s="236">
        <f>BG89-BE89</f>
        <v>0</v>
      </c>
      <c r="BG89" s="580">
        <v>0</v>
      </c>
      <c r="BH89" s="56">
        <f>BJ89/2</f>
        <v>0</v>
      </c>
      <c r="BI89" s="236">
        <f>BJ89-BH89</f>
        <v>0</v>
      </c>
      <c r="BJ89" s="580">
        <v>0</v>
      </c>
      <c r="BK89" s="56">
        <f>BM89/2</f>
        <v>0</v>
      </c>
      <c r="BL89" s="236">
        <f>BM89-BK89</f>
        <v>0</v>
      </c>
      <c r="BM89" s="580">
        <v>0</v>
      </c>
      <c r="BN89" s="19"/>
    </row>
    <row r="90" spans="1:66" ht="11.4">
      <c r="A90" s="66" t="s">
        <v>783</v>
      </c>
      <c r="B90" s="40"/>
      <c r="C90" s="40"/>
      <c r="D90" s="40"/>
      <c r="E90" s="40"/>
      <c r="F90" s="40"/>
      <c r="G90" s="40"/>
      <c r="H90" s="40"/>
      <c r="I90" s="40"/>
      <c r="J90" s="40"/>
      <c r="K90" s="40"/>
      <c r="L90" s="40"/>
      <c r="M90" s="40"/>
      <c r="N90" s="40"/>
      <c r="O90" s="40"/>
      <c r="P90" s="40"/>
      <c r="Q90" s="40"/>
      <c r="R90" s="40"/>
      <c r="S90" s="630"/>
      <c r="T90" s="653"/>
      <c r="U90" s="40"/>
      <c r="V90" s="630"/>
      <c r="W90" s="653"/>
      <c r="X90" s="40"/>
      <c r="Y90" s="630"/>
      <c r="Z90" s="653"/>
      <c r="AA90" s="10"/>
      <c r="AB90" s="216"/>
      <c r="AC90" s="556">
        <f>-CFS!AC103</f>
        <v>-679</v>
      </c>
      <c r="AD90" s="10">
        <f>-CFS!AD103</f>
        <v>-128</v>
      </c>
      <c r="AE90" s="216">
        <f>-CFS!AE103</f>
        <v>-628</v>
      </c>
      <c r="AF90" s="556">
        <f>-CFS!AF103</f>
        <v>-756</v>
      </c>
      <c r="AG90" s="10">
        <f>-CFS!AG103</f>
        <v>-788</v>
      </c>
      <c r="AH90" s="216">
        <f>-CFS!AH103</f>
        <v>309</v>
      </c>
      <c r="AI90" s="556">
        <f>-CFS!AI103</f>
        <v>-479</v>
      </c>
      <c r="AJ90" s="10">
        <f>-CFS!AJ103</f>
        <v>108</v>
      </c>
      <c r="AK90" s="216">
        <f>-CFS!AK103</f>
        <v>-174</v>
      </c>
      <c r="AL90" s="556">
        <f>-CFS!AL103</f>
        <v>-66</v>
      </c>
      <c r="AM90" s="10">
        <f>-CFS!AM103</f>
        <v>-433</v>
      </c>
      <c r="AN90" s="216">
        <f>-CFS!AN103</f>
        <v>-359</v>
      </c>
      <c r="AO90" s="556">
        <f>-CFS!AO103</f>
        <v>-792</v>
      </c>
      <c r="AP90" s="10">
        <f>-CFS!AP103</f>
        <v>-727</v>
      </c>
      <c r="AQ90" s="216">
        <f>-CFS!AQ103</f>
        <v>-604</v>
      </c>
      <c r="AR90" s="556">
        <f>-CFS!AR103</f>
        <v>-1331</v>
      </c>
      <c r="AS90" s="10">
        <f>-CFS!AS103</f>
        <v>-715</v>
      </c>
      <c r="AT90" s="216">
        <f>-CFS!AT103</f>
        <v>-195</v>
      </c>
      <c r="AU90" s="556">
        <f>-CFS!AU103</f>
        <v>-910</v>
      </c>
      <c r="AV90" s="10">
        <f>-CFS!AV103</f>
        <v>-441</v>
      </c>
      <c r="AW90" s="216">
        <f>-CFS!AW103</f>
        <v>-60</v>
      </c>
      <c r="AX90" s="556">
        <f>-CFS!AX103</f>
        <v>-501</v>
      </c>
      <c r="AY90" s="10">
        <f>-CFS!AY103</f>
        <v>-112</v>
      </c>
      <c r="AZ90" s="236">
        <f>'Civil AM'!AW86</f>
        <v>-141.56863832322938</v>
      </c>
      <c r="BA90" s="605">
        <f>'Civil AM'!AX86</f>
        <v>-276.56863832322938</v>
      </c>
      <c r="BB90" s="56">
        <f>'Civil AM'!AY86</f>
        <v>14.381499473655367</v>
      </c>
      <c r="BC90" s="236">
        <f>'Civil AM'!AZ86</f>
        <v>-518.21084798313632</v>
      </c>
      <c r="BD90" s="605">
        <f>'Civil AM'!BA86</f>
        <v>-503.82934850948095</v>
      </c>
      <c r="BE90" s="56">
        <f>'Civil AM'!BB86</f>
        <v>-233.79868245030138</v>
      </c>
      <c r="BF90" s="236">
        <f>'Civil AM'!BC86</f>
        <v>-647.59220400416484</v>
      </c>
      <c r="BG90" s="605">
        <f>'Civil AM'!BD86</f>
        <v>-881.39088645446623</v>
      </c>
      <c r="BH90" s="56">
        <f>'Civil AM'!BE86</f>
        <v>-298.57154355431885</v>
      </c>
      <c r="BI90" s="236">
        <f>'Civil AM'!BF86</f>
        <v>-717.50894517495522</v>
      </c>
      <c r="BJ90" s="605">
        <f>'Civil AM'!BG86</f>
        <v>-1016.0804887292741</v>
      </c>
      <c r="BK90" s="56">
        <f>'Civil AM'!BH86</f>
        <v>-356.46872808228909</v>
      </c>
      <c r="BL90" s="236">
        <f>'Civil AM'!BI86</f>
        <v>-777.48872345367045</v>
      </c>
      <c r="BM90" s="605">
        <f>'Civil AM'!BJ86</f>
        <v>-1133.9574515359595</v>
      </c>
      <c r="BN90" s="19"/>
    </row>
    <row r="91" spans="1:66" ht="11.4">
      <c r="A91" s="66" t="s">
        <v>737</v>
      </c>
      <c r="B91" s="40"/>
      <c r="C91" s="40"/>
      <c r="D91" s="40"/>
      <c r="E91" s="40"/>
      <c r="F91" s="40"/>
      <c r="G91" s="40"/>
      <c r="H91" s="40"/>
      <c r="I91" s="40"/>
      <c r="J91" s="40"/>
      <c r="K91" s="40"/>
      <c r="L91" s="40"/>
      <c r="M91" s="40"/>
      <c r="N91" s="40"/>
      <c r="O91" s="40"/>
      <c r="P91" s="40"/>
      <c r="Q91" s="40"/>
      <c r="R91" s="40"/>
      <c r="S91" s="630"/>
      <c r="T91" s="653"/>
      <c r="U91" s="40"/>
      <c r="V91" s="630"/>
      <c r="W91" s="653"/>
      <c r="X91" s="40"/>
      <c r="Y91" s="630"/>
      <c r="Z91" s="653"/>
      <c r="AA91" s="40"/>
      <c r="AB91" s="630"/>
      <c r="AC91" s="653">
        <v>-120</v>
      </c>
      <c r="AD91" s="40">
        <f>AF91/2</f>
        <v>51</v>
      </c>
      <c r="AE91" s="630">
        <f>AF91-AD91</f>
        <v>51</v>
      </c>
      <c r="AF91" s="653">
        <f>(AF87-AF88-AF89)-AF90</f>
        <v>102</v>
      </c>
      <c r="AG91" s="40"/>
      <c r="AH91" s="630"/>
      <c r="AI91" s="653">
        <v>0</v>
      </c>
      <c r="AJ91" s="40"/>
      <c r="AK91" s="630"/>
      <c r="AL91" s="653">
        <f>+AI91</f>
        <v>0</v>
      </c>
      <c r="AM91" s="40"/>
      <c r="AN91" s="630"/>
      <c r="AO91" s="653">
        <f>+AL91</f>
        <v>0</v>
      </c>
      <c r="AP91" s="40"/>
      <c r="AQ91" s="542"/>
      <c r="AR91" s="556">
        <v>0</v>
      </c>
      <c r="AS91" s="40">
        <v>0</v>
      </c>
      <c r="AT91" s="216">
        <f>AU91-AS91</f>
        <v>0</v>
      </c>
      <c r="AU91" s="556">
        <v>0</v>
      </c>
      <c r="AV91" s="40">
        <v>0</v>
      </c>
      <c r="AW91" s="216">
        <f>AX91-AV91</f>
        <v>0</v>
      </c>
      <c r="AX91" s="556">
        <v>0</v>
      </c>
      <c r="AY91" s="40">
        <v>0</v>
      </c>
      <c r="AZ91" s="236">
        <f>BA91-AY91</f>
        <v>0</v>
      </c>
      <c r="BA91" s="580">
        <v>0</v>
      </c>
      <c r="BB91" s="56">
        <f>BD91/2</f>
        <v>0</v>
      </c>
      <c r="BC91" s="542"/>
      <c r="BD91" s="580">
        <v>0</v>
      </c>
      <c r="BE91" s="56">
        <f>BG91/2</f>
        <v>0</v>
      </c>
      <c r="BF91" s="542"/>
      <c r="BG91" s="580">
        <v>0</v>
      </c>
      <c r="BH91" s="56">
        <f>BJ91/2</f>
        <v>0</v>
      </c>
      <c r="BI91" s="542"/>
      <c r="BJ91" s="580">
        <v>0</v>
      </c>
      <c r="BK91" s="56">
        <f>BM91/2</f>
        <v>0</v>
      </c>
      <c r="BL91" s="542"/>
      <c r="BM91" s="580">
        <v>0</v>
      </c>
      <c r="BN91" s="19"/>
    </row>
    <row r="92" spans="1:66" ht="11.4">
      <c r="A92" s="25" t="s">
        <v>361</v>
      </c>
      <c r="B92" s="40"/>
      <c r="C92" s="40"/>
      <c r="D92" s="40">
        <f t="shared" ref="D92:Q92" si="426">D81-C81</f>
        <v>-404</v>
      </c>
      <c r="E92" s="40">
        <f t="shared" si="426"/>
        <v>-105</v>
      </c>
      <c r="F92" s="40">
        <f t="shared" si="426"/>
        <v>-184</v>
      </c>
      <c r="G92" s="40">
        <f t="shared" si="426"/>
        <v>-162</v>
      </c>
      <c r="H92" s="40">
        <f t="shared" si="426"/>
        <v>-248</v>
      </c>
      <c r="I92" s="40">
        <f t="shared" si="426"/>
        <v>-865</v>
      </c>
      <c r="J92" s="40">
        <f t="shared" si="426"/>
        <v>91</v>
      </c>
      <c r="K92" s="40">
        <f t="shared" si="426"/>
        <v>-62</v>
      </c>
      <c r="L92" s="40">
        <f t="shared" si="426"/>
        <v>-295</v>
      </c>
      <c r="M92" s="40">
        <f t="shared" si="426"/>
        <v>-207</v>
      </c>
      <c r="N92" s="40">
        <f t="shared" si="426"/>
        <v>-604</v>
      </c>
      <c r="O92" s="40">
        <f t="shared" si="426"/>
        <v>426</v>
      </c>
      <c r="P92" s="40">
        <f t="shared" si="426"/>
        <v>-650</v>
      </c>
      <c r="Q92" s="40">
        <f t="shared" si="426"/>
        <v>194</v>
      </c>
      <c r="R92" s="40">
        <f>R81-Q81</f>
        <v>189</v>
      </c>
      <c r="S92" s="630">
        <f>S81-R81</f>
        <v>-1434</v>
      </c>
      <c r="T92" s="653">
        <f>T81-Q81</f>
        <v>-1245</v>
      </c>
      <c r="U92" s="40">
        <f>U81-T81</f>
        <v>396</v>
      </c>
      <c r="V92" s="630">
        <f>V81-U81</f>
        <v>-1210</v>
      </c>
      <c r="W92" s="653">
        <f>W81-T81</f>
        <v>-814</v>
      </c>
      <c r="X92" s="40"/>
      <c r="Y92" s="630"/>
      <c r="Z92" s="653"/>
      <c r="AA92" s="40"/>
      <c r="AB92" s="630"/>
      <c r="AC92" s="653">
        <f>AC81-Z81</f>
        <v>-651</v>
      </c>
      <c r="AD92" s="40">
        <f t="shared" ref="AD92:AE92" si="427">+AD93-AD87</f>
        <v>390.5</v>
      </c>
      <c r="AE92" s="630">
        <f t="shared" si="427"/>
        <v>-732.5</v>
      </c>
      <c r="AF92" s="653">
        <f>+AF93-AF87</f>
        <v>-342</v>
      </c>
      <c r="AG92" s="40">
        <f t="shared" ref="AG92:AH92" si="428">+AG93-AG87</f>
        <v>3154</v>
      </c>
      <c r="AH92" s="630">
        <f t="shared" si="428"/>
        <v>-147</v>
      </c>
      <c r="AI92" s="653">
        <f>+AI93-AI87</f>
        <v>3007</v>
      </c>
      <c r="AJ92" s="40">
        <f t="shared" ref="AJ92:AK92" si="429">+AJ93-AJ87</f>
        <v>493.5</v>
      </c>
      <c r="AK92" s="630">
        <f t="shared" si="429"/>
        <v>365.5</v>
      </c>
      <c r="AL92" s="653">
        <f>+AL93-AL87</f>
        <v>859</v>
      </c>
      <c r="AM92" s="40">
        <f t="shared" ref="AM92:AN92" si="430">+AM93-AM87</f>
        <v>-23</v>
      </c>
      <c r="AN92" s="630">
        <f t="shared" si="430"/>
        <v>-185</v>
      </c>
      <c r="AO92" s="653">
        <f t="shared" ref="AO92:BM92" si="431">+AO93-AO87</f>
        <v>-208</v>
      </c>
      <c r="AP92" s="40">
        <f t="shared" ref="AP92:AR92" si="432">+AP93-AP87</f>
        <v>554</v>
      </c>
      <c r="AQ92" s="630">
        <f t="shared" si="432"/>
        <v>496</v>
      </c>
      <c r="AR92" s="653">
        <f t="shared" si="432"/>
        <v>1050</v>
      </c>
      <c r="AS92" s="40">
        <f t="shared" ref="AS92:AU92" si="433">+AS93-AS87</f>
        <v>245</v>
      </c>
      <c r="AT92" s="630">
        <f t="shared" si="433"/>
        <v>-329</v>
      </c>
      <c r="AU92" s="653">
        <f t="shared" si="433"/>
        <v>-84</v>
      </c>
      <c r="AV92" s="40">
        <f t="shared" ref="AV92:AW92" si="434">+AV93-AV87</f>
        <v>-64</v>
      </c>
      <c r="AW92" s="630">
        <f t="shared" si="434"/>
        <v>112</v>
      </c>
      <c r="AX92" s="653">
        <f t="shared" si="431"/>
        <v>48</v>
      </c>
      <c r="AY92" s="40">
        <f t="shared" si="431"/>
        <v>-273</v>
      </c>
      <c r="AZ92" s="236">
        <f t="shared" si="431"/>
        <v>-343.02731211414925</v>
      </c>
      <c r="BA92" s="605">
        <f t="shared" si="431"/>
        <v>-593.02731211414925</v>
      </c>
      <c r="BB92" s="56">
        <f t="shared" si="431"/>
        <v>-2313.847774510989</v>
      </c>
      <c r="BC92" s="236">
        <f t="shared" si="431"/>
        <v>1755.6107338167853</v>
      </c>
      <c r="BD92" s="605">
        <f t="shared" si="431"/>
        <v>-558.23704069420364</v>
      </c>
      <c r="BE92" s="56">
        <f t="shared" si="431"/>
        <v>-829.23815702890988</v>
      </c>
      <c r="BF92" s="236">
        <f t="shared" si="431"/>
        <v>545.90052233212259</v>
      </c>
      <c r="BG92" s="605">
        <f t="shared" si="431"/>
        <v>-283.33763469678729</v>
      </c>
      <c r="BH92" s="56">
        <f t="shared" si="431"/>
        <v>-415.20684482929391</v>
      </c>
      <c r="BI92" s="236">
        <f t="shared" si="431"/>
        <v>502.78478591100043</v>
      </c>
      <c r="BJ92" s="605">
        <f t="shared" si="431"/>
        <v>87.577941081706513</v>
      </c>
      <c r="BK92" s="56">
        <f t="shared" si="431"/>
        <v>-291.92978400425091</v>
      </c>
      <c r="BL92" s="236">
        <f t="shared" si="431"/>
        <v>491.2254538744196</v>
      </c>
      <c r="BM92" s="605">
        <f t="shared" si="431"/>
        <v>199.29566987016869</v>
      </c>
      <c r="BN92" s="19"/>
    </row>
    <row r="93" spans="1:66">
      <c r="A93" s="31" t="s">
        <v>362</v>
      </c>
      <c r="B93" s="40"/>
      <c r="C93" s="51"/>
      <c r="D93" s="51">
        <f t="shared" ref="D93:Q93" si="435">D79-C79</f>
        <v>-288</v>
      </c>
      <c r="E93" s="51">
        <f t="shared" si="435"/>
        <v>-35</v>
      </c>
      <c r="F93" s="51">
        <f t="shared" si="435"/>
        <v>-249</v>
      </c>
      <c r="G93" s="51">
        <f t="shared" si="435"/>
        <v>-184</v>
      </c>
      <c r="H93" s="51">
        <f t="shared" si="435"/>
        <v>-222</v>
      </c>
      <c r="I93" s="51">
        <f t="shared" si="435"/>
        <v>-708</v>
      </c>
      <c r="J93" s="51">
        <f t="shared" si="435"/>
        <v>389</v>
      </c>
      <c r="K93" s="51">
        <f t="shared" si="435"/>
        <v>60</v>
      </c>
      <c r="L93" s="51">
        <f t="shared" si="435"/>
        <v>-345</v>
      </c>
      <c r="M93" s="51">
        <f t="shared" si="435"/>
        <v>-171</v>
      </c>
      <c r="N93" s="51">
        <f t="shared" si="435"/>
        <v>-248</v>
      </c>
      <c r="O93" s="51">
        <f t="shared" si="435"/>
        <v>456</v>
      </c>
      <c r="P93" s="51">
        <f t="shared" si="435"/>
        <v>-187</v>
      </c>
      <c r="Q93" s="51">
        <f t="shared" si="435"/>
        <v>600</v>
      </c>
      <c r="R93" s="51">
        <f>R79-Q79</f>
        <v>338</v>
      </c>
      <c r="S93" s="629">
        <f>S79-R79</f>
        <v>-1353</v>
      </c>
      <c r="T93" s="652">
        <f>T79-Q79</f>
        <v>-1015</v>
      </c>
      <c r="U93" s="51">
        <f>U79-T79</f>
        <v>515</v>
      </c>
      <c r="V93" s="629">
        <f>V79-U79</f>
        <v>-1267</v>
      </c>
      <c r="W93" s="652">
        <f>W79-T79</f>
        <v>-752</v>
      </c>
      <c r="X93" s="51"/>
      <c r="Y93" s="629"/>
      <c r="Z93" s="652"/>
      <c r="AA93" s="51"/>
      <c r="AB93" s="629"/>
      <c r="AC93" s="652">
        <f t="shared" ref="AC93" si="436">AC79-Z79</f>
        <v>-1595</v>
      </c>
      <c r="AD93" s="51">
        <f>AD79-AC79</f>
        <v>77</v>
      </c>
      <c r="AE93" s="629">
        <f>AE79-AD79</f>
        <v>-1630</v>
      </c>
      <c r="AF93" s="652">
        <f>AF79-AC79</f>
        <v>-1553</v>
      </c>
      <c r="AG93" s="51">
        <f>AG79-AF79</f>
        <v>1179</v>
      </c>
      <c r="AH93" s="629">
        <f>AH79-AG79</f>
        <v>350</v>
      </c>
      <c r="AI93" s="652">
        <f>AI79-AF79</f>
        <v>1529</v>
      </c>
      <c r="AJ93" s="51">
        <f>AJ79-AI79</f>
        <v>745</v>
      </c>
      <c r="AK93" s="629">
        <f>AK79-AJ79</f>
        <v>229</v>
      </c>
      <c r="AL93" s="652">
        <f>AL79-AI79</f>
        <v>974</v>
      </c>
      <c r="AM93" s="51">
        <f>AM79-AL79</f>
        <v>-398</v>
      </c>
      <c r="AN93" s="629">
        <f>AN79-AM79</f>
        <v>-608</v>
      </c>
      <c r="AO93" s="652">
        <f>AO79-AL79</f>
        <v>-1006</v>
      </c>
      <c r="AP93" s="51">
        <f>AP79-AO79</f>
        <v>-280</v>
      </c>
      <c r="AQ93" s="629">
        <f>AQ79-AP79</f>
        <v>-482</v>
      </c>
      <c r="AR93" s="652">
        <f>AR79-AO79</f>
        <v>-762</v>
      </c>
      <c r="AS93" s="51">
        <f>AS79-AR79</f>
        <v>-285</v>
      </c>
      <c r="AT93" s="629">
        <f>AT79-AS79</f>
        <v>-681</v>
      </c>
      <c r="AU93" s="652">
        <f>AU79-AR79</f>
        <v>-966</v>
      </c>
      <c r="AV93" s="51">
        <f>AV79-AU79</f>
        <v>-378</v>
      </c>
      <c r="AW93" s="629">
        <f>AW79-AV79</f>
        <v>-174</v>
      </c>
      <c r="AX93" s="652">
        <f>AX79-AU79</f>
        <v>-552</v>
      </c>
      <c r="AY93" s="51">
        <f>AY79-AX79</f>
        <v>-258</v>
      </c>
      <c r="AZ93" s="237">
        <f>AZ79-AY79</f>
        <v>-340.59595043737863</v>
      </c>
      <c r="BA93" s="576">
        <f>BA79-AX79</f>
        <v>-598.59595043737863</v>
      </c>
      <c r="BB93" s="48">
        <f>BB79-BA79</f>
        <v>-2149.4662750373336</v>
      </c>
      <c r="BC93" s="237">
        <f>BC79-BB79</f>
        <v>1387.399885833649</v>
      </c>
      <c r="BD93" s="576">
        <f>BD79-BA79</f>
        <v>-762.06638920368459</v>
      </c>
      <c r="BE93" s="48">
        <f>BE79-BD79</f>
        <v>-1013.0368394792113</v>
      </c>
      <c r="BF93" s="237">
        <f>BF79-BE79</f>
        <v>-51.69168167204225</v>
      </c>
      <c r="BG93" s="576">
        <f>BG79-BD79</f>
        <v>-1064.7285211512535</v>
      </c>
      <c r="BH93" s="48">
        <f>BH79-BG79</f>
        <v>-713.77838838361276</v>
      </c>
      <c r="BI93" s="237">
        <f>BI79-BH79</f>
        <v>-214.72415926395479</v>
      </c>
      <c r="BJ93" s="576">
        <f>BJ79-BG79</f>
        <v>-928.50254764756755</v>
      </c>
      <c r="BK93" s="48">
        <f>BK79-BJ79</f>
        <v>-648.39851208653999</v>
      </c>
      <c r="BL93" s="237">
        <f>BL79-BK79</f>
        <v>-286.26326957925085</v>
      </c>
      <c r="BM93" s="576">
        <f>BM79-BJ79</f>
        <v>-934.66178166579084</v>
      </c>
      <c r="BN93"/>
    </row>
    <row r="94" spans="1:66">
      <c r="B94" s="40"/>
      <c r="C94" s="40"/>
      <c r="D94" s="40"/>
      <c r="E94" s="40"/>
      <c r="F94" s="40"/>
      <c r="G94" s="40"/>
      <c r="H94" s="40"/>
      <c r="I94" s="40"/>
      <c r="J94" s="40"/>
      <c r="K94" s="40"/>
      <c r="L94" s="40"/>
      <c r="M94" s="40"/>
      <c r="N94" s="40"/>
      <c r="O94" s="40"/>
      <c r="P94" s="40"/>
      <c r="Q94" s="40"/>
      <c r="R94" s="40"/>
      <c r="S94" s="630"/>
      <c r="T94" s="653"/>
      <c r="U94" s="40"/>
      <c r="V94" s="630"/>
      <c r="W94" s="653"/>
      <c r="X94" s="40"/>
      <c r="Y94" s="630"/>
      <c r="Z94" s="653"/>
      <c r="AA94" s="40"/>
      <c r="AB94" s="630"/>
      <c r="AC94" s="653"/>
      <c r="AD94" s="40"/>
      <c r="AE94" s="630"/>
      <c r="AF94" s="653"/>
      <c r="AG94" s="40"/>
      <c r="AH94" s="630"/>
      <c r="AI94" s="653"/>
      <c r="AJ94" s="40"/>
      <c r="AK94" s="630"/>
      <c r="AL94" s="653"/>
      <c r="AM94" s="40"/>
      <c r="AN94" s="630"/>
      <c r="AO94" s="653"/>
      <c r="AP94" s="40"/>
      <c r="AQ94" s="539"/>
      <c r="AR94" s="550"/>
      <c r="AS94"/>
      <c r="AT94" s="539"/>
      <c r="AU94" s="550"/>
      <c r="AV94"/>
      <c r="AW94" s="539"/>
      <c r="AX94" s="550"/>
      <c r="AY94"/>
      <c r="AZ94" s="539"/>
      <c r="BA94" s="550"/>
      <c r="BB94"/>
      <c r="BC94" s="539"/>
      <c r="BD94" s="550"/>
      <c r="BE94"/>
      <c r="BF94" s="539"/>
      <c r="BG94" s="550"/>
      <c r="BH94"/>
      <c r="BI94" s="539"/>
      <c r="BJ94" s="550"/>
      <c r="BK94"/>
      <c r="BL94" s="539"/>
      <c r="BM94" s="550"/>
    </row>
    <row r="95" spans="1:66">
      <c r="A95" s="25" t="s">
        <v>311</v>
      </c>
      <c r="B95" s="333">
        <v>36891</v>
      </c>
      <c r="C95" s="333">
        <f>EOMONTH(B95,12)</f>
        <v>37256</v>
      </c>
      <c r="D95" s="333">
        <f t="shared" ref="D95:Q95" si="437">EOMONTH(C95,12)</f>
        <v>37621</v>
      </c>
      <c r="E95" s="333">
        <f t="shared" si="437"/>
        <v>37986</v>
      </c>
      <c r="F95" s="333">
        <f t="shared" si="437"/>
        <v>38352</v>
      </c>
      <c r="G95" s="333">
        <f t="shared" si="437"/>
        <v>38717</v>
      </c>
      <c r="H95" s="333">
        <f t="shared" si="437"/>
        <v>39082</v>
      </c>
      <c r="I95" s="333">
        <f t="shared" si="437"/>
        <v>39447</v>
      </c>
      <c r="J95" s="333">
        <f t="shared" si="437"/>
        <v>39813</v>
      </c>
      <c r="K95" s="333">
        <f t="shared" si="437"/>
        <v>40178</v>
      </c>
      <c r="L95" s="333">
        <f t="shared" si="437"/>
        <v>40543</v>
      </c>
      <c r="M95" s="333">
        <f t="shared" si="437"/>
        <v>40908</v>
      </c>
      <c r="N95" s="333">
        <f t="shared" si="437"/>
        <v>41274</v>
      </c>
      <c r="O95" s="333">
        <f t="shared" si="437"/>
        <v>41639</v>
      </c>
      <c r="P95" s="333">
        <f t="shared" si="437"/>
        <v>42004</v>
      </c>
      <c r="Q95" s="333">
        <f t="shared" si="437"/>
        <v>42369</v>
      </c>
      <c r="R95" s="333">
        <f>EOMONTH(Q95,6)</f>
        <v>42551</v>
      </c>
      <c r="S95" s="695">
        <f>EOMONTH(R95,6)</f>
        <v>42735</v>
      </c>
      <c r="T95" s="710">
        <f>EOMONTH(Q95,12)</f>
        <v>42735</v>
      </c>
      <c r="U95" s="333">
        <f>EOMONTH(T95,6)</f>
        <v>42916</v>
      </c>
      <c r="V95" s="695">
        <f>EOMONTH(U95,6)</f>
        <v>43100</v>
      </c>
      <c r="W95" s="710">
        <f>EOMONTH(T95,12)</f>
        <v>43100</v>
      </c>
      <c r="X95" s="333"/>
      <c r="Y95" s="695"/>
      <c r="Z95" s="710">
        <f>W95</f>
        <v>43100</v>
      </c>
      <c r="AA95" s="333">
        <f>EOMONTH(Z95,6)</f>
        <v>43281</v>
      </c>
      <c r="AB95" s="695">
        <f>EOMONTH(AA95,6)</f>
        <v>43465</v>
      </c>
      <c r="AC95" s="710">
        <f>EOMONTH(W95,12)</f>
        <v>43465</v>
      </c>
      <c r="AD95" s="333">
        <f>EOMONTH(AC95,6)</f>
        <v>43646</v>
      </c>
      <c r="AE95" s="695">
        <f>EOMONTH(AD95,6)</f>
        <v>43830</v>
      </c>
      <c r="AF95" s="710">
        <f>EOMONTH(AC95,12)</f>
        <v>43830</v>
      </c>
      <c r="AG95" s="333">
        <f>EOMONTH(AF95,6)</f>
        <v>44012</v>
      </c>
      <c r="AH95" s="695">
        <f>EOMONTH(AG95,6)</f>
        <v>44196</v>
      </c>
      <c r="AI95" s="710">
        <f>EOMONTH(AF95,12)</f>
        <v>44196</v>
      </c>
      <c r="AJ95" s="333">
        <f>EOMONTH(AI95,6)</f>
        <v>44377</v>
      </c>
      <c r="AK95" s="695">
        <f>EOMONTH(AJ95,6)</f>
        <v>44561</v>
      </c>
      <c r="AL95" s="710">
        <f>EOMONTH(AI95,12)</f>
        <v>44561</v>
      </c>
      <c r="AM95" s="333">
        <f>EOMONTH(AL95,6)</f>
        <v>44742</v>
      </c>
      <c r="AN95" s="695">
        <f>EOMONTH(AM95,6)</f>
        <v>44926</v>
      </c>
      <c r="AO95" s="710">
        <f>EOMONTH(AL95,12)</f>
        <v>44926</v>
      </c>
      <c r="AP95" s="333">
        <f>EOMONTH(AO95,6)</f>
        <v>45107</v>
      </c>
      <c r="AQ95" s="1006">
        <f>EOMONTH(AP95,6)</f>
        <v>45291</v>
      </c>
      <c r="AR95" s="1007">
        <f>EOMONTH(AO95,12)</f>
        <v>45291</v>
      </c>
      <c r="AS95" s="1057">
        <f>EOMONTH(AR95,6)</f>
        <v>45473</v>
      </c>
      <c r="AT95" s="1006">
        <f>EOMONTH(AS95,6)</f>
        <v>45657</v>
      </c>
      <c r="AU95" s="1007">
        <f>EOMONTH(AR95,12)</f>
        <v>45657</v>
      </c>
      <c r="AV95" s="1057">
        <f>EOMONTH(AU95,6)</f>
        <v>45838</v>
      </c>
      <c r="AW95" s="1006">
        <f>EOMONTH(AV95,6)</f>
        <v>46022</v>
      </c>
      <c r="AX95" s="1007">
        <f>EOMONTH(AU95,12)</f>
        <v>46022</v>
      </c>
      <c r="AY95" s="1057">
        <f>EOMONTH(AX95,6)</f>
        <v>46203</v>
      </c>
      <c r="AZ95" s="705">
        <f>EOMONTH(AY95,6)</f>
        <v>46387</v>
      </c>
      <c r="BA95" s="699">
        <f>EOMONTH(AX95,12)</f>
        <v>46387</v>
      </c>
      <c r="BB95" s="989">
        <f>EOMONTH(BA95,6)</f>
        <v>46568</v>
      </c>
      <c r="BC95" s="705">
        <f>EOMONTH(BB95,6)</f>
        <v>46752</v>
      </c>
      <c r="BD95" s="699">
        <f>EOMONTH(BA95,12)</f>
        <v>46752</v>
      </c>
      <c r="BE95" s="989">
        <f>EOMONTH(BD95,6)</f>
        <v>46934</v>
      </c>
      <c r="BF95" s="705">
        <f>EOMONTH(BE95,6)</f>
        <v>47118</v>
      </c>
      <c r="BG95" s="699">
        <f>EOMONTH(BD95,12)</f>
        <v>47118</v>
      </c>
      <c r="BH95" s="989">
        <f>EOMONTH(BG95,6)</f>
        <v>47299</v>
      </c>
      <c r="BI95" s="705">
        <f>EOMONTH(BH95,6)</f>
        <v>47483</v>
      </c>
      <c r="BJ95" s="699">
        <f>EOMONTH(BG95,12)</f>
        <v>47483</v>
      </c>
      <c r="BK95" s="989">
        <f>EOMONTH(BJ95,6)</f>
        <v>47664</v>
      </c>
      <c r="BL95" s="705">
        <f>EOMONTH(BK95,6)</f>
        <v>47848</v>
      </c>
      <c r="BM95" s="699">
        <f>EOMONTH(BJ95,12)</f>
        <v>47848</v>
      </c>
    </row>
    <row r="96" spans="1:66">
      <c r="A96" s="25" t="s">
        <v>312</v>
      </c>
      <c r="B96" s="40">
        <v>366</v>
      </c>
      <c r="C96" s="40">
        <f>C95-B95</f>
        <v>365</v>
      </c>
      <c r="D96" s="40">
        <f t="shared" ref="D96:Q96" si="438">D95-C95</f>
        <v>365</v>
      </c>
      <c r="E96" s="40">
        <f t="shared" si="438"/>
        <v>365</v>
      </c>
      <c r="F96" s="40">
        <f t="shared" si="438"/>
        <v>366</v>
      </c>
      <c r="G96" s="40">
        <f t="shared" si="438"/>
        <v>365</v>
      </c>
      <c r="H96" s="40">
        <f t="shared" si="438"/>
        <v>365</v>
      </c>
      <c r="I96" s="40">
        <f t="shared" si="438"/>
        <v>365</v>
      </c>
      <c r="J96" s="40">
        <f t="shared" si="438"/>
        <v>366</v>
      </c>
      <c r="K96" s="40">
        <f t="shared" si="438"/>
        <v>365</v>
      </c>
      <c r="L96" s="40">
        <f t="shared" si="438"/>
        <v>365</v>
      </c>
      <c r="M96" s="40">
        <f t="shared" si="438"/>
        <v>365</v>
      </c>
      <c r="N96" s="40">
        <f t="shared" si="438"/>
        <v>366</v>
      </c>
      <c r="O96" s="40">
        <f t="shared" si="438"/>
        <v>365</v>
      </c>
      <c r="P96" s="40">
        <f t="shared" si="438"/>
        <v>365</v>
      </c>
      <c r="Q96" s="40">
        <f t="shared" si="438"/>
        <v>365</v>
      </c>
      <c r="R96" s="40">
        <f>R95-Q95</f>
        <v>182</v>
      </c>
      <c r="S96" s="630">
        <f>S95-R95</f>
        <v>184</v>
      </c>
      <c r="T96" s="653">
        <f>T95-Q95</f>
        <v>366</v>
      </c>
      <c r="U96" s="40">
        <f>U95-T95</f>
        <v>181</v>
      </c>
      <c r="V96" s="630">
        <f>V95-U95</f>
        <v>184</v>
      </c>
      <c r="W96" s="653">
        <f>W95-T95</f>
        <v>365</v>
      </c>
      <c r="X96" s="40"/>
      <c r="Y96" s="630"/>
      <c r="Z96" s="653">
        <f>Z95-T95</f>
        <v>365</v>
      </c>
      <c r="AA96" s="40">
        <f>AA95-Z95</f>
        <v>181</v>
      </c>
      <c r="AB96" s="630">
        <f>AB95-AA95</f>
        <v>184</v>
      </c>
      <c r="AC96" s="653">
        <f>AC95-W95</f>
        <v>365</v>
      </c>
      <c r="AD96" s="40">
        <f>AD95-AC95</f>
        <v>181</v>
      </c>
      <c r="AE96" s="630">
        <f>AE95-AD95</f>
        <v>184</v>
      </c>
      <c r="AF96" s="653">
        <f>AF95-AC95</f>
        <v>365</v>
      </c>
      <c r="AG96" s="40">
        <f>AG95-AF95</f>
        <v>182</v>
      </c>
      <c r="AH96" s="630">
        <f>AH95-AG95</f>
        <v>184</v>
      </c>
      <c r="AI96" s="653">
        <f>AI95-AF95</f>
        <v>366</v>
      </c>
      <c r="AJ96" s="40">
        <f>AJ95-AI95</f>
        <v>181</v>
      </c>
      <c r="AK96" s="630">
        <f>AK95-AJ95</f>
        <v>184</v>
      </c>
      <c r="AL96" s="653">
        <f>AL95-AI95</f>
        <v>365</v>
      </c>
      <c r="AM96" s="40">
        <f>AM95-AL95</f>
        <v>181</v>
      </c>
      <c r="AN96" s="630">
        <f>AN95-AM95</f>
        <v>184</v>
      </c>
      <c r="AO96" s="653">
        <f>AO95-AL95</f>
        <v>365</v>
      </c>
      <c r="AP96" s="40">
        <f>AP95-AO95</f>
        <v>181</v>
      </c>
      <c r="AQ96" s="216">
        <f>AQ95-AP95</f>
        <v>184</v>
      </c>
      <c r="AR96" s="556">
        <f>AR95-AO95</f>
        <v>365</v>
      </c>
      <c r="AS96" s="10">
        <f>AS95-AR95</f>
        <v>182</v>
      </c>
      <c r="AT96" s="216">
        <f>AT95-AS95</f>
        <v>184</v>
      </c>
      <c r="AU96" s="556">
        <f>AU95-AR95</f>
        <v>366</v>
      </c>
      <c r="AV96" s="10">
        <f>AV95-AU95</f>
        <v>181</v>
      </c>
      <c r="AW96" s="216">
        <f>AW95-AV95</f>
        <v>184</v>
      </c>
      <c r="AX96" s="556">
        <f>AX95-AU95</f>
        <v>365</v>
      </c>
      <c r="AY96" s="10">
        <f>AY95-AX95</f>
        <v>181</v>
      </c>
      <c r="AZ96" s="236">
        <f>AZ95-AY95</f>
        <v>184</v>
      </c>
      <c r="BA96" s="605">
        <f>BA95-AX95</f>
        <v>365</v>
      </c>
      <c r="BB96" s="56">
        <f>BB95-BA95</f>
        <v>181</v>
      </c>
      <c r="BC96" s="236">
        <f>BC95-BB95</f>
        <v>184</v>
      </c>
      <c r="BD96" s="605">
        <f>BD95-BA95</f>
        <v>365</v>
      </c>
      <c r="BE96" s="56">
        <f>BE95-BD95</f>
        <v>182</v>
      </c>
      <c r="BF96" s="236">
        <f>BF95-BE95</f>
        <v>184</v>
      </c>
      <c r="BG96" s="605">
        <f>BG95-BD95</f>
        <v>366</v>
      </c>
      <c r="BH96" s="56">
        <f>BH95-BG95</f>
        <v>181</v>
      </c>
      <c r="BI96" s="236">
        <f>BI95-BH95</f>
        <v>184</v>
      </c>
      <c r="BJ96" s="605">
        <f>BJ95-BG95</f>
        <v>365</v>
      </c>
      <c r="BK96" s="56">
        <f>BK95-BJ95</f>
        <v>181</v>
      </c>
      <c r="BL96" s="236">
        <f>BL95-BK95</f>
        <v>184</v>
      </c>
      <c r="BM96" s="605">
        <f>BM95-BJ95</f>
        <v>365</v>
      </c>
    </row>
    <row r="97" spans="1:67">
      <c r="B97" s="40"/>
      <c r="C97" s="40"/>
      <c r="D97" s="40"/>
      <c r="E97" s="40"/>
      <c r="F97" s="40"/>
      <c r="G97" s="40"/>
      <c r="H97" s="40"/>
      <c r="I97" s="40"/>
      <c r="J97" s="40"/>
      <c r="K97" s="40"/>
      <c r="L97" s="40"/>
      <c r="M97" s="40"/>
      <c r="N97" s="40"/>
      <c r="O97" s="40"/>
      <c r="P97" s="40"/>
      <c r="Q97" s="40"/>
      <c r="R97" s="40"/>
      <c r="S97" s="630"/>
      <c r="T97" s="653"/>
      <c r="U97" s="40"/>
      <c r="V97" s="630"/>
      <c r="W97" s="653"/>
      <c r="X97" s="40"/>
      <c r="Y97" s="630"/>
      <c r="Z97" s="653"/>
      <c r="AA97" s="40"/>
      <c r="AB97" s="630"/>
      <c r="AC97" s="653"/>
      <c r="AD97" s="40"/>
      <c r="AE97" s="630"/>
      <c r="AF97" s="653"/>
      <c r="AG97" s="40"/>
      <c r="AH97" s="630"/>
      <c r="AI97" s="653"/>
      <c r="AJ97" s="40"/>
      <c r="AK97" s="630"/>
      <c r="AL97" s="653"/>
      <c r="AM97" s="40"/>
      <c r="AN97" s="630"/>
      <c r="AO97" s="653"/>
      <c r="AP97" s="40"/>
      <c r="AQ97" s="539"/>
      <c r="AR97" s="550"/>
      <c r="AS97"/>
      <c r="AT97" s="539"/>
      <c r="AU97" s="550"/>
      <c r="AV97"/>
      <c r="AW97" s="539"/>
      <c r="AX97" s="550"/>
      <c r="AY97"/>
      <c r="AZ97" s="539"/>
      <c r="BA97" s="550"/>
      <c r="BB97"/>
      <c r="BC97" s="539"/>
      <c r="BD97" s="550"/>
      <c r="BE97"/>
      <c r="BF97" s="539"/>
      <c r="BG97" s="550"/>
      <c r="BH97"/>
      <c r="BI97" s="539"/>
      <c r="BJ97" s="550"/>
      <c r="BK97"/>
      <c r="BL97" s="539"/>
      <c r="BM97" s="550"/>
    </row>
    <row r="98" spans="1:67">
      <c r="A98" s="25" t="s">
        <v>313</v>
      </c>
      <c r="B98" s="40">
        <f>IS!B7</f>
        <v>5864</v>
      </c>
      <c r="C98" s="40">
        <f>IS!C7</f>
        <v>6328</v>
      </c>
      <c r="D98" s="40">
        <f>IS!D7</f>
        <v>5788</v>
      </c>
      <c r="E98" s="40">
        <f>IS!E7</f>
        <v>5645</v>
      </c>
      <c r="F98" s="40">
        <f>IS!F7</f>
        <v>5947</v>
      </c>
      <c r="G98" s="40">
        <f>IS!G7</f>
        <v>6603</v>
      </c>
      <c r="H98" s="40">
        <f>IS!H7</f>
        <v>7156</v>
      </c>
      <c r="I98" s="40">
        <f>IS!I7</f>
        <v>7435</v>
      </c>
      <c r="J98" s="40">
        <f>IS!J7</f>
        <v>9082</v>
      </c>
      <c r="K98" s="40">
        <f>IS!K7</f>
        <v>10414</v>
      </c>
      <c r="L98" s="40">
        <f>IS!L7</f>
        <v>11085</v>
      </c>
      <c r="M98" s="40">
        <f>IS!M7</f>
        <v>11124</v>
      </c>
      <c r="N98" s="40">
        <f>IS!N7</f>
        <v>12161</v>
      </c>
      <c r="O98" s="40">
        <f>IS!O7</f>
        <v>14642</v>
      </c>
      <c r="P98" s="40">
        <f>IS!P7</f>
        <v>13736</v>
      </c>
      <c r="Q98" s="40">
        <f>IS!Q7</f>
        <v>13725</v>
      </c>
      <c r="R98" s="40">
        <f>IS!R5</f>
        <v>6143</v>
      </c>
      <c r="S98" s="630">
        <f>IS!S5</f>
        <v>7640</v>
      </c>
      <c r="T98" s="653">
        <f>IS!T7</f>
        <v>14955</v>
      </c>
      <c r="U98" s="40">
        <f>IS!U5</f>
        <v>6865</v>
      </c>
      <c r="V98" s="630">
        <f>IS!V5</f>
        <v>8225</v>
      </c>
      <c r="W98" s="653">
        <f>IS!W7</f>
        <v>16307</v>
      </c>
      <c r="X98" s="40"/>
      <c r="Y98" s="630"/>
      <c r="Z98" s="653">
        <f>IS!Z7</f>
        <v>14747</v>
      </c>
      <c r="AA98" s="40">
        <f>IS!AA5</f>
        <v>7040</v>
      </c>
      <c r="AB98" s="630">
        <f>IS!AB5</f>
        <v>8027</v>
      </c>
      <c r="AC98" s="653">
        <f>IS!AC5</f>
        <v>15067</v>
      </c>
      <c r="AD98" s="40">
        <f>IS!AD5</f>
        <v>7353</v>
      </c>
      <c r="AE98" s="630">
        <f>IS!AE5</f>
        <v>8097</v>
      </c>
      <c r="AF98" s="653">
        <f>IS!AF5</f>
        <v>15450</v>
      </c>
      <c r="AG98" s="40">
        <f>IS!AG5</f>
        <v>5561</v>
      </c>
      <c r="AH98" s="630">
        <f>IS!AH5</f>
        <v>5869</v>
      </c>
      <c r="AI98" s="653">
        <f>IS!AI5</f>
        <v>11430</v>
      </c>
      <c r="AJ98" s="40">
        <f>IS!AJ5</f>
        <v>5227</v>
      </c>
      <c r="AK98" s="630">
        <f>IS!AK5</f>
        <v>5720</v>
      </c>
      <c r="AL98" s="653">
        <f>IS!AL5</f>
        <v>10947</v>
      </c>
      <c r="AM98" s="40">
        <f>IS!AM5</f>
        <v>5308</v>
      </c>
      <c r="AN98" s="630">
        <f>IS!AN5</f>
        <v>7383</v>
      </c>
      <c r="AO98" s="653">
        <f>IS!AO5</f>
        <v>12691</v>
      </c>
      <c r="AP98" s="40">
        <f>IS!AP5</f>
        <v>6950</v>
      </c>
      <c r="AQ98" s="630">
        <f>IS!AQ5</f>
        <v>8459</v>
      </c>
      <c r="AR98" s="653">
        <f>IS!AR5</f>
        <v>15409</v>
      </c>
      <c r="AS98" s="40">
        <f>IS!AS5</f>
        <v>8182</v>
      </c>
      <c r="AT98" s="630">
        <f>IS!AT5</f>
        <v>9666</v>
      </c>
      <c r="AU98" s="653">
        <f>IS!AU5</f>
        <v>17848</v>
      </c>
      <c r="AV98" s="40">
        <f>IS!AV5</f>
        <v>9057</v>
      </c>
      <c r="AW98" s="630">
        <f>IS!AW5</f>
        <v>11002</v>
      </c>
      <c r="AX98" s="653">
        <f>IS!AX5</f>
        <v>20059</v>
      </c>
      <c r="AY98" s="40">
        <f>IS!AY5</f>
        <v>11279</v>
      </c>
      <c r="AZ98" s="236">
        <f>IS!AZ5</f>
        <v>12334.997421791399</v>
      </c>
      <c r="BA98" s="605">
        <f>IS!BA5</f>
        <v>23613.997421791399</v>
      </c>
      <c r="BB98" s="56">
        <f>IS!BB5</f>
        <v>12914.199231416873</v>
      </c>
      <c r="BC98" s="236">
        <f>IS!BC5</f>
        <v>13763.730006610756</v>
      </c>
      <c r="BD98" s="605">
        <f>IS!BD5</f>
        <v>26677.929238027627</v>
      </c>
      <c r="BE98" s="56">
        <f>IS!BE5</f>
        <v>14160.950842036937</v>
      </c>
      <c r="BF98" s="236">
        <f>IS!BF5</f>
        <v>15375.343105863434</v>
      </c>
      <c r="BG98" s="605">
        <f>IS!BG5</f>
        <v>29536.293947900369</v>
      </c>
      <c r="BH98" s="56">
        <f>IS!BH5</f>
        <v>15870.082486126383</v>
      </c>
      <c r="BI98" s="236">
        <f>IS!BI5</f>
        <v>17226.512100516175</v>
      </c>
      <c r="BJ98" s="605">
        <f>IS!BJ5</f>
        <v>33096.594586642554</v>
      </c>
      <c r="BK98" s="56">
        <f>IS!BK5</f>
        <v>17792.180974861374</v>
      </c>
      <c r="BL98" s="236">
        <f>IS!BL5</f>
        <v>19277.306261152517</v>
      </c>
      <c r="BM98" s="605">
        <f>IS!BM5</f>
        <v>37069.487236013891</v>
      </c>
    </row>
    <row r="99" spans="1:67">
      <c r="A99" s="25" t="s">
        <v>2</v>
      </c>
      <c r="B99" s="40">
        <f>-IS!B11</f>
        <v>5005</v>
      </c>
      <c r="C99" s="40">
        <f>-IS!C11</f>
        <v>5406</v>
      </c>
      <c r="D99" s="40">
        <f>-IS!D11</f>
        <v>4915</v>
      </c>
      <c r="E99" s="40">
        <f>-IS!E11</f>
        <v>4714</v>
      </c>
      <c r="F99" s="40">
        <f>-IS!F11</f>
        <v>4744</v>
      </c>
      <c r="G99" s="40">
        <f>-IS!G11</f>
        <v>4924</v>
      </c>
      <c r="H99" s="40">
        <f>-IS!H11</f>
        <v>5566</v>
      </c>
      <c r="I99" s="40">
        <f>-IS!I11</f>
        <v>6003</v>
      </c>
      <c r="J99" s="40">
        <f>-IS!J11</f>
        <v>7278</v>
      </c>
      <c r="K99" s="40">
        <f>-IS!K11</f>
        <v>8303</v>
      </c>
      <c r="L99" s="40">
        <f>-IS!L11</f>
        <v>8885</v>
      </c>
      <c r="M99" s="40">
        <f>-IS!M11</f>
        <v>8676</v>
      </c>
      <c r="N99" s="40">
        <f>-IS!N11</f>
        <v>9432</v>
      </c>
      <c r="O99" s="40">
        <f>-IS!O11</f>
        <v>11482</v>
      </c>
      <c r="P99" s="40">
        <f>-IS!P8</f>
        <v>10341</v>
      </c>
      <c r="Q99" s="40">
        <f>-IS!Q8</f>
        <v>10172</v>
      </c>
      <c r="R99" s="40">
        <f>-IS!R8</f>
        <v>5110</v>
      </c>
      <c r="S99" s="630">
        <f>-IS!S8</f>
        <v>5850</v>
      </c>
      <c r="T99" s="653">
        <f>-IS!T8</f>
        <v>10960</v>
      </c>
      <c r="U99" s="40">
        <f>-IS!U8</f>
        <v>5613</v>
      </c>
      <c r="V99" s="630">
        <f>-IS!V8</f>
        <v>6504</v>
      </c>
      <c r="W99" s="653">
        <f>-IS!W8</f>
        <v>12117</v>
      </c>
      <c r="X99" s="40"/>
      <c r="Y99" s="630"/>
      <c r="Z99" s="653">
        <f>-IS!Z8</f>
        <v>11425</v>
      </c>
      <c r="AA99" s="40">
        <f>-IS!AA8</f>
        <v>6034</v>
      </c>
      <c r="AB99" s="630">
        <f>-IS!AB8</f>
        <v>6583</v>
      </c>
      <c r="AC99" s="653">
        <f>-IS!AC8</f>
        <v>12617</v>
      </c>
      <c r="AD99" s="40">
        <f>-IS!AD8</f>
        <v>6323</v>
      </c>
      <c r="AE99" s="630">
        <f>-IS!AE8</f>
        <v>6740</v>
      </c>
      <c r="AF99" s="653">
        <f>-IS!AF8</f>
        <v>13063</v>
      </c>
      <c r="AG99" s="40">
        <f>-IS!AG8</f>
        <v>6526</v>
      </c>
      <c r="AH99" s="630">
        <f>-IS!AH8</f>
        <v>5517</v>
      </c>
      <c r="AI99" s="653">
        <f>-IS!AI8</f>
        <v>12043</v>
      </c>
      <c r="AJ99" s="40">
        <f>-IS!AJ8</f>
        <v>4178</v>
      </c>
      <c r="AK99" s="630">
        <f>-IS!AK8</f>
        <v>4773</v>
      </c>
      <c r="AL99" s="653">
        <f>-IS!AL8</f>
        <v>8951</v>
      </c>
      <c r="AM99" s="40">
        <f>-IS!AM8</f>
        <v>4327</v>
      </c>
      <c r="AN99" s="630">
        <f>-IS!AN8</f>
        <v>5887</v>
      </c>
      <c r="AO99" s="653">
        <f>-IS!AO8</f>
        <v>10214</v>
      </c>
      <c r="AP99" s="40">
        <f>-IS!AP8</f>
        <v>5435</v>
      </c>
      <c r="AQ99" s="630">
        <f>-IS!AQ8</f>
        <v>6743</v>
      </c>
      <c r="AR99" s="653">
        <f>-IS!AR8</f>
        <v>12178</v>
      </c>
      <c r="AS99" s="40">
        <f>-IS!AS8</f>
        <v>6205</v>
      </c>
      <c r="AT99" s="630">
        <f>-IS!AT8</f>
        <v>7551</v>
      </c>
      <c r="AU99" s="653">
        <f>-IS!AU8</f>
        <v>13756</v>
      </c>
      <c r="AV99" s="40">
        <f>-IS!AV8</f>
        <v>6485</v>
      </c>
      <c r="AW99" s="630">
        <f>-IS!AW8</f>
        <v>8448</v>
      </c>
      <c r="AX99" s="653">
        <f>-IS!AX8</f>
        <v>14933</v>
      </c>
      <c r="AY99" s="40">
        <f>-IS!AY8</f>
        <v>7882</v>
      </c>
      <c r="AZ99" s="236">
        <f>-IS!AZ8</f>
        <v>9020.0434971695286</v>
      </c>
      <c r="BA99" s="605">
        <f>-IS!BA8</f>
        <v>16902.043497169529</v>
      </c>
      <c r="BB99" s="56">
        <f>-IS!BB8</f>
        <v>9245.2975449478399</v>
      </c>
      <c r="BC99" s="236">
        <f>-IS!BC8</f>
        <v>9866.888758981313</v>
      </c>
      <c r="BD99" s="605">
        <f>-IS!BD8</f>
        <v>19112.186303929149</v>
      </c>
      <c r="BE99" s="56">
        <f>-IS!BE8</f>
        <v>9979.6904598686851</v>
      </c>
      <c r="BF99" s="236">
        <f>-IS!BF8</f>
        <v>10846.93988835022</v>
      </c>
      <c r="BG99" s="605">
        <f>-IS!BG8</f>
        <v>20826.630348218903</v>
      </c>
      <c r="BH99" s="56">
        <f>-IS!BH8</f>
        <v>11044.41853758541</v>
      </c>
      <c r="BI99" s="236">
        <f>-IS!BI8</f>
        <v>11987.787108655348</v>
      </c>
      <c r="BJ99" s="605">
        <f>-IS!BJ8</f>
        <v>23032.205646240756</v>
      </c>
      <c r="BK99" s="56">
        <f>-IS!BK8</f>
        <v>12237.822988389615</v>
      </c>
      <c r="BL99" s="236">
        <f>-IS!BL8</f>
        <v>13242.624692908257</v>
      </c>
      <c r="BM99" s="605">
        <f>-IS!BM8</f>
        <v>25480.447681297872</v>
      </c>
    </row>
    <row r="100" spans="1:67">
      <c r="B100" s="40"/>
      <c r="C100" s="40"/>
      <c r="D100" s="40"/>
      <c r="E100" s="40"/>
      <c r="F100" s="40"/>
      <c r="G100" s="40"/>
      <c r="H100" s="40"/>
      <c r="I100" s="40"/>
      <c r="J100" s="40"/>
      <c r="K100" s="40"/>
      <c r="L100" s="40"/>
      <c r="M100" s="40"/>
      <c r="N100" s="40"/>
      <c r="O100" s="40"/>
      <c r="P100" s="40"/>
      <c r="Q100" s="40"/>
      <c r="R100" s="40"/>
      <c r="S100" s="630"/>
      <c r="T100" s="653"/>
      <c r="U100" s="40"/>
      <c r="V100" s="630"/>
      <c r="W100" s="653"/>
      <c r="X100" s="40"/>
      <c r="Y100" s="630"/>
      <c r="Z100" s="653"/>
      <c r="AA100" s="40"/>
      <c r="AB100" s="630"/>
      <c r="AC100" s="653"/>
      <c r="AD100" s="40"/>
      <c r="AE100" s="630"/>
      <c r="AF100" s="653"/>
      <c r="AG100" s="40"/>
      <c r="AH100" s="630"/>
      <c r="AI100" s="653"/>
      <c r="AJ100" s="40"/>
      <c r="AK100" s="630"/>
      <c r="AL100" s="653"/>
      <c r="AM100" s="40"/>
      <c r="AN100" s="630"/>
      <c r="AO100" s="653"/>
      <c r="AP100" s="40"/>
      <c r="AQ100" s="539"/>
      <c r="AR100" s="550"/>
      <c r="AS100" s="40"/>
      <c r="AT100" s="539"/>
      <c r="AU100" s="550"/>
      <c r="AV100"/>
      <c r="AW100" s="539"/>
      <c r="AX100" s="550"/>
      <c r="AY100"/>
      <c r="AZ100" s="539"/>
      <c r="BA100" s="550"/>
      <c r="BB100"/>
      <c r="BC100" s="539"/>
      <c r="BD100" s="550"/>
      <c r="BE100"/>
      <c r="BF100" s="539"/>
      <c r="BG100" s="550"/>
      <c r="BH100"/>
      <c r="BI100" s="539"/>
      <c r="BJ100" s="550"/>
      <c r="BK100"/>
      <c r="BL100" s="539"/>
      <c r="BM100" s="550"/>
    </row>
    <row r="101" spans="1:67">
      <c r="A101" s="25" t="s">
        <v>314</v>
      </c>
      <c r="B101" s="40">
        <f t="shared" ref="B101:AH101" si="439">B76/B99*B96</f>
        <v>86.216583416583418</v>
      </c>
      <c r="C101" s="40">
        <f t="shared" si="439"/>
        <v>82.50647428782834</v>
      </c>
      <c r="D101" s="40">
        <f t="shared" si="439"/>
        <v>85.995930824008141</v>
      </c>
      <c r="E101" s="40">
        <f t="shared" si="439"/>
        <v>74.486635553669927</v>
      </c>
      <c r="F101" s="40">
        <f t="shared" si="439"/>
        <v>84.093591905564921</v>
      </c>
      <c r="G101" s="40">
        <f t="shared" si="439"/>
        <v>97.031884646628754</v>
      </c>
      <c r="H101" s="40">
        <f t="shared" si="439"/>
        <v>120.9890406036651</v>
      </c>
      <c r="I101" s="40">
        <f t="shared" si="439"/>
        <v>133.94885890388139</v>
      </c>
      <c r="J101" s="40">
        <f t="shared" si="439"/>
        <v>130.75020610057709</v>
      </c>
      <c r="K101" s="40">
        <f t="shared" si="439"/>
        <v>106.91075514874142</v>
      </c>
      <c r="L101" s="40">
        <f t="shared" si="439"/>
        <v>99.784468204839627</v>
      </c>
      <c r="M101" s="40">
        <f t="shared" si="439"/>
        <v>107.74147072383587</v>
      </c>
      <c r="N101" s="40">
        <f t="shared" si="439"/>
        <v>105.77989821882952</v>
      </c>
      <c r="O101" s="40">
        <f t="shared" si="439"/>
        <v>105.50731579864136</v>
      </c>
      <c r="P101" s="40">
        <f t="shared" si="439"/>
        <v>97.700415820520263</v>
      </c>
      <c r="Q101" s="40">
        <f t="shared" si="439"/>
        <v>94.622984663782944</v>
      </c>
      <c r="R101" s="40">
        <f t="shared" si="439"/>
        <v>112.72602739726028</v>
      </c>
      <c r="S101" s="630">
        <f t="shared" si="439"/>
        <v>97.063931623931609</v>
      </c>
      <c r="T101" s="653">
        <f t="shared" si="439"/>
        <v>103.05437956204379</v>
      </c>
      <c r="U101" s="40">
        <f t="shared" ref="U101:V101" si="440">U76/U99*U96</f>
        <v>112.89524318546232</v>
      </c>
      <c r="V101" s="630">
        <f t="shared" si="440"/>
        <v>103.54243542435425</v>
      </c>
      <c r="W101" s="653">
        <f t="shared" si="439"/>
        <v>110.25006189650904</v>
      </c>
      <c r="X101" s="40"/>
      <c r="Y101" s="630"/>
      <c r="Z101" s="653">
        <f t="shared" si="439"/>
        <v>121.49628008752734</v>
      </c>
      <c r="AA101" s="40">
        <f t="shared" si="439"/>
        <v>121.93652635067947</v>
      </c>
      <c r="AB101" s="630">
        <f t="shared" si="439"/>
        <v>119.82500379766064</v>
      </c>
      <c r="AC101" s="653">
        <f t="shared" si="439"/>
        <v>124.01957676151225</v>
      </c>
      <c r="AD101" s="40">
        <f t="shared" ref="AD101:AE101" si="441">AD76/AD99*AD96</f>
        <v>134.85544836311877</v>
      </c>
      <c r="AE101" s="630">
        <f t="shared" si="441"/>
        <v>117.93471810089021</v>
      </c>
      <c r="AF101" s="653">
        <f t="shared" si="439"/>
        <v>120.70734134578581</v>
      </c>
      <c r="AG101" s="40">
        <f t="shared" si="439"/>
        <v>134.36653386454185</v>
      </c>
      <c r="AH101" s="630">
        <f t="shared" si="439"/>
        <v>123.0668841761827</v>
      </c>
      <c r="AI101" s="653">
        <f>AI76/AI99*AI96</f>
        <v>112.14315369924438</v>
      </c>
      <c r="AJ101" s="40">
        <f t="shared" ref="AJ101:AK101" si="442">AJ76/AJ99*AJ96</f>
        <v>159.12230732407849</v>
      </c>
      <c r="AK101" s="630">
        <f t="shared" si="442"/>
        <v>141.32495285983657</v>
      </c>
      <c r="AL101" s="653">
        <f t="shared" ref="AL101:AP101" si="443">AL76/AL99*AL96</f>
        <v>149.49055971399844</v>
      </c>
      <c r="AM101" s="40">
        <f t="shared" si="443"/>
        <v>185.97781372775597</v>
      </c>
      <c r="AN101" s="630">
        <f t="shared" si="443"/>
        <v>147.14999150670971</v>
      </c>
      <c r="AO101" s="653">
        <f t="shared" si="443"/>
        <v>168.24162913647936</v>
      </c>
      <c r="AP101" s="40">
        <f t="shared" si="443"/>
        <v>170.80938362465503</v>
      </c>
      <c r="AQ101" s="630">
        <f t="shared" ref="AQ101:AS101" si="444">AQ76/AQ99*AQ96</f>
        <v>132.29007860002966</v>
      </c>
      <c r="AR101" s="653">
        <f t="shared" si="444"/>
        <v>145.30464772540648</v>
      </c>
      <c r="AS101" s="40">
        <f t="shared" si="444"/>
        <v>159.82562449637391</v>
      </c>
      <c r="AT101" s="630">
        <f t="shared" ref="AT101:AV101" si="445">AT76/AT99*AT96</f>
        <v>124.07998940537678</v>
      </c>
      <c r="AU101" s="653">
        <f t="shared" si="445"/>
        <v>135.48066298342542</v>
      </c>
      <c r="AV101" s="40">
        <f t="shared" si="445"/>
        <v>156.60616808018506</v>
      </c>
      <c r="AW101" s="630">
        <f t="shared" ref="AW101" si="446">AW76/AW99*AW96</f>
        <v>124.75757575757575</v>
      </c>
      <c r="AX101" s="653">
        <f t="shared" ref="AX101:AY101" si="447">AX76/AX99*AX96</f>
        <v>140.00669657804863</v>
      </c>
      <c r="AY101" s="40">
        <f t="shared" si="447"/>
        <v>141.24980969297133</v>
      </c>
      <c r="AZ101" s="236">
        <f>AZ76/AZ99*AZ96</f>
        <v>118.07706642416093</v>
      </c>
      <c r="BA101" s="580">
        <v>125</v>
      </c>
      <c r="BB101" s="56">
        <f>BD101</f>
        <v>120</v>
      </c>
      <c r="BC101" s="236">
        <f>BC76/BC99*BC96</f>
        <v>117.17537252557769</v>
      </c>
      <c r="BD101" s="580">
        <v>120</v>
      </c>
      <c r="BE101" s="56">
        <f>BG101</f>
        <v>110</v>
      </c>
      <c r="BF101" s="236">
        <f>BF76/BF99*BF96</f>
        <v>106.17962769073662</v>
      </c>
      <c r="BG101" s="580">
        <v>110</v>
      </c>
      <c r="BH101" s="56">
        <f>BJ101</f>
        <v>99</v>
      </c>
      <c r="BI101" s="236">
        <f>BI76/BI99*BI96</f>
        <v>95.8863221512065</v>
      </c>
      <c r="BJ101" s="580">
        <v>99</v>
      </c>
      <c r="BK101" s="56">
        <f>BM101</f>
        <v>90</v>
      </c>
      <c r="BL101" s="236">
        <f>BL76/BL99*BL96</f>
        <v>87.297227523731678</v>
      </c>
      <c r="BM101" s="580">
        <v>90</v>
      </c>
      <c r="BN101"/>
    </row>
    <row r="102" spans="1:67">
      <c r="A102" s="25" t="s">
        <v>315</v>
      </c>
      <c r="B102" s="40">
        <f t="shared" ref="B102:AH102" si="448">B77/B98*B96</f>
        <v>128.69918144611188</v>
      </c>
      <c r="C102" s="40">
        <f t="shared" si="448"/>
        <v>135.43299620733248</v>
      </c>
      <c r="D102" s="40">
        <f t="shared" si="448"/>
        <v>145.41983413959917</v>
      </c>
      <c r="E102" s="40">
        <f t="shared" si="448"/>
        <v>160.87156775907883</v>
      </c>
      <c r="F102" s="40">
        <f t="shared" si="448"/>
        <v>126.10290902976291</v>
      </c>
      <c r="G102" s="40">
        <f t="shared" si="448"/>
        <v>113.15386945327882</v>
      </c>
      <c r="H102" s="40">
        <f t="shared" si="448"/>
        <v>125.73015651201789</v>
      </c>
      <c r="I102" s="40">
        <f t="shared" si="448"/>
        <v>126.90316072629454</v>
      </c>
      <c r="J102" s="40">
        <f t="shared" si="448"/>
        <v>158.33670997577627</v>
      </c>
      <c r="K102" s="40">
        <f t="shared" si="448"/>
        <v>135.88486652583063</v>
      </c>
      <c r="L102" s="40">
        <f t="shared" si="448"/>
        <v>129.83265674334686</v>
      </c>
      <c r="M102" s="40">
        <f t="shared" si="448"/>
        <v>131.54306005034161</v>
      </c>
      <c r="N102" s="40">
        <f t="shared" si="448"/>
        <v>123.9662856672971</v>
      </c>
      <c r="O102" s="40">
        <f t="shared" si="448"/>
        <v>126.93484496653463</v>
      </c>
      <c r="P102" s="40">
        <f t="shared" si="448"/>
        <v>146.38795864880606</v>
      </c>
      <c r="Q102" s="40">
        <f t="shared" si="448"/>
        <v>166.05173041894352</v>
      </c>
      <c r="R102" s="40">
        <f t="shared" si="448"/>
        <v>211.68647240761842</v>
      </c>
      <c r="S102" s="630">
        <f t="shared" si="448"/>
        <v>167.52670157068064</v>
      </c>
      <c r="T102" s="653">
        <f t="shared" si="448"/>
        <v>170.23711133400201</v>
      </c>
      <c r="U102" s="40">
        <f t="shared" ref="U102:V102" si="449">U77/U98*U96</f>
        <v>190.91347414420977</v>
      </c>
      <c r="V102" s="630">
        <f t="shared" si="449"/>
        <v>177.15452887537995</v>
      </c>
      <c r="W102" s="653">
        <f t="shared" si="448"/>
        <v>177.25118047464281</v>
      </c>
      <c r="X102" s="40"/>
      <c r="Y102" s="630"/>
      <c r="Z102" s="653">
        <f t="shared" si="448"/>
        <v>155.88051807147215</v>
      </c>
      <c r="AA102" s="40">
        <f t="shared" si="448"/>
        <v>163.59417613636364</v>
      </c>
      <c r="AB102" s="630">
        <f t="shared" si="448"/>
        <v>154.65902578796562</v>
      </c>
      <c r="AC102" s="653">
        <f t="shared" si="448"/>
        <v>163.44693701466781</v>
      </c>
      <c r="AD102" s="40">
        <f t="shared" ref="AD102:AE102" si="450">AD77/AD98*AD96</f>
        <v>171.84292125662995</v>
      </c>
      <c r="AE102" s="630">
        <f t="shared" si="450"/>
        <v>162.70717549709769</v>
      </c>
      <c r="AF102" s="653">
        <f t="shared" si="448"/>
        <v>169.15210355987054</v>
      </c>
      <c r="AG102" s="40">
        <f t="shared" si="448"/>
        <v>251.21956482647008</v>
      </c>
      <c r="AH102" s="630">
        <f t="shared" si="448"/>
        <v>218.3608791957744</v>
      </c>
      <c r="AI102" s="653">
        <f>AI77/AI98*AI96</f>
        <v>223.0262467191601</v>
      </c>
      <c r="AJ102" s="40">
        <f t="shared" ref="AJ102:AK102" si="451">AJ77/AJ98*AJ96</f>
        <v>224.04247178113641</v>
      </c>
      <c r="AK102" s="630">
        <f t="shared" si="451"/>
        <v>220.54265734265735</v>
      </c>
      <c r="AL102" s="653">
        <f t="shared" ref="AL102:AP102" si="452">AL77/AL98*AL96</f>
        <v>228.59596236411801</v>
      </c>
      <c r="AM102" s="40">
        <f t="shared" si="452"/>
        <v>255.43914845516201</v>
      </c>
      <c r="AN102" s="630">
        <f t="shared" si="452"/>
        <v>209.76947040498445</v>
      </c>
      <c r="AO102" s="653">
        <f t="shared" si="452"/>
        <v>242.07745646521155</v>
      </c>
      <c r="AP102" s="40">
        <f t="shared" si="452"/>
        <v>226.86201438848923</v>
      </c>
      <c r="AQ102" s="630">
        <f t="shared" ref="AQ102:AS102" si="453">AQ77/AQ98*AQ96</f>
        <v>203.70729400638376</v>
      </c>
      <c r="AR102" s="653">
        <f t="shared" si="453"/>
        <v>221.83301966383283</v>
      </c>
      <c r="AS102" s="40">
        <f t="shared" si="453"/>
        <v>212.60767538499147</v>
      </c>
      <c r="AT102" s="630">
        <f t="shared" ref="AT102:AV102" si="454">AT77/AT98*AT96</f>
        <v>200.37078419201325</v>
      </c>
      <c r="AU102" s="653">
        <f t="shared" si="454"/>
        <v>215.85141192290453</v>
      </c>
      <c r="AV102" s="40">
        <f t="shared" si="454"/>
        <v>208.23893121342607</v>
      </c>
      <c r="AW102" s="630">
        <f t="shared" ref="AW102" si="455">AW77/AW98*AW96</f>
        <v>181.34084711870568</v>
      </c>
      <c r="AX102" s="653">
        <f t="shared" ref="AX102:AY102" si="456">AX77/AX98*AX96</f>
        <v>197.3027070143078</v>
      </c>
      <c r="AY102" s="40">
        <f t="shared" si="456"/>
        <v>181.73818600939802</v>
      </c>
      <c r="AZ102" s="236">
        <f>AZ77/AZ98*AZ96</f>
        <v>151.99733208656011</v>
      </c>
      <c r="BA102" s="580">
        <v>157.5</v>
      </c>
      <c r="BB102" s="56">
        <f>BD102</f>
        <v>125</v>
      </c>
      <c r="BC102" s="236">
        <f>BC77/BC98*BC96</f>
        <v>122.1380390543674</v>
      </c>
      <c r="BD102" s="580">
        <v>125</v>
      </c>
      <c r="BE102" s="56">
        <f>BG102</f>
        <v>110</v>
      </c>
      <c r="BF102" s="236">
        <f>BF77/BF98*BF96</f>
        <v>106.23328429967435</v>
      </c>
      <c r="BG102" s="580">
        <v>110</v>
      </c>
      <c r="BH102" s="56">
        <f>BJ102</f>
        <v>99</v>
      </c>
      <c r="BI102" s="236">
        <f>BI77/BI98*BI96</f>
        <v>95.883992606256527</v>
      </c>
      <c r="BJ102" s="580">
        <v>99</v>
      </c>
      <c r="BK102" s="56">
        <f>BM102</f>
        <v>90</v>
      </c>
      <c r="BL102" s="236">
        <f>BL77/BL98*BL96</f>
        <v>87.244427987079632</v>
      </c>
      <c r="BM102" s="580">
        <v>90</v>
      </c>
      <c r="BN102"/>
    </row>
    <row r="103" spans="1:67">
      <c r="A103" s="25" t="s">
        <v>316</v>
      </c>
      <c r="B103" s="40">
        <f t="shared" ref="B103:BM103" si="457">-B78/B99*B96</f>
        <v>188.5210789210789</v>
      </c>
      <c r="C103" s="40">
        <f t="shared" si="457"/>
        <v>188.84665186829449</v>
      </c>
      <c r="D103" s="40">
        <f t="shared" si="457"/>
        <v>221.22787385554423</v>
      </c>
      <c r="E103" s="40">
        <f t="shared" si="457"/>
        <v>232.28680526092489</v>
      </c>
      <c r="F103" s="40">
        <f t="shared" si="457"/>
        <v>226.66694772344013</v>
      </c>
      <c r="G103" s="40">
        <f t="shared" si="457"/>
        <v>247.50913891145407</v>
      </c>
      <c r="H103" s="40">
        <f t="shared" si="457"/>
        <v>296.07887172116421</v>
      </c>
      <c r="I103" s="40">
        <f t="shared" si="457"/>
        <v>346.63751457604531</v>
      </c>
      <c r="J103" s="40">
        <f t="shared" si="457"/>
        <v>354.68507831821927</v>
      </c>
      <c r="K103" s="40">
        <f t="shared" si="457"/>
        <v>297.74117788751056</v>
      </c>
      <c r="L103" s="40">
        <f t="shared" si="457"/>
        <v>294.99887450759707</v>
      </c>
      <c r="M103" s="40">
        <f t="shared" si="457"/>
        <v>317.62909174734904</v>
      </c>
      <c r="N103" s="40">
        <f t="shared" si="457"/>
        <v>313.26526717557255</v>
      </c>
      <c r="O103" s="40">
        <f t="shared" si="457"/>
        <v>291.91734889392092</v>
      </c>
      <c r="P103" s="40">
        <f t="shared" si="457"/>
        <v>325.99748573638914</v>
      </c>
      <c r="Q103" s="40">
        <f t="shared" si="457"/>
        <v>331.55721588674794</v>
      </c>
      <c r="R103" s="40">
        <f t="shared" si="457"/>
        <v>367.95342465753424</v>
      </c>
      <c r="S103" s="630">
        <f t="shared" si="457"/>
        <v>359.06735042735045</v>
      </c>
      <c r="T103" s="653">
        <f t="shared" si="457"/>
        <v>381.22773722627733</v>
      </c>
      <c r="U103" s="40">
        <f t="shared" ref="U103:V103" si="458">-U78/U99*U96</f>
        <v>374.09246392303578</v>
      </c>
      <c r="V103" s="630">
        <f t="shared" si="458"/>
        <v>387.71832718327187</v>
      </c>
      <c r="W103" s="653">
        <f t="shared" si="457"/>
        <v>412.83527275728312</v>
      </c>
      <c r="X103" s="40"/>
      <c r="Y103" s="630"/>
      <c r="Z103" s="653">
        <f t="shared" si="457"/>
        <v>537.80393873085347</v>
      </c>
      <c r="AA103" s="40">
        <f t="shared" si="457"/>
        <v>521.28239973483596</v>
      </c>
      <c r="AB103" s="630">
        <f t="shared" si="457"/>
        <v>541.18304724289828</v>
      </c>
      <c r="AC103" s="653">
        <f t="shared" si="457"/>
        <v>560.12760561147661</v>
      </c>
      <c r="AD103" s="40">
        <f t="shared" ref="AD103:AE103" si="459">-AD78/AD99*AD96</f>
        <v>570.88138541831415</v>
      </c>
      <c r="AE103" s="630">
        <f t="shared" si="459"/>
        <v>583.14896142433236</v>
      </c>
      <c r="AF103" s="653">
        <f t="shared" si="457"/>
        <v>596.85868483503032</v>
      </c>
      <c r="AG103" s="40">
        <f t="shared" si="457"/>
        <v>591.12350597609554</v>
      </c>
      <c r="AH103" s="630">
        <f t="shared" si="457"/>
        <v>633.91118361428312</v>
      </c>
      <c r="AI103" s="653">
        <f>-AI78/AI99*AI96</f>
        <v>577.6436103960807</v>
      </c>
      <c r="AJ103" s="40">
        <f t="shared" ref="AJ103:AK103" si="460">-AJ78/AJ99*AJ96</f>
        <v>768.96840593585443</v>
      </c>
      <c r="AK103" s="630">
        <f t="shared" si="460"/>
        <v>690.04818772260637</v>
      </c>
      <c r="AL103" s="653">
        <f>-AL78/AL99*AL96</f>
        <v>729.91844486649541</v>
      </c>
      <c r="AM103" s="40">
        <f t="shared" ref="AM103:AN103" si="461">-AM78/AM99*AM96</f>
        <v>824.60203374162234</v>
      </c>
      <c r="AN103" s="630">
        <f t="shared" si="461"/>
        <v>672.2704263631731</v>
      </c>
      <c r="AO103" s="653">
        <f t="shared" si="457"/>
        <v>768.62982181319762</v>
      </c>
      <c r="AP103" s="40">
        <f t="shared" ref="AP103:AR103" si="462">-AP78/AP99*AP96</f>
        <v>749.44323827046924</v>
      </c>
      <c r="AQ103" s="630">
        <f t="shared" si="462"/>
        <v>637.41005487171878</v>
      </c>
      <c r="AR103" s="653">
        <f t="shared" si="462"/>
        <v>700.11783544095908</v>
      </c>
      <c r="AS103" s="40">
        <f t="shared" ref="AS103:AU103" si="463">-AS78/AS99*AS96</f>
        <v>716.79548751007258</v>
      </c>
      <c r="AT103" s="630">
        <f t="shared" si="463"/>
        <v>626.97920805191359</v>
      </c>
      <c r="AU103" s="653">
        <f t="shared" si="463"/>
        <v>684.58708927013674</v>
      </c>
      <c r="AV103" s="40">
        <f t="shared" ref="AV103:AW103" si="464">-AV78/AV99*AV96</f>
        <v>740.21603700848107</v>
      </c>
      <c r="AW103" s="630">
        <f t="shared" si="464"/>
        <v>593.186553030303</v>
      </c>
      <c r="AX103" s="653">
        <f t="shared" si="457"/>
        <v>665.69175651242222</v>
      </c>
      <c r="AY103" s="40">
        <f t="shared" si="457"/>
        <v>652.123572697285</v>
      </c>
      <c r="AZ103" s="236">
        <f t="shared" ref="AZ103" si="465">-AZ78/AZ99*AZ96</f>
        <v>555.68076041144514</v>
      </c>
      <c r="BA103" s="605">
        <f t="shared" si="457"/>
        <v>588.26067715735292</v>
      </c>
      <c r="BB103" s="56">
        <f t="shared" si="457"/>
        <v>557.17989032670289</v>
      </c>
      <c r="BC103" s="236">
        <f t="shared" si="457"/>
        <v>511.78941537986606</v>
      </c>
      <c r="BD103" s="605">
        <f t="shared" si="457"/>
        <v>524.12660204837834</v>
      </c>
      <c r="BE103" s="56">
        <f t="shared" si="457"/>
        <v>503.85648873879728</v>
      </c>
      <c r="BF103" s="236">
        <f t="shared" si="457"/>
        <v>478.80279656226253</v>
      </c>
      <c r="BG103" s="605">
        <f t="shared" si="457"/>
        <v>496.03025332931907</v>
      </c>
      <c r="BH103" s="56">
        <f t="shared" si="457"/>
        <v>467.46772751126235</v>
      </c>
      <c r="BI103" s="236">
        <f t="shared" si="457"/>
        <v>448.83212504885324</v>
      </c>
      <c r="BJ103" s="605">
        <f t="shared" si="457"/>
        <v>463.40686954043696</v>
      </c>
      <c r="BK103" s="56">
        <f t="shared" si="457"/>
        <v>437.76570386665185</v>
      </c>
      <c r="BL103" s="236">
        <f t="shared" si="457"/>
        <v>422.05773125072164</v>
      </c>
      <c r="BM103" s="605">
        <f t="shared" si="457"/>
        <v>435.12488185536836</v>
      </c>
      <c r="BN103"/>
    </row>
    <row r="104" spans="1:67">
      <c r="B104" s="40"/>
      <c r="C104" s="40"/>
      <c r="D104" s="40"/>
      <c r="E104" s="40"/>
      <c r="F104" s="40"/>
      <c r="G104" s="40"/>
      <c r="H104" s="40"/>
      <c r="I104" s="40"/>
      <c r="J104" s="40"/>
      <c r="K104" s="40"/>
      <c r="L104" s="40"/>
      <c r="M104" s="40"/>
      <c r="N104" s="40"/>
      <c r="O104" s="40"/>
      <c r="P104" s="40"/>
      <c r="Q104" s="40"/>
      <c r="R104" s="40"/>
      <c r="S104" s="630"/>
      <c r="T104" s="653"/>
      <c r="U104" s="40"/>
      <c r="V104" s="630"/>
      <c r="W104" s="653"/>
      <c r="X104" s="40"/>
      <c r="Y104" s="630"/>
      <c r="Z104" s="653"/>
      <c r="AA104" s="40"/>
      <c r="AB104" s="630"/>
      <c r="AC104" s="653"/>
      <c r="AD104" s="40"/>
      <c r="AE104" s="630"/>
      <c r="AF104" s="653"/>
      <c r="AG104" s="40"/>
      <c r="AH104" s="630"/>
      <c r="AI104" s="653"/>
      <c r="AJ104" s="40"/>
      <c r="AK104" s="630"/>
      <c r="AL104" s="653"/>
      <c r="AM104" s="40"/>
      <c r="AN104" s="630"/>
      <c r="AO104" s="653"/>
      <c r="AP104" s="40"/>
      <c r="AQ104" s="542"/>
      <c r="AR104" s="580"/>
      <c r="AS104" s="21"/>
      <c r="AT104" s="542"/>
      <c r="AU104" s="580"/>
      <c r="AV104" s="21"/>
      <c r="AW104" s="542"/>
      <c r="AX104" s="580"/>
      <c r="AY104" s="21"/>
      <c r="AZ104" s="542"/>
      <c r="BA104" s="580"/>
      <c r="BB104" s="21"/>
      <c r="BC104" s="542"/>
      <c r="BD104" s="580"/>
      <c r="BE104" s="21"/>
      <c r="BF104" s="542"/>
      <c r="BG104" s="580"/>
      <c r="BH104" s="21"/>
      <c r="BI104" s="542"/>
      <c r="BJ104" s="580"/>
      <c r="BK104" s="21"/>
      <c r="BL104" s="542"/>
      <c r="BM104" s="580"/>
      <c r="BN104"/>
    </row>
    <row r="105" spans="1:67">
      <c r="A105" s="25" t="s">
        <v>701</v>
      </c>
      <c r="B105" s="40"/>
      <c r="C105" s="40"/>
      <c r="D105" s="40"/>
      <c r="E105" s="40"/>
      <c r="F105" s="40"/>
      <c r="G105" s="40"/>
      <c r="H105" s="40"/>
      <c r="I105" s="40"/>
      <c r="J105" s="40"/>
      <c r="K105" s="40"/>
      <c r="L105" s="40"/>
      <c r="M105" s="40"/>
      <c r="N105" s="40"/>
      <c r="O105" s="40"/>
      <c r="P105" s="40"/>
      <c r="Q105" s="40"/>
      <c r="R105" s="40">
        <f>+CFS!R111</f>
        <v>-399</v>
      </c>
      <c r="S105" s="630">
        <f>+CFS!S111</f>
        <v>499</v>
      </c>
      <c r="T105" s="653">
        <f>+CFS!T111</f>
        <v>100</v>
      </c>
      <c r="U105" s="40">
        <f>+CFS!U111</f>
        <v>-339</v>
      </c>
      <c r="V105" s="630">
        <f>+CFS!V111</f>
        <v>598</v>
      </c>
      <c r="W105" s="653">
        <f>+CFS!W111</f>
        <v>259</v>
      </c>
      <c r="X105" s="40">
        <f>+CFS!X111</f>
        <v>-339</v>
      </c>
      <c r="Y105" s="630">
        <f>+CFS!Y111</f>
        <v>598</v>
      </c>
      <c r="Z105" s="653">
        <f>+CFS!Z111</f>
        <v>259</v>
      </c>
      <c r="AA105" s="40">
        <f>+CFS!AA111</f>
        <v>-72</v>
      </c>
      <c r="AB105" s="630">
        <f>+CFS!AB111</f>
        <v>640</v>
      </c>
      <c r="AC105" s="653">
        <f>+CFS!AC111</f>
        <v>568</v>
      </c>
      <c r="AD105" s="40">
        <f>+CFS!AD111</f>
        <v>-429</v>
      </c>
      <c r="AE105" s="630">
        <f>+CFS!AE111</f>
        <v>1304</v>
      </c>
      <c r="AF105" s="653">
        <f>+CFS!AF111</f>
        <v>875</v>
      </c>
      <c r="AG105" s="40">
        <f>+CFS!AG111</f>
        <v>-2801</v>
      </c>
      <c r="AH105" s="630">
        <f>+CFS!AH111</f>
        <v>-1384</v>
      </c>
      <c r="AI105" s="653">
        <f>+CFS!AI111</f>
        <v>-4185</v>
      </c>
      <c r="AJ105" s="40">
        <f>+CFS!AJ111</f>
        <v>-1151</v>
      </c>
      <c r="AK105" s="630">
        <f>+CFS!AK111</f>
        <v>-291</v>
      </c>
      <c r="AL105" s="653">
        <f>+CFS!AL111</f>
        <v>-1442</v>
      </c>
      <c r="AM105" s="40">
        <f>+CFS!AM111</f>
        <v>-77</v>
      </c>
      <c r="AN105" s="630">
        <f>+CFS!AN111</f>
        <v>568</v>
      </c>
      <c r="AO105" s="653">
        <f>+CFS!AO111</f>
        <v>491</v>
      </c>
      <c r="AP105" s="40">
        <f>+CFS!AP111</f>
        <v>356</v>
      </c>
      <c r="AQ105" s="630">
        <f>+CFS!AQ111</f>
        <v>929</v>
      </c>
      <c r="AR105" s="653">
        <f>+CFS!AR111</f>
        <v>1285</v>
      </c>
      <c r="AS105" s="40">
        <f>+CFS!AS111</f>
        <v>1158</v>
      </c>
      <c r="AT105" s="630">
        <f>+CFS!AT111</f>
        <v>1267</v>
      </c>
      <c r="AU105" s="653">
        <f>+CFS!AU111</f>
        <v>2425</v>
      </c>
      <c r="AV105" s="40">
        <f>+CFS!AV111</f>
        <v>1582</v>
      </c>
      <c r="AW105" s="630">
        <f>+CFS!AW111</f>
        <v>1688</v>
      </c>
      <c r="AX105" s="653">
        <f>+CFS!AX111</f>
        <v>3270</v>
      </c>
      <c r="AY105" s="40">
        <f>+CFS!AY111</f>
        <v>1964</v>
      </c>
      <c r="AZ105" s="236">
        <f>+CFS!AZ111</f>
        <v>2260.2264816936108</v>
      </c>
      <c r="BA105" s="605">
        <f>+CFS!BA111</f>
        <v>4224.2264816936095</v>
      </c>
      <c r="BB105" s="56">
        <f>+CFS!BB111</f>
        <v>4218.276087143875</v>
      </c>
      <c r="BC105" s="236">
        <f>+CFS!BC111</f>
        <v>808.28209805069366</v>
      </c>
      <c r="BD105" s="605">
        <f>+CFS!BD111</f>
        <v>5026.5581851945681</v>
      </c>
      <c r="BE105" s="56">
        <f>+CFS!BE111</f>
        <v>3381.8563335919143</v>
      </c>
      <c r="BF105" s="236">
        <f>+CFS!BF111</f>
        <v>2619.6897177920919</v>
      </c>
      <c r="BG105" s="605">
        <f>+CFS!BG111</f>
        <v>6001.546051384008</v>
      </c>
      <c r="BH105" s="56">
        <f>+CFS!BH111</f>
        <v>3482.7439463190394</v>
      </c>
      <c r="BI105" s="236">
        <f>+CFS!BI111</f>
        <v>3224.8166928377141</v>
      </c>
      <c r="BJ105" s="605">
        <f>+CFS!BJ111</f>
        <v>6707.5606391567535</v>
      </c>
      <c r="BK105" s="56">
        <f>+CFS!BK111</f>
        <v>3853.7979561857087</v>
      </c>
      <c r="BL105" s="236">
        <f>+CFS!BL111</f>
        <v>3775.2977379539002</v>
      </c>
      <c r="BM105" s="605">
        <f>+CFS!BM111</f>
        <v>7629.0956941396116</v>
      </c>
      <c r="BO105" s="32"/>
    </row>
    <row r="106" spans="1:67">
      <c r="A106" s="25" t="s">
        <v>510</v>
      </c>
      <c r="B106" s="40"/>
      <c r="C106" s="40"/>
      <c r="D106" s="40"/>
      <c r="E106" s="40"/>
      <c r="F106" s="40"/>
      <c r="G106" s="40"/>
      <c r="H106" s="40"/>
      <c r="I106" s="40"/>
      <c r="J106" s="40"/>
      <c r="K106" s="40"/>
      <c r="L106" s="40"/>
      <c r="M106" s="40"/>
      <c r="N106" s="40"/>
      <c r="O106" s="40"/>
      <c r="P106" s="40"/>
      <c r="Q106" s="40"/>
      <c r="R106" s="40"/>
      <c r="S106" s="630"/>
      <c r="T106" s="653"/>
      <c r="U106" s="952">
        <f t="shared" ref="U106" si="466">+U105/R105-1</f>
        <v>-0.15037593984962405</v>
      </c>
      <c r="V106" s="647">
        <f t="shared" ref="V106" si="467">+V105/S105-1</f>
        <v>0.19839679358717444</v>
      </c>
      <c r="W106" s="671">
        <f>+W105/T105-1</f>
        <v>1.5899999999999999</v>
      </c>
      <c r="X106" s="40"/>
      <c r="Y106" s="630"/>
      <c r="Z106" s="653"/>
      <c r="AA106" s="952">
        <f t="shared" ref="AA106" si="468">+AA105/X105-1</f>
        <v>-0.78761061946902655</v>
      </c>
      <c r="AB106" s="647">
        <f t="shared" ref="AB106" si="469">+AB105/Y105-1</f>
        <v>7.0234113712374535E-2</v>
      </c>
      <c r="AC106" s="671">
        <f>+AC105/Z105-1</f>
        <v>1.1930501930501931</v>
      </c>
      <c r="AD106" s="952">
        <f t="shared" ref="AD106" si="470">+AD105/AA105-1</f>
        <v>4.958333333333333</v>
      </c>
      <c r="AE106" s="647">
        <f t="shared" ref="AE106" si="471">+AE105/AB105-1</f>
        <v>1.0375000000000001</v>
      </c>
      <c r="AF106" s="671">
        <f>+AF105/AC105-1</f>
        <v>0.54049295774647876</v>
      </c>
      <c r="AG106" s="952">
        <f t="shared" ref="AG106" si="472">+AG105/AD105-1</f>
        <v>5.5291375291375289</v>
      </c>
      <c r="AH106" s="647">
        <f t="shared" ref="AH106" si="473">+AH105/AE105-1</f>
        <v>-2.0613496932515338</v>
      </c>
      <c r="AI106" s="671">
        <f t="shared" ref="AI106:AJ106" si="474">+AI105/AF105-1</f>
        <v>-5.7828571428571429</v>
      </c>
      <c r="AJ106" s="952">
        <f t="shared" si="474"/>
        <v>-0.58907533023920022</v>
      </c>
      <c r="AK106" s="647">
        <f t="shared" ref="AK106:BM106" si="475">+AK105/AH105-1</f>
        <v>-0.78973988439306364</v>
      </c>
      <c r="AL106" s="671">
        <f>+AL105/AI105-1</f>
        <v>-0.65543608124253283</v>
      </c>
      <c r="AM106" s="952">
        <f t="shared" si="475"/>
        <v>-0.93310165073848828</v>
      </c>
      <c r="AN106" s="647">
        <f t="shared" si="475"/>
        <v>-2.9518900343642613</v>
      </c>
      <c r="AO106" s="671">
        <f t="shared" si="475"/>
        <v>-1.3404993065187241</v>
      </c>
      <c r="AP106" s="952">
        <f t="shared" si="475"/>
        <v>-5.6233766233766236</v>
      </c>
      <c r="AQ106" s="647">
        <f t="shared" ref="AQ106" si="476">+AQ105/AN105-1</f>
        <v>0.63556338028169024</v>
      </c>
      <c r="AR106" s="671">
        <f t="shared" ref="AR106" si="477">+AR105/AO105-1</f>
        <v>1.6171079429735236</v>
      </c>
      <c r="AS106" s="952">
        <f t="shared" si="475"/>
        <v>2.2528089887640448</v>
      </c>
      <c r="AT106" s="647">
        <f t="shared" ref="AT106" si="478">+AT105/AQ105-1</f>
        <v>0.36383207750269109</v>
      </c>
      <c r="AU106" s="671">
        <f t="shared" ref="AU106" si="479">+AU105/AR105-1</f>
        <v>0.88715953307392992</v>
      </c>
      <c r="AV106" s="952">
        <f t="shared" si="475"/>
        <v>0.36614853195164065</v>
      </c>
      <c r="AW106" s="647">
        <f t="shared" si="475"/>
        <v>0.33228097868981843</v>
      </c>
      <c r="AX106" s="671">
        <f t="shared" si="475"/>
        <v>0.34845360824742277</v>
      </c>
      <c r="AY106" s="952">
        <f t="shared" si="475"/>
        <v>0.24146649810366627</v>
      </c>
      <c r="AZ106" s="252">
        <f t="shared" si="475"/>
        <v>0.3389967308611439</v>
      </c>
      <c r="BA106" s="577">
        <f t="shared" si="475"/>
        <v>0.29181237972281626</v>
      </c>
      <c r="BB106" s="251">
        <f t="shared" si="475"/>
        <v>1.1477984150427063</v>
      </c>
      <c r="BC106" s="252">
        <f t="shared" si="475"/>
        <v>-0.64238889129153121</v>
      </c>
      <c r="BD106" s="577">
        <f t="shared" si="475"/>
        <v>0.18993576859053296</v>
      </c>
      <c r="BE106" s="251">
        <f t="shared" si="475"/>
        <v>-0.19828473439686278</v>
      </c>
      <c r="BF106" s="252">
        <f t="shared" si="475"/>
        <v>2.2410586899176761</v>
      </c>
      <c r="BG106" s="577">
        <f t="shared" si="475"/>
        <v>0.19396728939917773</v>
      </c>
      <c r="BH106" s="251">
        <f t="shared" si="475"/>
        <v>2.9832022053985607E-2</v>
      </c>
      <c r="BI106" s="252">
        <f t="shared" si="475"/>
        <v>0.23099185026982161</v>
      </c>
      <c r="BJ106" s="577">
        <f t="shared" si="475"/>
        <v>0.11763878536097083</v>
      </c>
      <c r="BK106" s="251">
        <f t="shared" si="475"/>
        <v>0.10654070916090208</v>
      </c>
      <c r="BL106" s="252">
        <f t="shared" si="475"/>
        <v>0.17070149951121216</v>
      </c>
      <c r="BM106" s="577">
        <f t="shared" si="475"/>
        <v>0.13738751008872119</v>
      </c>
    </row>
    <row r="107" spans="1:67">
      <c r="A107" s="25" t="s">
        <v>777</v>
      </c>
      <c r="B107" s="40"/>
      <c r="C107" s="40"/>
      <c r="D107" s="40"/>
      <c r="E107" s="40"/>
      <c r="F107" s="40"/>
      <c r="G107" s="40"/>
      <c r="H107" s="40"/>
      <c r="I107" s="40"/>
      <c r="J107" s="40"/>
      <c r="K107" s="40"/>
      <c r="L107" s="40"/>
      <c r="M107" s="40"/>
      <c r="N107" s="40"/>
      <c r="O107" s="40"/>
      <c r="P107" s="40"/>
      <c r="Q107" s="40"/>
      <c r="R107" s="40"/>
      <c r="S107" s="630"/>
      <c r="T107" s="653"/>
      <c r="U107" s="40"/>
      <c r="V107" s="630"/>
      <c r="W107" s="653"/>
      <c r="X107" s="40"/>
      <c r="Y107" s="630"/>
      <c r="Z107" s="653"/>
      <c r="AA107" s="40"/>
      <c r="AB107" s="630"/>
      <c r="AC107" s="653">
        <f>+AC105+AC87+265</f>
        <v>-111</v>
      </c>
      <c r="AD107" s="40">
        <f t="shared" ref="AD107:AE107" si="480">+AD105+AD87</f>
        <v>-742.5</v>
      </c>
      <c r="AE107" s="630">
        <f t="shared" si="480"/>
        <v>406.5</v>
      </c>
      <c r="AF107" s="653">
        <f>+AF105+AF87</f>
        <v>-336</v>
      </c>
      <c r="AG107" s="40">
        <f t="shared" ref="AG107:AH107" si="481">+AG105+AG87</f>
        <v>-4776</v>
      </c>
      <c r="AH107" s="630">
        <f t="shared" si="481"/>
        <v>-887</v>
      </c>
      <c r="AI107" s="653">
        <f>+AI105+AI87</f>
        <v>-5663</v>
      </c>
      <c r="AJ107" s="40">
        <f t="shared" ref="AJ107:AK107" si="482">+AJ105+AJ87</f>
        <v>-899.5</v>
      </c>
      <c r="AK107" s="630">
        <f t="shared" si="482"/>
        <v>-427.5</v>
      </c>
      <c r="AL107" s="653">
        <f>+AL105+AL87</f>
        <v>-1327</v>
      </c>
      <c r="AM107" s="40">
        <f t="shared" ref="AM107:AN107" si="483">+AM105+AM87</f>
        <v>-452</v>
      </c>
      <c r="AN107" s="630">
        <f t="shared" si="483"/>
        <v>145</v>
      </c>
      <c r="AO107" s="653">
        <f t="shared" ref="AO107:BM107" si="484">+AO105+AO87</f>
        <v>-307</v>
      </c>
      <c r="AP107" s="40">
        <f t="shared" ref="AP107:AR107" si="485">+AP105+AP87</f>
        <v>-478</v>
      </c>
      <c r="AQ107" s="630">
        <f t="shared" si="485"/>
        <v>-49</v>
      </c>
      <c r="AR107" s="653">
        <f t="shared" si="485"/>
        <v>-527</v>
      </c>
      <c r="AS107" s="40">
        <f t="shared" ref="AS107:AU107" si="486">+AS105+AS87</f>
        <v>628</v>
      </c>
      <c r="AT107" s="630">
        <f t="shared" si="486"/>
        <v>915</v>
      </c>
      <c r="AU107" s="653">
        <f t="shared" si="486"/>
        <v>1543</v>
      </c>
      <c r="AV107" s="40">
        <f t="shared" ref="AV107:AW107" si="487">+AV105+AV87</f>
        <v>1268</v>
      </c>
      <c r="AW107" s="630">
        <f t="shared" si="487"/>
        <v>1402</v>
      </c>
      <c r="AX107" s="653">
        <f t="shared" si="484"/>
        <v>2670</v>
      </c>
      <c r="AY107" s="40">
        <f t="shared" si="484"/>
        <v>1979</v>
      </c>
      <c r="AZ107" s="236">
        <f t="shared" si="484"/>
        <v>2262.6578433703817</v>
      </c>
      <c r="BA107" s="605">
        <f t="shared" si="484"/>
        <v>4218.6578433703799</v>
      </c>
      <c r="BB107" s="56">
        <f t="shared" si="484"/>
        <v>4382.6575866175299</v>
      </c>
      <c r="BC107" s="236">
        <f t="shared" si="484"/>
        <v>440.07125006755734</v>
      </c>
      <c r="BD107" s="605">
        <f t="shared" si="484"/>
        <v>4822.7288366850871</v>
      </c>
      <c r="BE107" s="56">
        <f t="shared" si="484"/>
        <v>3198.057651141613</v>
      </c>
      <c r="BF107" s="236">
        <f t="shared" si="484"/>
        <v>2022.097513787927</v>
      </c>
      <c r="BG107" s="605">
        <f t="shared" si="484"/>
        <v>5220.1551649295416</v>
      </c>
      <c r="BH107" s="56">
        <f t="shared" si="484"/>
        <v>3184.1724027647206</v>
      </c>
      <c r="BI107" s="236">
        <f t="shared" si="484"/>
        <v>2507.3077476627586</v>
      </c>
      <c r="BJ107" s="605">
        <f t="shared" si="484"/>
        <v>5691.4801504274792</v>
      </c>
      <c r="BK107" s="56">
        <f t="shared" si="484"/>
        <v>3497.3292281034196</v>
      </c>
      <c r="BL107" s="236">
        <f t="shared" si="484"/>
        <v>2997.8090145002298</v>
      </c>
      <c r="BM107" s="605">
        <f t="shared" si="484"/>
        <v>6495.1382426036525</v>
      </c>
    </row>
    <row r="108" spans="1:67">
      <c r="A108" s="25" t="s">
        <v>510</v>
      </c>
      <c r="B108" s="40"/>
      <c r="C108" s="40"/>
      <c r="D108" s="40"/>
      <c r="E108" s="40"/>
      <c r="F108" s="40"/>
      <c r="G108" s="40"/>
      <c r="H108" s="40"/>
      <c r="I108" s="40"/>
      <c r="J108" s="40"/>
      <c r="K108" s="40"/>
      <c r="L108" s="40"/>
      <c r="M108" s="40"/>
      <c r="N108" s="40"/>
      <c r="O108" s="40"/>
      <c r="P108" s="40"/>
      <c r="Q108" s="40"/>
      <c r="R108" s="40"/>
      <c r="S108" s="630"/>
      <c r="T108" s="653"/>
      <c r="U108" s="40"/>
      <c r="V108" s="630"/>
      <c r="W108" s="653"/>
      <c r="X108" s="40"/>
      <c r="Y108" s="630"/>
      <c r="Z108" s="653"/>
      <c r="AA108" s="952"/>
      <c r="AB108" s="647"/>
      <c r="AC108" s="671"/>
      <c r="AD108" s="952"/>
      <c r="AE108" s="647"/>
      <c r="AF108" s="671">
        <f t="shared" ref="AF108" si="488">+AF107/AC107-1</f>
        <v>2.0270270270270272</v>
      </c>
      <c r="AG108" s="952">
        <f t="shared" ref="AG108" si="489">+AG107/AD107-1</f>
        <v>5.432323232323232</v>
      </c>
      <c r="AH108" s="647">
        <f t="shared" ref="AH108" si="490">+AH107/AE107-1</f>
        <v>-3.1820418204182044</v>
      </c>
      <c r="AI108" s="671">
        <f>+AI107/AF107-1</f>
        <v>15.854166666666668</v>
      </c>
      <c r="AJ108" s="952">
        <f t="shared" ref="AJ108" si="491">+AJ107/AG107-1</f>
        <v>-0.81166247906197653</v>
      </c>
      <c r="AK108" s="647">
        <f t="shared" ref="AK108:BM108" si="492">+AK107/AH107-1</f>
        <v>-0.51803833145434042</v>
      </c>
      <c r="AL108" s="671">
        <f>+AL107/AI107-1</f>
        <v>-0.76567190535052099</v>
      </c>
      <c r="AM108" s="952">
        <f t="shared" si="492"/>
        <v>-0.49749861033907727</v>
      </c>
      <c r="AN108" s="647">
        <f t="shared" si="492"/>
        <v>-1.3391812865497075</v>
      </c>
      <c r="AO108" s="671">
        <f t="shared" si="492"/>
        <v>-0.76865109269027876</v>
      </c>
      <c r="AP108" s="952">
        <f t="shared" si="492"/>
        <v>5.7522123893805288E-2</v>
      </c>
      <c r="AQ108" s="647">
        <f t="shared" ref="AQ108" si="493">+AQ107/AN107-1</f>
        <v>-1.3379310344827586</v>
      </c>
      <c r="AR108" s="671">
        <f t="shared" ref="AR108" si="494">+AR107/AO107-1</f>
        <v>0.71661237785016296</v>
      </c>
      <c r="AS108" s="952">
        <f t="shared" si="492"/>
        <v>-2.3138075313807533</v>
      </c>
      <c r="AT108" s="647">
        <f t="shared" ref="AT108" si="495">+AT107/AQ107-1</f>
        <v>-19.673469387755102</v>
      </c>
      <c r="AU108" s="671">
        <f t="shared" ref="AU108" si="496">+AU107/AR107-1</f>
        <v>-3.9278937381404173</v>
      </c>
      <c r="AV108" s="952">
        <f t="shared" si="492"/>
        <v>1.0191082802547773</v>
      </c>
      <c r="AW108" s="647">
        <f t="shared" si="492"/>
        <v>0.53224043715846991</v>
      </c>
      <c r="AX108" s="671">
        <f t="shared" si="492"/>
        <v>0.73039533376539212</v>
      </c>
      <c r="AY108" s="952">
        <f t="shared" si="492"/>
        <v>0.56072555205047325</v>
      </c>
      <c r="AZ108" s="252">
        <f t="shared" si="492"/>
        <v>0.61387863293179867</v>
      </c>
      <c r="BA108" s="577">
        <f t="shared" si="492"/>
        <v>0.58002166418366286</v>
      </c>
      <c r="BB108" s="251">
        <f t="shared" si="492"/>
        <v>1.2145819032933449</v>
      </c>
      <c r="BC108" s="252">
        <f t="shared" si="492"/>
        <v>-0.80550693894926617</v>
      </c>
      <c r="BD108" s="577">
        <f t="shared" si="492"/>
        <v>0.14319032634135165</v>
      </c>
      <c r="BE108" s="251">
        <f t="shared" si="492"/>
        <v>-0.27029260490098506</v>
      </c>
      <c r="BF108" s="252">
        <f t="shared" si="492"/>
        <v>3.5949321012847477</v>
      </c>
      <c r="BG108" s="577">
        <f t="shared" si="492"/>
        <v>8.2406940490070468E-2</v>
      </c>
      <c r="BH108" s="251">
        <f t="shared" si="492"/>
        <v>-4.3417755061219143E-3</v>
      </c>
      <c r="BI108" s="252">
        <f t="shared" si="492"/>
        <v>0.23995392436139418</v>
      </c>
      <c r="BJ108" s="577">
        <f t="shared" si="492"/>
        <v>9.0289458954099677E-2</v>
      </c>
      <c r="BK108" s="251">
        <f t="shared" si="492"/>
        <v>9.8347949083031461E-2</v>
      </c>
      <c r="BL108" s="252">
        <f t="shared" si="492"/>
        <v>0.19562866476789798</v>
      </c>
      <c r="BM108" s="577">
        <f t="shared" si="492"/>
        <v>0.14120370640593594</v>
      </c>
    </row>
    <row r="109" spans="1:67">
      <c r="A109" s="25" t="s">
        <v>778</v>
      </c>
      <c r="B109" s="40"/>
      <c r="C109" s="40"/>
      <c r="D109" s="40"/>
      <c r="E109" s="40"/>
      <c r="F109" s="40"/>
      <c r="G109" s="40"/>
      <c r="H109" s="40"/>
      <c r="I109" s="40"/>
      <c r="J109" s="40"/>
      <c r="K109" s="40"/>
      <c r="L109" s="40"/>
      <c r="M109" s="40"/>
      <c r="N109" s="40"/>
      <c r="O109" s="40"/>
      <c r="P109" s="40"/>
      <c r="Q109" s="40"/>
      <c r="R109" s="40"/>
      <c r="S109" s="630"/>
      <c r="T109" s="653"/>
      <c r="U109" s="40"/>
      <c r="V109" s="630"/>
      <c r="W109" s="653"/>
      <c r="X109" s="40"/>
      <c r="Y109" s="630"/>
      <c r="Z109" s="653"/>
      <c r="AA109" s="40"/>
      <c r="AB109" s="630"/>
      <c r="AC109" s="653">
        <f t="shared" ref="AC109:AO109" si="497">+AC107+AC92</f>
        <v>-762</v>
      </c>
      <c r="AD109" s="40">
        <f t="shared" ref="AD109:AE109" si="498">+AD107+AD92</f>
        <v>-352</v>
      </c>
      <c r="AE109" s="630">
        <f t="shared" si="498"/>
        <v>-326</v>
      </c>
      <c r="AF109" s="653">
        <f t="shared" si="497"/>
        <v>-678</v>
      </c>
      <c r="AG109" s="40">
        <f t="shared" si="497"/>
        <v>-1622</v>
      </c>
      <c r="AH109" s="630">
        <f t="shared" si="497"/>
        <v>-1034</v>
      </c>
      <c r="AI109" s="653">
        <f t="shared" si="497"/>
        <v>-2656</v>
      </c>
      <c r="AJ109" s="40">
        <f t="shared" ref="AJ109:AK109" si="499">+AJ107+AJ92</f>
        <v>-406</v>
      </c>
      <c r="AK109" s="630">
        <f t="shared" si="499"/>
        <v>-62</v>
      </c>
      <c r="AL109" s="653">
        <f t="shared" si="497"/>
        <v>-468</v>
      </c>
      <c r="AM109" s="40">
        <f t="shared" si="497"/>
        <v>-475</v>
      </c>
      <c r="AN109" s="630">
        <f t="shared" si="497"/>
        <v>-40</v>
      </c>
      <c r="AO109" s="653">
        <f t="shared" si="497"/>
        <v>-515</v>
      </c>
      <c r="AP109" s="40">
        <f t="shared" ref="AP109:AR109" si="500">+AP107+AP92</f>
        <v>76</v>
      </c>
      <c r="AQ109" s="630">
        <f t="shared" si="500"/>
        <v>447</v>
      </c>
      <c r="AR109" s="653">
        <f t="shared" si="500"/>
        <v>523</v>
      </c>
      <c r="AS109" s="40">
        <f t="shared" ref="AS109:AU109" si="501">+AS107+AS92</f>
        <v>873</v>
      </c>
      <c r="AT109" s="630">
        <f t="shared" si="501"/>
        <v>586</v>
      </c>
      <c r="AU109" s="653">
        <f t="shared" si="501"/>
        <v>1459</v>
      </c>
      <c r="AV109" s="40">
        <f t="shared" ref="AV109:AW109" si="502">+AV107+AV92</f>
        <v>1204</v>
      </c>
      <c r="AW109" s="630">
        <f t="shared" si="502"/>
        <v>1514</v>
      </c>
      <c r="AX109" s="653">
        <f t="shared" ref="AX109:BM109" si="503">+AX107+AX92</f>
        <v>2718</v>
      </c>
      <c r="AY109" s="40">
        <f t="shared" si="503"/>
        <v>1706</v>
      </c>
      <c r="AZ109" s="236">
        <f t="shared" si="503"/>
        <v>1919.6305312562324</v>
      </c>
      <c r="BA109" s="605">
        <f t="shared" si="503"/>
        <v>3625.6305312562308</v>
      </c>
      <c r="BB109" s="56">
        <f t="shared" si="503"/>
        <v>2068.8098121065409</v>
      </c>
      <c r="BC109" s="236">
        <f t="shared" si="503"/>
        <v>2195.6819838843426</v>
      </c>
      <c r="BD109" s="605">
        <f t="shared" si="503"/>
        <v>4264.4917959908835</v>
      </c>
      <c r="BE109" s="56">
        <f t="shared" si="503"/>
        <v>2368.8194941127031</v>
      </c>
      <c r="BF109" s="236">
        <f t="shared" si="503"/>
        <v>2567.9980361200496</v>
      </c>
      <c r="BG109" s="605">
        <f t="shared" si="503"/>
        <v>4936.8175302327545</v>
      </c>
      <c r="BH109" s="56">
        <f t="shared" si="503"/>
        <v>2768.9655579354267</v>
      </c>
      <c r="BI109" s="236">
        <f t="shared" si="503"/>
        <v>3010.0925335737593</v>
      </c>
      <c r="BJ109" s="605">
        <f t="shared" si="503"/>
        <v>5779.0580915091859</v>
      </c>
      <c r="BK109" s="56">
        <f t="shared" si="503"/>
        <v>3205.3994440991687</v>
      </c>
      <c r="BL109" s="236">
        <f t="shared" si="503"/>
        <v>3489.0344683746494</v>
      </c>
      <c r="BM109" s="605">
        <f t="shared" si="503"/>
        <v>6694.4339124738217</v>
      </c>
    </row>
    <row r="110" spans="1:67">
      <c r="A110" s="25" t="s">
        <v>510</v>
      </c>
      <c r="B110" s="40"/>
      <c r="C110" s="40"/>
      <c r="D110" s="40"/>
      <c r="E110" s="40"/>
      <c r="F110" s="40"/>
      <c r="G110" s="40"/>
      <c r="H110" s="40"/>
      <c r="I110" s="40"/>
      <c r="J110" s="40"/>
      <c r="K110" s="40"/>
      <c r="L110" s="40"/>
      <c r="M110" s="40"/>
      <c r="N110" s="40"/>
      <c r="O110" s="40"/>
      <c r="P110" s="40"/>
      <c r="Q110" s="40"/>
      <c r="R110" s="40"/>
      <c r="S110" s="630"/>
      <c r="T110" s="653"/>
      <c r="U110" s="40"/>
      <c r="V110" s="630"/>
      <c r="W110" s="653"/>
      <c r="X110" s="40"/>
      <c r="Y110" s="630"/>
      <c r="Z110" s="653"/>
      <c r="AA110" s="952"/>
      <c r="AB110" s="647"/>
      <c r="AC110" s="671"/>
      <c r="AD110" s="952"/>
      <c r="AE110" s="647"/>
      <c r="AF110" s="671">
        <f t="shared" ref="AF110" si="504">+AF109/AC109-1</f>
        <v>-0.11023622047244097</v>
      </c>
      <c r="AG110" s="952">
        <f t="shared" ref="AG110" si="505">+AG109/AD109-1</f>
        <v>3.6079545454545459</v>
      </c>
      <c r="AH110" s="647">
        <f t="shared" ref="AH110" si="506">+AH109/AE109-1</f>
        <v>2.1717791411042944</v>
      </c>
      <c r="AI110" s="671">
        <f>+AI109/AF109-1</f>
        <v>2.9174041297935105</v>
      </c>
      <c r="AJ110" s="952">
        <f t="shared" ref="AJ110" si="507">+AJ109/AG109-1</f>
        <v>-0.74969173859432803</v>
      </c>
      <c r="AK110" s="647">
        <f t="shared" ref="AK110:BM110" si="508">+AK109/AH109-1</f>
        <v>-0.94003868471953578</v>
      </c>
      <c r="AL110" s="671">
        <f>+AL109/AI109-1</f>
        <v>-0.8237951807228916</v>
      </c>
      <c r="AM110" s="952">
        <f t="shared" si="508"/>
        <v>0.16995073891625623</v>
      </c>
      <c r="AN110" s="647">
        <f t="shared" si="508"/>
        <v>-0.35483870967741937</v>
      </c>
      <c r="AO110" s="671">
        <f t="shared" si="508"/>
        <v>0.10042735042735051</v>
      </c>
      <c r="AP110" s="952">
        <f t="shared" si="508"/>
        <v>-1.1599999999999999</v>
      </c>
      <c r="AQ110" s="647">
        <f t="shared" ref="AQ110" si="509">+AQ109/AN109-1</f>
        <v>-12.175000000000001</v>
      </c>
      <c r="AR110" s="671">
        <f t="shared" ref="AR110" si="510">+AR109/AO109-1</f>
        <v>-2.0155339805825241</v>
      </c>
      <c r="AS110" s="952">
        <f t="shared" si="508"/>
        <v>10.486842105263158</v>
      </c>
      <c r="AT110" s="647">
        <f t="shared" ref="AT110" si="511">+AT109/AQ109-1</f>
        <v>0.31096196868008952</v>
      </c>
      <c r="AU110" s="671">
        <f t="shared" ref="AU110" si="512">+AU109/AR109-1</f>
        <v>1.7896749521988529</v>
      </c>
      <c r="AV110" s="952">
        <f t="shared" si="508"/>
        <v>0.37915234822451316</v>
      </c>
      <c r="AW110" s="647">
        <f t="shared" si="508"/>
        <v>1.5836177474402731</v>
      </c>
      <c r="AX110" s="671">
        <f t="shared" si="508"/>
        <v>0.86291980808773139</v>
      </c>
      <c r="AY110" s="952">
        <f t="shared" si="508"/>
        <v>0.4169435215946844</v>
      </c>
      <c r="AZ110" s="252">
        <f t="shared" si="508"/>
        <v>0.26791976965405051</v>
      </c>
      <c r="BA110" s="577">
        <f t="shared" si="508"/>
        <v>0.33393323445777434</v>
      </c>
      <c r="BB110" s="251">
        <f t="shared" si="508"/>
        <v>0.21266694730746827</v>
      </c>
      <c r="BC110" s="252">
        <f t="shared" si="508"/>
        <v>0.14380447077358083</v>
      </c>
      <c r="BD110" s="577">
        <f t="shared" si="508"/>
        <v>0.17620694089678679</v>
      </c>
      <c r="BE110" s="251">
        <f t="shared" si="508"/>
        <v>0.14501559314467904</v>
      </c>
      <c r="BF110" s="252">
        <f t="shared" si="508"/>
        <v>0.16956738497122847</v>
      </c>
      <c r="BG110" s="577">
        <f t="shared" si="508"/>
        <v>0.15765670715416435</v>
      </c>
      <c r="BH110" s="251">
        <f t="shared" si="508"/>
        <v>0.16892214236551939</v>
      </c>
      <c r="BI110" s="252">
        <f t="shared" si="508"/>
        <v>0.1721553097920836</v>
      </c>
      <c r="BJ110" s="577">
        <f t="shared" si="508"/>
        <v>0.17060394801278433</v>
      </c>
      <c r="BK110" s="251">
        <f t="shared" si="508"/>
        <v>0.15761622058208347</v>
      </c>
      <c r="BL110" s="252">
        <f t="shared" si="508"/>
        <v>0.15911203043059352</v>
      </c>
      <c r="BM110" s="577">
        <f t="shared" si="508"/>
        <v>0.15839533129274841</v>
      </c>
    </row>
    <row r="111" spans="1:67">
      <c r="A111" s="25" t="s">
        <v>779</v>
      </c>
      <c r="B111" s="40"/>
      <c r="C111" s="40"/>
      <c r="D111" s="40"/>
      <c r="E111" s="40"/>
      <c r="F111" s="40"/>
      <c r="G111" s="40"/>
      <c r="H111" s="40"/>
      <c r="I111" s="40"/>
      <c r="J111" s="40"/>
      <c r="K111" s="40"/>
      <c r="L111" s="40"/>
      <c r="M111" s="40"/>
      <c r="N111" s="40"/>
      <c r="O111" s="40"/>
      <c r="P111" s="40"/>
      <c r="Q111" s="40"/>
      <c r="R111" s="40"/>
      <c r="S111" s="630"/>
      <c r="T111" s="653"/>
      <c r="U111" s="40"/>
      <c r="V111" s="630"/>
      <c r="W111" s="653"/>
      <c r="X111" s="40"/>
      <c r="Y111" s="630"/>
      <c r="Z111" s="653"/>
      <c r="AA111" s="40"/>
      <c r="AB111" s="630"/>
      <c r="AC111" s="653">
        <f>+AC105+AC92</f>
        <v>-83</v>
      </c>
      <c r="AD111" s="40">
        <f t="shared" ref="AD111" si="513">+AD105+AD92</f>
        <v>-38.5</v>
      </c>
      <c r="AE111" s="630">
        <f>+AE105+AE92</f>
        <v>571.5</v>
      </c>
      <c r="AF111" s="653">
        <f>+AF105+AF92</f>
        <v>533</v>
      </c>
      <c r="AG111" s="40">
        <f t="shared" ref="AG111" si="514">+AG105+AG92</f>
        <v>353</v>
      </c>
      <c r="AH111" s="630">
        <f>+AH105+AH92</f>
        <v>-1531</v>
      </c>
      <c r="AI111" s="653">
        <f>+AI105+AI92</f>
        <v>-1178</v>
      </c>
      <c r="AJ111" s="40">
        <f t="shared" ref="AJ111" si="515">+AJ105+AJ92</f>
        <v>-657.5</v>
      </c>
      <c r="AK111" s="630">
        <f>+AK105+AK92</f>
        <v>74.5</v>
      </c>
      <c r="AL111" s="653">
        <f>+AL105+AL92</f>
        <v>-583</v>
      </c>
      <c r="AM111" s="40">
        <f t="shared" ref="AM111" si="516">+AM105+AM92</f>
        <v>-100</v>
      </c>
      <c r="AN111" s="630">
        <f>+AN105+AN92</f>
        <v>383</v>
      </c>
      <c r="AO111" s="653">
        <f t="shared" ref="AO111:BM111" si="517">+AO105+AO92</f>
        <v>283</v>
      </c>
      <c r="AP111" s="40">
        <f t="shared" ref="AP111" si="518">+AP105+AP92</f>
        <v>910</v>
      </c>
      <c r="AQ111" s="630">
        <f>+AQ105+AQ92</f>
        <v>1425</v>
      </c>
      <c r="AR111" s="653">
        <f t="shared" ref="AR111:AS111" si="519">+AR105+AR92</f>
        <v>2335</v>
      </c>
      <c r="AS111" s="40">
        <f t="shared" si="519"/>
        <v>1403</v>
      </c>
      <c r="AT111" s="630">
        <f>+AT105+AT92</f>
        <v>938</v>
      </c>
      <c r="AU111" s="653">
        <f t="shared" ref="AU111:AV111" si="520">+AU105+AU92</f>
        <v>2341</v>
      </c>
      <c r="AV111" s="40">
        <f t="shared" si="520"/>
        <v>1518</v>
      </c>
      <c r="AW111" s="630">
        <f>+AW105+AW92</f>
        <v>1800</v>
      </c>
      <c r="AX111" s="653">
        <f t="shared" ref="AX111:AY111" si="521">+AX105+AX92</f>
        <v>3318</v>
      </c>
      <c r="AY111" s="40">
        <f t="shared" si="521"/>
        <v>1691</v>
      </c>
      <c r="AZ111" s="236">
        <f>+AZ105+AZ92</f>
        <v>1917.1991695794616</v>
      </c>
      <c r="BA111" s="605">
        <f t="shared" si="517"/>
        <v>3631.1991695794604</v>
      </c>
      <c r="BB111" s="56">
        <f t="shared" si="517"/>
        <v>1904.428312632886</v>
      </c>
      <c r="BC111" s="236">
        <f>+BC105+BC92</f>
        <v>2563.8928318674789</v>
      </c>
      <c r="BD111" s="605">
        <f t="shared" si="517"/>
        <v>4468.3211445003644</v>
      </c>
      <c r="BE111" s="56">
        <f t="shared" si="517"/>
        <v>2552.6181765630045</v>
      </c>
      <c r="BF111" s="236">
        <f>+BF105+BF92</f>
        <v>3165.5902401242147</v>
      </c>
      <c r="BG111" s="605">
        <f t="shared" si="517"/>
        <v>5718.208416687221</v>
      </c>
      <c r="BH111" s="56">
        <f t="shared" si="517"/>
        <v>3067.5371014897455</v>
      </c>
      <c r="BI111" s="236">
        <f>+BI105+BI92</f>
        <v>3727.6014787487147</v>
      </c>
      <c r="BJ111" s="605">
        <f t="shared" si="517"/>
        <v>6795.1385802384602</v>
      </c>
      <c r="BK111" s="56">
        <f t="shared" si="517"/>
        <v>3561.8681721814578</v>
      </c>
      <c r="BL111" s="236">
        <f>+BL105+BL92</f>
        <v>4266.5231918283198</v>
      </c>
      <c r="BM111" s="605">
        <f t="shared" si="517"/>
        <v>7828.3913640097799</v>
      </c>
    </row>
    <row r="112" spans="1:67">
      <c r="A112" s="25" t="s">
        <v>510</v>
      </c>
      <c r="B112" s="40"/>
      <c r="C112" s="40"/>
      <c r="D112" s="40"/>
      <c r="E112" s="40"/>
      <c r="F112" s="40"/>
      <c r="G112" s="40"/>
      <c r="H112" s="40"/>
      <c r="I112" s="40"/>
      <c r="J112" s="40"/>
      <c r="K112" s="40"/>
      <c r="L112" s="40"/>
      <c r="M112" s="40"/>
      <c r="N112" s="40"/>
      <c r="O112" s="40"/>
      <c r="P112" s="40"/>
      <c r="Q112" s="40"/>
      <c r="R112" s="40"/>
      <c r="S112" s="630"/>
      <c r="T112" s="653"/>
      <c r="U112" s="40"/>
      <c r="V112" s="630"/>
      <c r="W112" s="653"/>
      <c r="X112" s="40"/>
      <c r="Y112" s="630"/>
      <c r="Z112" s="653"/>
      <c r="AA112" s="952"/>
      <c r="AB112" s="647"/>
      <c r="AC112" s="671"/>
      <c r="AD112" s="952"/>
      <c r="AE112" s="647"/>
      <c r="AF112" s="671">
        <f t="shared" ref="AF112" si="522">+AF111/AC111-1</f>
        <v>-7.4216867469879517</v>
      </c>
      <c r="AG112" s="952">
        <f t="shared" ref="AG112" si="523">+AG111/AD111-1</f>
        <v>-10.168831168831169</v>
      </c>
      <c r="AH112" s="647">
        <f t="shared" ref="AH112" si="524">+AH111/AE111-1</f>
        <v>-3.6789151356080492</v>
      </c>
      <c r="AI112" s="671">
        <f>+AI111/AF111-1</f>
        <v>-3.2101313320825517</v>
      </c>
      <c r="AJ112" s="952">
        <f t="shared" ref="AJ112" si="525">+AJ111/AG111-1</f>
        <v>-2.8626062322946177</v>
      </c>
      <c r="AK112" s="647">
        <f t="shared" ref="AK112:BM112" si="526">+AK111/AH111-1</f>
        <v>-1.0486610058785109</v>
      </c>
      <c r="AL112" s="671">
        <f>+AL111/AI111-1</f>
        <v>-0.50509337860780978</v>
      </c>
      <c r="AM112" s="952">
        <f t="shared" si="526"/>
        <v>-0.84790874524714832</v>
      </c>
      <c r="AN112" s="647">
        <f t="shared" si="526"/>
        <v>4.1409395973154366</v>
      </c>
      <c r="AO112" s="671">
        <f t="shared" si="526"/>
        <v>-1.4854202401372212</v>
      </c>
      <c r="AP112" s="952">
        <f t="shared" si="526"/>
        <v>-10.1</v>
      </c>
      <c r="AQ112" s="647">
        <f t="shared" ref="AQ112" si="527">+AQ111/AN111-1</f>
        <v>2.7206266318537859</v>
      </c>
      <c r="AR112" s="671">
        <f t="shared" ref="AR112" si="528">+AR111/AO111-1</f>
        <v>7.2508833922261484</v>
      </c>
      <c r="AS112" s="952">
        <f t="shared" si="526"/>
        <v>0.54175824175824183</v>
      </c>
      <c r="AT112" s="647">
        <f t="shared" ref="AT112" si="529">+AT111/AQ111-1</f>
        <v>-0.34175438596491226</v>
      </c>
      <c r="AU112" s="671">
        <f t="shared" ref="AU112" si="530">+AU111/AR111-1</f>
        <v>2.5695931477516254E-3</v>
      </c>
      <c r="AV112" s="952">
        <f t="shared" si="526"/>
        <v>8.1967213114754189E-2</v>
      </c>
      <c r="AW112" s="647">
        <f t="shared" si="526"/>
        <v>0.91897654584221744</v>
      </c>
      <c r="AX112" s="671">
        <f t="shared" si="526"/>
        <v>0.41734301580521138</v>
      </c>
      <c r="AY112" s="952">
        <f t="shared" si="526"/>
        <v>0.11396574440052709</v>
      </c>
      <c r="AZ112" s="252">
        <f t="shared" si="526"/>
        <v>6.5110649766367601E-2</v>
      </c>
      <c r="BA112" s="577">
        <f t="shared" si="526"/>
        <v>9.4393963104117073E-2</v>
      </c>
      <c r="BB112" s="251">
        <f t="shared" si="526"/>
        <v>0.12621425939259967</v>
      </c>
      <c r="BC112" s="252">
        <f t="shared" si="526"/>
        <v>0.33731167452459832</v>
      </c>
      <c r="BD112" s="577">
        <f t="shared" si="526"/>
        <v>0.23053595680840977</v>
      </c>
      <c r="BE112" s="251">
        <f t="shared" si="526"/>
        <v>0.34035928768250212</v>
      </c>
      <c r="BF112" s="252">
        <f t="shared" si="526"/>
        <v>0.23468118510182556</v>
      </c>
      <c r="BG112" s="577">
        <f t="shared" si="526"/>
        <v>0.27972189817314841</v>
      </c>
      <c r="BH112" s="251">
        <f t="shared" si="526"/>
        <v>0.2017218750749703</v>
      </c>
      <c r="BI112" s="252">
        <f t="shared" si="526"/>
        <v>0.17753758256547036</v>
      </c>
      <c r="BJ112" s="577">
        <f t="shared" si="526"/>
        <v>0.18833349277869571</v>
      </c>
      <c r="BK112" s="251">
        <f t="shared" si="526"/>
        <v>0.16114917418656183</v>
      </c>
      <c r="BL112" s="252">
        <f t="shared" si="526"/>
        <v>0.14457600045284646</v>
      </c>
      <c r="BM112" s="577">
        <f t="shared" si="526"/>
        <v>0.15205764703257318</v>
      </c>
    </row>
    <row r="113" spans="1:65">
      <c r="B113" s="40"/>
      <c r="C113" s="40"/>
      <c r="D113" s="40"/>
      <c r="E113" s="40"/>
      <c r="F113" s="40"/>
      <c r="G113" s="40"/>
      <c r="H113" s="40"/>
      <c r="I113" s="40"/>
      <c r="J113" s="40"/>
      <c r="K113" s="40"/>
      <c r="L113" s="40"/>
      <c r="M113" s="40"/>
      <c r="N113" s="40"/>
      <c r="O113" s="40"/>
      <c r="P113" s="40"/>
      <c r="Q113" s="40"/>
      <c r="R113" s="40"/>
      <c r="S113" s="630"/>
      <c r="T113" s="653"/>
      <c r="U113" s="40"/>
      <c r="V113" s="630"/>
      <c r="W113" s="653"/>
      <c r="X113" s="40"/>
      <c r="Y113" s="630"/>
      <c r="Z113" s="653"/>
      <c r="AA113" s="50"/>
      <c r="AB113" s="647"/>
      <c r="AC113" s="671"/>
      <c r="AD113" s="50"/>
      <c r="AE113" s="647"/>
      <c r="AF113" s="671"/>
      <c r="AG113" s="50"/>
      <c r="AH113" s="647"/>
      <c r="AI113" s="671"/>
      <c r="AJ113" s="50"/>
      <c r="AK113" s="647"/>
      <c r="AL113" s="671"/>
      <c r="AM113" s="50"/>
      <c r="AN113" s="647"/>
      <c r="AO113" s="671"/>
      <c r="AP113" s="50"/>
      <c r="AQ113" s="590"/>
      <c r="AR113" s="609"/>
      <c r="AS113" s="176"/>
      <c r="AT113" s="590"/>
      <c r="AU113" s="609"/>
      <c r="AV113" s="176"/>
      <c r="AW113" s="590"/>
      <c r="AX113" s="609"/>
      <c r="AY113" s="176"/>
      <c r="AZ113" s="590"/>
      <c r="BA113" s="609"/>
      <c r="BB113" s="176"/>
      <c r="BC113" s="590"/>
      <c r="BD113" s="609"/>
      <c r="BE113" s="176"/>
      <c r="BF113" s="590"/>
      <c r="BG113" s="609"/>
      <c r="BH113" s="176"/>
      <c r="BI113" s="590"/>
      <c r="BJ113" s="609"/>
      <c r="BK113" s="176"/>
      <c r="BL113" s="590"/>
      <c r="BM113" s="609"/>
    </row>
    <row r="114" spans="1:65">
      <c r="A114" s="310" t="s">
        <v>67</v>
      </c>
      <c r="B114" s="318"/>
      <c r="C114" s="318"/>
      <c r="D114" s="318"/>
      <c r="E114" s="318"/>
      <c r="F114" s="318"/>
      <c r="G114" s="318"/>
      <c r="H114" s="318"/>
      <c r="I114" s="318"/>
      <c r="J114" s="318"/>
      <c r="K114" s="318"/>
      <c r="L114" s="318"/>
      <c r="M114" s="318"/>
      <c r="N114" s="318"/>
      <c r="O114" s="318"/>
      <c r="P114" s="318"/>
      <c r="Q114" s="318"/>
      <c r="R114" s="529"/>
      <c r="S114" s="319"/>
      <c r="T114" s="664"/>
      <c r="U114" s="529"/>
      <c r="V114" s="319"/>
      <c r="W114" s="664"/>
      <c r="X114" s="527"/>
      <c r="Y114" s="320"/>
      <c r="Z114" s="664"/>
      <c r="AA114" s="527"/>
      <c r="AB114" s="320"/>
      <c r="AC114" s="664"/>
      <c r="AD114" s="527"/>
      <c r="AE114" s="320"/>
      <c r="AF114" s="664"/>
      <c r="AG114" s="527"/>
      <c r="AH114" s="320"/>
      <c r="AI114" s="664"/>
      <c r="AJ114" s="527"/>
      <c r="AK114" s="320"/>
      <c r="AL114" s="664"/>
      <c r="AM114" s="527"/>
      <c r="AN114" s="320"/>
      <c r="AO114" s="664"/>
      <c r="AP114" s="527"/>
      <c r="AQ114" s="320"/>
      <c r="AR114" s="664"/>
      <c r="AS114" s="527"/>
      <c r="AT114" s="320"/>
      <c r="AU114" s="664"/>
      <c r="AV114" s="527"/>
      <c r="AW114" s="320"/>
      <c r="AX114" s="664"/>
      <c r="AY114" s="527"/>
      <c r="AZ114" s="215"/>
      <c r="BA114" s="574"/>
      <c r="BB114" s="179"/>
      <c r="BC114" s="215"/>
      <c r="BD114" s="574"/>
      <c r="BE114" s="179"/>
      <c r="BF114" s="215"/>
      <c r="BG114" s="574"/>
      <c r="BH114" s="179"/>
      <c r="BI114" s="215"/>
      <c r="BJ114" s="574"/>
      <c r="BK114" s="179"/>
      <c r="BL114" s="215"/>
      <c r="BM114" s="574"/>
    </row>
    <row r="115" spans="1:65">
      <c r="B115" s="40"/>
      <c r="C115" s="40"/>
      <c r="D115" s="40"/>
      <c r="E115" s="40"/>
      <c r="F115" s="40"/>
      <c r="G115" s="40"/>
      <c r="H115" s="40"/>
      <c r="I115" s="40"/>
      <c r="J115" s="40"/>
      <c r="K115" s="40"/>
      <c r="L115" s="40"/>
      <c r="M115" s="40"/>
      <c r="N115" s="40"/>
      <c r="O115" s="40"/>
      <c r="P115" s="40"/>
      <c r="Q115" s="40"/>
      <c r="R115" s="40"/>
      <c r="S115" s="630"/>
      <c r="T115" s="653"/>
      <c r="U115" s="40"/>
      <c r="V115" s="630"/>
      <c r="W115" s="653"/>
      <c r="X115" s="40"/>
      <c r="Y115" s="630"/>
      <c r="Z115" s="653"/>
      <c r="AA115" s="40"/>
      <c r="AB115" s="630"/>
      <c r="AC115" s="653"/>
      <c r="AD115" s="40"/>
      <c r="AE115" s="630"/>
      <c r="AF115" s="653"/>
      <c r="AG115" s="40"/>
      <c r="AH115" s="630"/>
      <c r="AI115" s="653"/>
      <c r="AJ115" s="40"/>
      <c r="AK115" s="630"/>
      <c r="AL115" s="653"/>
      <c r="AM115" s="40"/>
      <c r="AN115" s="630"/>
      <c r="AO115" s="653"/>
      <c r="AP115" s="40"/>
      <c r="AQ115" s="539"/>
      <c r="AR115" s="550"/>
      <c r="AS115"/>
      <c r="AT115" s="539"/>
      <c r="AU115" s="550"/>
      <c r="AV115"/>
      <c r="AW115" s="539"/>
      <c r="AX115" s="550"/>
      <c r="AY115"/>
      <c r="AZ115" s="539"/>
      <c r="BA115" s="550"/>
      <c r="BB115"/>
      <c r="BC115" s="539"/>
      <c r="BD115" s="550"/>
      <c r="BE115"/>
      <c r="BF115" s="539"/>
      <c r="BG115" s="550"/>
      <c r="BH115"/>
      <c r="BI115" s="539"/>
      <c r="BJ115" s="550"/>
      <c r="BK115"/>
      <c r="BL115" s="539"/>
      <c r="BM115" s="550"/>
    </row>
    <row r="116" spans="1:65">
      <c r="A116" s="25" t="s">
        <v>197</v>
      </c>
      <c r="B116" s="40">
        <v>836</v>
      </c>
      <c r="C116" s="40">
        <v>769</v>
      </c>
      <c r="D116" s="40">
        <v>786</v>
      </c>
      <c r="E116" s="40">
        <v>759</v>
      </c>
      <c r="F116" s="40">
        <v>759</v>
      </c>
      <c r="G116" s="40">
        <v>751</v>
      </c>
      <c r="H116" s="40">
        <v>735</v>
      </c>
      <c r="I116" s="40">
        <v>801</v>
      </c>
      <c r="J116" s="40">
        <v>1008</v>
      </c>
      <c r="K116" s="40">
        <v>984</v>
      </c>
      <c r="L116" s="40">
        <v>1108</v>
      </c>
      <c r="M116" s="40">
        <v>1099</v>
      </c>
      <c r="N116" s="40">
        <v>1102</v>
      </c>
      <c r="O116" s="40">
        <v>1838</v>
      </c>
      <c r="P116" s="40">
        <v>1659</v>
      </c>
      <c r="Q116" s="40">
        <v>1503</v>
      </c>
      <c r="R116" s="40">
        <v>1686</v>
      </c>
      <c r="S116" s="630">
        <f>T116</f>
        <v>1537</v>
      </c>
      <c r="T116" s="653">
        <v>1537</v>
      </c>
      <c r="U116" s="40">
        <v>1549</v>
      </c>
      <c r="V116" s="630">
        <f>W116</f>
        <v>1545</v>
      </c>
      <c r="W116" s="653">
        <v>1545</v>
      </c>
      <c r="X116" s="40"/>
      <c r="Y116" s="630"/>
      <c r="Z116" s="653">
        <v>1545</v>
      </c>
      <c r="AA116" s="40">
        <v>1029</v>
      </c>
      <c r="AB116" s="630">
        <f>AC116</f>
        <v>1045</v>
      </c>
      <c r="AC116" s="653">
        <v>1045</v>
      </c>
      <c r="AD116" s="40">
        <v>1050</v>
      </c>
      <c r="AE116" s="630">
        <f>AF116</f>
        <v>994</v>
      </c>
      <c r="AF116" s="653">
        <v>994</v>
      </c>
      <c r="AG116" s="40">
        <v>1066</v>
      </c>
      <c r="AH116" s="630">
        <f>AI116</f>
        <v>1074</v>
      </c>
      <c r="AI116" s="653">
        <v>1074</v>
      </c>
      <c r="AJ116" s="40">
        <v>1033</v>
      </c>
      <c r="AK116" s="630">
        <f>AL116</f>
        <v>1026</v>
      </c>
      <c r="AL116" s="653">
        <v>1026</v>
      </c>
      <c r="AM116" s="40">
        <v>1071</v>
      </c>
      <c r="AN116" s="630">
        <f>AO116</f>
        <v>1099</v>
      </c>
      <c r="AO116" s="653">
        <v>1099</v>
      </c>
      <c r="AP116" s="40">
        <v>1059</v>
      </c>
      <c r="AQ116" s="630">
        <f>AR116</f>
        <v>1066</v>
      </c>
      <c r="AR116" s="653">
        <v>1066</v>
      </c>
      <c r="AS116" s="40">
        <v>1048</v>
      </c>
      <c r="AT116" s="630">
        <f>AU116</f>
        <v>1009</v>
      </c>
      <c r="AU116" s="653">
        <v>1009</v>
      </c>
      <c r="AV116" s="40">
        <v>1009</v>
      </c>
      <c r="AW116" s="630">
        <f>AX116</f>
        <v>1028</v>
      </c>
      <c r="AX116" s="653">
        <v>1028</v>
      </c>
      <c r="AY116" s="40">
        <v>1024</v>
      </c>
      <c r="AZ116" s="539"/>
      <c r="BA116" s="550"/>
      <c r="BB116"/>
      <c r="BC116" s="539"/>
      <c r="BD116" s="550"/>
      <c r="BE116"/>
      <c r="BF116" s="539"/>
      <c r="BG116" s="550"/>
      <c r="BH116"/>
      <c r="BI116" s="539"/>
      <c r="BJ116" s="550"/>
      <c r="BK116"/>
      <c r="BL116" s="539"/>
      <c r="BM116" s="550"/>
    </row>
    <row r="117" spans="1:65">
      <c r="A117" s="25" t="s">
        <v>198</v>
      </c>
      <c r="B117" s="40">
        <v>41</v>
      </c>
      <c r="C117" s="40">
        <v>34</v>
      </c>
      <c r="D117" s="40">
        <v>45</v>
      </c>
      <c r="E117" s="40">
        <v>61</v>
      </c>
      <c r="F117" s="40">
        <v>145</v>
      </c>
      <c r="G117" s="40">
        <v>146</v>
      </c>
      <c r="H117" s="40">
        <v>231</v>
      </c>
      <c r="I117" s="40">
        <v>354</v>
      </c>
      <c r="J117" s="40">
        <v>403</v>
      </c>
      <c r="K117" s="40">
        <v>454</v>
      </c>
      <c r="L117" s="40">
        <v>496</v>
      </c>
      <c r="M117" s="40">
        <v>523</v>
      </c>
      <c r="N117" s="40">
        <v>515</v>
      </c>
      <c r="O117" s="40">
        <v>663</v>
      </c>
      <c r="P117" s="40">
        <v>768</v>
      </c>
      <c r="Q117" s="40">
        <v>772</v>
      </c>
      <c r="R117" s="40">
        <v>795</v>
      </c>
      <c r="S117" s="630">
        <f t="shared" ref="S117:S119" si="531">T117</f>
        <v>885</v>
      </c>
      <c r="T117" s="653">
        <v>885</v>
      </c>
      <c r="U117" s="40">
        <v>938</v>
      </c>
      <c r="V117" s="630">
        <f t="shared" ref="V117:V119" si="532">W117</f>
        <v>1117</v>
      </c>
      <c r="W117" s="653">
        <v>1117</v>
      </c>
      <c r="X117" s="40"/>
      <c r="Y117" s="630"/>
      <c r="Z117" s="653">
        <v>578</v>
      </c>
      <c r="AA117" s="40">
        <v>615</v>
      </c>
      <c r="AB117" s="630">
        <f t="shared" ref="AB117:AB119" si="533">AC117</f>
        <v>575</v>
      </c>
      <c r="AC117" s="653">
        <v>575</v>
      </c>
      <c r="AD117" s="40">
        <v>574</v>
      </c>
      <c r="AE117" s="630">
        <f t="shared" ref="AE117:AE119" si="534">AF117</f>
        <v>570</v>
      </c>
      <c r="AF117" s="653">
        <v>570</v>
      </c>
      <c r="AG117" s="40">
        <v>551</v>
      </c>
      <c r="AH117" s="630">
        <f t="shared" ref="AH117:AH119" si="535">AI117</f>
        <v>534</v>
      </c>
      <c r="AI117" s="653">
        <v>534</v>
      </c>
      <c r="AJ117" s="40">
        <v>520</v>
      </c>
      <c r="AK117" s="630">
        <f t="shared" ref="AK117:AK119" si="536">AL117</f>
        <v>508</v>
      </c>
      <c r="AL117" s="653">
        <v>508</v>
      </c>
      <c r="AM117" s="40">
        <v>499</v>
      </c>
      <c r="AN117" s="630">
        <f t="shared" ref="AN117:AN119" si="537">AO117</f>
        <v>488</v>
      </c>
      <c r="AO117" s="653">
        <v>488</v>
      </c>
      <c r="AP117" s="40">
        <v>475</v>
      </c>
      <c r="AQ117" s="630">
        <f t="shared" ref="AQ117:AQ119" si="538">AR117</f>
        <v>463</v>
      </c>
      <c r="AR117" s="653">
        <v>463</v>
      </c>
      <c r="AS117" s="40">
        <v>450</v>
      </c>
      <c r="AT117" s="630">
        <f t="shared" ref="AT117:AT119" si="539">AU117</f>
        <v>436</v>
      </c>
      <c r="AU117" s="653">
        <v>436</v>
      </c>
      <c r="AV117" s="40">
        <v>442</v>
      </c>
      <c r="AW117" s="630">
        <f t="shared" ref="AW117:AW119" si="540">AX117</f>
        <v>440</v>
      </c>
      <c r="AX117" s="653">
        <v>440</v>
      </c>
      <c r="AY117" s="40">
        <v>434</v>
      </c>
      <c r="AZ117" s="539"/>
      <c r="BA117" s="550"/>
      <c r="BB117"/>
      <c r="BC117" s="539"/>
      <c r="BD117" s="550"/>
      <c r="BE117"/>
      <c r="BF117" s="539"/>
      <c r="BG117" s="550"/>
      <c r="BH117"/>
      <c r="BI117" s="539"/>
      <c r="BJ117" s="550"/>
      <c r="BK117"/>
      <c r="BL117" s="539"/>
      <c r="BM117" s="550"/>
    </row>
    <row r="118" spans="1:65">
      <c r="A118" s="25" t="s">
        <v>199</v>
      </c>
      <c r="B118" s="40">
        <v>0</v>
      </c>
      <c r="C118" s="40">
        <v>20</v>
      </c>
      <c r="D118" s="40">
        <v>37</v>
      </c>
      <c r="E118" s="40">
        <v>43</v>
      </c>
      <c r="F118" s="40">
        <v>208</v>
      </c>
      <c r="G118" s="40">
        <v>265</v>
      </c>
      <c r="H118" s="40">
        <v>290</v>
      </c>
      <c r="I118" s="40">
        <v>364</v>
      </c>
      <c r="J118" s="40">
        <v>456</v>
      </c>
      <c r="K118" s="40">
        <v>546</v>
      </c>
      <c r="L118" s="40">
        <v>630</v>
      </c>
      <c r="M118" s="40">
        <v>686</v>
      </c>
      <c r="N118" s="40">
        <v>705</v>
      </c>
      <c r="O118" s="40">
        <v>1202</v>
      </c>
      <c r="P118" s="40">
        <v>1143</v>
      </c>
      <c r="Q118" s="40">
        <v>1039</v>
      </c>
      <c r="R118" s="40">
        <v>1071</v>
      </c>
      <c r="S118" s="630">
        <f t="shared" si="531"/>
        <v>1056</v>
      </c>
      <c r="T118" s="653">
        <v>1056</v>
      </c>
      <c r="U118" s="40">
        <v>1069</v>
      </c>
      <c r="V118" s="630">
        <f t="shared" si="532"/>
        <v>1450</v>
      </c>
      <c r="W118" s="653">
        <v>1450</v>
      </c>
      <c r="X118" s="40"/>
      <c r="Y118" s="630"/>
      <c r="Z118" s="653">
        <v>1414</v>
      </c>
      <c r="AA118" s="40">
        <v>1572</v>
      </c>
      <c r="AB118" s="630">
        <f t="shared" si="533"/>
        <v>1772</v>
      </c>
      <c r="AC118" s="653">
        <v>1772</v>
      </c>
      <c r="AD118" s="40">
        <v>1946</v>
      </c>
      <c r="AE118" s="630">
        <f t="shared" si="534"/>
        <v>2093</v>
      </c>
      <c r="AF118" s="653">
        <v>2093</v>
      </c>
      <c r="AG118" s="40">
        <v>1892</v>
      </c>
      <c r="AH118" s="630">
        <f t="shared" si="535"/>
        <v>1761</v>
      </c>
      <c r="AI118" s="653">
        <v>1761</v>
      </c>
      <c r="AJ118" s="40">
        <v>1612</v>
      </c>
      <c r="AK118" s="630">
        <f t="shared" si="536"/>
        <v>1633</v>
      </c>
      <c r="AL118" s="653">
        <v>1633</v>
      </c>
      <c r="AM118" s="40">
        <v>1652</v>
      </c>
      <c r="AN118" s="630">
        <f t="shared" si="537"/>
        <v>1692</v>
      </c>
      <c r="AO118" s="653">
        <v>1692</v>
      </c>
      <c r="AP118" s="40">
        <v>1722</v>
      </c>
      <c r="AQ118" s="630">
        <f t="shared" si="538"/>
        <v>1787</v>
      </c>
      <c r="AR118" s="653">
        <v>1787</v>
      </c>
      <c r="AS118" s="40">
        <v>2269</v>
      </c>
      <c r="AT118" s="630">
        <f t="shared" si="539"/>
        <v>2330</v>
      </c>
      <c r="AU118" s="653">
        <v>2330</v>
      </c>
      <c r="AV118" s="40">
        <v>2409</v>
      </c>
      <c r="AW118" s="630">
        <f t="shared" si="540"/>
        <v>2493</v>
      </c>
      <c r="AX118" s="653">
        <v>2493</v>
      </c>
      <c r="AY118" s="40">
        <v>2517</v>
      </c>
      <c r="AZ118" s="539"/>
      <c r="BA118" s="550"/>
      <c r="BB118"/>
      <c r="BC118" s="539"/>
      <c r="BD118" s="550"/>
      <c r="BE118"/>
      <c r="BF118" s="539"/>
      <c r="BG118" s="550"/>
      <c r="BH118"/>
      <c r="BI118" s="539"/>
      <c r="BJ118" s="550"/>
      <c r="BK118"/>
      <c r="BL118" s="539"/>
      <c r="BM118" s="550"/>
    </row>
    <row r="119" spans="1:65">
      <c r="A119" s="25" t="s">
        <v>200</v>
      </c>
      <c r="B119" s="40">
        <v>0</v>
      </c>
      <c r="C119" s="40">
        <v>0</v>
      </c>
      <c r="D119" s="40">
        <v>0</v>
      </c>
      <c r="E119" s="40">
        <v>0</v>
      </c>
      <c r="F119" s="40">
        <v>115</v>
      </c>
      <c r="G119" s="40">
        <v>119</v>
      </c>
      <c r="H119" s="40">
        <v>153</v>
      </c>
      <c r="I119" s="40">
        <v>162</v>
      </c>
      <c r="J119" s="40">
        <v>213</v>
      </c>
      <c r="K119" s="40">
        <v>290</v>
      </c>
      <c r="L119" s="40">
        <v>346</v>
      </c>
      <c r="M119" s="40">
        <v>233</v>
      </c>
      <c r="N119" s="40">
        <v>204</v>
      </c>
      <c r="O119" s="40">
        <v>228</v>
      </c>
      <c r="P119" s="40">
        <v>249</v>
      </c>
      <c r="Q119" s="40">
        <v>405</v>
      </c>
      <c r="R119" s="40">
        <v>476</v>
      </c>
      <c r="S119" s="630">
        <f t="shared" si="531"/>
        <v>574</v>
      </c>
      <c r="T119" s="653">
        <v>574</v>
      </c>
      <c r="U119" s="40">
        <v>687</v>
      </c>
      <c r="V119" s="630">
        <f t="shared" si="532"/>
        <v>873</v>
      </c>
      <c r="W119" s="653">
        <v>873</v>
      </c>
      <c r="X119" s="40"/>
      <c r="Y119" s="630"/>
      <c r="Z119" s="653">
        <v>0</v>
      </c>
      <c r="AA119" s="40">
        <v>0</v>
      </c>
      <c r="AB119" s="630">
        <f t="shared" si="533"/>
        <v>0</v>
      </c>
      <c r="AC119" s="653">
        <v>0</v>
      </c>
      <c r="AD119" s="40">
        <v>0</v>
      </c>
      <c r="AE119" s="630">
        <f t="shared" si="534"/>
        <v>0</v>
      </c>
      <c r="AF119" s="653">
        <v>0</v>
      </c>
      <c r="AG119" s="40">
        <v>0</v>
      </c>
      <c r="AH119" s="630">
        <f t="shared" si="535"/>
        <v>0</v>
      </c>
      <c r="AI119" s="653">
        <v>0</v>
      </c>
      <c r="AJ119" s="40">
        <v>0</v>
      </c>
      <c r="AK119" s="630">
        <f t="shared" si="536"/>
        <v>0</v>
      </c>
      <c r="AL119" s="653">
        <v>0</v>
      </c>
      <c r="AM119" s="40">
        <v>0</v>
      </c>
      <c r="AN119" s="630">
        <f t="shared" si="537"/>
        <v>0</v>
      </c>
      <c r="AO119" s="653">
        <v>0</v>
      </c>
      <c r="AP119" s="40">
        <v>0</v>
      </c>
      <c r="AQ119" s="630">
        <f t="shared" si="538"/>
        <v>0</v>
      </c>
      <c r="AR119" s="653">
        <v>0</v>
      </c>
      <c r="AS119" s="40">
        <v>0</v>
      </c>
      <c r="AT119" s="630">
        <f t="shared" si="539"/>
        <v>0</v>
      </c>
      <c r="AU119" s="653">
        <v>0</v>
      </c>
      <c r="AV119" s="40">
        <v>0</v>
      </c>
      <c r="AW119" s="630">
        <f t="shared" si="540"/>
        <v>0</v>
      </c>
      <c r="AX119" s="653">
        <v>0</v>
      </c>
      <c r="AY119" s="40">
        <v>0</v>
      </c>
      <c r="AZ119" s="539"/>
      <c r="BA119" s="550"/>
      <c r="BB119"/>
      <c r="BC119" s="539"/>
      <c r="BD119" s="550"/>
      <c r="BE119"/>
      <c r="BF119" s="539"/>
      <c r="BG119" s="550"/>
      <c r="BH119"/>
      <c r="BI119" s="539"/>
      <c r="BJ119" s="550"/>
      <c r="BK119"/>
      <c r="BL119" s="539"/>
      <c r="BM119" s="550"/>
    </row>
    <row r="120" spans="1:65">
      <c r="A120" s="25" t="s">
        <v>373</v>
      </c>
      <c r="B120" s="40">
        <v>0</v>
      </c>
      <c r="C120" s="40">
        <v>0</v>
      </c>
      <c r="D120" s="40">
        <v>0</v>
      </c>
      <c r="E120" s="40">
        <v>0</v>
      </c>
      <c r="F120" s="40">
        <v>0</v>
      </c>
      <c r="G120" s="40">
        <v>34</v>
      </c>
      <c r="H120" s="40">
        <v>51</v>
      </c>
      <c r="I120" s="40">
        <v>80</v>
      </c>
      <c r="J120" s="40">
        <v>206</v>
      </c>
      <c r="K120" s="40">
        <v>198</v>
      </c>
      <c r="L120" s="40">
        <v>304</v>
      </c>
      <c r="M120" s="40">
        <v>341</v>
      </c>
      <c r="N120" s="40">
        <f t="shared" ref="N120:AO120" si="541">N121+N122+N123</f>
        <v>375</v>
      </c>
      <c r="O120" s="40">
        <f t="shared" si="541"/>
        <v>1056</v>
      </c>
      <c r="P120" s="40">
        <f t="shared" si="541"/>
        <v>985</v>
      </c>
      <c r="Q120" s="40">
        <f t="shared" si="541"/>
        <v>926</v>
      </c>
      <c r="R120" s="40">
        <f t="shared" si="541"/>
        <v>962</v>
      </c>
      <c r="S120" s="630">
        <f t="shared" si="541"/>
        <v>1028</v>
      </c>
      <c r="T120" s="653">
        <f t="shared" si="541"/>
        <v>1028</v>
      </c>
      <c r="U120" s="40">
        <f t="shared" ref="U120:V120" si="542">U121+U122+U123</f>
        <v>1026</v>
      </c>
      <c r="V120" s="630">
        <f t="shared" si="542"/>
        <v>2078</v>
      </c>
      <c r="W120" s="653">
        <f t="shared" si="541"/>
        <v>2078</v>
      </c>
      <c r="X120" s="40"/>
      <c r="Y120" s="630"/>
      <c r="Z120" s="653">
        <f t="shared" si="541"/>
        <v>2028</v>
      </c>
      <c r="AA120" s="40">
        <f t="shared" si="541"/>
        <v>2050</v>
      </c>
      <c r="AB120" s="630">
        <f t="shared" si="541"/>
        <v>1903</v>
      </c>
      <c r="AC120" s="653">
        <f t="shared" si="541"/>
        <v>1903</v>
      </c>
      <c r="AD120" s="40">
        <f t="shared" ref="AD120:AE120" si="543">AD121+AD122+AD123</f>
        <v>1867</v>
      </c>
      <c r="AE120" s="630">
        <f t="shared" si="543"/>
        <v>1785</v>
      </c>
      <c r="AF120" s="653">
        <f t="shared" si="541"/>
        <v>1785</v>
      </c>
      <c r="AG120" s="40">
        <f t="shared" si="541"/>
        <v>1820</v>
      </c>
      <c r="AH120" s="630">
        <f t="shared" si="541"/>
        <v>1776</v>
      </c>
      <c r="AI120" s="653">
        <f t="shared" si="541"/>
        <v>1776</v>
      </c>
      <c r="AJ120" s="40">
        <f t="shared" ref="AJ120:AK120" si="544">AJ121+AJ122+AJ123</f>
        <v>898</v>
      </c>
      <c r="AK120" s="630">
        <f t="shared" si="544"/>
        <v>874</v>
      </c>
      <c r="AL120" s="653">
        <f t="shared" si="541"/>
        <v>874</v>
      </c>
      <c r="AM120" s="40">
        <f t="shared" si="541"/>
        <v>832</v>
      </c>
      <c r="AN120" s="630">
        <f t="shared" si="541"/>
        <v>819</v>
      </c>
      <c r="AO120" s="653">
        <f t="shared" si="541"/>
        <v>819</v>
      </c>
      <c r="AP120" s="40">
        <f t="shared" ref="AP120:AR120" si="545">AP121+AP122+AP123</f>
        <v>763</v>
      </c>
      <c r="AQ120" s="630">
        <f t="shared" si="545"/>
        <v>693</v>
      </c>
      <c r="AR120" s="653">
        <f t="shared" si="545"/>
        <v>693</v>
      </c>
      <c r="AS120" s="40">
        <f t="shared" ref="AS120:AU120" si="546">AS121+AS122+AS123</f>
        <v>659</v>
      </c>
      <c r="AT120" s="630">
        <f t="shared" si="546"/>
        <v>627</v>
      </c>
      <c r="AU120" s="653">
        <f t="shared" si="546"/>
        <v>627</v>
      </c>
      <c r="AV120" s="40">
        <f t="shared" ref="AV120:AW120" si="547">AV121+AV122+AV123</f>
        <v>628</v>
      </c>
      <c r="AW120" s="630">
        <f t="shared" si="547"/>
        <v>637</v>
      </c>
      <c r="AX120" s="653">
        <f t="shared" ref="AX120:AY120" si="548">AX121+AX122+AX123</f>
        <v>637</v>
      </c>
      <c r="AY120" s="40">
        <f t="shared" si="548"/>
        <v>649</v>
      </c>
      <c r="AZ120" s="539"/>
      <c r="BA120" s="550"/>
      <c r="BB120"/>
      <c r="BC120" s="539"/>
      <c r="BD120" s="550"/>
      <c r="BE120"/>
      <c r="BF120" s="539"/>
      <c r="BG120" s="550"/>
      <c r="BH120"/>
      <c r="BI120" s="539"/>
      <c r="BJ120" s="550"/>
      <c r="BK120"/>
      <c r="BL120" s="539"/>
      <c r="BM120" s="550"/>
    </row>
    <row r="121" spans="1:65">
      <c r="A121" s="93" t="s">
        <v>201</v>
      </c>
      <c r="B121" s="40"/>
      <c r="C121" s="40"/>
      <c r="D121" s="40"/>
      <c r="E121" s="40"/>
      <c r="F121" s="40"/>
      <c r="G121" s="40"/>
      <c r="H121" s="40"/>
      <c r="I121" s="40"/>
      <c r="J121" s="40"/>
      <c r="K121" s="40"/>
      <c r="L121" s="40"/>
      <c r="M121" s="40"/>
      <c r="N121" s="40">
        <v>33</v>
      </c>
      <c r="O121" s="40">
        <v>406</v>
      </c>
      <c r="P121" s="40">
        <v>373</v>
      </c>
      <c r="Q121" s="40">
        <v>317</v>
      </c>
      <c r="R121" s="40">
        <v>331</v>
      </c>
      <c r="S121" s="630">
        <f>T121</f>
        <v>331</v>
      </c>
      <c r="T121" s="653">
        <v>331</v>
      </c>
      <c r="U121" s="40">
        <v>305</v>
      </c>
      <c r="V121" s="630">
        <f>W121</f>
        <v>1247</v>
      </c>
      <c r="W121" s="653">
        <v>1247</v>
      </c>
      <c r="X121" s="40"/>
      <c r="Y121" s="630"/>
      <c r="Z121" s="653">
        <v>1176</v>
      </c>
      <c r="AA121" s="40">
        <v>1214</v>
      </c>
      <c r="AB121" s="630">
        <f>AC121</f>
        <v>1080</v>
      </c>
      <c r="AC121" s="653">
        <v>1080</v>
      </c>
      <c r="AD121" s="40">
        <v>1046</v>
      </c>
      <c r="AE121" s="630">
        <f>AF121</f>
        <v>949</v>
      </c>
      <c r="AF121" s="653">
        <v>949</v>
      </c>
      <c r="AG121" s="40">
        <v>957</v>
      </c>
      <c r="AH121" s="630">
        <f>AI121</f>
        <v>925</v>
      </c>
      <c r="AI121" s="653">
        <v>925</v>
      </c>
      <c r="AJ121" s="40">
        <v>150</v>
      </c>
      <c r="AK121" s="630">
        <f>AL121</f>
        <v>133</v>
      </c>
      <c r="AL121" s="653">
        <v>133</v>
      </c>
      <c r="AM121" s="40">
        <v>118</v>
      </c>
      <c r="AN121" s="630">
        <f>AO121</f>
        <v>106</v>
      </c>
      <c r="AO121" s="653">
        <v>106</v>
      </c>
      <c r="AP121" s="40">
        <v>83</v>
      </c>
      <c r="AQ121" s="630">
        <f>AR121</f>
        <v>65</v>
      </c>
      <c r="AR121" s="653">
        <v>65</v>
      </c>
      <c r="AS121" s="40">
        <v>45</v>
      </c>
      <c r="AT121" s="630">
        <f>AU121</f>
        <v>28</v>
      </c>
      <c r="AU121" s="653">
        <v>28</v>
      </c>
      <c r="AV121" s="40">
        <v>26</v>
      </c>
      <c r="AW121" s="630">
        <f>AX121</f>
        <v>23</v>
      </c>
      <c r="AX121" s="653">
        <v>23</v>
      </c>
      <c r="AY121" s="40">
        <v>22</v>
      </c>
      <c r="AZ121" s="539"/>
      <c r="BA121" s="550"/>
      <c r="BB121"/>
      <c r="BC121" s="539"/>
      <c r="BD121" s="550"/>
      <c r="BE121"/>
      <c r="BF121" s="539"/>
      <c r="BG121" s="550"/>
      <c r="BH121"/>
      <c r="BI121" s="539"/>
      <c r="BJ121" s="550"/>
      <c r="BK121"/>
      <c r="BL121" s="539"/>
      <c r="BM121" s="550"/>
    </row>
    <row r="122" spans="1:65">
      <c r="A122" s="93" t="s">
        <v>202</v>
      </c>
      <c r="B122" s="40"/>
      <c r="C122" s="40"/>
      <c r="D122" s="40"/>
      <c r="E122" s="40"/>
      <c r="F122" s="40"/>
      <c r="G122" s="40"/>
      <c r="H122" s="40"/>
      <c r="I122" s="40"/>
      <c r="J122" s="40"/>
      <c r="K122" s="40"/>
      <c r="L122" s="40"/>
      <c r="M122" s="40"/>
      <c r="N122" s="40">
        <v>241</v>
      </c>
      <c r="O122" s="40">
        <v>255</v>
      </c>
      <c r="P122" s="40">
        <v>284</v>
      </c>
      <c r="Q122" s="40">
        <v>291</v>
      </c>
      <c r="R122" s="40">
        <v>285</v>
      </c>
      <c r="S122" s="630">
        <f>T122</f>
        <v>328</v>
      </c>
      <c r="T122" s="653">
        <v>328</v>
      </c>
      <c r="U122" s="40">
        <v>338</v>
      </c>
      <c r="V122" s="630">
        <f>W122</f>
        <v>380</v>
      </c>
      <c r="W122" s="653">
        <v>380</v>
      </c>
      <c r="X122" s="40"/>
      <c r="Y122" s="630"/>
      <c r="Z122" s="653">
        <v>381</v>
      </c>
      <c r="AA122" s="40">
        <v>385</v>
      </c>
      <c r="AB122" s="630">
        <f>AC122</f>
        <v>357</v>
      </c>
      <c r="AC122" s="653">
        <v>357</v>
      </c>
      <c r="AD122" s="40">
        <v>354</v>
      </c>
      <c r="AE122" s="630">
        <f>AF122</f>
        <v>362</v>
      </c>
      <c r="AF122" s="653">
        <v>362</v>
      </c>
      <c r="AG122" s="40">
        <v>357</v>
      </c>
      <c r="AH122" s="630">
        <f>AI122</f>
        <v>361</v>
      </c>
      <c r="AI122" s="653">
        <v>361</v>
      </c>
      <c r="AJ122" s="40">
        <v>340</v>
      </c>
      <c r="AK122" s="630">
        <f>AL122</f>
        <v>328</v>
      </c>
      <c r="AL122" s="653">
        <v>328</v>
      </c>
      <c r="AM122" s="40">
        <v>304</v>
      </c>
      <c r="AN122" s="630">
        <f>AO122</f>
        <v>303</v>
      </c>
      <c r="AO122" s="653">
        <v>303</v>
      </c>
      <c r="AP122" s="40">
        <v>292</v>
      </c>
      <c r="AQ122" s="630">
        <f>AR122</f>
        <v>286</v>
      </c>
      <c r="AR122" s="653">
        <v>286</v>
      </c>
      <c r="AS122" s="40">
        <v>282</v>
      </c>
      <c r="AT122" s="630">
        <f>AU122</f>
        <v>295</v>
      </c>
      <c r="AU122" s="653">
        <v>295</v>
      </c>
      <c r="AV122" s="40">
        <v>295</v>
      </c>
      <c r="AW122" s="630">
        <f>AX122</f>
        <v>329</v>
      </c>
      <c r="AX122" s="653">
        <v>329</v>
      </c>
      <c r="AY122" s="40">
        <v>353</v>
      </c>
      <c r="AZ122" s="539"/>
      <c r="BA122" s="550"/>
      <c r="BB122"/>
      <c r="BC122" s="539"/>
      <c r="BD122" s="550"/>
      <c r="BE122"/>
      <c r="BF122" s="539"/>
      <c r="BG122" s="550"/>
      <c r="BH122"/>
      <c r="BI122" s="539"/>
      <c r="BJ122" s="550"/>
      <c r="BK122"/>
      <c r="BL122" s="539"/>
      <c r="BM122" s="550"/>
    </row>
    <row r="123" spans="1:65">
      <c r="A123" s="93" t="s">
        <v>16</v>
      </c>
      <c r="B123" s="40"/>
      <c r="C123" s="40"/>
      <c r="D123" s="40"/>
      <c r="E123" s="40"/>
      <c r="F123" s="40"/>
      <c r="G123" s="40"/>
      <c r="H123" s="40"/>
      <c r="I123" s="40"/>
      <c r="J123" s="40"/>
      <c r="K123" s="40"/>
      <c r="L123" s="40"/>
      <c r="M123" s="40"/>
      <c r="N123" s="40">
        <v>101</v>
      </c>
      <c r="O123" s="40">
        <v>395</v>
      </c>
      <c r="P123" s="40">
        <v>328</v>
      </c>
      <c r="Q123" s="40">
        <v>318</v>
      </c>
      <c r="R123" s="40">
        <v>346</v>
      </c>
      <c r="S123" s="630">
        <f>T123</f>
        <v>369</v>
      </c>
      <c r="T123" s="653">
        <v>369</v>
      </c>
      <c r="U123" s="40">
        <v>383</v>
      </c>
      <c r="V123" s="630">
        <f>W123</f>
        <v>451</v>
      </c>
      <c r="W123" s="653">
        <v>451</v>
      </c>
      <c r="X123" s="40"/>
      <c r="Y123" s="630"/>
      <c r="Z123" s="653">
        <v>471</v>
      </c>
      <c r="AA123" s="40">
        <v>451</v>
      </c>
      <c r="AB123" s="630">
        <f>AC123</f>
        <v>466</v>
      </c>
      <c r="AC123" s="653">
        <v>466</v>
      </c>
      <c r="AD123" s="40">
        <v>467</v>
      </c>
      <c r="AE123" s="630">
        <f>AF123</f>
        <v>474</v>
      </c>
      <c r="AF123" s="653">
        <v>474</v>
      </c>
      <c r="AG123" s="40">
        <v>506</v>
      </c>
      <c r="AH123" s="630">
        <f>AI123</f>
        <v>490</v>
      </c>
      <c r="AI123" s="653">
        <v>490</v>
      </c>
      <c r="AJ123" s="40">
        <v>408</v>
      </c>
      <c r="AK123" s="630">
        <f>AL123</f>
        <v>413</v>
      </c>
      <c r="AL123" s="653">
        <v>413</v>
      </c>
      <c r="AM123" s="40">
        <v>410</v>
      </c>
      <c r="AN123" s="630">
        <f>AO123</f>
        <v>410</v>
      </c>
      <c r="AO123" s="653">
        <v>410</v>
      </c>
      <c r="AP123" s="40">
        <v>388</v>
      </c>
      <c r="AQ123" s="630">
        <f>AR123</f>
        <v>342</v>
      </c>
      <c r="AR123" s="653">
        <v>342</v>
      </c>
      <c r="AS123" s="40">
        <v>332</v>
      </c>
      <c r="AT123" s="630">
        <f>AU123</f>
        <v>304</v>
      </c>
      <c r="AU123" s="653">
        <v>304</v>
      </c>
      <c r="AV123" s="40">
        <v>307</v>
      </c>
      <c r="AW123" s="630">
        <f>AX123</f>
        <v>285</v>
      </c>
      <c r="AX123" s="653">
        <v>285</v>
      </c>
      <c r="AY123" s="40">
        <v>274</v>
      </c>
      <c r="AZ123" s="539"/>
      <c r="BA123" s="550"/>
      <c r="BB123"/>
      <c r="BC123" s="539"/>
      <c r="BD123" s="550"/>
      <c r="BE123"/>
      <c r="BF123" s="539"/>
      <c r="BG123" s="550"/>
      <c r="BH123"/>
      <c r="BI123" s="539"/>
      <c r="BJ123" s="550"/>
      <c r="BK123"/>
      <c r="BL123" s="539"/>
      <c r="BM123" s="550"/>
    </row>
    <row r="124" spans="1:65">
      <c r="A124" s="68" t="s">
        <v>204</v>
      </c>
      <c r="B124" s="46">
        <f t="shared" ref="B124:W124" si="549">B116+B117+B118+B119+B120</f>
        <v>877</v>
      </c>
      <c r="C124" s="46">
        <f t="shared" si="549"/>
        <v>823</v>
      </c>
      <c r="D124" s="46">
        <f t="shared" si="549"/>
        <v>868</v>
      </c>
      <c r="E124" s="46">
        <f t="shared" si="549"/>
        <v>863</v>
      </c>
      <c r="F124" s="46">
        <f t="shared" si="549"/>
        <v>1227</v>
      </c>
      <c r="G124" s="46">
        <f t="shared" si="549"/>
        <v>1315</v>
      </c>
      <c r="H124" s="46">
        <f t="shared" si="549"/>
        <v>1460</v>
      </c>
      <c r="I124" s="46">
        <f t="shared" si="549"/>
        <v>1761</v>
      </c>
      <c r="J124" s="46">
        <f t="shared" si="549"/>
        <v>2286</v>
      </c>
      <c r="K124" s="46">
        <f t="shared" si="549"/>
        <v>2472</v>
      </c>
      <c r="L124" s="46">
        <f t="shared" si="549"/>
        <v>2884</v>
      </c>
      <c r="M124" s="46">
        <f t="shared" si="549"/>
        <v>2882</v>
      </c>
      <c r="N124" s="46">
        <f t="shared" si="549"/>
        <v>2901</v>
      </c>
      <c r="O124" s="46">
        <f t="shared" si="549"/>
        <v>4987</v>
      </c>
      <c r="P124" s="46">
        <f t="shared" si="549"/>
        <v>4804</v>
      </c>
      <c r="Q124" s="46">
        <f t="shared" si="549"/>
        <v>4645</v>
      </c>
      <c r="R124" s="46">
        <f t="shared" ref="R124:S124" si="550">R5</f>
        <v>4990</v>
      </c>
      <c r="S124" s="643">
        <f t="shared" si="550"/>
        <v>5080</v>
      </c>
      <c r="T124" s="667">
        <f t="shared" si="549"/>
        <v>5080</v>
      </c>
      <c r="U124" s="46">
        <f t="shared" ref="U124:V124" si="551">U5</f>
        <v>5269</v>
      </c>
      <c r="V124" s="643">
        <f t="shared" si="551"/>
        <v>7063</v>
      </c>
      <c r="W124" s="667">
        <f t="shared" si="549"/>
        <v>7063</v>
      </c>
      <c r="X124" s="46"/>
      <c r="Y124" s="643"/>
      <c r="Z124" s="667">
        <f>Z116+Z117+Z118+Z119+Z120</f>
        <v>5565</v>
      </c>
      <c r="AA124" s="46">
        <f t="shared" ref="AA124:AB124" si="552">AA5</f>
        <v>5266</v>
      </c>
      <c r="AB124" s="643">
        <f t="shared" si="552"/>
        <v>5295</v>
      </c>
      <c r="AC124" s="667">
        <f>AC116+AC117+AC118+AC119+AC120</f>
        <v>5295</v>
      </c>
      <c r="AD124" s="46">
        <f t="shared" ref="AD124:AE124" si="553">AD5</f>
        <v>5437</v>
      </c>
      <c r="AE124" s="643">
        <f t="shared" si="553"/>
        <v>5442</v>
      </c>
      <c r="AF124" s="667">
        <f>AF116+AF117+AF118+AF119+AF120</f>
        <v>5442</v>
      </c>
      <c r="AG124" s="46">
        <f t="shared" ref="AG124:AH124" si="554">AG5</f>
        <v>5329</v>
      </c>
      <c r="AH124" s="643">
        <f t="shared" si="554"/>
        <v>5145</v>
      </c>
      <c r="AI124" s="667">
        <f t="shared" ref="AI124:BM124" si="555">AI5</f>
        <v>5145</v>
      </c>
      <c r="AJ124" s="46">
        <f t="shared" ref="AJ124:AK124" si="556">AJ5</f>
        <v>4063</v>
      </c>
      <c r="AK124" s="643">
        <f t="shared" si="556"/>
        <v>4041</v>
      </c>
      <c r="AL124" s="667">
        <f t="shared" si="555"/>
        <v>4041</v>
      </c>
      <c r="AM124" s="46">
        <f t="shared" si="555"/>
        <v>4054</v>
      </c>
      <c r="AN124" s="643">
        <f t="shared" si="555"/>
        <v>4098</v>
      </c>
      <c r="AO124" s="667">
        <f t="shared" si="555"/>
        <v>4098</v>
      </c>
      <c r="AP124" s="46">
        <f t="shared" ref="AP124:AR124" si="557">AP5</f>
        <v>4019</v>
      </c>
      <c r="AQ124" s="643">
        <f t="shared" si="557"/>
        <v>4009</v>
      </c>
      <c r="AR124" s="667">
        <f t="shared" si="557"/>
        <v>4009</v>
      </c>
      <c r="AS124" s="46">
        <f t="shared" ref="AS124:AU124" si="558">AS5</f>
        <v>4426</v>
      </c>
      <c r="AT124" s="643">
        <f t="shared" si="558"/>
        <v>4402</v>
      </c>
      <c r="AU124" s="667">
        <f t="shared" si="558"/>
        <v>4402</v>
      </c>
      <c r="AV124" s="46">
        <f t="shared" ref="AV124:AW124" si="559">AV5</f>
        <v>4488</v>
      </c>
      <c r="AW124" s="643">
        <f t="shared" si="559"/>
        <v>4598</v>
      </c>
      <c r="AX124" s="667">
        <f t="shared" si="555"/>
        <v>4598</v>
      </c>
      <c r="AY124" s="46">
        <f t="shared" si="555"/>
        <v>4624</v>
      </c>
      <c r="AZ124" s="250">
        <f t="shared" si="555"/>
        <v>4712.3682510262506</v>
      </c>
      <c r="BA124" s="615">
        <f t="shared" si="555"/>
        <v>4712.3682510262506</v>
      </c>
      <c r="BB124" s="249">
        <f t="shared" si="555"/>
        <v>4775.4617015810563</v>
      </c>
      <c r="BC124" s="250">
        <f t="shared" si="555"/>
        <v>4842.7056090863089</v>
      </c>
      <c r="BD124" s="615">
        <f t="shared" si="555"/>
        <v>4842.7056090863089</v>
      </c>
      <c r="BE124" s="249">
        <f t="shared" si="555"/>
        <v>4911.8901737465421</v>
      </c>
      <c r="BF124" s="250">
        <f t="shared" si="555"/>
        <v>4987.0077580914549</v>
      </c>
      <c r="BG124" s="615">
        <f t="shared" si="555"/>
        <v>4987.0077580914549</v>
      </c>
      <c r="BH124" s="249">
        <f t="shared" si="555"/>
        <v>5064.5424349766627</v>
      </c>
      <c r="BI124" s="250">
        <f t="shared" si="555"/>
        <v>5148.7040674533855</v>
      </c>
      <c r="BJ124" s="615">
        <f t="shared" si="555"/>
        <v>5148.7040674533855</v>
      </c>
      <c r="BK124" s="249">
        <f t="shared" si="555"/>
        <v>5235.6293247212661</v>
      </c>
      <c r="BL124" s="250">
        <f t="shared" si="555"/>
        <v>5329.8102915487725</v>
      </c>
      <c r="BM124" s="615">
        <f t="shared" si="555"/>
        <v>5329.8102915487725</v>
      </c>
    </row>
    <row r="125" spans="1:65">
      <c r="A125" s="25" t="s">
        <v>197</v>
      </c>
      <c r="B125" s="40">
        <f>B116</f>
        <v>836</v>
      </c>
      <c r="C125" s="40">
        <f t="shared" ref="C125:V125" si="560">C116</f>
        <v>769</v>
      </c>
      <c r="D125" s="40">
        <f t="shared" si="560"/>
        <v>786</v>
      </c>
      <c r="E125" s="40">
        <f t="shared" si="560"/>
        <v>759</v>
      </c>
      <c r="F125" s="40">
        <f t="shared" si="560"/>
        <v>759</v>
      </c>
      <c r="G125" s="40">
        <f t="shared" si="560"/>
        <v>751</v>
      </c>
      <c r="H125" s="40">
        <f t="shared" si="560"/>
        <v>735</v>
      </c>
      <c r="I125" s="40">
        <f t="shared" si="560"/>
        <v>801</v>
      </c>
      <c r="J125" s="40">
        <f t="shared" si="560"/>
        <v>1008</v>
      </c>
      <c r="K125" s="40">
        <f t="shared" si="560"/>
        <v>984</v>
      </c>
      <c r="L125" s="40">
        <f t="shared" si="560"/>
        <v>1108</v>
      </c>
      <c r="M125" s="40">
        <f t="shared" si="560"/>
        <v>1099</v>
      </c>
      <c r="N125" s="40">
        <f t="shared" si="560"/>
        <v>1102</v>
      </c>
      <c r="O125" s="40">
        <f t="shared" si="560"/>
        <v>1838</v>
      </c>
      <c r="P125" s="40">
        <f t="shared" si="560"/>
        <v>1659</v>
      </c>
      <c r="Q125" s="40">
        <f t="shared" si="560"/>
        <v>1503</v>
      </c>
      <c r="R125" s="40">
        <f t="shared" ref="R125:S125" si="561">R116</f>
        <v>1686</v>
      </c>
      <c r="S125" s="630">
        <f t="shared" si="561"/>
        <v>1537</v>
      </c>
      <c r="T125" s="653">
        <f t="shared" si="560"/>
        <v>1537</v>
      </c>
      <c r="U125" s="40">
        <f t="shared" si="560"/>
        <v>1549</v>
      </c>
      <c r="V125" s="630">
        <f t="shared" si="560"/>
        <v>1545</v>
      </c>
      <c r="W125" s="653">
        <f t="shared" ref="W125:AO125" si="562">W116</f>
        <v>1545</v>
      </c>
      <c r="X125" s="40"/>
      <c r="Y125" s="630"/>
      <c r="Z125" s="653">
        <f t="shared" si="562"/>
        <v>1545</v>
      </c>
      <c r="AA125" s="40">
        <f t="shared" si="562"/>
        <v>1029</v>
      </c>
      <c r="AB125" s="630">
        <f t="shared" si="562"/>
        <v>1045</v>
      </c>
      <c r="AC125" s="653">
        <f t="shared" si="562"/>
        <v>1045</v>
      </c>
      <c r="AD125" s="40">
        <f t="shared" ref="AD125:AE125" si="563">AD116</f>
        <v>1050</v>
      </c>
      <c r="AE125" s="630">
        <f t="shared" si="563"/>
        <v>994</v>
      </c>
      <c r="AF125" s="653">
        <f t="shared" si="562"/>
        <v>994</v>
      </c>
      <c r="AG125" s="40">
        <f t="shared" si="562"/>
        <v>1066</v>
      </c>
      <c r="AH125" s="630">
        <f t="shared" si="562"/>
        <v>1074</v>
      </c>
      <c r="AI125" s="653">
        <f t="shared" si="562"/>
        <v>1074</v>
      </c>
      <c r="AJ125" s="40">
        <f t="shared" ref="AJ125:AK125" si="564">AJ116</f>
        <v>1033</v>
      </c>
      <c r="AK125" s="630">
        <f t="shared" si="564"/>
        <v>1026</v>
      </c>
      <c r="AL125" s="653">
        <f t="shared" si="562"/>
        <v>1026</v>
      </c>
      <c r="AM125" s="40">
        <f t="shared" si="562"/>
        <v>1071</v>
      </c>
      <c r="AN125" s="630">
        <f t="shared" si="562"/>
        <v>1099</v>
      </c>
      <c r="AO125" s="653">
        <f t="shared" si="562"/>
        <v>1099</v>
      </c>
      <c r="AP125" s="40">
        <f t="shared" ref="AP125:AR125" si="565">AP116</f>
        <v>1059</v>
      </c>
      <c r="AQ125" s="630">
        <f t="shared" si="565"/>
        <v>1066</v>
      </c>
      <c r="AR125" s="653">
        <f t="shared" si="565"/>
        <v>1066</v>
      </c>
      <c r="AS125" s="40">
        <f t="shared" ref="AS125:AU125" si="566">AS116</f>
        <v>1048</v>
      </c>
      <c r="AT125" s="630">
        <f t="shared" si="566"/>
        <v>1009</v>
      </c>
      <c r="AU125" s="653">
        <f t="shared" si="566"/>
        <v>1009</v>
      </c>
      <c r="AV125" s="40">
        <f t="shared" ref="AV125:AW125" si="567">AV116</f>
        <v>1009</v>
      </c>
      <c r="AW125" s="630">
        <f t="shared" si="567"/>
        <v>1028</v>
      </c>
      <c r="AX125" s="653">
        <f t="shared" ref="AX125:AY125" si="568">AX116</f>
        <v>1028</v>
      </c>
      <c r="AY125" s="40">
        <f t="shared" si="568"/>
        <v>1024</v>
      </c>
      <c r="AZ125" s="236">
        <f>BA125</f>
        <v>1028</v>
      </c>
      <c r="BA125" s="605">
        <f>AX125-CFS!BA41-IS!BA117</f>
        <v>1028</v>
      </c>
      <c r="BB125" s="56">
        <f>BA125-CFS!BB41-IS!BB117</f>
        <v>1028</v>
      </c>
      <c r="BC125" s="236">
        <f>BD125</f>
        <v>1028</v>
      </c>
      <c r="BD125" s="605">
        <f>BA125-CFS!BD41-IS!BD117</f>
        <v>1028</v>
      </c>
      <c r="BE125" s="56">
        <f>BD125-CFS!BE41-IS!BE117</f>
        <v>1028</v>
      </c>
      <c r="BF125" s="236">
        <f>BG125</f>
        <v>1028</v>
      </c>
      <c r="BG125" s="605">
        <f>BD125-CFS!BG41-IS!BG117</f>
        <v>1028</v>
      </c>
      <c r="BH125" s="56">
        <f>BG125-CFS!BH41-IS!BH117</f>
        <v>1028</v>
      </c>
      <c r="BI125" s="236">
        <f>BJ125</f>
        <v>1028</v>
      </c>
      <c r="BJ125" s="605">
        <f>BG125-CFS!BJ41-IS!BJ117</f>
        <v>1028</v>
      </c>
      <c r="BK125" s="56">
        <f>BJ125-CFS!BK41-IS!BK117</f>
        <v>1028</v>
      </c>
      <c r="BL125" s="236">
        <f>BM125</f>
        <v>1028</v>
      </c>
      <c r="BM125" s="605">
        <f>BJ125-CFS!BM41-IS!BM117</f>
        <v>1028</v>
      </c>
    </row>
    <row r="126" spans="1:65">
      <c r="A126" s="25" t="s">
        <v>549</v>
      </c>
      <c r="B126" s="40">
        <f>B124-B125</f>
        <v>41</v>
      </c>
      <c r="C126" s="40">
        <f t="shared" ref="C126:BM126" si="569">C124-C125</f>
        <v>54</v>
      </c>
      <c r="D126" s="40">
        <f t="shared" si="569"/>
        <v>82</v>
      </c>
      <c r="E126" s="40">
        <f t="shared" si="569"/>
        <v>104</v>
      </c>
      <c r="F126" s="40">
        <f t="shared" si="569"/>
        <v>468</v>
      </c>
      <c r="G126" s="40">
        <f t="shared" si="569"/>
        <v>564</v>
      </c>
      <c r="H126" s="40">
        <f t="shared" si="569"/>
        <v>725</v>
      </c>
      <c r="I126" s="40">
        <f t="shared" si="569"/>
        <v>960</v>
      </c>
      <c r="J126" s="40">
        <f t="shared" si="569"/>
        <v>1278</v>
      </c>
      <c r="K126" s="40">
        <f t="shared" si="569"/>
        <v>1488</v>
      </c>
      <c r="L126" s="40">
        <f t="shared" si="569"/>
        <v>1776</v>
      </c>
      <c r="M126" s="40">
        <f t="shared" si="569"/>
        <v>1783</v>
      </c>
      <c r="N126" s="40">
        <f t="shared" si="569"/>
        <v>1799</v>
      </c>
      <c r="O126" s="40">
        <f t="shared" si="569"/>
        <v>3149</v>
      </c>
      <c r="P126" s="40">
        <f t="shared" si="569"/>
        <v>3145</v>
      </c>
      <c r="Q126" s="40">
        <f t="shared" si="569"/>
        <v>3142</v>
      </c>
      <c r="R126" s="40">
        <f t="shared" ref="R126:S126" si="570">R124-R125</f>
        <v>3304</v>
      </c>
      <c r="S126" s="630">
        <f t="shared" si="570"/>
        <v>3543</v>
      </c>
      <c r="T126" s="653">
        <f t="shared" si="569"/>
        <v>3543</v>
      </c>
      <c r="U126" s="40">
        <f t="shared" si="569"/>
        <v>3720</v>
      </c>
      <c r="V126" s="630">
        <f t="shared" si="569"/>
        <v>5518</v>
      </c>
      <c r="W126" s="653">
        <f t="shared" ref="W126:AM126" si="571">W124-W125</f>
        <v>5518</v>
      </c>
      <c r="X126" s="40"/>
      <c r="Y126" s="630"/>
      <c r="Z126" s="653">
        <f t="shared" si="571"/>
        <v>4020</v>
      </c>
      <c r="AA126" s="40">
        <f t="shared" si="571"/>
        <v>4237</v>
      </c>
      <c r="AB126" s="630">
        <f t="shared" si="571"/>
        <v>4250</v>
      </c>
      <c r="AC126" s="653">
        <f t="shared" si="571"/>
        <v>4250</v>
      </c>
      <c r="AD126" s="40">
        <f t="shared" ref="AD126:AE126" si="572">AD124-AD125</f>
        <v>4387</v>
      </c>
      <c r="AE126" s="630">
        <f t="shared" si="572"/>
        <v>4448</v>
      </c>
      <c r="AF126" s="653">
        <f t="shared" si="571"/>
        <v>4448</v>
      </c>
      <c r="AG126" s="40">
        <f t="shared" si="571"/>
        <v>4263</v>
      </c>
      <c r="AH126" s="630">
        <f t="shared" si="571"/>
        <v>4071</v>
      </c>
      <c r="AI126" s="653">
        <f t="shared" si="571"/>
        <v>4071</v>
      </c>
      <c r="AJ126" s="40">
        <f t="shared" ref="AJ126:AK126" si="573">AJ124-AJ125</f>
        <v>3030</v>
      </c>
      <c r="AK126" s="630">
        <f t="shared" si="573"/>
        <v>3015</v>
      </c>
      <c r="AL126" s="653">
        <f t="shared" si="571"/>
        <v>3015</v>
      </c>
      <c r="AM126" s="40">
        <f t="shared" si="571"/>
        <v>2983</v>
      </c>
      <c r="AN126" s="630">
        <f t="shared" si="569"/>
        <v>2999</v>
      </c>
      <c r="AO126" s="653">
        <f t="shared" si="569"/>
        <v>2999</v>
      </c>
      <c r="AP126" s="40">
        <f t="shared" ref="AP126:AR126" si="574">AP124-AP125</f>
        <v>2960</v>
      </c>
      <c r="AQ126" s="630">
        <f t="shared" si="574"/>
        <v>2943</v>
      </c>
      <c r="AR126" s="653">
        <f t="shared" si="574"/>
        <v>2943</v>
      </c>
      <c r="AS126" s="40">
        <f t="shared" ref="AS126:AU126" si="575">AS124-AS125</f>
        <v>3378</v>
      </c>
      <c r="AT126" s="630">
        <f t="shared" si="575"/>
        <v>3393</v>
      </c>
      <c r="AU126" s="653">
        <f t="shared" si="575"/>
        <v>3393</v>
      </c>
      <c r="AV126" s="40">
        <f t="shared" ref="AV126:AW126" si="576">AV124-AV125</f>
        <v>3479</v>
      </c>
      <c r="AW126" s="630">
        <f t="shared" si="576"/>
        <v>3570</v>
      </c>
      <c r="AX126" s="653">
        <f t="shared" si="569"/>
        <v>3570</v>
      </c>
      <c r="AY126" s="40">
        <f t="shared" si="569"/>
        <v>3600</v>
      </c>
      <c r="AZ126" s="236">
        <f t="shared" si="569"/>
        <v>3684.3682510262506</v>
      </c>
      <c r="BA126" s="605">
        <f t="shared" si="569"/>
        <v>3684.3682510262506</v>
      </c>
      <c r="BB126" s="56">
        <f t="shared" si="569"/>
        <v>3747.4617015810563</v>
      </c>
      <c r="BC126" s="236">
        <f t="shared" si="569"/>
        <v>3814.7056090863089</v>
      </c>
      <c r="BD126" s="605">
        <f t="shared" si="569"/>
        <v>3814.7056090863089</v>
      </c>
      <c r="BE126" s="56">
        <f t="shared" si="569"/>
        <v>3883.8901737465421</v>
      </c>
      <c r="BF126" s="236">
        <f t="shared" si="569"/>
        <v>3959.0077580914549</v>
      </c>
      <c r="BG126" s="605">
        <f t="shared" si="569"/>
        <v>3959.0077580914549</v>
      </c>
      <c r="BH126" s="56">
        <f t="shared" si="569"/>
        <v>4036.5424349766627</v>
      </c>
      <c r="BI126" s="236">
        <f t="shared" si="569"/>
        <v>4120.7040674533855</v>
      </c>
      <c r="BJ126" s="605">
        <f t="shared" si="569"/>
        <v>4120.7040674533855</v>
      </c>
      <c r="BK126" s="56">
        <f t="shared" si="569"/>
        <v>4207.6293247212661</v>
      </c>
      <c r="BL126" s="236">
        <f t="shared" si="569"/>
        <v>4301.8102915487725</v>
      </c>
      <c r="BM126" s="605">
        <f t="shared" si="569"/>
        <v>4301.8102915487725</v>
      </c>
    </row>
    <row r="127" spans="1:65">
      <c r="A127" s="75"/>
      <c r="B127" s="151"/>
      <c r="C127" s="151"/>
      <c r="D127" s="151"/>
      <c r="E127" s="151"/>
      <c r="F127" s="151"/>
      <c r="G127" s="151"/>
      <c r="H127" s="151"/>
      <c r="I127" s="151"/>
      <c r="J127" s="151"/>
      <c r="K127" s="151"/>
      <c r="L127" s="151"/>
      <c r="M127" s="151"/>
      <c r="N127" s="151"/>
      <c r="O127" s="151"/>
      <c r="P127" s="151"/>
      <c r="Q127" s="151"/>
      <c r="R127" s="40"/>
      <c r="S127" s="630"/>
      <c r="T127" s="689"/>
      <c r="U127" s="40"/>
      <c r="V127" s="630"/>
      <c r="W127" s="689"/>
      <c r="X127" s="151"/>
      <c r="Y127" s="680"/>
      <c r="Z127" s="689"/>
      <c r="AA127" s="40"/>
      <c r="AB127" s="630"/>
      <c r="AC127" s="653"/>
      <c r="AD127" s="40"/>
      <c r="AE127" s="630"/>
      <c r="AF127" s="653"/>
      <c r="AG127" s="40"/>
      <c r="AH127" s="630"/>
      <c r="AI127" s="653"/>
      <c r="AJ127" s="40"/>
      <c r="AK127" s="630"/>
      <c r="AL127" s="653"/>
      <c r="AM127" s="40"/>
      <c r="AN127" s="630"/>
      <c r="AO127" s="653"/>
      <c r="AP127" s="40"/>
      <c r="AQ127" s="539"/>
      <c r="AR127" s="550"/>
      <c r="AS127"/>
      <c r="AT127" s="539"/>
      <c r="AU127" s="550"/>
      <c r="AV127"/>
      <c r="AW127" s="539"/>
      <c r="AX127" s="550"/>
      <c r="AY127"/>
      <c r="AZ127" s="539"/>
      <c r="BA127" s="550"/>
      <c r="BB127"/>
      <c r="BC127" s="539"/>
      <c r="BD127" s="550"/>
      <c r="BE127"/>
      <c r="BF127" s="539"/>
      <c r="BG127" s="550"/>
      <c r="BH127"/>
      <c r="BI127" s="539"/>
      <c r="BJ127" s="550"/>
      <c r="BK127"/>
      <c r="BL127" s="539"/>
      <c r="BM127" s="550"/>
    </row>
    <row r="128" spans="1:65">
      <c r="A128" s="25" t="s">
        <v>197</v>
      </c>
      <c r="B128" s="151"/>
      <c r="C128" s="151"/>
      <c r="D128" s="151"/>
      <c r="E128" s="40"/>
      <c r="F128" s="40">
        <v>0</v>
      </c>
      <c r="G128" s="40">
        <v>0</v>
      </c>
      <c r="H128" s="40">
        <v>0</v>
      </c>
      <c r="I128" s="40">
        <v>0</v>
      </c>
      <c r="J128" s="40">
        <v>0</v>
      </c>
      <c r="K128" s="40">
        <v>0</v>
      </c>
      <c r="L128" s="40">
        <v>0</v>
      </c>
      <c r="M128" s="40">
        <v>0</v>
      </c>
      <c r="N128" s="40">
        <v>0</v>
      </c>
      <c r="O128" s="40">
        <v>0</v>
      </c>
      <c r="P128" s="40">
        <v>0</v>
      </c>
      <c r="Q128" s="40">
        <v>0</v>
      </c>
      <c r="R128" s="40">
        <v>0</v>
      </c>
      <c r="S128" s="630">
        <f>T128-R128</f>
        <v>0</v>
      </c>
      <c r="T128" s="653">
        <v>0</v>
      </c>
      <c r="U128" s="40">
        <v>0</v>
      </c>
      <c r="V128" s="630">
        <f>W128-U128</f>
        <v>0</v>
      </c>
      <c r="W128" s="653">
        <v>0</v>
      </c>
      <c r="X128" s="40"/>
      <c r="Y128" s="630"/>
      <c r="Z128" s="653">
        <v>0</v>
      </c>
      <c r="AA128" s="40">
        <v>0</v>
      </c>
      <c r="AB128" s="630">
        <f>AC128-AA128</f>
        <v>0</v>
      </c>
      <c r="AC128" s="653">
        <v>0</v>
      </c>
      <c r="AD128" s="40">
        <v>0</v>
      </c>
      <c r="AE128" s="630">
        <f>AF128-AD128</f>
        <v>0</v>
      </c>
      <c r="AF128" s="653">
        <v>0</v>
      </c>
      <c r="AG128" s="40">
        <v>0</v>
      </c>
      <c r="AH128" s="630">
        <f>AI128-AG128</f>
        <v>0</v>
      </c>
      <c r="AI128" s="653">
        <v>0</v>
      </c>
      <c r="AJ128" s="40">
        <v>0</v>
      </c>
      <c r="AK128" s="630">
        <f>AL128-AJ128</f>
        <v>0</v>
      </c>
      <c r="AL128" s="653">
        <v>0</v>
      </c>
      <c r="AM128" s="40">
        <v>0</v>
      </c>
      <c r="AN128" s="630">
        <f>AO128-AM128</f>
        <v>0</v>
      </c>
      <c r="AO128" s="653">
        <v>0</v>
      </c>
      <c r="AP128" s="40">
        <v>0</v>
      </c>
      <c r="AQ128" s="630">
        <f>AR128-AP128</f>
        <v>0</v>
      </c>
      <c r="AR128" s="653">
        <v>0</v>
      </c>
      <c r="AS128" s="40">
        <v>0</v>
      </c>
      <c r="AT128" s="630">
        <f>AU128-AS128</f>
        <v>0</v>
      </c>
      <c r="AU128" s="653">
        <v>0</v>
      </c>
      <c r="AV128" s="40">
        <v>0</v>
      </c>
      <c r="AW128" s="630">
        <f>AX128-AV128</f>
        <v>0</v>
      </c>
      <c r="AX128" s="653">
        <v>0</v>
      </c>
      <c r="AY128" s="40">
        <v>0</v>
      </c>
      <c r="AZ128" s="539"/>
      <c r="BA128" s="550"/>
      <c r="BB128"/>
      <c r="BC128" s="539"/>
      <c r="BD128" s="550"/>
      <c r="BE128"/>
      <c r="BF128" s="539"/>
      <c r="BG128" s="550"/>
      <c r="BH128"/>
      <c r="BI128" s="539"/>
      <c r="BJ128" s="550"/>
      <c r="BK128"/>
      <c r="BL128" s="539"/>
      <c r="BM128" s="550"/>
    </row>
    <row r="129" spans="1:65">
      <c r="A129" s="25" t="s">
        <v>198</v>
      </c>
      <c r="B129" s="151"/>
      <c r="C129" s="151"/>
      <c r="D129" s="151"/>
      <c r="E129" s="40"/>
      <c r="F129" s="40">
        <v>99</v>
      </c>
      <c r="G129" s="40">
        <v>10</v>
      </c>
      <c r="H129" s="40">
        <v>91</v>
      </c>
      <c r="I129" s="40">
        <v>129</v>
      </c>
      <c r="J129" s="40">
        <v>55</v>
      </c>
      <c r="K129" s="40">
        <v>66</v>
      </c>
      <c r="L129" s="40">
        <v>57</v>
      </c>
      <c r="M129" s="40">
        <v>44</v>
      </c>
      <c r="N129" s="40">
        <v>28</v>
      </c>
      <c r="O129" s="40">
        <v>185</v>
      </c>
      <c r="P129" s="40">
        <v>159</v>
      </c>
      <c r="Q129" s="40">
        <v>73</v>
      </c>
      <c r="R129" s="40">
        <v>39</v>
      </c>
      <c r="S129" s="630">
        <f t="shared" ref="S129:S131" si="577">T129-R129</f>
        <v>115</v>
      </c>
      <c r="T129" s="653">
        <v>154</v>
      </c>
      <c r="U129" s="40">
        <v>79</v>
      </c>
      <c r="V129" s="630">
        <f t="shared" ref="V129:V131" si="578">W129-U129</f>
        <v>81</v>
      </c>
      <c r="W129" s="653">
        <v>160</v>
      </c>
      <c r="X129" s="40"/>
      <c r="Y129" s="630"/>
      <c r="Z129" s="653">
        <v>112</v>
      </c>
      <c r="AA129" s="40">
        <v>27</v>
      </c>
      <c r="AB129" s="630">
        <f t="shared" ref="AB129:AB131" si="579">AC129-AA129</f>
        <v>8</v>
      </c>
      <c r="AC129" s="653">
        <v>35</v>
      </c>
      <c r="AD129" s="40">
        <v>7</v>
      </c>
      <c r="AE129" s="630">
        <f t="shared" ref="AE129:AE131" si="580">AF129-AD129</f>
        <v>8</v>
      </c>
      <c r="AF129" s="653">
        <v>15</v>
      </c>
      <c r="AG129" s="40">
        <v>0</v>
      </c>
      <c r="AH129" s="630">
        <f t="shared" ref="AH129:AH131" si="581">AI129-AG129</f>
        <v>3</v>
      </c>
      <c r="AI129" s="653">
        <v>3</v>
      </c>
      <c r="AJ129" s="40">
        <v>1</v>
      </c>
      <c r="AK129" s="630">
        <f t="shared" ref="AK129:AK135" si="582">AL129-AJ129</f>
        <v>0</v>
      </c>
      <c r="AL129" s="653">
        <v>1</v>
      </c>
      <c r="AM129" s="40">
        <v>1</v>
      </c>
      <c r="AN129" s="630">
        <f t="shared" ref="AN129:AN135" si="583">AO129-AM129</f>
        <v>-1</v>
      </c>
      <c r="AO129" s="653">
        <v>0</v>
      </c>
      <c r="AP129" s="40">
        <v>0</v>
      </c>
      <c r="AQ129" s="630">
        <f t="shared" ref="AQ129:AQ131" si="584">AR129-AP129</f>
        <v>0</v>
      </c>
      <c r="AR129" s="653">
        <v>0</v>
      </c>
      <c r="AS129" s="40">
        <v>0</v>
      </c>
      <c r="AT129" s="630">
        <f t="shared" ref="AT129:AT131" si="585">AU129-AS129</f>
        <v>0</v>
      </c>
      <c r="AU129" s="653">
        <v>0</v>
      </c>
      <c r="AV129" s="40">
        <v>17</v>
      </c>
      <c r="AW129" s="630">
        <f t="shared" ref="AW129:AW131" si="586">AX129-AV129</f>
        <v>-17</v>
      </c>
      <c r="AX129" s="653">
        <v>0</v>
      </c>
      <c r="AY129" s="40">
        <v>9</v>
      </c>
      <c r="AZ129" s="539"/>
      <c r="BA129" s="550"/>
      <c r="BB129"/>
      <c r="BC129" s="539"/>
      <c r="BD129" s="550"/>
      <c r="BE129"/>
      <c r="BF129" s="539"/>
      <c r="BG129" s="550"/>
      <c r="BH129"/>
      <c r="BI129" s="539"/>
      <c r="BJ129" s="550"/>
      <c r="BK129"/>
      <c r="BL129" s="539"/>
      <c r="BM129" s="550"/>
    </row>
    <row r="130" spans="1:65">
      <c r="A130" s="25" t="s">
        <v>199</v>
      </c>
      <c r="B130" s="151"/>
      <c r="C130" s="151"/>
      <c r="D130" s="151"/>
      <c r="E130" s="40"/>
      <c r="F130" s="40">
        <v>22</v>
      </c>
      <c r="G130" s="40">
        <v>70</v>
      </c>
      <c r="H130" s="40">
        <v>41</v>
      </c>
      <c r="I130" s="40">
        <v>91</v>
      </c>
      <c r="J130" s="40">
        <v>113</v>
      </c>
      <c r="K130" s="40">
        <v>121</v>
      </c>
      <c r="L130" s="40">
        <v>111</v>
      </c>
      <c r="M130" s="40">
        <v>93</v>
      </c>
      <c r="N130" s="40">
        <v>38</v>
      </c>
      <c r="O130" s="40">
        <v>110</v>
      </c>
      <c r="P130" s="40">
        <v>100</v>
      </c>
      <c r="Q130" s="40">
        <v>55</v>
      </c>
      <c r="R130" s="40">
        <v>54</v>
      </c>
      <c r="S130" s="630">
        <f t="shared" si="577"/>
        <v>46</v>
      </c>
      <c r="T130" s="653">
        <v>100</v>
      </c>
      <c r="U130" s="40">
        <v>84</v>
      </c>
      <c r="V130" s="630">
        <f t="shared" si="578"/>
        <v>258</v>
      </c>
      <c r="W130" s="653">
        <v>342</v>
      </c>
      <c r="X130" s="40"/>
      <c r="Y130" s="630"/>
      <c r="Z130" s="653">
        <v>347</v>
      </c>
      <c r="AA130" s="40">
        <v>241</v>
      </c>
      <c r="AB130" s="630">
        <f t="shared" si="579"/>
        <v>257</v>
      </c>
      <c r="AC130" s="653">
        <v>498</v>
      </c>
      <c r="AD130" s="40">
        <v>224</v>
      </c>
      <c r="AE130" s="630">
        <f t="shared" si="580"/>
        <v>257</v>
      </c>
      <c r="AF130" s="653">
        <v>481</v>
      </c>
      <c r="AG130" s="40">
        <v>152</v>
      </c>
      <c r="AH130" s="630">
        <f t="shared" si="581"/>
        <v>80</v>
      </c>
      <c r="AI130" s="653">
        <v>232</v>
      </c>
      <c r="AJ130" s="40">
        <v>42</v>
      </c>
      <c r="AK130" s="630">
        <f t="shared" si="582"/>
        <v>62</v>
      </c>
      <c r="AL130" s="653">
        <v>104</v>
      </c>
      <c r="AM130" s="40">
        <v>48</v>
      </c>
      <c r="AN130" s="630">
        <f t="shared" si="583"/>
        <v>83</v>
      </c>
      <c r="AO130" s="653">
        <v>131</v>
      </c>
      <c r="AP130" s="40">
        <v>84</v>
      </c>
      <c r="AQ130" s="630">
        <f t="shared" si="584"/>
        <v>108</v>
      </c>
      <c r="AR130" s="653">
        <v>192</v>
      </c>
      <c r="AS130" s="40">
        <v>126</v>
      </c>
      <c r="AT130" s="630">
        <f t="shared" si="585"/>
        <v>137</v>
      </c>
      <c r="AU130" s="653">
        <v>263</v>
      </c>
      <c r="AV130" s="40">
        <v>104</v>
      </c>
      <c r="AW130" s="630">
        <f t="shared" si="586"/>
        <v>118</v>
      </c>
      <c r="AX130" s="653">
        <v>222</v>
      </c>
      <c r="AY130" s="40">
        <v>91</v>
      </c>
      <c r="AZ130" s="236">
        <f>IS!AZ131</f>
        <v>120.5735263680757</v>
      </c>
      <c r="BA130" s="605">
        <f>IS!BA131</f>
        <v>206.5735263680757</v>
      </c>
      <c r="BB130" s="56">
        <f>IS!BB131</f>
        <v>116.68828916301472</v>
      </c>
      <c r="BC130" s="236">
        <f>IS!BC131</f>
        <v>116.68828916301472</v>
      </c>
      <c r="BD130" s="605">
        <f>IS!BD131</f>
        <v>233.37657832602943</v>
      </c>
      <c r="BE130" s="56">
        <f>IS!BE131</f>
        <v>129.19067211871845</v>
      </c>
      <c r="BF130" s="236">
        <f>IS!BF131</f>
        <v>129.19067211871845</v>
      </c>
      <c r="BG130" s="605">
        <f>IS!BG131</f>
        <v>258.38134423743691</v>
      </c>
      <c r="BH130" s="56">
        <f>IS!BH131</f>
        <v>144.7632972176944</v>
      </c>
      <c r="BI130" s="236">
        <f>IS!BI131</f>
        <v>144.7632972176944</v>
      </c>
      <c r="BJ130" s="605">
        <f>IS!BJ131</f>
        <v>289.5265944353888</v>
      </c>
      <c r="BK130" s="56">
        <f>IS!BK131</f>
        <v>162.1405847180541</v>
      </c>
      <c r="BL130" s="236">
        <f>IS!BL131</f>
        <v>162.1405847180541</v>
      </c>
      <c r="BM130" s="605">
        <f>IS!BM131</f>
        <v>324.2811694361082</v>
      </c>
    </row>
    <row r="131" spans="1:65">
      <c r="A131" s="25" t="s">
        <v>200</v>
      </c>
      <c r="B131" s="151"/>
      <c r="C131" s="151"/>
      <c r="D131" s="151"/>
      <c r="E131" s="40"/>
      <c r="F131" s="40">
        <v>21</v>
      </c>
      <c r="G131" s="40">
        <v>36</v>
      </c>
      <c r="H131" s="40">
        <v>64</v>
      </c>
      <c r="I131" s="40">
        <v>37</v>
      </c>
      <c r="J131" s="40">
        <v>97</v>
      </c>
      <c r="K131" s="40">
        <v>123</v>
      </c>
      <c r="L131" s="40">
        <v>111</v>
      </c>
      <c r="M131" s="40">
        <v>135</v>
      </c>
      <c r="N131" s="40">
        <v>35</v>
      </c>
      <c r="O131" s="40">
        <v>52</v>
      </c>
      <c r="P131" s="40">
        <v>93</v>
      </c>
      <c r="Q131" s="40">
        <v>161</v>
      </c>
      <c r="R131" s="40">
        <v>90</v>
      </c>
      <c r="S131" s="630">
        <f t="shared" si="577"/>
        <v>118</v>
      </c>
      <c r="T131" s="653">
        <v>208</v>
      </c>
      <c r="U131" s="40">
        <v>139</v>
      </c>
      <c r="V131" s="630">
        <f t="shared" si="578"/>
        <v>147</v>
      </c>
      <c r="W131" s="653">
        <v>286</v>
      </c>
      <c r="X131" s="40"/>
      <c r="Y131" s="630"/>
      <c r="Z131" s="653">
        <v>0</v>
      </c>
      <c r="AA131" s="40">
        <v>0</v>
      </c>
      <c r="AB131" s="630">
        <f t="shared" si="579"/>
        <v>0</v>
      </c>
      <c r="AC131" s="653">
        <v>0</v>
      </c>
      <c r="AD131" s="40">
        <v>0</v>
      </c>
      <c r="AE131" s="630">
        <f t="shared" si="580"/>
        <v>0</v>
      </c>
      <c r="AF131" s="653">
        <v>0</v>
      </c>
      <c r="AG131" s="40">
        <v>0</v>
      </c>
      <c r="AH131" s="630">
        <f t="shared" si="581"/>
        <v>0</v>
      </c>
      <c r="AI131" s="653">
        <v>0</v>
      </c>
      <c r="AJ131" s="40">
        <v>0</v>
      </c>
      <c r="AK131" s="630">
        <f t="shared" si="582"/>
        <v>0</v>
      </c>
      <c r="AL131" s="653">
        <v>0</v>
      </c>
      <c r="AM131" s="40">
        <v>0</v>
      </c>
      <c r="AN131" s="630">
        <f t="shared" si="583"/>
        <v>0</v>
      </c>
      <c r="AO131" s="653">
        <v>0</v>
      </c>
      <c r="AP131" s="40">
        <v>0</v>
      </c>
      <c r="AQ131" s="630">
        <f t="shared" si="584"/>
        <v>0</v>
      </c>
      <c r="AR131" s="653">
        <v>0</v>
      </c>
      <c r="AS131" s="40">
        <v>0</v>
      </c>
      <c r="AT131" s="630">
        <f t="shared" si="585"/>
        <v>0</v>
      </c>
      <c r="AU131" s="653">
        <v>0</v>
      </c>
      <c r="AV131" s="40">
        <v>0</v>
      </c>
      <c r="AW131" s="630">
        <f t="shared" si="586"/>
        <v>2</v>
      </c>
      <c r="AX131" s="653">
        <v>2</v>
      </c>
      <c r="AY131" s="40"/>
      <c r="AZ131" s="539"/>
      <c r="BA131" s="550"/>
      <c r="BB131"/>
      <c r="BC131" s="539"/>
      <c r="BD131" s="550"/>
      <c r="BE131"/>
      <c r="BF131" s="539"/>
      <c r="BG131" s="550"/>
      <c r="BH131"/>
      <c r="BI131" s="539"/>
      <c r="BJ131" s="550"/>
      <c r="BK131"/>
      <c r="BL131" s="539"/>
      <c r="BM131" s="550"/>
    </row>
    <row r="132" spans="1:65">
      <c r="A132" s="25" t="s">
        <v>373</v>
      </c>
      <c r="B132" s="151"/>
      <c r="C132" s="151"/>
      <c r="D132" s="151"/>
      <c r="E132" s="40"/>
      <c r="F132" s="40">
        <v>0</v>
      </c>
      <c r="G132" s="40">
        <v>16</v>
      </c>
      <c r="H132" s="40">
        <v>29</v>
      </c>
      <c r="I132" s="40">
        <v>39</v>
      </c>
      <c r="J132" s="40">
        <v>128</v>
      </c>
      <c r="K132" s="40">
        <v>32</v>
      </c>
      <c r="L132" s="40">
        <v>46</v>
      </c>
      <c r="M132" s="40">
        <v>95</v>
      </c>
      <c r="N132" s="40">
        <f t="shared" ref="N132:AO132" si="587">N133+N134+N135</f>
        <v>124</v>
      </c>
      <c r="O132" s="40">
        <f t="shared" si="587"/>
        <v>156</v>
      </c>
      <c r="P132" s="40">
        <f t="shared" si="587"/>
        <v>125</v>
      </c>
      <c r="Q132" s="40">
        <f t="shared" si="587"/>
        <v>119</v>
      </c>
      <c r="R132" s="40">
        <f t="shared" si="587"/>
        <v>49</v>
      </c>
      <c r="S132" s="630">
        <f t="shared" si="587"/>
        <v>120</v>
      </c>
      <c r="T132" s="653">
        <f t="shared" si="587"/>
        <v>169</v>
      </c>
      <c r="U132" s="40">
        <f t="shared" ref="U132:V132" si="588">U133+U134+U135</f>
        <v>73</v>
      </c>
      <c r="V132" s="630">
        <f t="shared" si="588"/>
        <v>112</v>
      </c>
      <c r="W132" s="653">
        <f t="shared" si="587"/>
        <v>185</v>
      </c>
      <c r="X132" s="40"/>
      <c r="Y132" s="630"/>
      <c r="Z132" s="653">
        <f t="shared" si="587"/>
        <v>188</v>
      </c>
      <c r="AA132" s="40">
        <f t="shared" si="587"/>
        <v>59</v>
      </c>
      <c r="AB132" s="630">
        <f t="shared" si="587"/>
        <v>88</v>
      </c>
      <c r="AC132" s="653">
        <f t="shared" si="587"/>
        <v>147</v>
      </c>
      <c r="AD132" s="40">
        <f t="shared" ref="AD132:AE132" si="589">AD133+AD134+AD135</f>
        <v>52</v>
      </c>
      <c r="AE132" s="630">
        <f t="shared" si="589"/>
        <v>92</v>
      </c>
      <c r="AF132" s="653">
        <f t="shared" si="587"/>
        <v>144</v>
      </c>
      <c r="AG132" s="40">
        <f t="shared" si="587"/>
        <v>51</v>
      </c>
      <c r="AH132" s="630">
        <f t="shared" si="587"/>
        <v>78</v>
      </c>
      <c r="AI132" s="653">
        <f t="shared" si="587"/>
        <v>129</v>
      </c>
      <c r="AJ132" s="40">
        <f t="shared" ref="AJ132:AK132" si="590">AJ133+AJ134+AJ135</f>
        <v>46</v>
      </c>
      <c r="AK132" s="630">
        <f t="shared" si="590"/>
        <v>72</v>
      </c>
      <c r="AL132" s="653">
        <f t="shared" si="587"/>
        <v>118</v>
      </c>
      <c r="AM132" s="40">
        <f t="shared" si="587"/>
        <v>39</v>
      </c>
      <c r="AN132" s="630">
        <f t="shared" si="587"/>
        <v>60</v>
      </c>
      <c r="AO132" s="653">
        <f t="shared" si="587"/>
        <v>99</v>
      </c>
      <c r="AP132" s="40">
        <f t="shared" ref="AP132:AR132" si="591">AP133+AP134+AP135</f>
        <v>39</v>
      </c>
      <c r="AQ132" s="630">
        <f t="shared" si="591"/>
        <v>53</v>
      </c>
      <c r="AR132" s="653">
        <f t="shared" si="591"/>
        <v>92</v>
      </c>
      <c r="AS132" s="40">
        <f t="shared" ref="AS132:AU132" si="592">AS133+AS134+AS135</f>
        <v>39</v>
      </c>
      <c r="AT132" s="630">
        <f t="shared" si="592"/>
        <v>65</v>
      </c>
      <c r="AU132" s="653">
        <f t="shared" si="592"/>
        <v>104</v>
      </c>
      <c r="AV132" s="40">
        <f t="shared" ref="AV132:AW132" si="593">AV133+AV134+AV135</f>
        <v>46</v>
      </c>
      <c r="AW132" s="630">
        <f t="shared" si="593"/>
        <v>65</v>
      </c>
      <c r="AX132" s="653">
        <f t="shared" ref="AX132:AY132" si="594">AX133+AX134+AX135</f>
        <v>111</v>
      </c>
      <c r="AY132" s="40">
        <f t="shared" si="594"/>
        <v>53</v>
      </c>
      <c r="AZ132" s="236">
        <f t="shared" ref="AZ132:BM132" si="595">+AZ136-AZ130</f>
        <v>118.44308171091808</v>
      </c>
      <c r="BA132" s="605">
        <f t="shared" si="595"/>
        <v>185.44308171091808</v>
      </c>
      <c r="BB132" s="56">
        <f t="shared" si="595"/>
        <v>97.700680579336293</v>
      </c>
      <c r="BC132" s="236">
        <f t="shared" si="595"/>
        <v>111.80376389054636</v>
      </c>
      <c r="BD132" s="605">
        <f t="shared" si="595"/>
        <v>209.50444446988266</v>
      </c>
      <c r="BE132" s="56">
        <f t="shared" si="595"/>
        <v>105.89565473697226</v>
      </c>
      <c r="BF132" s="236">
        <f t="shared" si="595"/>
        <v>126.05581346144621</v>
      </c>
      <c r="BG132" s="605">
        <f t="shared" si="595"/>
        <v>231.95146819841847</v>
      </c>
      <c r="BH132" s="56">
        <f t="shared" si="595"/>
        <v>118.69637015755291</v>
      </c>
      <c r="BI132" s="236">
        <f t="shared" si="595"/>
        <v>141.21449476953751</v>
      </c>
      <c r="BJ132" s="605">
        <f t="shared" si="595"/>
        <v>259.91086492709042</v>
      </c>
      <c r="BK132" s="56">
        <f t="shared" si="595"/>
        <v>133.22789150851938</v>
      </c>
      <c r="BL132" s="236">
        <f t="shared" si="595"/>
        <v>157.88249644071695</v>
      </c>
      <c r="BM132" s="605">
        <f t="shared" si="595"/>
        <v>291.11038794923633</v>
      </c>
    </row>
    <row r="133" spans="1:65">
      <c r="A133" s="93" t="s">
        <v>201</v>
      </c>
      <c r="B133" s="151"/>
      <c r="C133" s="151"/>
      <c r="D133" s="151"/>
      <c r="E133" s="40"/>
      <c r="F133" s="40"/>
      <c r="G133" s="40"/>
      <c r="H133" s="40"/>
      <c r="I133" s="40"/>
      <c r="J133" s="40"/>
      <c r="K133" s="40"/>
      <c r="L133" s="40"/>
      <c r="M133" s="40"/>
      <c r="N133" s="40">
        <v>0</v>
      </c>
      <c r="O133" s="40">
        <v>0</v>
      </c>
      <c r="P133" s="40">
        <v>0</v>
      </c>
      <c r="Q133" s="40">
        <v>0</v>
      </c>
      <c r="R133" s="40">
        <v>0</v>
      </c>
      <c r="S133" s="630">
        <f t="shared" ref="S133:S135" si="596">T133-R133</f>
        <v>0</v>
      </c>
      <c r="T133" s="653">
        <v>0</v>
      </c>
      <c r="U133" s="40">
        <v>0</v>
      </c>
      <c r="V133" s="630">
        <f t="shared" ref="V133:V135" si="597">W133-U133</f>
        <v>0</v>
      </c>
      <c r="W133" s="653">
        <v>0</v>
      </c>
      <c r="X133" s="40"/>
      <c r="Y133" s="630"/>
      <c r="Z133" s="653">
        <v>0</v>
      </c>
      <c r="AA133" s="40">
        <v>0</v>
      </c>
      <c r="AB133" s="630">
        <f t="shared" ref="AB133:AB135" si="598">AC133-AA133</f>
        <v>0</v>
      </c>
      <c r="AC133" s="653">
        <v>0</v>
      </c>
      <c r="AD133" s="40">
        <v>0</v>
      </c>
      <c r="AE133" s="630">
        <f t="shared" ref="AE133:AE135" si="599">AF133-AD133</f>
        <v>0</v>
      </c>
      <c r="AF133" s="653">
        <v>0</v>
      </c>
      <c r="AG133" s="40">
        <v>0</v>
      </c>
      <c r="AH133" s="630">
        <f t="shared" ref="AH133:AH135" si="600">AI133-AG133</f>
        <v>0</v>
      </c>
      <c r="AI133" s="653">
        <v>0</v>
      </c>
      <c r="AJ133" s="40">
        <v>0</v>
      </c>
      <c r="AK133" s="630">
        <f t="shared" si="582"/>
        <v>0</v>
      </c>
      <c r="AL133" s="653">
        <v>0</v>
      </c>
      <c r="AM133" s="40">
        <v>0</v>
      </c>
      <c r="AN133" s="630">
        <f t="shared" si="583"/>
        <v>0</v>
      </c>
      <c r="AO133" s="653">
        <v>0</v>
      </c>
      <c r="AP133" s="40">
        <v>0</v>
      </c>
      <c r="AQ133" s="630">
        <f t="shared" ref="AQ133:AQ135" si="601">AR133-AP133</f>
        <v>0</v>
      </c>
      <c r="AR133" s="653">
        <v>0</v>
      </c>
      <c r="AS133" s="40">
        <v>0</v>
      </c>
      <c r="AT133" s="630">
        <f t="shared" ref="AT133:AT135" si="602">AU133-AS133</f>
        <v>0</v>
      </c>
      <c r="AU133" s="653">
        <v>0</v>
      </c>
      <c r="AV133" s="40">
        <v>0</v>
      </c>
      <c r="AW133" s="630">
        <f t="shared" ref="AW133:AW135" si="603">AX133-AV133</f>
        <v>0</v>
      </c>
      <c r="AX133" s="653">
        <v>0</v>
      </c>
      <c r="AY133" s="40">
        <v>0</v>
      </c>
      <c r="AZ133" s="539"/>
      <c r="BA133" s="550"/>
      <c r="BB133"/>
      <c r="BC133" s="539"/>
      <c r="BD133" s="550"/>
      <c r="BE133"/>
      <c r="BF133" s="539"/>
      <c r="BG133" s="550"/>
      <c r="BH133"/>
      <c r="BI133" s="539"/>
      <c r="BJ133" s="550"/>
      <c r="BK133"/>
      <c r="BL133" s="539"/>
      <c r="BM133" s="550"/>
    </row>
    <row r="134" spans="1:65">
      <c r="A134" s="93" t="s">
        <v>202</v>
      </c>
      <c r="B134" s="151"/>
      <c r="C134" s="151"/>
      <c r="D134" s="151"/>
      <c r="E134" s="40"/>
      <c r="F134" s="40"/>
      <c r="G134" s="40"/>
      <c r="H134" s="40"/>
      <c r="I134" s="40"/>
      <c r="J134" s="40"/>
      <c r="K134" s="40"/>
      <c r="L134" s="40"/>
      <c r="M134" s="40"/>
      <c r="N134" s="40">
        <v>119</v>
      </c>
      <c r="O134" s="40">
        <v>69</v>
      </c>
      <c r="P134" s="40">
        <v>83</v>
      </c>
      <c r="Q134" s="40">
        <v>79</v>
      </c>
      <c r="R134" s="40">
        <v>25</v>
      </c>
      <c r="S134" s="630">
        <f t="shared" si="596"/>
        <v>91</v>
      </c>
      <c r="T134" s="653">
        <v>116</v>
      </c>
      <c r="U134" s="40">
        <v>51</v>
      </c>
      <c r="V134" s="630">
        <f t="shared" si="597"/>
        <v>84</v>
      </c>
      <c r="W134" s="653">
        <v>135</v>
      </c>
      <c r="X134" s="40"/>
      <c r="Y134" s="630"/>
      <c r="Z134" s="653">
        <v>135</v>
      </c>
      <c r="AA134" s="40">
        <v>49</v>
      </c>
      <c r="AB134" s="630">
        <f t="shared" si="598"/>
        <v>61</v>
      </c>
      <c r="AC134" s="653">
        <v>110</v>
      </c>
      <c r="AD134" s="40">
        <v>39</v>
      </c>
      <c r="AE134" s="630">
        <f t="shared" si="599"/>
        <v>62</v>
      </c>
      <c r="AF134" s="653">
        <v>101</v>
      </c>
      <c r="AG134" s="40">
        <v>37</v>
      </c>
      <c r="AH134" s="630">
        <f t="shared" si="600"/>
        <v>52</v>
      </c>
      <c r="AI134" s="653">
        <v>89</v>
      </c>
      <c r="AJ134" s="40">
        <v>28</v>
      </c>
      <c r="AK134" s="630">
        <f t="shared" si="582"/>
        <v>55</v>
      </c>
      <c r="AL134" s="653">
        <v>83</v>
      </c>
      <c r="AM134" s="40">
        <v>30</v>
      </c>
      <c r="AN134" s="630">
        <f t="shared" si="583"/>
        <v>48</v>
      </c>
      <c r="AO134" s="653">
        <v>78</v>
      </c>
      <c r="AP134" s="40">
        <v>34</v>
      </c>
      <c r="AQ134" s="630">
        <f t="shared" si="601"/>
        <v>45</v>
      </c>
      <c r="AR134" s="653">
        <v>79</v>
      </c>
      <c r="AS134" s="40">
        <v>35</v>
      </c>
      <c r="AT134" s="630">
        <f t="shared" si="602"/>
        <v>61</v>
      </c>
      <c r="AU134" s="653">
        <v>96</v>
      </c>
      <c r="AV134" s="40">
        <v>39</v>
      </c>
      <c r="AW134" s="630">
        <f t="shared" si="603"/>
        <v>66</v>
      </c>
      <c r="AX134" s="653">
        <v>105</v>
      </c>
      <c r="AY134" s="40">
        <v>52</v>
      </c>
      <c r="AZ134" s="539"/>
      <c r="BA134" s="550"/>
      <c r="BB134"/>
      <c r="BC134" s="539"/>
      <c r="BD134" s="550"/>
      <c r="BE134"/>
      <c r="BF134" s="539"/>
      <c r="BG134" s="550"/>
      <c r="BH134"/>
      <c r="BI134" s="539"/>
      <c r="BJ134" s="550"/>
      <c r="BK134"/>
      <c r="BL134" s="539"/>
      <c r="BM134" s="550"/>
    </row>
    <row r="135" spans="1:65">
      <c r="A135" s="93" t="s">
        <v>16</v>
      </c>
      <c r="B135" s="151"/>
      <c r="C135" s="151"/>
      <c r="D135" s="151"/>
      <c r="E135" s="40"/>
      <c r="F135" s="40"/>
      <c r="G135" s="40"/>
      <c r="H135" s="40"/>
      <c r="I135" s="40"/>
      <c r="J135" s="40"/>
      <c r="K135" s="40"/>
      <c r="L135" s="40"/>
      <c r="M135" s="40"/>
      <c r="N135" s="40">
        <v>5</v>
      </c>
      <c r="O135" s="40">
        <v>87</v>
      </c>
      <c r="P135" s="40">
        <v>42</v>
      </c>
      <c r="Q135" s="40">
        <v>40</v>
      </c>
      <c r="R135" s="40">
        <v>24</v>
      </c>
      <c r="S135" s="630">
        <f t="shared" si="596"/>
        <v>29</v>
      </c>
      <c r="T135" s="653">
        <v>53</v>
      </c>
      <c r="U135" s="40">
        <v>22</v>
      </c>
      <c r="V135" s="630">
        <f t="shared" si="597"/>
        <v>28</v>
      </c>
      <c r="W135" s="653">
        <v>50</v>
      </c>
      <c r="X135" s="40"/>
      <c r="Y135" s="630"/>
      <c r="Z135" s="653">
        <v>53</v>
      </c>
      <c r="AA135" s="40">
        <v>10</v>
      </c>
      <c r="AB135" s="630">
        <f t="shared" si="598"/>
        <v>27</v>
      </c>
      <c r="AC135" s="653">
        <v>37</v>
      </c>
      <c r="AD135" s="40">
        <v>13</v>
      </c>
      <c r="AE135" s="630">
        <f t="shared" si="599"/>
        <v>30</v>
      </c>
      <c r="AF135" s="653">
        <v>43</v>
      </c>
      <c r="AG135" s="40">
        <v>14</v>
      </c>
      <c r="AH135" s="630">
        <f t="shared" si="600"/>
        <v>26</v>
      </c>
      <c r="AI135" s="653">
        <v>40</v>
      </c>
      <c r="AJ135" s="40">
        <v>18</v>
      </c>
      <c r="AK135" s="630">
        <f t="shared" si="582"/>
        <v>17</v>
      </c>
      <c r="AL135" s="653">
        <v>35</v>
      </c>
      <c r="AM135" s="40">
        <v>9</v>
      </c>
      <c r="AN135" s="630">
        <f t="shared" si="583"/>
        <v>12</v>
      </c>
      <c r="AO135" s="653">
        <v>21</v>
      </c>
      <c r="AP135" s="40">
        <v>5</v>
      </c>
      <c r="AQ135" s="630">
        <f t="shared" si="601"/>
        <v>8</v>
      </c>
      <c r="AR135" s="653">
        <v>13</v>
      </c>
      <c r="AS135" s="40">
        <v>4</v>
      </c>
      <c r="AT135" s="630">
        <f t="shared" si="602"/>
        <v>4</v>
      </c>
      <c r="AU135" s="653">
        <v>8</v>
      </c>
      <c r="AV135" s="40">
        <v>7</v>
      </c>
      <c r="AW135" s="630">
        <f t="shared" si="603"/>
        <v>-1</v>
      </c>
      <c r="AX135" s="653">
        <v>6</v>
      </c>
      <c r="AY135" s="40">
        <v>1</v>
      </c>
      <c r="AZ135" s="539"/>
      <c r="BA135" s="550"/>
      <c r="BB135"/>
      <c r="BC135" s="539"/>
      <c r="BD135" s="550"/>
      <c r="BE135"/>
      <c r="BF135" s="539"/>
      <c r="BG135" s="550"/>
      <c r="BH135"/>
      <c r="BI135" s="539"/>
      <c r="BJ135" s="550"/>
      <c r="BK135"/>
      <c r="BL135" s="539"/>
      <c r="BM135" s="550"/>
    </row>
    <row r="136" spans="1:65">
      <c r="A136" s="62" t="s">
        <v>203</v>
      </c>
      <c r="B136" s="334"/>
      <c r="C136" s="334"/>
      <c r="D136" s="334"/>
      <c r="E136" s="82"/>
      <c r="F136" s="82">
        <f t="shared" ref="F136:S136" si="604">F128+F129+F130+F131+F132</f>
        <v>142</v>
      </c>
      <c r="G136" s="82">
        <f t="shared" si="604"/>
        <v>132</v>
      </c>
      <c r="H136" s="82">
        <f t="shared" si="604"/>
        <v>225</v>
      </c>
      <c r="I136" s="82">
        <f t="shared" si="604"/>
        <v>296</v>
      </c>
      <c r="J136" s="82">
        <f t="shared" si="604"/>
        <v>393</v>
      </c>
      <c r="K136" s="82">
        <f t="shared" si="604"/>
        <v>342</v>
      </c>
      <c r="L136" s="82">
        <f t="shared" si="604"/>
        <v>325</v>
      </c>
      <c r="M136" s="82">
        <f t="shared" si="604"/>
        <v>367</v>
      </c>
      <c r="N136" s="82">
        <f t="shared" si="604"/>
        <v>225</v>
      </c>
      <c r="O136" s="82">
        <f t="shared" si="604"/>
        <v>503</v>
      </c>
      <c r="P136" s="82">
        <f t="shared" si="604"/>
        <v>477</v>
      </c>
      <c r="Q136" s="82">
        <f t="shared" si="604"/>
        <v>408</v>
      </c>
      <c r="R136" s="82">
        <f t="shared" si="604"/>
        <v>232</v>
      </c>
      <c r="S136" s="694">
        <f t="shared" si="604"/>
        <v>399</v>
      </c>
      <c r="T136" s="709">
        <f t="shared" ref="T136:AO136" si="605">T128+T129+T130+T131+T132</f>
        <v>631</v>
      </c>
      <c r="U136" s="82">
        <f t="shared" ref="U136:V136" si="606">U128+U129+U130+U131+U132</f>
        <v>375</v>
      </c>
      <c r="V136" s="694">
        <f t="shared" si="606"/>
        <v>598</v>
      </c>
      <c r="W136" s="709">
        <f t="shared" si="605"/>
        <v>973</v>
      </c>
      <c r="X136" s="82"/>
      <c r="Y136" s="694"/>
      <c r="Z136" s="709">
        <f t="shared" si="605"/>
        <v>647</v>
      </c>
      <c r="AA136" s="82">
        <f t="shared" si="605"/>
        <v>327</v>
      </c>
      <c r="AB136" s="694">
        <f t="shared" si="605"/>
        <v>353</v>
      </c>
      <c r="AC136" s="709">
        <f t="shared" si="605"/>
        <v>680</v>
      </c>
      <c r="AD136" s="82">
        <f t="shared" ref="AD136:AE136" si="607">AD128+AD129+AD130+AD131+AD132</f>
        <v>283</v>
      </c>
      <c r="AE136" s="694">
        <f t="shared" si="607"/>
        <v>357</v>
      </c>
      <c r="AF136" s="709">
        <f t="shared" si="605"/>
        <v>640</v>
      </c>
      <c r="AG136" s="82">
        <f t="shared" si="605"/>
        <v>203</v>
      </c>
      <c r="AH136" s="694">
        <f t="shared" si="605"/>
        <v>161</v>
      </c>
      <c r="AI136" s="709">
        <f t="shared" si="605"/>
        <v>364</v>
      </c>
      <c r="AJ136" s="82">
        <f t="shared" ref="AJ136:AK136" si="608">AJ128+AJ129+AJ130+AJ131+AJ132</f>
        <v>89</v>
      </c>
      <c r="AK136" s="694">
        <f t="shared" si="608"/>
        <v>134</v>
      </c>
      <c r="AL136" s="709">
        <f t="shared" si="605"/>
        <v>223</v>
      </c>
      <c r="AM136" s="82">
        <f t="shared" si="605"/>
        <v>88</v>
      </c>
      <c r="AN136" s="694">
        <f t="shared" si="605"/>
        <v>142</v>
      </c>
      <c r="AO136" s="709">
        <f t="shared" si="605"/>
        <v>230</v>
      </c>
      <c r="AP136" s="82">
        <f t="shared" ref="AP136:AR136" si="609">AP128+AP129+AP130+AP131+AP132</f>
        <v>123</v>
      </c>
      <c r="AQ136" s="694">
        <f t="shared" si="609"/>
        <v>161</v>
      </c>
      <c r="AR136" s="709">
        <f t="shared" si="609"/>
        <v>284</v>
      </c>
      <c r="AS136" s="82">
        <f t="shared" ref="AS136:AU136" si="610">AS128+AS129+AS130+AS131+AS132</f>
        <v>165</v>
      </c>
      <c r="AT136" s="694">
        <f t="shared" si="610"/>
        <v>202</v>
      </c>
      <c r="AU136" s="709">
        <f t="shared" si="610"/>
        <v>367</v>
      </c>
      <c r="AV136" s="82">
        <f t="shared" ref="AV136:AW136" si="611">AV128+AV129+AV130+AV131+AV132</f>
        <v>167</v>
      </c>
      <c r="AW136" s="694">
        <f t="shared" si="611"/>
        <v>168</v>
      </c>
      <c r="AX136" s="709">
        <f t="shared" ref="AX136:AY136" si="612">AX128+AX129+AX130+AX131+AX132</f>
        <v>335</v>
      </c>
      <c r="AY136" s="82">
        <f t="shared" si="612"/>
        <v>153</v>
      </c>
      <c r="AZ136" s="241">
        <f>AZ137+AZ138</f>
        <v>239.01660807899378</v>
      </c>
      <c r="BA136" s="579">
        <f t="shared" ref="BA136:BM136" si="613">BA137+BA138</f>
        <v>392.01660807899378</v>
      </c>
      <c r="BB136" s="204">
        <f>BB137+BB138</f>
        <v>214.38896974235101</v>
      </c>
      <c r="BC136" s="241">
        <f>BC137+BC138</f>
        <v>228.49205305356108</v>
      </c>
      <c r="BD136" s="579">
        <f t="shared" si="613"/>
        <v>442.88102279591209</v>
      </c>
      <c r="BE136" s="204">
        <f>BE137+BE138</f>
        <v>235.08632685569071</v>
      </c>
      <c r="BF136" s="241">
        <f>BF137+BF138</f>
        <v>255.24648558016466</v>
      </c>
      <c r="BG136" s="579">
        <f t="shared" si="613"/>
        <v>490.33281243585537</v>
      </c>
      <c r="BH136" s="204">
        <f>BH137+BH138</f>
        <v>263.45966737524731</v>
      </c>
      <c r="BI136" s="241">
        <f>BI137+BI138</f>
        <v>285.97779198723191</v>
      </c>
      <c r="BJ136" s="579">
        <f t="shared" si="613"/>
        <v>549.43745936247922</v>
      </c>
      <c r="BK136" s="204">
        <f>BK137+BK138</f>
        <v>295.36847622657348</v>
      </c>
      <c r="BL136" s="241">
        <f>BL137+BL138</f>
        <v>320.02308115877105</v>
      </c>
      <c r="BM136" s="579">
        <f t="shared" si="613"/>
        <v>615.39155738534453</v>
      </c>
    </row>
    <row r="137" spans="1:65">
      <c r="A137" s="25" t="s">
        <v>394</v>
      </c>
      <c r="B137" s="151"/>
      <c r="C137" s="151"/>
      <c r="D137" s="151"/>
      <c r="E137" s="51"/>
      <c r="F137" s="40">
        <f>F131</f>
        <v>21</v>
      </c>
      <c r="G137" s="40">
        <f t="shared" ref="G137:Q137" si="614">G131</f>
        <v>36</v>
      </c>
      <c r="H137" s="40">
        <f t="shared" si="614"/>
        <v>64</v>
      </c>
      <c r="I137" s="40">
        <f t="shared" si="614"/>
        <v>37</v>
      </c>
      <c r="J137" s="40">
        <f t="shared" si="614"/>
        <v>97</v>
      </c>
      <c r="K137" s="40">
        <f t="shared" si="614"/>
        <v>123</v>
      </c>
      <c r="L137" s="40">
        <f t="shared" si="614"/>
        <v>111</v>
      </c>
      <c r="M137" s="40">
        <f t="shared" si="614"/>
        <v>135</v>
      </c>
      <c r="N137" s="40">
        <f t="shared" si="614"/>
        <v>35</v>
      </c>
      <c r="O137" s="40">
        <f t="shared" si="614"/>
        <v>52</v>
      </c>
      <c r="P137" s="40">
        <f>P131</f>
        <v>93</v>
      </c>
      <c r="Q137" s="40">
        <f t="shared" si="614"/>
        <v>161</v>
      </c>
      <c r="R137" s="40">
        <f>R131</f>
        <v>90</v>
      </c>
      <c r="S137" s="630">
        <f>T137-R137</f>
        <v>118</v>
      </c>
      <c r="T137" s="653">
        <f>T131</f>
        <v>208</v>
      </c>
      <c r="U137" s="40">
        <f>U131</f>
        <v>139</v>
      </c>
      <c r="V137" s="630">
        <f>W137-U137</f>
        <v>147</v>
      </c>
      <c r="W137" s="653">
        <f>W131</f>
        <v>286</v>
      </c>
      <c r="X137" s="40"/>
      <c r="Y137" s="630"/>
      <c r="Z137" s="653">
        <f>Z131</f>
        <v>0</v>
      </c>
      <c r="AA137" s="40">
        <v>0</v>
      </c>
      <c r="AB137" s="630">
        <f>AC137-AA137</f>
        <v>0</v>
      </c>
      <c r="AC137" s="653">
        <f>AC131</f>
        <v>0</v>
      </c>
      <c r="AD137" s="40">
        <v>0</v>
      </c>
      <c r="AE137" s="630">
        <f>AF137-AD137</f>
        <v>0</v>
      </c>
      <c r="AF137" s="653">
        <f>AF131</f>
        <v>0</v>
      </c>
      <c r="AG137" s="40">
        <v>0</v>
      </c>
      <c r="AH137" s="630">
        <f>AI137-AG137</f>
        <v>0</v>
      </c>
      <c r="AI137" s="653">
        <v>0</v>
      </c>
      <c r="AJ137" s="40">
        <v>0</v>
      </c>
      <c r="AK137" s="630">
        <f>AL137-AJ137</f>
        <v>0</v>
      </c>
      <c r="AL137" s="653">
        <v>0</v>
      </c>
      <c r="AM137" s="40">
        <v>0</v>
      </c>
      <c r="AN137" s="630">
        <f>AO137-AM137</f>
        <v>0</v>
      </c>
      <c r="AO137" s="653">
        <v>0</v>
      </c>
      <c r="AP137" s="40">
        <v>0</v>
      </c>
      <c r="AQ137" s="630">
        <f>AR137-AP137</f>
        <v>0</v>
      </c>
      <c r="AR137" s="653">
        <v>0</v>
      </c>
      <c r="AS137" s="40">
        <v>0</v>
      </c>
      <c r="AT137" s="630">
        <f>AU137-AS137</f>
        <v>0</v>
      </c>
      <c r="AU137" s="653">
        <v>0</v>
      </c>
      <c r="AV137" s="40">
        <v>0</v>
      </c>
      <c r="AW137" s="630">
        <f>AX137-AV137</f>
        <v>0</v>
      </c>
      <c r="AX137" s="653">
        <v>0</v>
      </c>
      <c r="AY137" s="40">
        <v>0</v>
      </c>
      <c r="AZ137" s="539"/>
      <c r="BA137" s="550"/>
      <c r="BB137"/>
      <c r="BC137" s="539"/>
      <c r="BD137" s="550"/>
      <c r="BE137"/>
      <c r="BF137" s="539"/>
      <c r="BG137" s="550"/>
      <c r="BH137"/>
      <c r="BI137" s="539"/>
      <c r="BJ137" s="550"/>
      <c r="BK137"/>
      <c r="BL137" s="539"/>
      <c r="BM137" s="550"/>
    </row>
    <row r="138" spans="1:65">
      <c r="A138" s="25" t="s">
        <v>424</v>
      </c>
      <c r="B138" s="151"/>
      <c r="C138" s="151"/>
      <c r="D138" s="151"/>
      <c r="E138" s="151"/>
      <c r="F138" s="40">
        <f>F136-F137</f>
        <v>121</v>
      </c>
      <c r="G138" s="40">
        <f t="shared" ref="G138:U138" si="615">G136-G131</f>
        <v>96</v>
      </c>
      <c r="H138" s="40">
        <f t="shared" si="615"/>
        <v>161</v>
      </c>
      <c r="I138" s="40">
        <f t="shared" si="615"/>
        <v>259</v>
      </c>
      <c r="J138" s="40">
        <f t="shared" si="615"/>
        <v>296</v>
      </c>
      <c r="K138" s="40">
        <f t="shared" si="615"/>
        <v>219</v>
      </c>
      <c r="L138" s="40">
        <f t="shared" si="615"/>
        <v>214</v>
      </c>
      <c r="M138" s="40">
        <f t="shared" si="615"/>
        <v>232</v>
      </c>
      <c r="N138" s="40">
        <f t="shared" si="615"/>
        <v>190</v>
      </c>
      <c r="O138" s="40">
        <f t="shared" si="615"/>
        <v>451</v>
      </c>
      <c r="P138" s="40">
        <f t="shared" si="615"/>
        <v>384</v>
      </c>
      <c r="Q138" s="40">
        <f t="shared" si="615"/>
        <v>247</v>
      </c>
      <c r="R138" s="40">
        <f t="shared" ref="R138" si="616">R136-R131</f>
        <v>142</v>
      </c>
      <c r="S138" s="630">
        <f>T138-R138</f>
        <v>281</v>
      </c>
      <c r="T138" s="653">
        <f t="shared" si="615"/>
        <v>423</v>
      </c>
      <c r="U138" s="40">
        <f t="shared" si="615"/>
        <v>236</v>
      </c>
      <c r="V138" s="630">
        <f>W138-U138</f>
        <v>451</v>
      </c>
      <c r="W138" s="653">
        <f t="shared" ref="W138:AO138" si="617">W136-W131</f>
        <v>687</v>
      </c>
      <c r="X138" s="40"/>
      <c r="Y138" s="630"/>
      <c r="Z138" s="653">
        <f t="shared" si="617"/>
        <v>647</v>
      </c>
      <c r="AA138" s="40">
        <f t="shared" si="617"/>
        <v>327</v>
      </c>
      <c r="AB138" s="630">
        <f>AC138-AA138</f>
        <v>353</v>
      </c>
      <c r="AC138" s="653">
        <f t="shared" si="617"/>
        <v>680</v>
      </c>
      <c r="AD138" s="40">
        <f t="shared" ref="AD138" si="618">AD136-AD131</f>
        <v>283</v>
      </c>
      <c r="AE138" s="630">
        <f>AF138-AD138</f>
        <v>357</v>
      </c>
      <c r="AF138" s="653">
        <f t="shared" si="617"/>
        <v>640</v>
      </c>
      <c r="AG138" s="40">
        <f t="shared" si="617"/>
        <v>203</v>
      </c>
      <c r="AH138" s="630">
        <f>AI138-AG138</f>
        <v>161</v>
      </c>
      <c r="AI138" s="653">
        <f t="shared" si="617"/>
        <v>364</v>
      </c>
      <c r="AJ138" s="40">
        <f t="shared" ref="AJ138" si="619">AJ136-AJ131</f>
        <v>89</v>
      </c>
      <c r="AK138" s="630">
        <f>AL138-AJ138</f>
        <v>134</v>
      </c>
      <c r="AL138" s="653">
        <f t="shared" si="617"/>
        <v>223</v>
      </c>
      <c r="AM138" s="40">
        <f t="shared" si="617"/>
        <v>88</v>
      </c>
      <c r="AN138" s="630">
        <f>AO138-AM138</f>
        <v>142</v>
      </c>
      <c r="AO138" s="653">
        <f t="shared" si="617"/>
        <v>230</v>
      </c>
      <c r="AP138" s="40">
        <f t="shared" ref="AP138" si="620">AP136-AP131</f>
        <v>123</v>
      </c>
      <c r="AQ138" s="630">
        <f>AR138-AP138</f>
        <v>161</v>
      </c>
      <c r="AR138" s="653">
        <f t="shared" ref="AR138:AS138" si="621">AR136-AR131</f>
        <v>284</v>
      </c>
      <c r="AS138" s="40">
        <f t="shared" si="621"/>
        <v>165</v>
      </c>
      <c r="AT138" s="630">
        <f>AU138-AS138</f>
        <v>202</v>
      </c>
      <c r="AU138" s="653">
        <f t="shared" ref="AU138:AV138" si="622">AU136-AU131</f>
        <v>367</v>
      </c>
      <c r="AV138" s="40">
        <f t="shared" si="622"/>
        <v>167</v>
      </c>
      <c r="AW138" s="630">
        <f>AX138-AV138</f>
        <v>166</v>
      </c>
      <c r="AX138" s="653">
        <f t="shared" ref="AX138:AY138" si="623">AX136-AX131</f>
        <v>333</v>
      </c>
      <c r="AY138" s="40">
        <f t="shared" si="623"/>
        <v>153</v>
      </c>
      <c r="AZ138" s="236">
        <f>BA138-AY138</f>
        <v>239.01660807899378</v>
      </c>
      <c r="BA138" s="605">
        <f>BA139*IS!BA5</f>
        <v>392.01660807899378</v>
      </c>
      <c r="BB138" s="56">
        <f>BB139*IS!BB5</f>
        <v>214.38896974235101</v>
      </c>
      <c r="BC138" s="236">
        <f>BD138-BB138</f>
        <v>228.49205305356108</v>
      </c>
      <c r="BD138" s="605">
        <f>BD139*IS!BD5</f>
        <v>442.88102279591209</v>
      </c>
      <c r="BE138" s="56">
        <f>BE139*IS!BE5</f>
        <v>235.08632685569071</v>
      </c>
      <c r="BF138" s="236">
        <f>BG138-BE138</f>
        <v>255.24648558016466</v>
      </c>
      <c r="BG138" s="605">
        <f>BG139*IS!BG5</f>
        <v>490.33281243585537</v>
      </c>
      <c r="BH138" s="56">
        <f>BH139*IS!BH5</f>
        <v>263.45966737524731</v>
      </c>
      <c r="BI138" s="236">
        <f>BJ138-BH138</f>
        <v>285.97779198723191</v>
      </c>
      <c r="BJ138" s="605">
        <f>BJ139*IS!BJ5</f>
        <v>549.43745936247922</v>
      </c>
      <c r="BK138" s="56">
        <f>BK139*IS!BK5</f>
        <v>295.36847622657348</v>
      </c>
      <c r="BL138" s="236">
        <f>BM138-BK138</f>
        <v>320.02308115877105</v>
      </c>
      <c r="BM138" s="605">
        <f>BM139*IS!BM5</f>
        <v>615.39155738534453</v>
      </c>
    </row>
    <row r="139" spans="1:65">
      <c r="A139" s="93" t="s">
        <v>273</v>
      </c>
      <c r="B139" s="151"/>
      <c r="C139" s="151"/>
      <c r="D139" s="151"/>
      <c r="E139" s="151"/>
      <c r="F139" s="87">
        <f>F138/IS!F5</f>
        <v>2.0346393139398015E-2</v>
      </c>
      <c r="G139" s="87">
        <f>G138/IS!G5</f>
        <v>1.486528336946423E-2</v>
      </c>
      <c r="H139" s="87">
        <f>H138/IS!H5</f>
        <v>2.1895824833401332E-2</v>
      </c>
      <c r="I139" s="87">
        <f>I138/IS!I5</f>
        <v>3.3132915440706151E-2</v>
      </c>
      <c r="J139" s="87">
        <f>J138/IS!J5</f>
        <v>3.2360336722422653E-2</v>
      </c>
      <c r="K139" s="87">
        <f>K138/IS!K5</f>
        <v>2.1666007123070836E-2</v>
      </c>
      <c r="L139" s="87">
        <f>L138/IS!L5</f>
        <v>1.969445978280876E-2</v>
      </c>
      <c r="M139" s="87">
        <f>M138/IS!M5</f>
        <v>2.0572847388489846E-2</v>
      </c>
      <c r="N139" s="87">
        <f>N138/IS!N5</f>
        <v>1.5562290113850439E-2</v>
      </c>
      <c r="O139" s="87">
        <f>O138/IS!O5</f>
        <v>2.9087391164140601E-2</v>
      </c>
      <c r="P139" s="87">
        <f>P138/IS!P5</f>
        <v>2.7697634160415464E-2</v>
      </c>
      <c r="Q139" s="87">
        <f>Q138/IS!Q5</f>
        <v>1.8496330687434476E-2</v>
      </c>
      <c r="R139" s="87">
        <f>R138/IS!R5</f>
        <v>2.3115741494383852E-2</v>
      </c>
      <c r="S139" s="644">
        <f>S138/IS!S5</f>
        <v>3.6780104712041885E-2</v>
      </c>
      <c r="T139" s="668">
        <f>T138/IS!T5</f>
        <v>3.06899804106508E-2</v>
      </c>
      <c r="U139" s="87">
        <f>U138/IS!U5</f>
        <v>3.4377276037873272E-2</v>
      </c>
      <c r="V139" s="644">
        <f>V138/IS!V5</f>
        <v>5.4832826747720366E-2</v>
      </c>
      <c r="W139" s="668">
        <f>W138/IS!W5</f>
        <v>4.5526838966202784E-2</v>
      </c>
      <c r="X139" s="87"/>
      <c r="Y139" s="644"/>
      <c r="Z139" s="668">
        <f>Z138/IS!Z5</f>
        <v>4.732645746470631E-2</v>
      </c>
      <c r="AA139" s="87">
        <f>AA138/IS!AA5</f>
        <v>4.6448863636363635E-2</v>
      </c>
      <c r="AB139" s="644">
        <f>AB138/IS!AB5</f>
        <v>4.3976579045720693E-2</v>
      </c>
      <c r="AC139" s="668">
        <f>AC138/IS!AC5</f>
        <v>4.5131744872901045E-2</v>
      </c>
      <c r="AD139" s="87">
        <f>AD138/IS!AD5</f>
        <v>3.8487692098463214E-2</v>
      </c>
      <c r="AE139" s="644">
        <f>AE138/IS!AE5</f>
        <v>4.4090403853278989E-2</v>
      </c>
      <c r="AF139" s="668">
        <f>AF138/IS!AF5</f>
        <v>4.1423948220064725E-2</v>
      </c>
      <c r="AG139" s="87">
        <f>AG138/IS!AG5</f>
        <v>3.6504225858658514E-2</v>
      </c>
      <c r="AH139" s="644">
        <f>AH138/IS!AH5</f>
        <v>2.7432271255750554E-2</v>
      </c>
      <c r="AI139" s="668">
        <f>AI138/IS!AI5</f>
        <v>3.1846019247594053E-2</v>
      </c>
      <c r="AJ139" s="87">
        <f>AJ138/IS!AJ5</f>
        <v>1.7026975320451502E-2</v>
      </c>
      <c r="AK139" s="644">
        <f>AK138/IS!AK5</f>
        <v>2.3426573426573425E-2</v>
      </c>
      <c r="AL139" s="668">
        <f>AL138/IS!AL5</f>
        <v>2.0370877866082032E-2</v>
      </c>
      <c r="AM139" s="87">
        <f>AM138/IS!AM5</f>
        <v>1.6578749058025623E-2</v>
      </c>
      <c r="AN139" s="644">
        <f>AN138/IS!AN5</f>
        <v>1.9233373967221995E-2</v>
      </c>
      <c r="AO139" s="668">
        <f>AO138/IS!AO5</f>
        <v>1.8123079347569144E-2</v>
      </c>
      <c r="AP139" s="87">
        <f>AP138/IS!AP5</f>
        <v>1.7697841726618705E-2</v>
      </c>
      <c r="AQ139" s="644">
        <f>AQ138/IS!AQ5</f>
        <v>1.9032982622059345E-2</v>
      </c>
      <c r="AR139" s="668">
        <f>AR138/IS!AR5</f>
        <v>1.8430787202284381E-2</v>
      </c>
      <c r="AS139" s="87">
        <f>AS138/IS!AS5</f>
        <v>2.0166218528477144E-2</v>
      </c>
      <c r="AT139" s="644">
        <f>AT138/IS!AT5</f>
        <v>2.0897992965032072E-2</v>
      </c>
      <c r="AU139" s="668">
        <f>AU138/IS!AU5</f>
        <v>2.0562528014343343E-2</v>
      </c>
      <c r="AV139" s="87">
        <f>AV138/IS!AV5</f>
        <v>1.8438776636855472E-2</v>
      </c>
      <c r="AW139" s="644">
        <f>AW138/IS!AW5</f>
        <v>1.5088165788038538E-2</v>
      </c>
      <c r="AX139" s="668">
        <f>AX138/IS!AX5</f>
        <v>1.6601026970437211E-2</v>
      </c>
      <c r="AY139" s="87">
        <f>AY138/IS!AY5</f>
        <v>1.3565032361024914E-2</v>
      </c>
      <c r="AZ139" s="247">
        <f>AZ138/IS!AZ5</f>
        <v>1.9377110501599251E-2</v>
      </c>
      <c r="BA139" s="583">
        <f>AX139</f>
        <v>1.6601026970437211E-2</v>
      </c>
      <c r="BB139" s="245">
        <f>BD139</f>
        <v>1.6601026970437211E-2</v>
      </c>
      <c r="BC139" s="247">
        <f>BC138/IS!BC5</f>
        <v>1.6601026970437211E-2</v>
      </c>
      <c r="BD139" s="583">
        <f>BA139</f>
        <v>1.6601026970437211E-2</v>
      </c>
      <c r="BE139" s="245">
        <f>BG139</f>
        <v>1.6601026970437211E-2</v>
      </c>
      <c r="BF139" s="247">
        <f>BF138/IS!BF5</f>
        <v>1.6601026970437208E-2</v>
      </c>
      <c r="BG139" s="583">
        <f>BD139</f>
        <v>1.6601026970437211E-2</v>
      </c>
      <c r="BH139" s="245">
        <f>BJ139</f>
        <v>1.6601026970437211E-2</v>
      </c>
      <c r="BI139" s="247">
        <f>BI138/IS!BI5</f>
        <v>1.6601026970437208E-2</v>
      </c>
      <c r="BJ139" s="583">
        <f>BG139</f>
        <v>1.6601026970437211E-2</v>
      </c>
      <c r="BK139" s="245">
        <f>BM139</f>
        <v>1.6601026970437211E-2</v>
      </c>
      <c r="BL139" s="247">
        <f>BL138/IS!BL5</f>
        <v>1.6601026970437211E-2</v>
      </c>
      <c r="BM139" s="583">
        <f t="shared" ref="BM139" si="624">BJ139</f>
        <v>1.6601026970437211E-2</v>
      </c>
    </row>
    <row r="140" spans="1:65">
      <c r="A140" s="31"/>
      <c r="B140" s="151"/>
      <c r="C140" s="151"/>
      <c r="D140" s="151"/>
      <c r="E140" s="151"/>
      <c r="F140" s="151"/>
      <c r="G140" s="151"/>
      <c r="H140" s="151"/>
      <c r="I140" s="151"/>
      <c r="J140" s="151"/>
      <c r="K140" s="151"/>
      <c r="L140" s="151"/>
      <c r="M140" s="151"/>
      <c r="N140" s="151"/>
      <c r="O140" s="151"/>
      <c r="P140" s="151"/>
      <c r="Q140" s="151"/>
      <c r="R140" s="40"/>
      <c r="S140" s="630"/>
      <c r="T140" s="689"/>
      <c r="U140" s="40"/>
      <c r="V140" s="630"/>
      <c r="W140" s="689"/>
      <c r="X140" s="151"/>
      <c r="Y140" s="680"/>
      <c r="Z140" s="689"/>
      <c r="AA140" s="40"/>
      <c r="AB140" s="630"/>
      <c r="AC140" s="653"/>
      <c r="AD140" s="40"/>
      <c r="AE140" s="630"/>
      <c r="AF140" s="653"/>
      <c r="AG140" s="40"/>
      <c r="AH140" s="630"/>
      <c r="AI140" s="653"/>
      <c r="AJ140" s="40"/>
      <c r="AK140" s="630"/>
      <c r="AL140" s="653"/>
      <c r="AM140" s="40"/>
      <c r="AN140" s="630"/>
      <c r="AO140" s="653"/>
      <c r="AP140" s="40"/>
      <c r="AQ140" s="539"/>
      <c r="AR140" s="550"/>
      <c r="AS140"/>
      <c r="AT140" s="539"/>
      <c r="AU140" s="550"/>
      <c r="AV140"/>
      <c r="AW140" s="539"/>
      <c r="AX140" s="550"/>
      <c r="AY140"/>
      <c r="AZ140" s="539"/>
      <c r="BA140" s="550"/>
      <c r="BB140"/>
      <c r="BC140" s="539"/>
      <c r="BD140" s="550"/>
      <c r="BE140"/>
      <c r="BF140" s="539"/>
      <c r="BG140" s="550"/>
      <c r="BH140"/>
      <c r="BI140" s="539"/>
      <c r="BJ140" s="550"/>
      <c r="BK140"/>
      <c r="BL140" s="539"/>
      <c r="BM140" s="550"/>
    </row>
    <row r="141" spans="1:65">
      <c r="A141" s="25" t="s">
        <v>197</v>
      </c>
      <c r="B141" s="151"/>
      <c r="C141" s="151"/>
      <c r="D141" s="151"/>
      <c r="E141" s="40"/>
      <c r="F141" s="40">
        <v>0</v>
      </c>
      <c r="G141" s="40">
        <v>0</v>
      </c>
      <c r="H141" s="40">
        <v>0</v>
      </c>
      <c r="I141" s="40">
        <v>0</v>
      </c>
      <c r="J141" s="40">
        <v>5</v>
      </c>
      <c r="K141" s="40">
        <v>2</v>
      </c>
      <c r="L141" s="40">
        <v>0</v>
      </c>
      <c r="M141" s="40">
        <v>0</v>
      </c>
      <c r="N141" s="40">
        <v>0</v>
      </c>
      <c r="O141" s="40">
        <v>0</v>
      </c>
      <c r="P141" s="40">
        <v>0</v>
      </c>
      <c r="Q141" s="40">
        <v>0</v>
      </c>
      <c r="R141" s="40">
        <v>0</v>
      </c>
      <c r="S141" s="630">
        <f t="shared" ref="S141:S144" si="625">T141-R141</f>
        <v>0</v>
      </c>
      <c r="T141" s="653">
        <v>0</v>
      </c>
      <c r="U141" s="40">
        <v>0</v>
      </c>
      <c r="V141" s="630">
        <f t="shared" ref="V141:V144" si="626">W141-U141</f>
        <v>0</v>
      </c>
      <c r="W141" s="653">
        <v>0</v>
      </c>
      <c r="X141" s="40"/>
      <c r="Y141" s="630"/>
      <c r="Z141" s="653">
        <v>0</v>
      </c>
      <c r="AA141" s="40">
        <v>0</v>
      </c>
      <c r="AB141" s="630">
        <f t="shared" ref="AB141:AB144" si="627">AC141-AA141</f>
        <v>0</v>
      </c>
      <c r="AC141" s="653">
        <v>0</v>
      </c>
      <c r="AD141" s="40">
        <v>0</v>
      </c>
      <c r="AE141" s="630">
        <f t="shared" ref="AE141:AE144" si="628">AF141-AD141</f>
        <v>0</v>
      </c>
      <c r="AF141" s="653">
        <v>0</v>
      </c>
      <c r="AG141" s="40">
        <v>0</v>
      </c>
      <c r="AH141" s="630">
        <f t="shared" ref="AH141:AH144" si="629">AI141-AG141</f>
        <v>0</v>
      </c>
      <c r="AI141" s="653">
        <v>0</v>
      </c>
      <c r="AJ141" s="40">
        <v>0</v>
      </c>
      <c r="AK141" s="630">
        <f t="shared" ref="AK141:AK148" si="630">AL141-AJ141</f>
        <v>0</v>
      </c>
      <c r="AL141" s="653">
        <v>0</v>
      </c>
      <c r="AM141" s="40">
        <v>0</v>
      </c>
      <c r="AN141" s="630">
        <f t="shared" ref="AN141:AN148" si="631">AO141-AM141</f>
        <v>0</v>
      </c>
      <c r="AO141" s="653">
        <v>0</v>
      </c>
      <c r="AP141" s="40">
        <v>0</v>
      </c>
      <c r="AQ141" s="630">
        <f t="shared" ref="AQ141:AQ144" si="632">AR141-AP141</f>
        <v>0</v>
      </c>
      <c r="AR141" s="653">
        <v>0</v>
      </c>
      <c r="AS141" s="40">
        <v>0</v>
      </c>
      <c r="AT141" s="630">
        <f t="shared" ref="AT141:AT144" si="633">AU141-AS141</f>
        <v>0</v>
      </c>
      <c r="AU141" s="653">
        <v>0</v>
      </c>
      <c r="AV141" s="40">
        <v>0</v>
      </c>
      <c r="AW141" s="630">
        <f t="shared" ref="AW141:AW144" si="634">AX141-AV141</f>
        <v>0</v>
      </c>
      <c r="AX141" s="653">
        <v>0</v>
      </c>
      <c r="AY141" s="40">
        <v>0</v>
      </c>
      <c r="AZ141" s="539"/>
      <c r="BA141" s="550"/>
      <c r="BB141"/>
      <c r="BC141" s="539"/>
      <c r="BD141" s="550"/>
      <c r="BE141"/>
      <c r="BF141" s="539"/>
      <c r="BG141" s="550"/>
      <c r="BH141"/>
      <c r="BI141" s="539"/>
      <c r="BJ141" s="550"/>
      <c r="BK141"/>
      <c r="BL141" s="539"/>
      <c r="BM141" s="550"/>
    </row>
    <row r="142" spans="1:65">
      <c r="A142" s="25" t="s">
        <v>198</v>
      </c>
      <c r="B142" s="151"/>
      <c r="C142" s="151"/>
      <c r="D142" s="151"/>
      <c r="E142" s="40"/>
      <c r="F142" s="40">
        <v>15</v>
      </c>
      <c r="G142" s="40">
        <v>9</v>
      </c>
      <c r="H142" s="40">
        <v>5</v>
      </c>
      <c r="I142" s="40">
        <v>7</v>
      </c>
      <c r="J142" s="40">
        <v>12</v>
      </c>
      <c r="K142" s="40">
        <v>13</v>
      </c>
      <c r="L142" s="40">
        <v>13</v>
      </c>
      <c r="M142" s="40">
        <v>15</v>
      </c>
      <c r="N142" s="40">
        <v>34</v>
      </c>
      <c r="O142" s="40">
        <v>40</v>
      </c>
      <c r="P142" s="40">
        <v>46</v>
      </c>
      <c r="Q142" s="40">
        <v>63</v>
      </c>
      <c r="R142" s="40">
        <v>32</v>
      </c>
      <c r="S142" s="630">
        <f t="shared" si="625"/>
        <v>32</v>
      </c>
      <c r="T142" s="653">
        <v>64</v>
      </c>
      <c r="U142" s="40">
        <v>31</v>
      </c>
      <c r="V142" s="630">
        <f t="shared" si="626"/>
        <v>32</v>
      </c>
      <c r="W142" s="653">
        <v>63</v>
      </c>
      <c r="X142" s="40"/>
      <c r="Y142" s="630"/>
      <c r="Z142" s="653">
        <v>33</v>
      </c>
      <c r="AA142" s="40">
        <v>18</v>
      </c>
      <c r="AB142" s="630">
        <f t="shared" si="627"/>
        <v>17</v>
      </c>
      <c r="AC142" s="653">
        <v>35</v>
      </c>
      <c r="AD142" s="40">
        <v>9</v>
      </c>
      <c r="AE142" s="630">
        <f t="shared" si="628"/>
        <v>10</v>
      </c>
      <c r="AF142" s="653">
        <v>19</v>
      </c>
      <c r="AG142" s="40">
        <v>11</v>
      </c>
      <c r="AH142" s="630">
        <f t="shared" si="629"/>
        <v>10</v>
      </c>
      <c r="AI142" s="653">
        <v>21</v>
      </c>
      <c r="AJ142" s="40">
        <v>11</v>
      </c>
      <c r="AK142" s="630">
        <f t="shared" si="630"/>
        <v>10</v>
      </c>
      <c r="AL142" s="653">
        <v>21</v>
      </c>
      <c r="AM142" s="40">
        <v>11</v>
      </c>
      <c r="AN142" s="630">
        <f t="shared" si="631"/>
        <v>10</v>
      </c>
      <c r="AO142" s="653">
        <v>21</v>
      </c>
      <c r="AP142" s="40">
        <v>12</v>
      </c>
      <c r="AQ142" s="630">
        <f t="shared" si="632"/>
        <v>12</v>
      </c>
      <c r="AR142" s="653">
        <v>24</v>
      </c>
      <c r="AS142" s="40">
        <v>13</v>
      </c>
      <c r="AT142" s="630">
        <f t="shared" si="633"/>
        <v>14</v>
      </c>
      <c r="AU142" s="653">
        <v>27</v>
      </c>
      <c r="AV142" s="40">
        <v>15</v>
      </c>
      <c r="AW142" s="630">
        <f t="shared" si="634"/>
        <v>16</v>
      </c>
      <c r="AX142" s="653">
        <v>31</v>
      </c>
      <c r="AY142" s="40">
        <v>14</v>
      </c>
      <c r="AZ142" s="539"/>
      <c r="BA142" s="550"/>
      <c r="BB142"/>
      <c r="BC142" s="539"/>
      <c r="BD142" s="550"/>
      <c r="BE142"/>
      <c r="BF142" s="539"/>
      <c r="BG142" s="550"/>
      <c r="BH142"/>
      <c r="BI142" s="539"/>
      <c r="BJ142" s="550"/>
      <c r="BK142"/>
      <c r="BL142" s="539"/>
      <c r="BM142" s="550"/>
    </row>
    <row r="143" spans="1:65">
      <c r="A143" s="25" t="s">
        <v>199</v>
      </c>
      <c r="B143" s="151"/>
      <c r="C143" s="151"/>
      <c r="D143" s="151"/>
      <c r="E143" s="40"/>
      <c r="F143" s="40">
        <v>17</v>
      </c>
      <c r="G143" s="40">
        <v>13</v>
      </c>
      <c r="H143" s="40">
        <v>16</v>
      </c>
      <c r="I143" s="40">
        <v>18</v>
      </c>
      <c r="J143" s="40">
        <v>26</v>
      </c>
      <c r="K143" s="40">
        <v>29</v>
      </c>
      <c r="L143" s="40">
        <v>27</v>
      </c>
      <c r="M143" s="40">
        <v>36</v>
      </c>
      <c r="N143" s="40">
        <v>55</v>
      </c>
      <c r="O143" s="40">
        <v>130</v>
      </c>
      <c r="P143" s="40">
        <v>125</v>
      </c>
      <c r="Q143" s="40">
        <v>137</v>
      </c>
      <c r="R143" s="40">
        <v>71</v>
      </c>
      <c r="S143" s="630">
        <f t="shared" si="625"/>
        <v>76</v>
      </c>
      <c r="T143" s="653">
        <v>147</v>
      </c>
      <c r="U143" s="40">
        <v>76</v>
      </c>
      <c r="V143" s="630">
        <f t="shared" si="626"/>
        <v>73</v>
      </c>
      <c r="W143" s="653">
        <v>149</v>
      </c>
      <c r="X143" s="40"/>
      <c r="Y143" s="630"/>
      <c r="Z143" s="653">
        <v>149</v>
      </c>
      <c r="AA143" s="40">
        <v>59</v>
      </c>
      <c r="AB143" s="630">
        <f t="shared" si="627"/>
        <v>55</v>
      </c>
      <c r="AC143" s="653">
        <v>114</v>
      </c>
      <c r="AD143" s="40">
        <v>55</v>
      </c>
      <c r="AE143" s="630">
        <f t="shared" si="628"/>
        <v>58</v>
      </c>
      <c r="AF143" s="653">
        <v>113</v>
      </c>
      <c r="AG143" s="40">
        <v>56</v>
      </c>
      <c r="AH143" s="630">
        <f t="shared" si="629"/>
        <v>50</v>
      </c>
      <c r="AI143" s="653">
        <v>106</v>
      </c>
      <c r="AJ143" s="40">
        <v>40</v>
      </c>
      <c r="AK143" s="630">
        <f t="shared" si="630"/>
        <v>35</v>
      </c>
      <c r="AL143" s="653">
        <v>75</v>
      </c>
      <c r="AM143" s="40">
        <v>40</v>
      </c>
      <c r="AN143" s="630">
        <f t="shared" si="631"/>
        <v>37</v>
      </c>
      <c r="AO143" s="653">
        <v>77</v>
      </c>
      <c r="AP143" s="40">
        <v>43</v>
      </c>
      <c r="AQ143" s="630">
        <f t="shared" si="632"/>
        <v>46</v>
      </c>
      <c r="AR143" s="653">
        <v>89</v>
      </c>
      <c r="AS143" s="40">
        <v>48</v>
      </c>
      <c r="AT143" s="630">
        <f t="shared" si="633"/>
        <v>48</v>
      </c>
      <c r="AU143" s="653">
        <v>96</v>
      </c>
      <c r="AV143" s="40">
        <v>56</v>
      </c>
      <c r="AW143" s="630">
        <f t="shared" si="634"/>
        <v>51</v>
      </c>
      <c r="AX143" s="653">
        <v>107</v>
      </c>
      <c r="AY143" s="40">
        <v>55</v>
      </c>
      <c r="AZ143" s="539"/>
      <c r="BA143" s="550"/>
      <c r="BB143"/>
      <c r="BC143" s="539"/>
      <c r="BD143" s="550"/>
      <c r="BE143"/>
      <c r="BF143" s="539"/>
      <c r="BG143" s="550"/>
      <c r="BH143"/>
      <c r="BI143" s="539"/>
      <c r="BJ143" s="550"/>
      <c r="BK143"/>
      <c r="BL143" s="539"/>
      <c r="BM143" s="550"/>
    </row>
    <row r="144" spans="1:65">
      <c r="A144" s="25" t="s">
        <v>200</v>
      </c>
      <c r="B144" s="151"/>
      <c r="C144" s="151"/>
      <c r="D144" s="151"/>
      <c r="E144" s="40"/>
      <c r="F144" s="40">
        <v>26</v>
      </c>
      <c r="G144" s="40">
        <v>32</v>
      </c>
      <c r="H144" s="40">
        <v>30</v>
      </c>
      <c r="I144" s="40">
        <v>28</v>
      </c>
      <c r="J144" s="40">
        <v>46</v>
      </c>
      <c r="K144" s="40">
        <v>46</v>
      </c>
      <c r="L144" s="40">
        <v>55</v>
      </c>
      <c r="M144" s="40">
        <v>62</v>
      </c>
      <c r="N144" s="40">
        <v>64</v>
      </c>
      <c r="O144" s="40">
        <v>28</v>
      </c>
      <c r="P144" s="40">
        <v>37</v>
      </c>
      <c r="Q144" s="40">
        <v>55</v>
      </c>
      <c r="R144" s="40">
        <v>19</v>
      </c>
      <c r="S144" s="630">
        <f t="shared" si="625"/>
        <v>20</v>
      </c>
      <c r="T144" s="653">
        <v>39</v>
      </c>
      <c r="U144" s="40">
        <v>26</v>
      </c>
      <c r="V144" s="630">
        <f t="shared" si="626"/>
        <v>31</v>
      </c>
      <c r="W144" s="653">
        <v>57</v>
      </c>
      <c r="X144" s="40"/>
      <c r="Y144" s="630"/>
      <c r="Z144" s="653">
        <v>0</v>
      </c>
      <c r="AA144" s="40">
        <v>0</v>
      </c>
      <c r="AB144" s="630">
        <f t="shared" si="627"/>
        <v>0</v>
      </c>
      <c r="AC144" s="653">
        <v>0</v>
      </c>
      <c r="AD144" s="40">
        <v>0</v>
      </c>
      <c r="AE144" s="630">
        <f t="shared" si="628"/>
        <v>0</v>
      </c>
      <c r="AF144" s="653">
        <v>0</v>
      </c>
      <c r="AG144" s="40">
        <v>0</v>
      </c>
      <c r="AH144" s="630">
        <f t="shared" si="629"/>
        <v>0</v>
      </c>
      <c r="AI144" s="653">
        <v>0</v>
      </c>
      <c r="AJ144" s="40">
        <v>0</v>
      </c>
      <c r="AK144" s="630">
        <f t="shared" si="630"/>
        <v>0</v>
      </c>
      <c r="AL144" s="653">
        <v>0</v>
      </c>
      <c r="AM144" s="40">
        <v>0</v>
      </c>
      <c r="AN144" s="630">
        <f t="shared" si="631"/>
        <v>0</v>
      </c>
      <c r="AO144" s="653">
        <v>0</v>
      </c>
      <c r="AP144" s="40">
        <v>0</v>
      </c>
      <c r="AQ144" s="630">
        <f t="shared" si="632"/>
        <v>0</v>
      </c>
      <c r="AR144" s="653">
        <v>0</v>
      </c>
      <c r="AS144" s="40">
        <v>0</v>
      </c>
      <c r="AT144" s="630">
        <f t="shared" si="633"/>
        <v>0</v>
      </c>
      <c r="AU144" s="653">
        <v>0</v>
      </c>
      <c r="AV144" s="40">
        <v>0</v>
      </c>
      <c r="AW144" s="630">
        <f t="shared" si="634"/>
        <v>0</v>
      </c>
      <c r="AX144" s="653">
        <v>0</v>
      </c>
      <c r="AY144" s="40">
        <v>0</v>
      </c>
      <c r="AZ144" s="539"/>
      <c r="BA144" s="550"/>
      <c r="BB144"/>
      <c r="BC144" s="539"/>
      <c r="BD144" s="550"/>
      <c r="BE144"/>
      <c r="BF144" s="539"/>
      <c r="BG144" s="550"/>
      <c r="BH144"/>
      <c r="BI144" s="539"/>
      <c r="BJ144" s="550"/>
      <c r="BK144"/>
      <c r="BL144" s="539"/>
      <c r="BM144" s="550"/>
    </row>
    <row r="145" spans="1:65">
      <c r="A145" s="25" t="s">
        <v>373</v>
      </c>
      <c r="B145" s="151"/>
      <c r="C145" s="151"/>
      <c r="D145" s="151"/>
      <c r="E145" s="40"/>
      <c r="F145" s="40">
        <v>0</v>
      </c>
      <c r="G145" s="40">
        <v>5</v>
      </c>
      <c r="H145" s="40">
        <v>9</v>
      </c>
      <c r="I145" s="40">
        <v>10</v>
      </c>
      <c r="J145" s="40">
        <v>18</v>
      </c>
      <c r="K145" s="40">
        <v>31</v>
      </c>
      <c r="L145" s="40">
        <v>35</v>
      </c>
      <c r="M145" s="40">
        <v>56</v>
      </c>
      <c r="N145" s="40">
        <f t="shared" ref="N145:AO145" si="635">N146+N147+N148</f>
        <v>56</v>
      </c>
      <c r="O145" s="40">
        <f t="shared" si="635"/>
        <v>206</v>
      </c>
      <c r="P145" s="40">
        <f t="shared" si="635"/>
        <v>158</v>
      </c>
      <c r="Q145" s="40">
        <f t="shared" si="635"/>
        <v>152</v>
      </c>
      <c r="R145" s="40">
        <f t="shared" si="635"/>
        <v>77</v>
      </c>
      <c r="S145" s="630">
        <f t="shared" si="635"/>
        <v>79</v>
      </c>
      <c r="T145" s="653">
        <f t="shared" si="635"/>
        <v>156</v>
      </c>
      <c r="U145" s="40">
        <f t="shared" ref="U145:V145" si="636">U146+U147+U148</f>
        <v>75</v>
      </c>
      <c r="V145" s="630">
        <f t="shared" si="636"/>
        <v>86</v>
      </c>
      <c r="W145" s="653">
        <f t="shared" si="635"/>
        <v>161</v>
      </c>
      <c r="X145" s="40"/>
      <c r="Y145" s="630"/>
      <c r="Z145" s="653">
        <f t="shared" si="635"/>
        <v>161</v>
      </c>
      <c r="AA145" s="40">
        <f t="shared" si="635"/>
        <v>88</v>
      </c>
      <c r="AB145" s="630">
        <f t="shared" si="635"/>
        <v>144</v>
      </c>
      <c r="AC145" s="653">
        <f t="shared" si="635"/>
        <v>232</v>
      </c>
      <c r="AD145" s="40">
        <f t="shared" ref="AD145:AE145" si="637">AD146+AD147+AD148</f>
        <v>89</v>
      </c>
      <c r="AE145" s="630">
        <f t="shared" si="637"/>
        <v>97</v>
      </c>
      <c r="AF145" s="653">
        <f t="shared" si="635"/>
        <v>186</v>
      </c>
      <c r="AG145" s="40">
        <f t="shared" si="635"/>
        <v>90</v>
      </c>
      <c r="AH145" s="630">
        <f t="shared" si="635"/>
        <v>106</v>
      </c>
      <c r="AI145" s="653">
        <f t="shared" si="635"/>
        <v>196</v>
      </c>
      <c r="AJ145" s="40">
        <f t="shared" ref="AJ145:AK145" si="638">AJ146+AJ147+AJ148</f>
        <v>103</v>
      </c>
      <c r="AK145" s="630">
        <f t="shared" si="638"/>
        <v>82</v>
      </c>
      <c r="AL145" s="653">
        <f t="shared" si="635"/>
        <v>185</v>
      </c>
      <c r="AM145" s="40">
        <f t="shared" si="635"/>
        <v>76</v>
      </c>
      <c r="AN145" s="630">
        <f t="shared" si="635"/>
        <v>78</v>
      </c>
      <c r="AO145" s="653">
        <f t="shared" si="635"/>
        <v>154</v>
      </c>
      <c r="AP145" s="40">
        <f t="shared" ref="AP145:AR145" si="639">AP146+AP147+AP148</f>
        <v>80</v>
      </c>
      <c r="AQ145" s="630">
        <f t="shared" si="639"/>
        <v>86</v>
      </c>
      <c r="AR145" s="653">
        <f t="shared" si="639"/>
        <v>166</v>
      </c>
      <c r="AS145" s="40">
        <f t="shared" ref="AS145:AU145" si="640">AS146+AS147+AS148</f>
        <v>65</v>
      </c>
      <c r="AT145" s="630">
        <f t="shared" si="640"/>
        <v>67</v>
      </c>
      <c r="AU145" s="653">
        <f t="shared" si="640"/>
        <v>132</v>
      </c>
      <c r="AV145" s="40">
        <f t="shared" ref="AV145:AW145" si="641">AV146+AV147+AV148</f>
        <v>50</v>
      </c>
      <c r="AW145" s="630">
        <f t="shared" si="641"/>
        <v>47</v>
      </c>
      <c r="AX145" s="653">
        <f t="shared" ref="AX145:AY145" si="642">AX146+AX147+AX148</f>
        <v>97</v>
      </c>
      <c r="AY145" s="40">
        <f t="shared" si="642"/>
        <v>41</v>
      </c>
      <c r="AZ145" s="539"/>
      <c r="BA145" s="550"/>
      <c r="BB145"/>
      <c r="BC145" s="539"/>
      <c r="BD145" s="550"/>
      <c r="BE145"/>
      <c r="BF145" s="539"/>
      <c r="BG145" s="550"/>
      <c r="BH145"/>
      <c r="BI145" s="539"/>
      <c r="BJ145" s="550"/>
      <c r="BK145"/>
      <c r="BL145" s="539"/>
      <c r="BM145" s="550"/>
    </row>
    <row r="146" spans="1:65">
      <c r="A146" s="93" t="s">
        <v>201</v>
      </c>
      <c r="B146" s="151"/>
      <c r="C146" s="151"/>
      <c r="D146" s="151"/>
      <c r="E146" s="151"/>
      <c r="F146" s="151"/>
      <c r="G146" s="151"/>
      <c r="H146" s="151"/>
      <c r="I146" s="151"/>
      <c r="J146" s="151"/>
      <c r="K146" s="151"/>
      <c r="L146" s="151"/>
      <c r="M146" s="151"/>
      <c r="N146" s="40">
        <v>5</v>
      </c>
      <c r="O146" s="40">
        <v>61</v>
      </c>
      <c r="P146" s="40">
        <v>42</v>
      </c>
      <c r="Q146" s="40">
        <v>46</v>
      </c>
      <c r="R146" s="40">
        <v>23</v>
      </c>
      <c r="S146" s="630">
        <f t="shared" ref="S146:S148" si="643">T146-R146</f>
        <v>19</v>
      </c>
      <c r="T146" s="653">
        <v>42</v>
      </c>
      <c r="U146" s="40">
        <v>25</v>
      </c>
      <c r="V146" s="630">
        <f t="shared" ref="V146:V148" si="644">W146-U146</f>
        <v>26</v>
      </c>
      <c r="W146" s="653">
        <v>51</v>
      </c>
      <c r="X146" s="40"/>
      <c r="Y146" s="630"/>
      <c r="Z146" s="653">
        <v>51</v>
      </c>
      <c r="AA146" s="40">
        <v>38</v>
      </c>
      <c r="AB146" s="630">
        <f t="shared" ref="AB146:AB148" si="645">AC146-AA146</f>
        <v>52</v>
      </c>
      <c r="AC146" s="653">
        <v>90</v>
      </c>
      <c r="AD146" s="40">
        <v>34</v>
      </c>
      <c r="AE146" s="630">
        <f t="shared" ref="AE146:AE148" si="646">AF146-AD146</f>
        <v>38</v>
      </c>
      <c r="AF146" s="653">
        <v>72</v>
      </c>
      <c r="AG146" s="40">
        <v>41</v>
      </c>
      <c r="AH146" s="630">
        <f t="shared" ref="AH146:AH148" si="647">AI146-AG146</f>
        <v>41</v>
      </c>
      <c r="AI146" s="653">
        <v>82</v>
      </c>
      <c r="AJ146" s="40">
        <v>42</v>
      </c>
      <c r="AK146" s="630">
        <f t="shared" si="630"/>
        <v>17</v>
      </c>
      <c r="AL146" s="653">
        <v>59</v>
      </c>
      <c r="AM146" s="40">
        <v>18</v>
      </c>
      <c r="AN146" s="630">
        <f t="shared" si="631"/>
        <v>17</v>
      </c>
      <c r="AO146" s="653">
        <v>35</v>
      </c>
      <c r="AP146" s="40">
        <v>19</v>
      </c>
      <c r="AQ146" s="630">
        <f t="shared" ref="AQ146:AQ148" si="648">AR146-AP146</f>
        <v>22</v>
      </c>
      <c r="AR146" s="653">
        <v>41</v>
      </c>
      <c r="AS146" s="40">
        <v>18</v>
      </c>
      <c r="AT146" s="630">
        <f t="shared" ref="AT146:AT148" si="649">AU146-AS146</f>
        <v>17</v>
      </c>
      <c r="AU146" s="653">
        <v>35</v>
      </c>
      <c r="AV146" s="40">
        <v>2</v>
      </c>
      <c r="AW146" s="630">
        <f t="shared" ref="AW146:AW148" si="650">AX146-AV146</f>
        <v>5</v>
      </c>
      <c r="AX146" s="653">
        <v>7</v>
      </c>
      <c r="AY146" s="40">
        <v>1</v>
      </c>
      <c r="AZ146" s="539"/>
      <c r="BA146" s="550"/>
      <c r="BB146"/>
      <c r="BC146" s="539"/>
      <c r="BD146" s="550"/>
      <c r="BE146"/>
      <c r="BF146" s="539"/>
      <c r="BG146" s="550"/>
      <c r="BH146"/>
      <c r="BI146" s="539"/>
      <c r="BJ146" s="550"/>
      <c r="BK146"/>
      <c r="BL146" s="539"/>
      <c r="BM146" s="550"/>
    </row>
    <row r="147" spans="1:65">
      <c r="A147" s="93" t="s">
        <v>202</v>
      </c>
      <c r="B147" s="151"/>
      <c r="C147" s="151"/>
      <c r="D147" s="151"/>
      <c r="E147" s="151"/>
      <c r="F147" s="151"/>
      <c r="G147" s="151"/>
      <c r="H147" s="151"/>
      <c r="I147" s="151"/>
      <c r="J147" s="151"/>
      <c r="K147" s="151"/>
      <c r="L147" s="151"/>
      <c r="M147" s="151"/>
      <c r="N147" s="40">
        <v>41</v>
      </c>
      <c r="O147" s="40">
        <v>54</v>
      </c>
      <c r="P147" s="40">
        <v>63</v>
      </c>
      <c r="Q147" s="40">
        <v>68</v>
      </c>
      <c r="R147" s="40">
        <v>36</v>
      </c>
      <c r="S147" s="630">
        <f t="shared" si="643"/>
        <v>45</v>
      </c>
      <c r="T147" s="653">
        <v>81</v>
      </c>
      <c r="U147" s="40">
        <v>36</v>
      </c>
      <c r="V147" s="630">
        <f t="shared" si="644"/>
        <v>45</v>
      </c>
      <c r="W147" s="653">
        <v>81</v>
      </c>
      <c r="X147" s="40"/>
      <c r="Y147" s="630"/>
      <c r="Z147" s="653">
        <v>81</v>
      </c>
      <c r="AA147" s="40">
        <v>40</v>
      </c>
      <c r="AB147" s="630">
        <f t="shared" si="645"/>
        <v>63</v>
      </c>
      <c r="AC147" s="653">
        <v>103</v>
      </c>
      <c r="AD147" s="40">
        <v>42</v>
      </c>
      <c r="AE147" s="630">
        <f t="shared" si="646"/>
        <v>46</v>
      </c>
      <c r="AF147" s="653">
        <v>88</v>
      </c>
      <c r="AG147" s="40">
        <v>35</v>
      </c>
      <c r="AH147" s="630">
        <f t="shared" si="647"/>
        <v>46</v>
      </c>
      <c r="AI147" s="653">
        <v>81</v>
      </c>
      <c r="AJ147" s="40">
        <v>47</v>
      </c>
      <c r="AK147" s="630">
        <f t="shared" si="630"/>
        <v>50</v>
      </c>
      <c r="AL147" s="653">
        <v>97</v>
      </c>
      <c r="AM147" s="40">
        <v>42</v>
      </c>
      <c r="AN147" s="630">
        <f t="shared" si="631"/>
        <v>44</v>
      </c>
      <c r="AO147" s="653">
        <v>86</v>
      </c>
      <c r="AP147" s="40">
        <v>42</v>
      </c>
      <c r="AQ147" s="630">
        <f t="shared" si="648"/>
        <v>42</v>
      </c>
      <c r="AR147" s="653">
        <v>84</v>
      </c>
      <c r="AS147" s="40">
        <v>38</v>
      </c>
      <c r="AT147" s="630">
        <f t="shared" si="649"/>
        <v>40</v>
      </c>
      <c r="AU147" s="653">
        <v>78</v>
      </c>
      <c r="AV147" s="40">
        <v>37</v>
      </c>
      <c r="AW147" s="630">
        <f t="shared" si="650"/>
        <v>31</v>
      </c>
      <c r="AX147" s="653">
        <v>68</v>
      </c>
      <c r="AY147" s="40">
        <v>29</v>
      </c>
      <c r="AZ147" s="539"/>
      <c r="BA147" s="550"/>
      <c r="BB147"/>
      <c r="BC147" s="539"/>
      <c r="BD147" s="550"/>
      <c r="BE147"/>
      <c r="BF147" s="539"/>
      <c r="BG147" s="550"/>
      <c r="BH147"/>
      <c r="BI147" s="539"/>
      <c r="BJ147" s="550"/>
      <c r="BK147"/>
      <c r="BL147" s="539"/>
      <c r="BM147" s="550"/>
    </row>
    <row r="148" spans="1:65">
      <c r="A148" s="93" t="s">
        <v>16</v>
      </c>
      <c r="B148" s="151"/>
      <c r="C148" s="151"/>
      <c r="D148" s="151"/>
      <c r="E148" s="151"/>
      <c r="F148" s="151"/>
      <c r="G148" s="151"/>
      <c r="H148" s="151"/>
      <c r="I148" s="151"/>
      <c r="J148" s="151"/>
      <c r="K148" s="151"/>
      <c r="L148" s="151"/>
      <c r="M148" s="151"/>
      <c r="N148" s="40">
        <v>10</v>
      </c>
      <c r="O148" s="40">
        <v>91</v>
      </c>
      <c r="P148" s="40">
        <v>53</v>
      </c>
      <c r="Q148" s="40">
        <v>38</v>
      </c>
      <c r="R148" s="40">
        <v>18</v>
      </c>
      <c r="S148" s="630">
        <f t="shared" si="643"/>
        <v>15</v>
      </c>
      <c r="T148" s="653">
        <v>33</v>
      </c>
      <c r="U148" s="40">
        <v>14</v>
      </c>
      <c r="V148" s="630">
        <f t="shared" si="644"/>
        <v>15</v>
      </c>
      <c r="W148" s="653">
        <v>29</v>
      </c>
      <c r="X148" s="40"/>
      <c r="Y148" s="630"/>
      <c r="Z148" s="653">
        <v>29</v>
      </c>
      <c r="AA148" s="40">
        <v>10</v>
      </c>
      <c r="AB148" s="630">
        <f t="shared" si="645"/>
        <v>29</v>
      </c>
      <c r="AC148" s="653">
        <v>39</v>
      </c>
      <c r="AD148" s="40">
        <v>13</v>
      </c>
      <c r="AE148" s="630">
        <f t="shared" si="646"/>
        <v>13</v>
      </c>
      <c r="AF148" s="653">
        <v>26</v>
      </c>
      <c r="AG148" s="40">
        <v>14</v>
      </c>
      <c r="AH148" s="630">
        <f t="shared" si="647"/>
        <v>19</v>
      </c>
      <c r="AI148" s="653">
        <v>33</v>
      </c>
      <c r="AJ148" s="40">
        <v>14</v>
      </c>
      <c r="AK148" s="630">
        <f t="shared" si="630"/>
        <v>15</v>
      </c>
      <c r="AL148" s="653">
        <v>29</v>
      </c>
      <c r="AM148" s="40">
        <v>16</v>
      </c>
      <c r="AN148" s="630">
        <f t="shared" si="631"/>
        <v>17</v>
      </c>
      <c r="AO148" s="653">
        <v>33</v>
      </c>
      <c r="AP148" s="40">
        <v>19</v>
      </c>
      <c r="AQ148" s="630">
        <f t="shared" si="648"/>
        <v>22</v>
      </c>
      <c r="AR148" s="653">
        <v>41</v>
      </c>
      <c r="AS148" s="40">
        <v>9</v>
      </c>
      <c r="AT148" s="630">
        <f t="shared" si="649"/>
        <v>10</v>
      </c>
      <c r="AU148" s="653">
        <v>19</v>
      </c>
      <c r="AV148" s="40">
        <v>11</v>
      </c>
      <c r="AW148" s="630">
        <f t="shared" si="650"/>
        <v>11</v>
      </c>
      <c r="AX148" s="653">
        <v>22</v>
      </c>
      <c r="AY148" s="40">
        <v>11</v>
      </c>
      <c r="AZ148" s="539"/>
      <c r="BA148" s="550"/>
      <c r="BB148"/>
      <c r="BC148" s="539"/>
      <c r="BD148" s="550"/>
      <c r="BE148"/>
      <c r="BF148" s="539"/>
      <c r="BG148" s="550"/>
      <c r="BH148"/>
      <c r="BI148" s="539"/>
      <c r="BJ148" s="550"/>
      <c r="BK148"/>
      <c r="BL148" s="539"/>
      <c r="BM148" s="550"/>
    </row>
    <row r="149" spans="1:65">
      <c r="A149" s="62" t="s">
        <v>174</v>
      </c>
      <c r="B149" s="334"/>
      <c r="C149" s="334"/>
      <c r="D149" s="334"/>
      <c r="E149" s="82"/>
      <c r="F149" s="82">
        <f t="shared" ref="F149:Q149" si="651">F141+F142+F143+F144+F145</f>
        <v>58</v>
      </c>
      <c r="G149" s="82">
        <f t="shared" si="651"/>
        <v>59</v>
      </c>
      <c r="H149" s="82">
        <f t="shared" si="651"/>
        <v>60</v>
      </c>
      <c r="I149" s="82">
        <f t="shared" si="651"/>
        <v>63</v>
      </c>
      <c r="J149" s="82">
        <f t="shared" si="651"/>
        <v>107</v>
      </c>
      <c r="K149" s="82">
        <f t="shared" si="651"/>
        <v>121</v>
      </c>
      <c r="L149" s="82">
        <f t="shared" si="651"/>
        <v>130</v>
      </c>
      <c r="M149" s="82">
        <f t="shared" si="651"/>
        <v>169</v>
      </c>
      <c r="N149" s="82">
        <f t="shared" si="651"/>
        <v>209</v>
      </c>
      <c r="O149" s="82">
        <f t="shared" si="651"/>
        <v>404</v>
      </c>
      <c r="P149" s="82">
        <f t="shared" si="651"/>
        <v>366</v>
      </c>
      <c r="Q149" s="82">
        <f t="shared" si="651"/>
        <v>407</v>
      </c>
      <c r="R149" s="82">
        <f>R141+R142+R143+R144+R145</f>
        <v>199</v>
      </c>
      <c r="S149" s="694">
        <f>S141+S142+S143+S144+S145</f>
        <v>207</v>
      </c>
      <c r="T149" s="709">
        <f t="shared" ref="T149:AI149" si="652">T141+T142+T143+T144+T145</f>
        <v>406</v>
      </c>
      <c r="U149" s="82">
        <f>U141+U142+U143+U144+U145</f>
        <v>208</v>
      </c>
      <c r="V149" s="694">
        <f>V141+V142+V143+V144+V145</f>
        <v>222</v>
      </c>
      <c r="W149" s="709">
        <f t="shared" si="652"/>
        <v>430</v>
      </c>
      <c r="X149" s="82"/>
      <c r="Y149" s="694"/>
      <c r="Z149" s="709">
        <f t="shared" si="652"/>
        <v>343</v>
      </c>
      <c r="AA149" s="82">
        <f>AA141+AA142+AA143+AA144+AA145</f>
        <v>165</v>
      </c>
      <c r="AB149" s="694">
        <f>AB141+AB142+AB143+AB144+AB145</f>
        <v>216</v>
      </c>
      <c r="AC149" s="709">
        <f t="shared" si="652"/>
        <v>381</v>
      </c>
      <c r="AD149" s="82">
        <f>AD141+AD142+AD143+AD144+AD145</f>
        <v>153</v>
      </c>
      <c r="AE149" s="694">
        <f>AE141+AE142+AE143+AE144+AE145</f>
        <v>165</v>
      </c>
      <c r="AF149" s="709">
        <f t="shared" si="652"/>
        <v>318</v>
      </c>
      <c r="AG149" s="82">
        <f>AG141+AG142+AG143+AG144+AG145</f>
        <v>157</v>
      </c>
      <c r="AH149" s="694">
        <f>AH141+AH142+AH143+AH144+AH145</f>
        <v>166</v>
      </c>
      <c r="AI149" s="709">
        <f t="shared" si="652"/>
        <v>323</v>
      </c>
      <c r="AJ149" s="82">
        <f t="shared" ref="AJ149:AP149" si="653">AJ141+AJ142+AJ143+AJ144+AJ145</f>
        <v>154</v>
      </c>
      <c r="AK149" s="694">
        <f t="shared" si="653"/>
        <v>127</v>
      </c>
      <c r="AL149" s="709">
        <f t="shared" si="653"/>
        <v>281</v>
      </c>
      <c r="AM149" s="82">
        <f t="shared" si="653"/>
        <v>127</v>
      </c>
      <c r="AN149" s="694">
        <f t="shared" si="653"/>
        <v>125</v>
      </c>
      <c r="AO149" s="709">
        <f t="shared" si="653"/>
        <v>252</v>
      </c>
      <c r="AP149" s="82">
        <f t="shared" si="653"/>
        <v>135</v>
      </c>
      <c r="AQ149" s="694">
        <f t="shared" ref="AQ149:AS149" si="654">AQ141+AQ142+AQ143+AQ144+AQ145</f>
        <v>144</v>
      </c>
      <c r="AR149" s="709">
        <f t="shared" si="654"/>
        <v>279</v>
      </c>
      <c r="AS149" s="82">
        <f t="shared" si="654"/>
        <v>126</v>
      </c>
      <c r="AT149" s="694">
        <f t="shared" ref="AT149:AV149" si="655">AT141+AT142+AT143+AT144+AT145</f>
        <v>129</v>
      </c>
      <c r="AU149" s="709">
        <f t="shared" si="655"/>
        <v>255</v>
      </c>
      <c r="AV149" s="82">
        <f t="shared" si="655"/>
        <v>121</v>
      </c>
      <c r="AW149" s="694">
        <f t="shared" ref="AW149" si="656">AW141+AW142+AW143+AW144+AW145</f>
        <v>114</v>
      </c>
      <c r="AX149" s="709">
        <f t="shared" ref="AX149:AY149" si="657">AX141+AX142+AX143+AX144+AX145</f>
        <v>235</v>
      </c>
      <c r="AY149" s="82">
        <f t="shared" si="657"/>
        <v>110</v>
      </c>
      <c r="AZ149" s="241">
        <f>AZ150+AZ152</f>
        <v>166.64835705274334</v>
      </c>
      <c r="BA149" s="579">
        <f t="shared" ref="BA149:BM149" si="658">BA150+BA152</f>
        <v>276.64835705274334</v>
      </c>
      <c r="BB149" s="204">
        <f>BB150+BB152</f>
        <v>151.29551918754501</v>
      </c>
      <c r="BC149" s="241">
        <f>BC150+BC152</f>
        <v>161.24814554830886</v>
      </c>
      <c r="BD149" s="579">
        <f t="shared" si="658"/>
        <v>312.54366473585389</v>
      </c>
      <c r="BE149" s="204">
        <f>BE150+BE152</f>
        <v>165.90176219545742</v>
      </c>
      <c r="BF149" s="241">
        <f>BF150+BF152</f>
        <v>180.12890123525136</v>
      </c>
      <c r="BG149" s="579">
        <f t="shared" si="658"/>
        <v>346.03066343070878</v>
      </c>
      <c r="BH149" s="204">
        <f>BH150+BH152</f>
        <v>185.92499049003939</v>
      </c>
      <c r="BI149" s="241">
        <f>BI150+BI152</f>
        <v>201.81615951050904</v>
      </c>
      <c r="BJ149" s="579">
        <f t="shared" si="658"/>
        <v>387.74115000054843</v>
      </c>
      <c r="BK149" s="204">
        <f>BK150+BK152</f>
        <v>208.443218958693</v>
      </c>
      <c r="BL149" s="241">
        <f>BL150+BL152</f>
        <v>225.8421143312649</v>
      </c>
      <c r="BM149" s="579">
        <f t="shared" si="658"/>
        <v>434.28533328995786</v>
      </c>
    </row>
    <row r="150" spans="1:65">
      <c r="A150" s="25" t="s">
        <v>417</v>
      </c>
      <c r="B150" s="151"/>
      <c r="C150" s="151"/>
      <c r="D150" s="151"/>
      <c r="E150" s="51"/>
      <c r="F150" s="40">
        <f>IS!F116</f>
        <v>0</v>
      </c>
      <c r="G150" s="40">
        <f>IS!G116</f>
        <v>0</v>
      </c>
      <c r="H150" s="40">
        <f>IS!H116</f>
        <v>0</v>
      </c>
      <c r="I150" s="40">
        <f>IS!I116</f>
        <v>0</v>
      </c>
      <c r="J150" s="40">
        <f>IS!J116</f>
        <v>0</v>
      </c>
      <c r="K150" s="40">
        <f>IS!K116</f>
        <v>0</v>
      </c>
      <c r="L150" s="40">
        <f>IS!L116</f>
        <v>0</v>
      </c>
      <c r="M150" s="40">
        <f>IS!M116</f>
        <v>64</v>
      </c>
      <c r="N150" s="40">
        <f>IS!N116</f>
        <v>69</v>
      </c>
      <c r="O150" s="40">
        <f>IS!O116</f>
        <v>265</v>
      </c>
      <c r="P150" s="40">
        <f>IS!P116</f>
        <v>142</v>
      </c>
      <c r="Q150" s="40">
        <f>IS!Q116</f>
        <v>124</v>
      </c>
      <c r="R150" s="40">
        <f>IS!R116</f>
        <v>62</v>
      </c>
      <c r="S150" s="630">
        <f>IS!S116</f>
        <v>53</v>
      </c>
      <c r="T150" s="653">
        <f>IS!T116</f>
        <v>115</v>
      </c>
      <c r="U150" s="40">
        <f>IS!U116</f>
        <v>62</v>
      </c>
      <c r="V150" s="630">
        <f>IS!V116</f>
        <v>67</v>
      </c>
      <c r="W150" s="653">
        <f>IS!W116</f>
        <v>129</v>
      </c>
      <c r="X150" s="40"/>
      <c r="Y150" s="630"/>
      <c r="Z150" s="653">
        <f>IS!Z116</f>
        <v>129</v>
      </c>
      <c r="AA150" s="40">
        <f>IS!AA116</f>
        <v>124</v>
      </c>
      <c r="AB150" s="630">
        <f>IS!AB116</f>
        <v>51</v>
      </c>
      <c r="AC150" s="653">
        <f>IS!AC116</f>
        <v>175</v>
      </c>
      <c r="AD150" s="40">
        <f>IS!AD116</f>
        <v>71</v>
      </c>
      <c r="AE150" s="630">
        <f>IS!AE116</f>
        <v>92</v>
      </c>
      <c r="AF150" s="653">
        <f>IS!AF116</f>
        <v>163</v>
      </c>
      <c r="AG150" s="40">
        <f>IS!AG116</f>
        <v>66</v>
      </c>
      <c r="AH150" s="630">
        <f>IS!AH116</f>
        <v>19</v>
      </c>
      <c r="AI150" s="653">
        <f>IS!AI116</f>
        <v>85</v>
      </c>
      <c r="AJ150" s="40">
        <f>IS!AJ116</f>
        <v>26</v>
      </c>
      <c r="AK150" s="630">
        <f>IS!AK116</f>
        <v>24</v>
      </c>
      <c r="AL150" s="653">
        <f>IS!AL116</f>
        <v>50</v>
      </c>
      <c r="AM150" s="40">
        <f>IS!AM116</f>
        <v>23</v>
      </c>
      <c r="AN150" s="630">
        <f>IS!AN116</f>
        <v>35</v>
      </c>
      <c r="AO150" s="653">
        <f>IS!AO116</f>
        <v>58</v>
      </c>
      <c r="AP150" s="40">
        <f>IS!AP116</f>
        <v>24</v>
      </c>
      <c r="AQ150" s="630">
        <f>IS!AQ116</f>
        <v>26</v>
      </c>
      <c r="AR150" s="653">
        <f>IS!AR116</f>
        <v>50</v>
      </c>
      <c r="AS150" s="40">
        <f>IS!AS116</f>
        <v>23</v>
      </c>
      <c r="AT150" s="630">
        <f>IS!AT116</f>
        <v>22</v>
      </c>
      <c r="AU150" s="653">
        <f>IS!AU116</f>
        <v>45</v>
      </c>
      <c r="AV150" s="40">
        <f>IS!AV116</f>
        <v>8</v>
      </c>
      <c r="AW150" s="630">
        <f>IS!AW116</f>
        <v>8</v>
      </c>
      <c r="AX150" s="653">
        <f>IS!AX116</f>
        <v>16</v>
      </c>
      <c r="AY150" s="40">
        <f>IS!AY116</f>
        <v>8</v>
      </c>
      <c r="AZ150" s="236">
        <f>BA150-AY150</f>
        <v>10.835632820612311</v>
      </c>
      <c r="BA150" s="605">
        <f>BA151*IS!BA5</f>
        <v>18.835632820612311</v>
      </c>
      <c r="BB150" s="56">
        <f>BB151*IS!BB5</f>
        <v>10.300971519152</v>
      </c>
      <c r="BC150" s="236">
        <f>BD150-BB150</f>
        <v>10.978597143714644</v>
      </c>
      <c r="BD150" s="605">
        <f>BD151*IS!BD5</f>
        <v>21.279568662866645</v>
      </c>
      <c r="BE150" s="56">
        <f>BE151*IS!BE5</f>
        <v>11.295439128201355</v>
      </c>
      <c r="BF150" s="236">
        <f>BG150-BE150</f>
        <v>12.264095403251154</v>
      </c>
      <c r="BG150" s="605">
        <f>BG151*IS!BG5</f>
        <v>23.55953453145251</v>
      </c>
      <c r="BH150" s="56">
        <f>BH151*IS!BH5</f>
        <v>12.658722756768638</v>
      </c>
      <c r="BI150" s="236">
        <f>BJ150-BH150</f>
        <v>13.740674690077208</v>
      </c>
      <c r="BJ150" s="605">
        <f>BJ151*IS!BJ5</f>
        <v>26.399397446845846</v>
      </c>
      <c r="BK150" s="56">
        <f>BK151*IS!BK5</f>
        <v>14.191878737613139</v>
      </c>
      <c r="BL150" s="236">
        <f>BM150-BK150</f>
        <v>15.376484380001008</v>
      </c>
      <c r="BM150" s="605">
        <f>BM151*IS!BM5</f>
        <v>29.568363117614147</v>
      </c>
    </row>
    <row r="151" spans="1:65">
      <c r="A151" s="93" t="s">
        <v>273</v>
      </c>
      <c r="B151" s="151"/>
      <c r="C151" s="151"/>
      <c r="D151" s="151"/>
      <c r="E151" s="51"/>
      <c r="F151" s="87">
        <f>F150/IS!F5</f>
        <v>0</v>
      </c>
      <c r="G151" s="87">
        <f>G150/IS!G5</f>
        <v>0</v>
      </c>
      <c r="H151" s="87">
        <f>H150/IS!H5</f>
        <v>0</v>
      </c>
      <c r="I151" s="87">
        <f>I150/IS!I5</f>
        <v>0</v>
      </c>
      <c r="J151" s="87">
        <f>J150/IS!J5</f>
        <v>0</v>
      </c>
      <c r="K151" s="87">
        <f>K150/IS!K5</f>
        <v>0</v>
      </c>
      <c r="L151" s="87">
        <f>L150/IS!L5</f>
        <v>0</v>
      </c>
      <c r="M151" s="87">
        <f>M150/IS!M5</f>
        <v>5.675268245100647E-3</v>
      </c>
      <c r="N151" s="87">
        <f>N150/IS!N5</f>
        <v>5.6515685150298964E-3</v>
      </c>
      <c r="O151" s="87">
        <f>O150/IS!O5</f>
        <v>1.7091260883585941E-2</v>
      </c>
      <c r="P151" s="87">
        <f>P150/IS!P5</f>
        <v>1.0242354298903635E-2</v>
      </c>
      <c r="Q151" s="87">
        <f>Q150/IS!Q5</f>
        <v>9.2856073086715583E-3</v>
      </c>
      <c r="R151" s="87">
        <f>R150/IS!R5</f>
        <v>1.00927885398014E-2</v>
      </c>
      <c r="S151" s="644">
        <f>S150/IS!S5</f>
        <v>6.93717277486911E-3</v>
      </c>
      <c r="T151" s="668">
        <f>T150/IS!T5</f>
        <v>8.3436116955670023E-3</v>
      </c>
      <c r="U151" s="87">
        <f>U150/IS!U5</f>
        <v>9.0313182811361976E-3</v>
      </c>
      <c r="V151" s="644">
        <f>V150/IS!V5</f>
        <v>8.1458966565349546E-3</v>
      </c>
      <c r="W151" s="668">
        <f>W150/IS!W5</f>
        <v>8.5487077534791255E-3</v>
      </c>
      <c r="X151" s="87"/>
      <c r="Y151" s="644"/>
      <c r="Z151" s="668">
        <f>Z150/IS!Z5</f>
        <v>9.4360324775071315E-3</v>
      </c>
      <c r="AA151" s="87">
        <f>AA150/IS!AA5</f>
        <v>1.7613636363636363E-2</v>
      </c>
      <c r="AB151" s="644">
        <f>AB150/IS!AB5</f>
        <v>6.3535567459823096E-3</v>
      </c>
      <c r="AC151" s="668">
        <f>AC150/IS!AC5</f>
        <v>1.161478728346718E-2</v>
      </c>
      <c r="AD151" s="87">
        <f>AD150/IS!AD5</f>
        <v>9.6559227526179792E-3</v>
      </c>
      <c r="AE151" s="644">
        <f>AE150/IS!AE5</f>
        <v>1.1362232925774979E-2</v>
      </c>
      <c r="AF151" s="668">
        <f>AF150/IS!AF5</f>
        <v>1.0550161812297735E-2</v>
      </c>
      <c r="AG151" s="87">
        <f>AG150/IS!AG5</f>
        <v>1.1868368998381586E-2</v>
      </c>
      <c r="AH151" s="644">
        <f>AH150/IS!AH5</f>
        <v>3.2373487817345375E-3</v>
      </c>
      <c r="AI151" s="668">
        <f>AI150/IS!AI5</f>
        <v>7.4365704286964126E-3</v>
      </c>
      <c r="AJ151" s="87">
        <f>AJ150/IS!AJ5</f>
        <v>4.9741725655251577E-3</v>
      </c>
      <c r="AK151" s="644">
        <f>AK150/IS!AK5</f>
        <v>4.1958041958041958E-3</v>
      </c>
      <c r="AL151" s="668">
        <f>AL150/IS!AL5</f>
        <v>4.5674614049511283E-3</v>
      </c>
      <c r="AM151" s="87">
        <f>AM150/IS!AM5</f>
        <v>4.3330821401657872E-3</v>
      </c>
      <c r="AN151" s="644">
        <f>AN150/IS!AN5</f>
        <v>4.7406203440335908E-3</v>
      </c>
      <c r="AO151" s="668">
        <f>AO150/IS!AO5</f>
        <v>4.5701678354739582E-3</v>
      </c>
      <c r="AP151" s="87">
        <f>AP150/IS!AP5</f>
        <v>3.4532374100719426E-3</v>
      </c>
      <c r="AQ151" s="644">
        <f>AQ150/IS!AQ5</f>
        <v>3.0736493675375342E-3</v>
      </c>
      <c r="AR151" s="668">
        <f>AR150/IS!AR5</f>
        <v>3.24485690181063E-3</v>
      </c>
      <c r="AS151" s="87">
        <f>AS150/IS!AS5</f>
        <v>2.811048643363481E-3</v>
      </c>
      <c r="AT151" s="644">
        <f>AT150/IS!AT5</f>
        <v>2.276019035795572E-3</v>
      </c>
      <c r="AU151" s="668">
        <f>AU150/IS!AU5</f>
        <v>2.5212909009412819E-3</v>
      </c>
      <c r="AV151" s="87">
        <f>AV150/IS!AV5</f>
        <v>8.8329468919068127E-4</v>
      </c>
      <c r="AW151" s="644">
        <f>AW150/IS!AW5</f>
        <v>7.2714051990547168E-4</v>
      </c>
      <c r="AX151" s="668">
        <f>AX150/IS!AX5</f>
        <v>7.9764694152250856E-4</v>
      </c>
      <c r="AY151" s="87">
        <f>AY150/IS!AY5</f>
        <v>7.0928273783136804E-4</v>
      </c>
      <c r="AZ151" s="247">
        <f>AZ150/IS!AZ5</f>
        <v>8.7844629796758101E-4</v>
      </c>
      <c r="BA151" s="583">
        <f>+AX151</f>
        <v>7.9764694152250856E-4</v>
      </c>
      <c r="BB151" s="245">
        <f>BD151</f>
        <v>7.9764694152250856E-4</v>
      </c>
      <c r="BC151" s="247">
        <f>BC150/IS!BC5</f>
        <v>7.9764694152250845E-4</v>
      </c>
      <c r="BD151" s="583">
        <f>+BA151</f>
        <v>7.9764694152250856E-4</v>
      </c>
      <c r="BE151" s="245">
        <f>BG151</f>
        <v>7.9764694152250856E-4</v>
      </c>
      <c r="BF151" s="247">
        <f>BF150/IS!BF5</f>
        <v>7.9764694152250845E-4</v>
      </c>
      <c r="BG151" s="583">
        <f>+BD151</f>
        <v>7.9764694152250856E-4</v>
      </c>
      <c r="BH151" s="245">
        <f>BJ151</f>
        <v>7.9764694152250856E-4</v>
      </c>
      <c r="BI151" s="247">
        <f>BI150/IS!BI5</f>
        <v>7.9764694152250834E-4</v>
      </c>
      <c r="BJ151" s="583">
        <f>+BG151</f>
        <v>7.9764694152250856E-4</v>
      </c>
      <c r="BK151" s="245">
        <f>BM151</f>
        <v>7.9764694152250856E-4</v>
      </c>
      <c r="BL151" s="247">
        <f>BL150/IS!BL5</f>
        <v>7.9764694152250845E-4</v>
      </c>
      <c r="BM151" s="583">
        <f t="shared" ref="BM151" si="659">+BJ151</f>
        <v>7.9764694152250856E-4</v>
      </c>
    </row>
    <row r="152" spans="1:65">
      <c r="A152" s="25" t="s">
        <v>418</v>
      </c>
      <c r="B152" s="151"/>
      <c r="C152" s="151"/>
      <c r="D152" s="151"/>
      <c r="E152" s="51"/>
      <c r="F152" s="40">
        <f>F149-F150</f>
        <v>58</v>
      </c>
      <c r="G152" s="40">
        <f t="shared" ref="G152:AI152" si="660">G149-G150</f>
        <v>59</v>
      </c>
      <c r="H152" s="40">
        <f t="shared" si="660"/>
        <v>60</v>
      </c>
      <c r="I152" s="40">
        <f t="shared" si="660"/>
        <v>63</v>
      </c>
      <c r="J152" s="40">
        <f t="shared" si="660"/>
        <v>107</v>
      </c>
      <c r="K152" s="40">
        <f t="shared" si="660"/>
        <v>121</v>
      </c>
      <c r="L152" s="40">
        <f t="shared" si="660"/>
        <v>130</v>
      </c>
      <c r="M152" s="40">
        <f t="shared" si="660"/>
        <v>105</v>
      </c>
      <c r="N152" s="40">
        <f t="shared" si="660"/>
        <v>140</v>
      </c>
      <c r="O152" s="40">
        <f t="shared" si="660"/>
        <v>139</v>
      </c>
      <c r="P152" s="40">
        <f t="shared" si="660"/>
        <v>224</v>
      </c>
      <c r="Q152" s="40">
        <f t="shared" si="660"/>
        <v>283</v>
      </c>
      <c r="R152" s="40">
        <f>R149-R150</f>
        <v>137</v>
      </c>
      <c r="S152" s="630">
        <f>S149-S150</f>
        <v>154</v>
      </c>
      <c r="T152" s="653">
        <f t="shared" si="660"/>
        <v>291</v>
      </c>
      <c r="U152" s="40">
        <f>U149-U150</f>
        <v>146</v>
      </c>
      <c r="V152" s="630">
        <f>V149-V150</f>
        <v>155</v>
      </c>
      <c r="W152" s="653">
        <f t="shared" si="660"/>
        <v>301</v>
      </c>
      <c r="X152" s="40"/>
      <c r="Y152" s="630"/>
      <c r="Z152" s="653">
        <f t="shared" si="660"/>
        <v>214</v>
      </c>
      <c r="AA152" s="40">
        <f>AA149-AA150</f>
        <v>41</v>
      </c>
      <c r="AB152" s="630">
        <f>AB149-AB150</f>
        <v>165</v>
      </c>
      <c r="AC152" s="653">
        <f t="shared" si="660"/>
        <v>206</v>
      </c>
      <c r="AD152" s="40">
        <f>AD149-AD150</f>
        <v>82</v>
      </c>
      <c r="AE152" s="630">
        <f>AE149-AE150</f>
        <v>73</v>
      </c>
      <c r="AF152" s="653">
        <f t="shared" si="660"/>
        <v>155</v>
      </c>
      <c r="AG152" s="40">
        <f>AG149-AG150</f>
        <v>91</v>
      </c>
      <c r="AH152" s="630">
        <f>AH149-AH150</f>
        <v>147</v>
      </c>
      <c r="AI152" s="653">
        <f t="shared" si="660"/>
        <v>238</v>
      </c>
      <c r="AJ152" s="40">
        <f t="shared" ref="AJ152:AP152" si="661">AJ149-AJ150</f>
        <v>128</v>
      </c>
      <c r="AK152" s="630">
        <f t="shared" si="661"/>
        <v>103</v>
      </c>
      <c r="AL152" s="653">
        <f t="shared" si="661"/>
        <v>231</v>
      </c>
      <c r="AM152" s="40">
        <f t="shared" si="661"/>
        <v>104</v>
      </c>
      <c r="AN152" s="630">
        <f t="shared" si="661"/>
        <v>90</v>
      </c>
      <c r="AO152" s="653">
        <f t="shared" si="661"/>
        <v>194</v>
      </c>
      <c r="AP152" s="40">
        <f t="shared" si="661"/>
        <v>111</v>
      </c>
      <c r="AQ152" s="630">
        <f t="shared" ref="AQ152:AS152" si="662">AQ149-AQ150</f>
        <v>118</v>
      </c>
      <c r="AR152" s="653">
        <f t="shared" si="662"/>
        <v>229</v>
      </c>
      <c r="AS152" s="40">
        <f t="shared" si="662"/>
        <v>103</v>
      </c>
      <c r="AT152" s="630">
        <f t="shared" ref="AT152:AV152" si="663">AT149-AT150</f>
        <v>107</v>
      </c>
      <c r="AU152" s="653">
        <f t="shared" si="663"/>
        <v>210</v>
      </c>
      <c r="AV152" s="40">
        <f t="shared" si="663"/>
        <v>113</v>
      </c>
      <c r="AW152" s="630">
        <f t="shared" ref="AW152" si="664">AW149-AW150</f>
        <v>106</v>
      </c>
      <c r="AX152" s="653">
        <f t="shared" ref="AX152:AY152" si="665">AX149-AX150</f>
        <v>219</v>
      </c>
      <c r="AY152" s="40">
        <f t="shared" si="665"/>
        <v>102</v>
      </c>
      <c r="AZ152" s="236">
        <f>BA152-AY152</f>
        <v>155.81272423213102</v>
      </c>
      <c r="BA152" s="605">
        <f>BA153*IS!BA5</f>
        <v>257.81272423213102</v>
      </c>
      <c r="BB152" s="56">
        <f>BB153*IS!BB5</f>
        <v>140.99454766839301</v>
      </c>
      <c r="BC152" s="236">
        <f>BD152-BB152</f>
        <v>150.26954840459422</v>
      </c>
      <c r="BD152" s="605">
        <f>BD153*IS!BD5</f>
        <v>291.26409607298723</v>
      </c>
      <c r="BE152" s="56">
        <f>BE153*IS!BE5</f>
        <v>154.60632306725606</v>
      </c>
      <c r="BF152" s="236">
        <f>BG152-BE152</f>
        <v>167.8648058320002</v>
      </c>
      <c r="BG152" s="605">
        <f>BG153*IS!BG5</f>
        <v>322.47112889925626</v>
      </c>
      <c r="BH152" s="56">
        <f>BH153*IS!BH5</f>
        <v>173.26626773327075</v>
      </c>
      <c r="BI152" s="236">
        <f>BJ152-BH152</f>
        <v>188.07548482043183</v>
      </c>
      <c r="BJ152" s="605">
        <f>BJ153*IS!BJ5</f>
        <v>361.34175255370258</v>
      </c>
      <c r="BK152" s="56">
        <f>BK153*IS!BK5</f>
        <v>194.25134022107986</v>
      </c>
      <c r="BL152" s="236">
        <f>BM152-BK152</f>
        <v>210.46562995126388</v>
      </c>
      <c r="BM152" s="605">
        <f>BM153*IS!BM5</f>
        <v>404.71697017234374</v>
      </c>
    </row>
    <row r="153" spans="1:65">
      <c r="A153" s="93" t="s">
        <v>273</v>
      </c>
      <c r="B153" s="151"/>
      <c r="C153" s="151"/>
      <c r="D153" s="151"/>
      <c r="E153" s="51"/>
      <c r="F153" s="87">
        <f>F152/IS!F5</f>
        <v>9.7528165461577259E-3</v>
      </c>
      <c r="G153" s="87">
        <f>G152/IS!G5</f>
        <v>9.1359554041498918E-3</v>
      </c>
      <c r="H153" s="87">
        <f>H152/IS!H5</f>
        <v>8.1599347205222363E-3</v>
      </c>
      <c r="I153" s="87">
        <f>I152/IS!I5</f>
        <v>8.0593578099014962E-3</v>
      </c>
      <c r="J153" s="87">
        <f>J152/IS!J5</f>
        <v>1.1697824423308188E-2</v>
      </c>
      <c r="K153" s="87">
        <f>K152/IS!K5</f>
        <v>1.1970716264345073E-2</v>
      </c>
      <c r="L153" s="87">
        <f>L152/IS!L5</f>
        <v>1.1963924167126818E-2</v>
      </c>
      <c r="M153" s="87">
        <f>M152/IS!M5</f>
        <v>9.3109869646182501E-3</v>
      </c>
      <c r="N153" s="87">
        <f>N152/IS!N5</f>
        <v>1.1466950610205586E-2</v>
      </c>
      <c r="O153" s="87">
        <f>O152/IS!O5</f>
        <v>8.9648500483714925E-3</v>
      </c>
      <c r="P153" s="87">
        <f>P152/IS!P5</f>
        <v>1.6156953260242354E-2</v>
      </c>
      <c r="Q153" s="87">
        <f>Q152/IS!Q5</f>
        <v>2.1192152164145574E-2</v>
      </c>
      <c r="R153" s="87">
        <f>R152/IS!R5</f>
        <v>2.2301806934722449E-2</v>
      </c>
      <c r="S153" s="644">
        <f>S152/IS!S5</f>
        <v>2.0157068062827226E-2</v>
      </c>
      <c r="T153" s="668">
        <f>T152/IS!T5</f>
        <v>2.111296524704346E-2</v>
      </c>
      <c r="U153" s="87">
        <f>U152/IS!U5</f>
        <v>2.1267297887836854E-2</v>
      </c>
      <c r="V153" s="644">
        <f>V152/IS!V5</f>
        <v>1.8844984802431609E-2</v>
      </c>
      <c r="W153" s="668">
        <f>W152/IS!W5</f>
        <v>1.9946984758117958E-2</v>
      </c>
      <c r="X153" s="87"/>
      <c r="Y153" s="644"/>
      <c r="Z153" s="668">
        <f>Z152/IS!Z5</f>
        <v>1.5653573257259894E-2</v>
      </c>
      <c r="AA153" s="87">
        <f>AA152/IS!AA5</f>
        <v>5.8238636363636366E-3</v>
      </c>
      <c r="AB153" s="644">
        <f>AB152/IS!AB5</f>
        <v>2.0555624766413354E-2</v>
      </c>
      <c r="AC153" s="668">
        <f>AC152/IS!AC5</f>
        <v>1.3672263887967081E-2</v>
      </c>
      <c r="AD153" s="87">
        <f>AD152/IS!AD5</f>
        <v>1.1151910784713722E-2</v>
      </c>
      <c r="AE153" s="644">
        <f>AE152/IS!AE5</f>
        <v>9.0156848215388417E-3</v>
      </c>
      <c r="AF153" s="668">
        <f>AF152/IS!AF5</f>
        <v>1.0032362459546926E-2</v>
      </c>
      <c r="AG153" s="87">
        <f>AG152/IS!AG5</f>
        <v>1.6363963315950369E-2</v>
      </c>
      <c r="AH153" s="644">
        <f>AH152/IS!AH5</f>
        <v>2.5046856363946157E-2</v>
      </c>
      <c r="AI153" s="668">
        <f>AI152/IS!AI5</f>
        <v>2.0822397200349955E-2</v>
      </c>
      <c r="AJ153" s="87">
        <f>AJ152/IS!AJ5</f>
        <v>2.4488234168739239E-2</v>
      </c>
      <c r="AK153" s="644">
        <f>AK152/IS!AK5</f>
        <v>1.8006993006993006E-2</v>
      </c>
      <c r="AL153" s="668">
        <f>AL152/IS!AL5</f>
        <v>2.1101671690874211E-2</v>
      </c>
      <c r="AM153" s="87">
        <f>AM152/IS!AM5</f>
        <v>1.9593067068575734E-2</v>
      </c>
      <c r="AN153" s="644">
        <f>AN152/IS!AN5</f>
        <v>1.2190166598943519E-2</v>
      </c>
      <c r="AO153" s="668">
        <f>AO152/IS!AO5</f>
        <v>1.5286423449688755E-2</v>
      </c>
      <c r="AP153" s="87">
        <f>AP152/IS!AP5</f>
        <v>1.5971223021582735E-2</v>
      </c>
      <c r="AQ153" s="644">
        <f>AQ152/IS!AQ5</f>
        <v>1.3949639437285732E-2</v>
      </c>
      <c r="AR153" s="668">
        <f>AR152/IS!AR5</f>
        <v>1.4861444610292686E-2</v>
      </c>
      <c r="AS153" s="87">
        <f>AS152/IS!AS5</f>
        <v>1.2588609142019066E-2</v>
      </c>
      <c r="AT153" s="644">
        <f>AT152/IS!AT5</f>
        <v>1.1069728946823919E-2</v>
      </c>
      <c r="AU153" s="668">
        <f>AU152/IS!AU5</f>
        <v>1.1766024204392649E-2</v>
      </c>
      <c r="AV153" s="87">
        <f>AV152/IS!AV5</f>
        <v>1.2476537484818372E-2</v>
      </c>
      <c r="AW153" s="644">
        <f>AW152/IS!AW5</f>
        <v>9.6346118887475005E-3</v>
      </c>
      <c r="AX153" s="668">
        <f>AX152/IS!AX5</f>
        <v>1.0917792512089337E-2</v>
      </c>
      <c r="AY153" s="87">
        <f>AY152/IS!AY5</f>
        <v>9.0433549073499417E-3</v>
      </c>
      <c r="AZ153" s="247">
        <f>AZ152/IS!AZ5</f>
        <v>1.2631759772958469E-2</v>
      </c>
      <c r="BA153" s="583">
        <f>AX153</f>
        <v>1.0917792512089337E-2</v>
      </c>
      <c r="BB153" s="245">
        <f>BD153</f>
        <v>1.0917792512089337E-2</v>
      </c>
      <c r="BC153" s="247">
        <f>BC152/IS!BC5</f>
        <v>1.0917792512089335E-2</v>
      </c>
      <c r="BD153" s="583">
        <f>BA153</f>
        <v>1.0917792512089337E-2</v>
      </c>
      <c r="BE153" s="245">
        <f>BG153</f>
        <v>1.0917792512089337E-2</v>
      </c>
      <c r="BF153" s="247">
        <f>BF152/IS!BF5</f>
        <v>1.0917792512089337E-2</v>
      </c>
      <c r="BG153" s="583">
        <f>BD153</f>
        <v>1.0917792512089337E-2</v>
      </c>
      <c r="BH153" s="245">
        <f>BJ153</f>
        <v>1.0917792512089337E-2</v>
      </c>
      <c r="BI153" s="247">
        <f>BI152/IS!BI5</f>
        <v>1.0917792512089335E-2</v>
      </c>
      <c r="BJ153" s="583">
        <f>BG153</f>
        <v>1.0917792512089337E-2</v>
      </c>
      <c r="BK153" s="245">
        <f>BM153</f>
        <v>1.0917792512089337E-2</v>
      </c>
      <c r="BL153" s="247">
        <f>BL152/IS!BL5</f>
        <v>1.0917792512089339E-2</v>
      </c>
      <c r="BM153" s="583">
        <f t="shared" ref="BM153" si="666">BJ153</f>
        <v>1.0917792512089337E-2</v>
      </c>
    </row>
    <row r="154" spans="1:65">
      <c r="A154" s="31" t="s">
        <v>175</v>
      </c>
      <c r="B154" s="151"/>
      <c r="C154" s="151"/>
      <c r="D154" s="151"/>
      <c r="E154" s="51"/>
      <c r="F154" s="51">
        <v>0</v>
      </c>
      <c r="G154" s="51">
        <v>0</v>
      </c>
      <c r="H154" s="51">
        <v>0</v>
      </c>
      <c r="I154" s="51">
        <v>0</v>
      </c>
      <c r="J154" s="51">
        <v>0</v>
      </c>
      <c r="K154" s="51">
        <v>0</v>
      </c>
      <c r="L154" s="51">
        <v>0</v>
      </c>
      <c r="M154" s="51">
        <v>0</v>
      </c>
      <c r="N154" s="51">
        <v>3</v>
      </c>
      <c r="O154" s="51">
        <v>24</v>
      </c>
      <c r="P154" s="51">
        <v>1</v>
      </c>
      <c r="Q154" s="51">
        <v>75</v>
      </c>
      <c r="R154" s="51">
        <v>2</v>
      </c>
      <c r="S154" s="629">
        <f>T154-R154</f>
        <v>220</v>
      </c>
      <c r="T154" s="652">
        <v>222</v>
      </c>
      <c r="U154" s="51">
        <v>0</v>
      </c>
      <c r="V154" s="629">
        <f>W154-U154</f>
        <v>0</v>
      </c>
      <c r="W154" s="652">
        <v>0</v>
      </c>
      <c r="X154" s="51"/>
      <c r="Y154" s="629"/>
      <c r="Z154" s="652">
        <v>0</v>
      </c>
      <c r="AA154" s="51">
        <v>160</v>
      </c>
      <c r="AB154" s="629">
        <f>AC154-AA154</f>
        <v>24</v>
      </c>
      <c r="AC154" s="652">
        <v>184</v>
      </c>
      <c r="AD154" s="51">
        <f>AF154/2</f>
        <v>27</v>
      </c>
      <c r="AE154" s="629">
        <f>AF154-AD154</f>
        <v>27</v>
      </c>
      <c r="AF154" s="652">
        <v>54</v>
      </c>
      <c r="AG154" s="51">
        <v>393</v>
      </c>
      <c r="AH154" s="629">
        <f>AI154-AG154</f>
        <v>-61</v>
      </c>
      <c r="AI154" s="652">
        <v>332</v>
      </c>
      <c r="AJ154" s="51">
        <v>5</v>
      </c>
      <c r="AK154" s="629">
        <f>AL154-AJ154</f>
        <v>4</v>
      </c>
      <c r="AL154" s="652">
        <v>9</v>
      </c>
      <c r="AM154" s="51">
        <v>11</v>
      </c>
      <c r="AN154" s="629">
        <f>AO154-AM154</f>
        <v>24</v>
      </c>
      <c r="AO154" s="652">
        <v>35</v>
      </c>
      <c r="AP154" s="51">
        <v>4</v>
      </c>
      <c r="AQ154" s="629">
        <f>AR154-AP154</f>
        <v>-11</v>
      </c>
      <c r="AR154" s="652">
        <v>-7</v>
      </c>
      <c r="AS154" s="51">
        <v>-413</v>
      </c>
      <c r="AT154" s="629">
        <f>AU154-AS154</f>
        <v>38</v>
      </c>
      <c r="AU154" s="652">
        <v>-375</v>
      </c>
      <c r="AV154" s="51">
        <v>-10</v>
      </c>
      <c r="AW154" s="629">
        <f>AX154-AV154</f>
        <v>16</v>
      </c>
      <c r="AX154" s="652">
        <v>6</v>
      </c>
      <c r="AY154" s="27">
        <v>0</v>
      </c>
      <c r="AZ154" s="236">
        <f>BA154-AY154</f>
        <v>0</v>
      </c>
      <c r="BA154" s="586">
        <v>0</v>
      </c>
      <c r="BB154" s="48">
        <f>BD154/2</f>
        <v>0</v>
      </c>
      <c r="BC154" s="236">
        <f>BD154-BB154</f>
        <v>0</v>
      </c>
      <c r="BD154" s="586">
        <v>0</v>
      </c>
      <c r="BE154" s="48">
        <f>BG154/2</f>
        <v>0</v>
      </c>
      <c r="BF154" s="236">
        <f>BG154-BE154</f>
        <v>0</v>
      </c>
      <c r="BG154" s="586">
        <v>0</v>
      </c>
      <c r="BH154" s="48">
        <f>BJ154/2</f>
        <v>0</v>
      </c>
      <c r="BI154" s="236">
        <f>BJ154-BH154</f>
        <v>0</v>
      </c>
      <c r="BJ154" s="586">
        <v>0</v>
      </c>
      <c r="BK154" s="48">
        <f>BM154/2</f>
        <v>0</v>
      </c>
      <c r="BL154" s="236">
        <f>BM154-BK154</f>
        <v>0</v>
      </c>
      <c r="BM154" s="586">
        <v>0</v>
      </c>
    </row>
    <row r="155" spans="1:65">
      <c r="B155" s="40"/>
      <c r="C155" s="40"/>
      <c r="D155" s="40"/>
      <c r="E155" s="40"/>
      <c r="F155" s="40"/>
      <c r="G155" s="40"/>
      <c r="H155" s="40"/>
      <c r="I155" s="40"/>
      <c r="J155" s="40"/>
      <c r="K155" s="40"/>
      <c r="L155" s="40"/>
      <c r="M155" s="40"/>
      <c r="N155" s="40"/>
      <c r="O155" s="40"/>
      <c r="P155" s="40"/>
      <c r="Q155" s="40"/>
      <c r="R155" s="40"/>
      <c r="S155" s="630"/>
      <c r="T155" s="653"/>
      <c r="U155" s="40"/>
      <c r="V155" s="630"/>
      <c r="W155" s="653"/>
      <c r="X155" s="40"/>
      <c r="Y155" s="630"/>
      <c r="Z155" s="653"/>
      <c r="AA155" s="40"/>
      <c r="AB155" s="630"/>
      <c r="AC155" s="653"/>
      <c r="AD155" s="40"/>
      <c r="AE155" s="630"/>
      <c r="AF155" s="653"/>
      <c r="AG155" s="40"/>
      <c r="AH155" s="630"/>
      <c r="AI155" s="653"/>
      <c r="AJ155" s="40"/>
      <c r="AK155" s="630"/>
      <c r="AL155" s="653"/>
      <c r="AM155" s="40"/>
      <c r="AN155" s="630"/>
      <c r="AO155" s="653"/>
      <c r="AP155" s="40"/>
      <c r="AQ155" s="539"/>
      <c r="AR155" s="550"/>
      <c r="AS155"/>
      <c r="AT155" s="539"/>
      <c r="AU155" s="550"/>
      <c r="AV155"/>
      <c r="AW155" s="539"/>
      <c r="AX155" s="550"/>
      <c r="AY155"/>
      <c r="AZ155" s="539"/>
      <c r="BA155" s="550"/>
      <c r="BB155"/>
      <c r="BC155" s="539"/>
      <c r="BD155" s="550"/>
      <c r="BE155"/>
      <c r="BF155" s="539"/>
      <c r="BG155" s="550"/>
      <c r="BH155"/>
      <c r="BI155" s="539"/>
      <c r="BJ155" s="550"/>
      <c r="BK155"/>
      <c r="BL155" s="539"/>
      <c r="BM155" s="550"/>
    </row>
    <row r="156" spans="1:65">
      <c r="A156" s="310" t="s">
        <v>454</v>
      </c>
      <c r="B156" s="318"/>
      <c r="C156" s="318"/>
      <c r="D156" s="318"/>
      <c r="E156" s="318"/>
      <c r="F156" s="318"/>
      <c r="G156" s="318"/>
      <c r="H156" s="318"/>
      <c r="I156" s="318"/>
      <c r="J156" s="318"/>
      <c r="K156" s="318"/>
      <c r="L156" s="318"/>
      <c r="M156" s="318"/>
      <c r="N156" s="318"/>
      <c r="O156" s="318"/>
      <c r="P156" s="318"/>
      <c r="Q156" s="318"/>
      <c r="R156" s="529"/>
      <c r="S156" s="319"/>
      <c r="T156" s="664"/>
      <c r="U156" s="529"/>
      <c r="V156" s="319"/>
      <c r="W156" s="664"/>
      <c r="X156" s="527"/>
      <c r="Y156" s="320"/>
      <c r="Z156" s="664"/>
      <c r="AA156" s="527"/>
      <c r="AB156" s="320"/>
      <c r="AC156" s="664"/>
      <c r="AD156" s="527"/>
      <c r="AE156" s="320"/>
      <c r="AF156" s="664"/>
      <c r="AG156" s="527"/>
      <c r="AH156" s="320"/>
      <c r="AI156" s="664"/>
      <c r="AJ156" s="527"/>
      <c r="AK156" s="320"/>
      <c r="AL156" s="664"/>
      <c r="AM156" s="527"/>
      <c r="AN156" s="320"/>
      <c r="AO156" s="664"/>
      <c r="AP156" s="527"/>
      <c r="AQ156" s="320"/>
      <c r="AR156" s="664"/>
      <c r="AS156" s="527"/>
      <c r="AT156" s="320"/>
      <c r="AU156" s="664"/>
      <c r="AV156" s="527"/>
      <c r="AW156" s="320"/>
      <c r="AX156" s="664"/>
      <c r="AY156" s="527"/>
      <c r="AZ156" s="215"/>
      <c r="BA156" s="574"/>
      <c r="BB156" s="179"/>
      <c r="BC156" s="215"/>
      <c r="BD156" s="574"/>
      <c r="BE156" s="179"/>
      <c r="BF156" s="215"/>
      <c r="BG156" s="574"/>
      <c r="BH156" s="179"/>
      <c r="BI156" s="215"/>
      <c r="BJ156" s="574"/>
      <c r="BK156" s="179"/>
      <c r="BL156" s="215"/>
      <c r="BM156" s="574"/>
    </row>
    <row r="157" spans="1:65">
      <c r="B157" s="40"/>
      <c r="C157" s="40"/>
      <c r="D157" s="40"/>
      <c r="E157" s="40"/>
      <c r="F157" s="40"/>
      <c r="G157" s="40"/>
      <c r="H157" s="40"/>
      <c r="I157" s="40"/>
      <c r="J157" s="40"/>
      <c r="K157" s="40"/>
      <c r="L157" s="40"/>
      <c r="M157" s="40"/>
      <c r="N157" s="40"/>
      <c r="O157" s="40"/>
      <c r="P157" s="40"/>
      <c r="Q157" s="40"/>
      <c r="R157" s="40"/>
      <c r="S157" s="630"/>
      <c r="T157" s="653"/>
      <c r="U157" s="40"/>
      <c r="V157" s="630"/>
      <c r="W157" s="653"/>
      <c r="X157" s="40"/>
      <c r="Y157" s="630"/>
      <c r="Z157" s="653"/>
      <c r="AA157" s="40"/>
      <c r="AB157" s="630"/>
      <c r="AC157" s="653"/>
      <c r="AD157" s="40"/>
      <c r="AE157" s="630"/>
      <c r="AF157" s="653"/>
      <c r="AG157" s="40"/>
      <c r="AH157" s="630"/>
      <c r="AI157" s="653"/>
      <c r="AJ157" s="40"/>
      <c r="AK157" s="630"/>
      <c r="AL157" s="653"/>
      <c r="AM157" s="40"/>
      <c r="AN157" s="630"/>
      <c r="AO157" s="653"/>
      <c r="AP157" s="40"/>
      <c r="AQ157" s="539"/>
      <c r="AR157" s="550"/>
      <c r="AS157"/>
      <c r="AT157" s="539"/>
      <c r="AU157" s="550"/>
      <c r="AV157"/>
      <c r="AW157" s="539"/>
      <c r="AX157" s="550"/>
      <c r="AY157"/>
      <c r="AZ157" s="539"/>
      <c r="BA157" s="550"/>
      <c r="BB157"/>
      <c r="BC157" s="539"/>
      <c r="BD157" s="550"/>
      <c r="BE157"/>
      <c r="BF157" s="539"/>
      <c r="BG157" s="550"/>
      <c r="BH157"/>
      <c r="BI157" s="539"/>
      <c r="BJ157" s="550"/>
      <c r="BK157"/>
      <c r="BL157" s="539"/>
      <c r="BM157" s="550"/>
    </row>
    <row r="158" spans="1:65">
      <c r="A158" s="25" t="s">
        <v>435</v>
      </c>
      <c r="B158" s="40"/>
      <c r="C158" s="40">
        <f t="shared" ref="C158:Q158" si="667">B6</f>
        <v>1772</v>
      </c>
      <c r="D158" s="40">
        <f t="shared" si="667"/>
        <v>1732</v>
      </c>
      <c r="E158" s="40">
        <f t="shared" si="667"/>
        <v>1876</v>
      </c>
      <c r="F158" s="40">
        <f t="shared" si="667"/>
        <v>1750</v>
      </c>
      <c r="G158" s="40">
        <f t="shared" si="667"/>
        <v>1672</v>
      </c>
      <c r="H158" s="40">
        <f t="shared" si="667"/>
        <v>1649</v>
      </c>
      <c r="I158" s="40">
        <f t="shared" si="667"/>
        <v>1706</v>
      </c>
      <c r="J158" s="40">
        <f t="shared" si="667"/>
        <v>1813</v>
      </c>
      <c r="K158" s="40">
        <f t="shared" si="667"/>
        <v>1995</v>
      </c>
      <c r="L158" s="40">
        <f t="shared" si="667"/>
        <v>2009</v>
      </c>
      <c r="M158" s="40">
        <f t="shared" si="667"/>
        <v>2136</v>
      </c>
      <c r="N158" s="40">
        <f t="shared" si="667"/>
        <v>2338</v>
      </c>
      <c r="O158" s="40">
        <f t="shared" si="667"/>
        <v>2564</v>
      </c>
      <c r="P158" s="40">
        <f t="shared" si="667"/>
        <v>3392</v>
      </c>
      <c r="Q158" s="40">
        <f t="shared" si="667"/>
        <v>3446</v>
      </c>
      <c r="R158" s="40">
        <f>Q164</f>
        <v>3490</v>
      </c>
      <c r="S158" s="630">
        <f>R164</f>
        <v>3718</v>
      </c>
      <c r="T158" s="653">
        <f>Q6</f>
        <v>3490</v>
      </c>
      <c r="U158" s="40">
        <f>T164</f>
        <v>4114</v>
      </c>
      <c r="V158" s="630">
        <f>U164</f>
        <v>4071</v>
      </c>
      <c r="W158" s="653">
        <f>T6</f>
        <v>4114</v>
      </c>
      <c r="X158" s="40"/>
      <c r="Y158" s="630"/>
      <c r="Z158" s="653"/>
      <c r="AA158" s="40">
        <f>Z164</f>
        <v>4658</v>
      </c>
      <c r="AB158" s="630">
        <f>AA164</f>
        <v>4494</v>
      </c>
      <c r="AC158" s="653">
        <f t="shared" ref="AC158" si="668">Z164</f>
        <v>4658</v>
      </c>
      <c r="AD158" s="40">
        <f>AC164</f>
        <v>4929</v>
      </c>
      <c r="AE158" s="630">
        <f>AD164</f>
        <v>4768</v>
      </c>
      <c r="AF158" s="653">
        <f>AC164</f>
        <v>4929</v>
      </c>
      <c r="AG158" s="40">
        <f>AF164</f>
        <v>4803</v>
      </c>
      <c r="AH158" s="630">
        <f>AG164</f>
        <v>4612</v>
      </c>
      <c r="AI158" s="653">
        <f>AF164</f>
        <v>4803</v>
      </c>
      <c r="AJ158" s="40">
        <f>AI164</f>
        <v>4515</v>
      </c>
      <c r="AK158" s="630">
        <f>AJ164</f>
        <v>3992</v>
      </c>
      <c r="AL158" s="653">
        <f>AI164</f>
        <v>4515</v>
      </c>
      <c r="AM158" s="40">
        <f>AL164</f>
        <v>3917</v>
      </c>
      <c r="AN158" s="630">
        <f>AM164</f>
        <v>3899</v>
      </c>
      <c r="AO158" s="653">
        <f>AL164</f>
        <v>3917</v>
      </c>
      <c r="AP158" s="40">
        <f>AO164</f>
        <v>3936</v>
      </c>
      <c r="AQ158" s="630">
        <f>AP164</f>
        <v>3807</v>
      </c>
      <c r="AR158" s="653">
        <f>AO164</f>
        <v>3936</v>
      </c>
      <c r="AS158" s="40">
        <f>AR164</f>
        <v>3728</v>
      </c>
      <c r="AT158" s="630">
        <f>AS164</f>
        <v>3637</v>
      </c>
      <c r="AU158" s="653">
        <f>AR164</f>
        <v>3728</v>
      </c>
      <c r="AV158" s="40">
        <f>AU164</f>
        <v>3724</v>
      </c>
      <c r="AW158" s="630">
        <f>AV164</f>
        <v>3732</v>
      </c>
      <c r="AX158" s="653">
        <f>AU164</f>
        <v>3724</v>
      </c>
      <c r="AY158" s="40">
        <f>AX164</f>
        <v>4013</v>
      </c>
      <c r="AZ158" s="236">
        <f>AY164</f>
        <v>4148</v>
      </c>
      <c r="BA158" s="605">
        <f>AX164</f>
        <v>4013</v>
      </c>
      <c r="BB158" s="56">
        <f>BA164</f>
        <v>4313.5171793183072</v>
      </c>
      <c r="BC158" s="236">
        <f>BB164</f>
        <v>4483.3351329187271</v>
      </c>
      <c r="BD158" s="605">
        <f>BA164</f>
        <v>4313.5171793183072</v>
      </c>
      <c r="BE158" s="56">
        <f>BD164</f>
        <v>4664.324168456078</v>
      </c>
      <c r="BF158" s="236">
        <f>BE164</f>
        <v>4850.536542133932</v>
      </c>
      <c r="BG158" s="605">
        <f>BD164</f>
        <v>4664.324168456078</v>
      </c>
      <c r="BH158" s="56">
        <f>BG164</f>
        <v>5052.7178199161544</v>
      </c>
      <c r="BI158" s="236">
        <f>BH164</f>
        <v>5261.4047762632081</v>
      </c>
      <c r="BJ158" s="605">
        <f>BG164</f>
        <v>5052.7178199161544</v>
      </c>
      <c r="BK158" s="56">
        <f>BJ164</f>
        <v>5487.9283864508125</v>
      </c>
      <c r="BL158" s="236">
        <f>BK164</f>
        <v>5721.8903773645761</v>
      </c>
      <c r="BM158" s="605">
        <f>BJ164</f>
        <v>5487.9283864508125</v>
      </c>
    </row>
    <row r="159" spans="1:65">
      <c r="A159" s="25" t="s">
        <v>436</v>
      </c>
      <c r="B159" s="40">
        <f>-CFS!B38</f>
        <v>292</v>
      </c>
      <c r="C159" s="40">
        <f>-CFS!C38</f>
        <v>211</v>
      </c>
      <c r="D159" s="40">
        <f>-CFS!D38</f>
        <v>314</v>
      </c>
      <c r="E159" s="40">
        <f>-CFS!E38</f>
        <v>182</v>
      </c>
      <c r="F159" s="40">
        <f>-CFS!F38</f>
        <v>175</v>
      </c>
      <c r="G159" s="40">
        <f>-CFS!G38</f>
        <v>219</v>
      </c>
      <c r="H159" s="40">
        <f>-CFS!H38</f>
        <v>298</v>
      </c>
      <c r="I159" s="40">
        <f>-CFS!I38</f>
        <v>304</v>
      </c>
      <c r="J159" s="40">
        <f>-CFS!J38</f>
        <v>286</v>
      </c>
      <c r="K159" s="40">
        <f>-CFS!K38</f>
        <v>258</v>
      </c>
      <c r="L159" s="40">
        <f>-CFS!L38</f>
        <v>354</v>
      </c>
      <c r="M159" s="40">
        <f>-CFS!M38</f>
        <v>412</v>
      </c>
      <c r="N159" s="40">
        <f>-CFS!N38</f>
        <v>435</v>
      </c>
      <c r="O159" s="40">
        <f>-CFS!O38</f>
        <v>669</v>
      </c>
      <c r="P159" s="40">
        <f>-CFS!P38</f>
        <v>648</v>
      </c>
      <c r="Q159" s="40">
        <f>-CFS!Q38</f>
        <v>487</v>
      </c>
      <c r="R159" s="40">
        <f>-CFS!R38</f>
        <v>307</v>
      </c>
      <c r="S159" s="630">
        <f>T159-R159</f>
        <v>278</v>
      </c>
      <c r="T159" s="653">
        <f>-CFS!T38</f>
        <v>585</v>
      </c>
      <c r="U159" s="40">
        <f>-CFS!U38</f>
        <v>381</v>
      </c>
      <c r="V159" s="630">
        <f>W159-U159</f>
        <v>392</v>
      </c>
      <c r="W159" s="653">
        <f>-CFS!W38</f>
        <v>773</v>
      </c>
      <c r="X159" s="40"/>
      <c r="Y159" s="630"/>
      <c r="Z159" s="653">
        <f>-CFS!Z38</f>
        <v>730</v>
      </c>
      <c r="AA159" s="40">
        <f>-CFS!AA38</f>
        <v>343</v>
      </c>
      <c r="AB159" s="630">
        <f>AC159-AA159</f>
        <v>562</v>
      </c>
      <c r="AC159" s="653">
        <f>-CFS!AC38</f>
        <v>905</v>
      </c>
      <c r="AD159" s="40">
        <f>-CFS!AD38</f>
        <v>349</v>
      </c>
      <c r="AE159" s="630">
        <f>AF159-AD159</f>
        <v>398</v>
      </c>
      <c r="AF159" s="653">
        <f>-CFS!AF38</f>
        <v>747</v>
      </c>
      <c r="AG159" s="40">
        <f>-CFS!AG38</f>
        <v>226</v>
      </c>
      <c r="AH159" s="630">
        <f>AI159-AG159</f>
        <v>359</v>
      </c>
      <c r="AI159" s="653">
        <f>-CFS!AI38</f>
        <v>585</v>
      </c>
      <c r="AJ159" s="40">
        <f>-CFS!AJ38</f>
        <v>126</v>
      </c>
      <c r="AK159" s="630">
        <f>AL159-AJ159</f>
        <v>202</v>
      </c>
      <c r="AL159" s="653">
        <f>-CFS!AL38</f>
        <v>328</v>
      </c>
      <c r="AM159" s="40">
        <f>-CFS!AM38</f>
        <v>125</v>
      </c>
      <c r="AN159" s="630">
        <f>AO159-AM159</f>
        <v>234</v>
      </c>
      <c r="AO159" s="653">
        <f>-CFS!AO38</f>
        <v>359</v>
      </c>
      <c r="AP159" s="40">
        <f>-CFS!AP38</f>
        <v>177</v>
      </c>
      <c r="AQ159" s="630">
        <f>AR159-AP159</f>
        <v>252</v>
      </c>
      <c r="AR159" s="653">
        <f>-CFS!AR38</f>
        <v>429</v>
      </c>
      <c r="AS159" s="40">
        <f>-CFS!AS38</f>
        <v>133</v>
      </c>
      <c r="AT159" s="630">
        <f>AU159-AS159</f>
        <v>386</v>
      </c>
      <c r="AU159" s="653">
        <f>-CFS!AU38</f>
        <v>519</v>
      </c>
      <c r="AV159" s="40">
        <f>-CFS!AV38</f>
        <v>202</v>
      </c>
      <c r="AW159" s="630">
        <f>AX159-AV159</f>
        <v>419</v>
      </c>
      <c r="AX159" s="653">
        <f>-CFS!AX38</f>
        <v>621</v>
      </c>
      <c r="AY159" s="40">
        <f>-CFS!AY38</f>
        <v>237</v>
      </c>
      <c r="AZ159" s="236">
        <f>BA159-AY159</f>
        <v>471.41992265374188</v>
      </c>
      <c r="BA159" s="605">
        <f>BA160*IS!BA5</f>
        <v>708.41992265374188</v>
      </c>
      <c r="BB159" s="56">
        <f>BB160*IS!BB5</f>
        <v>387.42597694250617</v>
      </c>
      <c r="BC159" s="236">
        <f>BD159-BB159</f>
        <v>412.91190019832266</v>
      </c>
      <c r="BD159" s="605">
        <f>BD160*IS!BD5</f>
        <v>800.33787714082882</v>
      </c>
      <c r="BE159" s="56">
        <f>BE160*IS!BE5</f>
        <v>424.8285252611081</v>
      </c>
      <c r="BF159" s="236">
        <f>BG159-BE159</f>
        <v>461.26029317590292</v>
      </c>
      <c r="BG159" s="605">
        <f>BG160*IS!BG5</f>
        <v>886.08881843701101</v>
      </c>
      <c r="BH159" s="56">
        <f>BH160*IS!BH5</f>
        <v>476.10247458379149</v>
      </c>
      <c r="BI159" s="236">
        <f>BJ159-BH159</f>
        <v>516.79536301548512</v>
      </c>
      <c r="BJ159" s="605">
        <f>BJ160*IS!BJ5</f>
        <v>992.89783759927661</v>
      </c>
      <c r="BK159" s="56">
        <f>BK160*IS!BK5</f>
        <v>533.76542924584123</v>
      </c>
      <c r="BL159" s="236">
        <f>BM159-BK159</f>
        <v>578.31918783457536</v>
      </c>
      <c r="BM159" s="605">
        <f>BM160*IS!BM5</f>
        <v>1112.0846170804166</v>
      </c>
    </row>
    <row r="160" spans="1:65">
      <c r="A160" s="93" t="s">
        <v>273</v>
      </c>
      <c r="B160" s="58">
        <f>B159/IS!B5</f>
        <v>4.9795361527967257E-2</v>
      </c>
      <c r="C160" s="58">
        <f>C159/IS!C5</f>
        <v>3.3343868520859674E-2</v>
      </c>
      <c r="D160" s="58">
        <f>D159/IS!D5</f>
        <v>5.4250172771250861E-2</v>
      </c>
      <c r="E160" s="58">
        <f>E159/IS!E5</f>
        <v>3.2240921169176262E-2</v>
      </c>
      <c r="F160" s="58">
        <f>F159/IS!F5</f>
        <v>2.9426601647889693E-2</v>
      </c>
      <c r="G160" s="58">
        <f>G159/IS!G5</f>
        <v>3.3911427686590279E-2</v>
      </c>
      <c r="H160" s="58">
        <f>H159/IS!H5</f>
        <v>4.0527675778593772E-2</v>
      </c>
      <c r="I160" s="58">
        <f>I159/IS!I5</f>
        <v>3.8889599590635794E-2</v>
      </c>
      <c r="J160" s="58">
        <f>J159/IS!J5</f>
        <v>3.1267082103421884E-2</v>
      </c>
      <c r="K160" s="58">
        <f>K159/IS!K5</f>
        <v>2.552433715868619E-2</v>
      </c>
      <c r="L160" s="58">
        <f>L159/IS!L5</f>
        <v>3.2578685808945337E-2</v>
      </c>
      <c r="M160" s="58">
        <f>M159/IS!M5</f>
        <v>3.6534539327835416E-2</v>
      </c>
      <c r="N160" s="58">
        <f>N159/IS!N5</f>
        <v>3.5629453681710214E-2</v>
      </c>
      <c r="O160" s="58">
        <f>O159/IS!O5</f>
        <v>4.3147371815543373E-2</v>
      </c>
      <c r="P160" s="58">
        <f>P159/IS!P5</f>
        <v>4.6739757645701097E-2</v>
      </c>
      <c r="Q160" s="58">
        <f>Q159/IS!Q5</f>
        <v>3.6468473865508465E-2</v>
      </c>
      <c r="R160" s="87">
        <f>R159/IS!R5</f>
        <v>4.9975581963210156E-2</v>
      </c>
      <c r="S160" s="644">
        <f>S159/IS!S5</f>
        <v>3.638743455497382E-2</v>
      </c>
      <c r="T160" s="668">
        <f>T159/IS!T5</f>
        <v>4.2443589929623451E-2</v>
      </c>
      <c r="U160" s="87">
        <f>U159/IS!U5</f>
        <v>5.5498907501820828E-2</v>
      </c>
      <c r="V160" s="644">
        <f>V159/IS!V5</f>
        <v>4.7659574468085109E-2</v>
      </c>
      <c r="W160" s="668">
        <f>W159/IS!W5</f>
        <v>5.1225977468522199E-2</v>
      </c>
      <c r="X160" s="58"/>
      <c r="Y160" s="644"/>
      <c r="Z160" s="668">
        <f>Z159/IS!Z5</f>
        <v>5.3397703167288424E-2</v>
      </c>
      <c r="AA160" s="87">
        <f>AA159/IS!AA5</f>
        <v>4.8721590909090909E-2</v>
      </c>
      <c r="AB160" s="644">
        <f>AB159/IS!AB5</f>
        <v>7.001370374984428E-2</v>
      </c>
      <c r="AC160" s="668">
        <f>AC159/IS!AC5</f>
        <v>6.0065042808787418E-2</v>
      </c>
      <c r="AD160" s="87">
        <f>AD159/IS!AD5</f>
        <v>4.7463620291037671E-2</v>
      </c>
      <c r="AE160" s="644">
        <f>AE159/IS!AE5</f>
        <v>4.9154007657156974E-2</v>
      </c>
      <c r="AF160" s="668">
        <f>AF159/IS!AF5</f>
        <v>4.8349514563106794E-2</v>
      </c>
      <c r="AG160" s="87">
        <f>AG159/IS!AG5</f>
        <v>4.0640172630821793E-2</v>
      </c>
      <c r="AH160" s="644">
        <f>AH159/IS!AH5</f>
        <v>6.1168853296984155E-2</v>
      </c>
      <c r="AI160" s="668">
        <f>AI159/IS!AI5</f>
        <v>5.1181102362204724E-2</v>
      </c>
      <c r="AJ160" s="87">
        <f>AJ159/IS!AJ5</f>
        <v>2.4105605509852687E-2</v>
      </c>
      <c r="AK160" s="644">
        <f>AK159/IS!AK5</f>
        <v>3.5314685314685318E-2</v>
      </c>
      <c r="AL160" s="668">
        <f>AL159/IS!AL5</f>
        <v>2.9962546816479401E-2</v>
      </c>
      <c r="AM160" s="87">
        <f>AM159/IS!AM5</f>
        <v>2.3549359457422758E-2</v>
      </c>
      <c r="AN160" s="644">
        <f>AN159/IS!AN5</f>
        <v>3.1694433157253149E-2</v>
      </c>
      <c r="AO160" s="668">
        <f>AO159/IS!AO5</f>
        <v>2.8287762981640534E-2</v>
      </c>
      <c r="AP160" s="87">
        <f>AP159/IS!AP5</f>
        <v>2.5467625899280574E-2</v>
      </c>
      <c r="AQ160" s="644">
        <f>AQ159/IS!AQ5</f>
        <v>2.9790755408440714E-2</v>
      </c>
      <c r="AR160" s="668">
        <f>AR159/IS!AR5</f>
        <v>2.7840872217535208E-2</v>
      </c>
      <c r="AS160" s="87">
        <f>AS159/IS!AS5</f>
        <v>1.625519432901491E-2</v>
      </c>
      <c r="AT160" s="644">
        <f>AT159/IS!AT5</f>
        <v>3.993378853714049E-2</v>
      </c>
      <c r="AU160" s="668">
        <f>AU159/IS!AU5</f>
        <v>2.9078888390856119E-2</v>
      </c>
      <c r="AV160" s="87">
        <f>AV159/IS!AV5</f>
        <v>2.2303190902064701E-2</v>
      </c>
      <c r="AW160" s="644">
        <f>AW159/IS!AW5</f>
        <v>3.8083984730049085E-2</v>
      </c>
      <c r="AX160" s="668">
        <f>AX159/IS!AX5</f>
        <v>3.0958671917842365E-2</v>
      </c>
      <c r="AY160" s="87">
        <f>AY159/IS!AY5</f>
        <v>2.1012501108254276E-2</v>
      </c>
      <c r="AZ160" s="247">
        <f>AZ159/IS!AZ5</f>
        <v>3.8218080355729663E-2</v>
      </c>
      <c r="BA160" s="585">
        <v>0.03</v>
      </c>
      <c r="BB160" s="245">
        <f>BD160</f>
        <v>0.03</v>
      </c>
      <c r="BC160" s="247">
        <f>BC159/IS!BC5</f>
        <v>0.03</v>
      </c>
      <c r="BD160" s="583">
        <f>BA160</f>
        <v>0.03</v>
      </c>
      <c r="BE160" s="245">
        <f>BG160</f>
        <v>0.03</v>
      </c>
      <c r="BF160" s="247">
        <f>BF159/IS!BF5</f>
        <v>2.9999999999999992E-2</v>
      </c>
      <c r="BG160" s="583">
        <f>BD160</f>
        <v>0.03</v>
      </c>
      <c r="BH160" s="245">
        <f>BJ160</f>
        <v>0.03</v>
      </c>
      <c r="BI160" s="247">
        <f>BI159/IS!BI5</f>
        <v>2.9999999999999992E-2</v>
      </c>
      <c r="BJ160" s="583">
        <f>BG160</f>
        <v>0.03</v>
      </c>
      <c r="BK160" s="245">
        <f>BM160</f>
        <v>0.03</v>
      </c>
      <c r="BL160" s="247">
        <f>BL159/IS!BL5</f>
        <v>2.9999999999999992E-2</v>
      </c>
      <c r="BM160" s="583">
        <f t="shared" ref="BM160" si="669">BJ160</f>
        <v>0.03</v>
      </c>
    </row>
    <row r="161" spans="1:65">
      <c r="A161" s="25" t="s">
        <v>437</v>
      </c>
      <c r="B161" s="40">
        <f>-CFS!B14</f>
        <v>-178</v>
      </c>
      <c r="C161" s="40">
        <f>-CFS!C14</f>
        <v>-198</v>
      </c>
      <c r="D161" s="40">
        <f>-CFS!D14</f>
        <v>-236</v>
      </c>
      <c r="E161" s="40">
        <f>-CFS!E14</f>
        <v>-223</v>
      </c>
      <c r="F161" s="40">
        <f>-CFS!F14</f>
        <v>-242</v>
      </c>
      <c r="G161" s="40">
        <f>-CFS!G14</f>
        <v>-195</v>
      </c>
      <c r="H161" s="40">
        <f>-CFS!H14</f>
        <v>-161</v>
      </c>
      <c r="I161" s="40">
        <f>-CFS!I14</f>
        <v>-170</v>
      </c>
      <c r="J161" s="40">
        <f>-CFS!J14</f>
        <v>-208</v>
      </c>
      <c r="K161" s="40">
        <f>-CFS!K14</f>
        <v>-194</v>
      </c>
      <c r="L161" s="40">
        <f>-CFS!L14</f>
        <v>-237</v>
      </c>
      <c r="M161" s="40">
        <f>-CFS!M14</f>
        <v>-241</v>
      </c>
      <c r="N161" s="40">
        <f>-CFS!N14</f>
        <v>-256</v>
      </c>
      <c r="O161" s="40">
        <f>-CFS!O14</f>
        <v>-372</v>
      </c>
      <c r="P161" s="40">
        <f>-CFS!P14</f>
        <v>-375</v>
      </c>
      <c r="Q161" s="40">
        <f>-CFS!Q14</f>
        <v>-378</v>
      </c>
      <c r="R161" s="40">
        <f>-CFS!R14</f>
        <v>-196</v>
      </c>
      <c r="S161" s="630">
        <f>T161-R161</f>
        <v>-230</v>
      </c>
      <c r="T161" s="653">
        <f>-CFS!T14</f>
        <v>-426</v>
      </c>
      <c r="U161" s="40">
        <f>-CFS!U14</f>
        <v>-221</v>
      </c>
      <c r="V161" s="630">
        <f>W161-U161</f>
        <v>-229</v>
      </c>
      <c r="W161" s="653">
        <f>-CFS!W14</f>
        <v>-450</v>
      </c>
      <c r="X161" s="40"/>
      <c r="Y161" s="630"/>
      <c r="Z161" s="653">
        <f>-CFS!Z14</f>
        <v>-450</v>
      </c>
      <c r="AA161" s="40">
        <f>-CFS!AA14</f>
        <v>-239</v>
      </c>
      <c r="AB161" s="630">
        <f>AC161-AA161</f>
        <v>-282</v>
      </c>
      <c r="AC161" s="653">
        <f>-CFS!AC14</f>
        <v>-521</v>
      </c>
      <c r="AD161" s="40">
        <f>-CFS!AD14</f>
        <v>-229</v>
      </c>
      <c r="AE161" s="630">
        <f>AF161-AD161</f>
        <v>-303</v>
      </c>
      <c r="AF161" s="653">
        <f>-CFS!AF14</f>
        <v>-532</v>
      </c>
      <c r="AG161" s="40">
        <f>-CFS!AG14</f>
        <v>-495</v>
      </c>
      <c r="AH161" s="630">
        <f>AI161-AG161</f>
        <v>-326</v>
      </c>
      <c r="AI161" s="653">
        <f>-CFS!AI14</f>
        <v>-821</v>
      </c>
      <c r="AJ161" s="40">
        <f>-CFS!AJ14</f>
        <v>-243</v>
      </c>
      <c r="AK161" s="630">
        <f>AL161-AJ161</f>
        <v>-219</v>
      </c>
      <c r="AL161" s="653">
        <f>-CFS!AL14</f>
        <v>-462</v>
      </c>
      <c r="AM161" s="40">
        <f>-CFS!AM14</f>
        <v>-203</v>
      </c>
      <c r="AN161" s="630">
        <f>AO161-AM161</f>
        <v>-227</v>
      </c>
      <c r="AO161" s="653">
        <f>-CFS!AO14</f>
        <v>-430</v>
      </c>
      <c r="AP161" s="40">
        <f>-CFS!AP14</f>
        <v>-206</v>
      </c>
      <c r="AQ161" s="630">
        <f>AR161-AP161</f>
        <v>-217</v>
      </c>
      <c r="AR161" s="653">
        <f>-CFS!AR14</f>
        <v>-423</v>
      </c>
      <c r="AS161" s="40">
        <f>-CFS!AS14</f>
        <v>-205</v>
      </c>
      <c r="AT161" s="630">
        <f>AU161-AS161</f>
        <v>-195</v>
      </c>
      <c r="AU161" s="653">
        <f>-CFS!AU14</f>
        <v>-400</v>
      </c>
      <c r="AV161" s="40">
        <f>-CFS!AV14</f>
        <v>-132</v>
      </c>
      <c r="AW161" s="630">
        <f>AX161-AV161</f>
        <v>-206</v>
      </c>
      <c r="AX161" s="653">
        <f>-CFS!AX14</f>
        <v>-338</v>
      </c>
      <c r="AY161" s="40">
        <f>-CFS!AY14</f>
        <v>-184</v>
      </c>
      <c r="AZ161" s="236">
        <f>BA161-AY161</f>
        <v>-213.90274333543505</v>
      </c>
      <c r="BA161" s="605">
        <f>-BA162*IS!BA5</f>
        <v>-397.90274333543505</v>
      </c>
      <c r="BB161" s="56">
        <f>-BB162*IS!BB5</f>
        <v>-217.60802334208597</v>
      </c>
      <c r="BC161" s="236">
        <f>BD161-BB161</f>
        <v>-231.92286466097187</v>
      </c>
      <c r="BD161" s="605">
        <f>-BD162*IS!BD5</f>
        <v>-449.53088800305784</v>
      </c>
      <c r="BE161" s="56">
        <f>-BE162*IS!BE5</f>
        <v>-238.61615158325361</v>
      </c>
      <c r="BF161" s="236">
        <f>BG161-BE161</f>
        <v>-259.07901539368061</v>
      </c>
      <c r="BG161" s="605">
        <f>-BG162*IS!BG5</f>
        <v>-497.69516697693422</v>
      </c>
      <c r="BH161" s="56">
        <f>-BH162*IS!BH5</f>
        <v>-267.41551823673746</v>
      </c>
      <c r="BI161" s="236">
        <f>BJ161-BH161</f>
        <v>-290.27175282788102</v>
      </c>
      <c r="BJ161" s="605">
        <f>-BJ162*IS!BJ5</f>
        <v>-557.68727106461847</v>
      </c>
      <c r="BK161" s="56">
        <f>-BK162*IS!BK5</f>
        <v>-299.80343833207758</v>
      </c>
      <c r="BL161" s="236">
        <f>BM161-BK161</f>
        <v>-324.82823252752132</v>
      </c>
      <c r="BM161" s="605">
        <f>-BM162*IS!BM5</f>
        <v>-624.6316708595989</v>
      </c>
    </row>
    <row r="162" spans="1:65">
      <c r="A162" s="93" t="s">
        <v>273</v>
      </c>
      <c r="B162" s="58">
        <f>-B161/IS!B5</f>
        <v>3.0354706684856753E-2</v>
      </c>
      <c r="C162" s="58">
        <f>-C161/IS!C5</f>
        <v>3.1289506953223765E-2</v>
      </c>
      <c r="D162" s="58">
        <f>-D161/IS!D5</f>
        <v>4.0774015203870077E-2</v>
      </c>
      <c r="E162" s="58">
        <f>-E161/IS!E5</f>
        <v>3.950398582816652E-2</v>
      </c>
      <c r="F162" s="58">
        <f>-F161/IS!F5</f>
        <v>4.069278627879603E-2</v>
      </c>
      <c r="G162" s="58">
        <f>-G161/IS!G5</f>
        <v>3.0195106844224218E-2</v>
      </c>
      <c r="H162" s="58">
        <f>-H161/IS!H5</f>
        <v>2.1895824833401332E-2</v>
      </c>
      <c r="I162" s="58">
        <f>-I161/IS!I5</f>
        <v>2.1747473455289754E-2</v>
      </c>
      <c r="J162" s="58">
        <f>-J161/IS!J5</f>
        <v>2.2739696075215917E-2</v>
      </c>
      <c r="K162" s="58">
        <f>-K161/IS!K5</f>
        <v>1.9192718638702019E-2</v>
      </c>
      <c r="L162" s="58">
        <f>-L161/IS!L5</f>
        <v>2.1811154058531197E-2</v>
      </c>
      <c r="M162" s="58">
        <f>-M161/IS!M5</f>
        <v>2.1370931985457125E-2</v>
      </c>
      <c r="N162" s="58">
        <f>-N161/IS!N5</f>
        <v>2.0968138258661641E-2</v>
      </c>
      <c r="O162" s="58">
        <f>-O161/IS!O5</f>
        <v>2.399226056110932E-2</v>
      </c>
      <c r="P162" s="58">
        <f>-P161/IS!P5</f>
        <v>2.7048470859780727E-2</v>
      </c>
      <c r="Q162" s="58">
        <f>-Q161/IS!Q5</f>
        <v>2.8306125505466528E-2</v>
      </c>
      <c r="R162" s="87">
        <f>-R161/IS!R5</f>
        <v>3.1906234738727009E-2</v>
      </c>
      <c r="S162" s="644">
        <f>-S161/IS!S5</f>
        <v>3.0104712041884817E-2</v>
      </c>
      <c r="T162" s="668">
        <f>-T161/IS!T5</f>
        <v>3.0907639846187333E-2</v>
      </c>
      <c r="U162" s="87">
        <f>-U161/IS!U5</f>
        <v>3.2192279679533871E-2</v>
      </c>
      <c r="V162" s="644">
        <f>-V161/IS!V5</f>
        <v>2.7841945288753799E-2</v>
      </c>
      <c r="W162" s="668">
        <f>-W161/IS!W5</f>
        <v>2.982107355864811E-2</v>
      </c>
      <c r="X162" s="58"/>
      <c r="Y162" s="644"/>
      <c r="Z162" s="668">
        <f>-Z161/IS!Z5</f>
        <v>3.2916392363396975E-2</v>
      </c>
      <c r="AA162" s="87">
        <f>-AA161/IS!AA5</f>
        <v>3.3948863636363638E-2</v>
      </c>
      <c r="AB162" s="644">
        <f>-AB161/IS!AB5</f>
        <v>3.5131431418961009E-2</v>
      </c>
      <c r="AC162" s="668">
        <f>-AC161/IS!AC5</f>
        <v>3.4578880998208002E-2</v>
      </c>
      <c r="AD162" s="87">
        <f>-AD161/IS!AD5</f>
        <v>3.1143750849993199E-2</v>
      </c>
      <c r="AE162" s="644">
        <f>-AE161/IS!AE5</f>
        <v>3.7421267135976287E-2</v>
      </c>
      <c r="AF162" s="668">
        <f>-AF161/IS!AF5</f>
        <v>3.4433656957928806E-2</v>
      </c>
      <c r="AG162" s="87">
        <f>-AG161/IS!AG5</f>
        <v>8.9012767487861896E-2</v>
      </c>
      <c r="AH162" s="644">
        <f>-AH161/IS!AH5</f>
        <v>5.5546089623445219E-2</v>
      </c>
      <c r="AI162" s="668">
        <f>-AI161/IS!AI5</f>
        <v>7.1828521434820644E-2</v>
      </c>
      <c r="AJ162" s="87">
        <f>-AJ161/IS!AJ5</f>
        <v>4.6489382054715901E-2</v>
      </c>
      <c r="AK162" s="644">
        <f>-AK161/IS!AK5</f>
        <v>3.8286713286713285E-2</v>
      </c>
      <c r="AL162" s="668">
        <f>-AL161/IS!AL5</f>
        <v>4.2203343381748422E-2</v>
      </c>
      <c r="AM162" s="87">
        <f>-AM161/IS!AM5</f>
        <v>3.8244159758854562E-2</v>
      </c>
      <c r="AN162" s="644">
        <f>-AN161/IS!AN5</f>
        <v>3.074630908844643E-2</v>
      </c>
      <c r="AO162" s="668">
        <f>-AO161/IS!AO5</f>
        <v>3.3882278780237966E-2</v>
      </c>
      <c r="AP162" s="87">
        <f>-AP161/IS!AP5</f>
        <v>2.9640287769784172E-2</v>
      </c>
      <c r="AQ162" s="644">
        <f>-AQ161/IS!AQ5</f>
        <v>2.5653150490601725E-2</v>
      </c>
      <c r="AR162" s="668">
        <f>-AR161/IS!AR5</f>
        <v>2.7451489389317931E-2</v>
      </c>
      <c r="AS162" s="87">
        <f>-AS161/IS!AS5</f>
        <v>2.5054998777804937E-2</v>
      </c>
      <c r="AT162" s="644">
        <f>-AT161/IS!AT5</f>
        <v>2.0173805090006207E-2</v>
      </c>
      <c r="AU162" s="668">
        <f>-AU161/IS!AU5</f>
        <v>2.2411474675033616E-2</v>
      </c>
      <c r="AV162" s="87">
        <f>-AV161/IS!AV5</f>
        <v>1.457436237164624E-2</v>
      </c>
      <c r="AW162" s="644">
        <f>-AW161/IS!AW5</f>
        <v>1.8723868387565897E-2</v>
      </c>
      <c r="AX162" s="668">
        <f>-AX161/IS!AX5</f>
        <v>1.6850291639662993E-2</v>
      </c>
      <c r="AY162" s="87">
        <f>-AY161/IS!AY5</f>
        <v>1.6313502970121466E-2</v>
      </c>
      <c r="AZ162" s="247">
        <f>-AZ161/IS!AZ5</f>
        <v>1.7341125905510742E-2</v>
      </c>
      <c r="BA162" s="583">
        <f>AX162</f>
        <v>1.6850291639662993E-2</v>
      </c>
      <c r="BB162" s="245">
        <f>BD162</f>
        <v>1.6850291639662993E-2</v>
      </c>
      <c r="BC162" s="247">
        <f>-BC161/IS!BC5</f>
        <v>1.6850291639662989E-2</v>
      </c>
      <c r="BD162" s="583">
        <f>BA162</f>
        <v>1.6850291639662993E-2</v>
      </c>
      <c r="BE162" s="245">
        <f>BG162</f>
        <v>1.6850291639662993E-2</v>
      </c>
      <c r="BF162" s="247">
        <f>-BF161/IS!BF5</f>
        <v>1.6850291639662989E-2</v>
      </c>
      <c r="BG162" s="583">
        <f>BD162</f>
        <v>1.6850291639662993E-2</v>
      </c>
      <c r="BH162" s="245">
        <f>BJ162</f>
        <v>1.6850291639662993E-2</v>
      </c>
      <c r="BI162" s="247">
        <f>-BI161/IS!BI5</f>
        <v>1.6850291639662989E-2</v>
      </c>
      <c r="BJ162" s="583">
        <f>BG162</f>
        <v>1.6850291639662993E-2</v>
      </c>
      <c r="BK162" s="245">
        <f>BM162</f>
        <v>1.6850291639662993E-2</v>
      </c>
      <c r="BL162" s="247">
        <f>-BL161/IS!BL5</f>
        <v>1.6850291639662993E-2</v>
      </c>
      <c r="BM162" s="583">
        <f t="shared" ref="BM162" si="670">BJ162</f>
        <v>1.6850291639662993E-2</v>
      </c>
    </row>
    <row r="163" spans="1:65">
      <c r="A163" s="25" t="s">
        <v>438</v>
      </c>
      <c r="B163" s="40"/>
      <c r="C163" s="40">
        <f>C164-C161-C159-C158</f>
        <v>-53</v>
      </c>
      <c r="D163" s="40">
        <f t="shared" ref="D163:T163" si="671">D164-D161-D159-D158</f>
        <v>66</v>
      </c>
      <c r="E163" s="40">
        <f t="shared" si="671"/>
        <v>-85</v>
      </c>
      <c r="F163" s="40">
        <f t="shared" si="671"/>
        <v>-11</v>
      </c>
      <c r="G163" s="40">
        <f t="shared" si="671"/>
        <v>-47</v>
      </c>
      <c r="H163" s="40">
        <f t="shared" si="671"/>
        <v>-80</v>
      </c>
      <c r="I163" s="40">
        <f t="shared" si="671"/>
        <v>-27</v>
      </c>
      <c r="J163" s="40">
        <f t="shared" si="671"/>
        <v>104</v>
      </c>
      <c r="K163" s="40">
        <f t="shared" si="671"/>
        <v>-50</v>
      </c>
      <c r="L163" s="40">
        <f t="shared" si="671"/>
        <v>10</v>
      </c>
      <c r="M163" s="40">
        <f t="shared" si="671"/>
        <v>31</v>
      </c>
      <c r="N163" s="40">
        <f t="shared" si="671"/>
        <v>47</v>
      </c>
      <c r="O163" s="40">
        <f t="shared" si="671"/>
        <v>531</v>
      </c>
      <c r="P163" s="40">
        <f t="shared" si="671"/>
        <v>-219</v>
      </c>
      <c r="Q163" s="40">
        <f t="shared" si="671"/>
        <v>-65</v>
      </c>
      <c r="R163" s="40">
        <f>R164-R161-R159-R158</f>
        <v>117</v>
      </c>
      <c r="S163" s="630">
        <f>T163-R163</f>
        <v>348</v>
      </c>
      <c r="T163" s="653">
        <f t="shared" si="671"/>
        <v>465</v>
      </c>
      <c r="U163" s="40">
        <f>U164-U161-U159-U158</f>
        <v>-203</v>
      </c>
      <c r="V163" s="630">
        <f>W163-U163</f>
        <v>390</v>
      </c>
      <c r="W163" s="653">
        <f>W164-W161-W159-W158</f>
        <v>187</v>
      </c>
      <c r="X163" s="40"/>
      <c r="Y163" s="630"/>
      <c r="Z163" s="653"/>
      <c r="AA163" s="40">
        <f>AA164-AA161-AA159-AA158</f>
        <v>-268</v>
      </c>
      <c r="AB163" s="630">
        <f>AC163-AA163</f>
        <v>155</v>
      </c>
      <c r="AC163" s="653">
        <f>AC164-AC161-AC159-AC158</f>
        <v>-113</v>
      </c>
      <c r="AD163" s="40">
        <f>AD164-AD161-AD159-AD158</f>
        <v>-281</v>
      </c>
      <c r="AE163" s="630">
        <f>AF163-AD163</f>
        <v>-60</v>
      </c>
      <c r="AF163" s="653">
        <f>AF164-AF161-AF159-AF158</f>
        <v>-341</v>
      </c>
      <c r="AG163" s="40">
        <f>AG164-AG161-AG159-AG158</f>
        <v>78</v>
      </c>
      <c r="AH163" s="630">
        <f>AI163-AG163</f>
        <v>-130</v>
      </c>
      <c r="AI163" s="653">
        <f>AI164-AI161-AI159-AI158</f>
        <v>-52</v>
      </c>
      <c r="AJ163" s="40">
        <f>AJ164-AJ161-AJ159-AJ158</f>
        <v>-406</v>
      </c>
      <c r="AK163" s="630">
        <f>AL163-AJ163</f>
        <v>-58</v>
      </c>
      <c r="AL163" s="653">
        <f>AL164-AL161-AL159-AL158</f>
        <v>-464</v>
      </c>
      <c r="AM163" s="40">
        <f>AM164-AM161-AM159-AM158</f>
        <v>60</v>
      </c>
      <c r="AN163" s="630">
        <f>AO163-AM163</f>
        <v>30</v>
      </c>
      <c r="AO163" s="653">
        <f>AO164-AO161-AO159-AO158</f>
        <v>90</v>
      </c>
      <c r="AP163" s="40">
        <f>AP164-AP161-AP159-AP158</f>
        <v>-100</v>
      </c>
      <c r="AQ163" s="630">
        <f>AR163-AP163</f>
        <v>-114</v>
      </c>
      <c r="AR163" s="653">
        <f>AR164-AR161-AR159-AR158</f>
        <v>-214</v>
      </c>
      <c r="AS163" s="40">
        <f>AS164-AS161-AS159-AS158</f>
        <v>-19</v>
      </c>
      <c r="AT163" s="630">
        <f>AU163-AS163</f>
        <v>-104</v>
      </c>
      <c r="AU163" s="653">
        <f>AU164-AU161-AU159-AU158</f>
        <v>-123</v>
      </c>
      <c r="AV163" s="40">
        <f>AV164-AV161-AV159-AV158</f>
        <v>-62</v>
      </c>
      <c r="AW163" s="630">
        <f>AX163-AV163</f>
        <v>68</v>
      </c>
      <c r="AX163" s="653">
        <f>AX164-AX161-AX159-AX158</f>
        <v>6</v>
      </c>
      <c r="AY163" s="40">
        <f>AY164-AY161-AY159-AY158</f>
        <v>82</v>
      </c>
      <c r="AZ163" s="236">
        <f>BA163-AY163</f>
        <v>-92</v>
      </c>
      <c r="BA163" s="605">
        <f>-CFS!BA39-CFS!BA40-CFS!BA8</f>
        <v>-10</v>
      </c>
      <c r="BB163" s="56">
        <f>-CFS!BB39-CFS!BB40-CFS!BB8</f>
        <v>0</v>
      </c>
      <c r="BC163" s="236">
        <f>BD163-BB163</f>
        <v>0</v>
      </c>
      <c r="BD163" s="605">
        <f>-CFS!BD39-CFS!BD40-CFS!BD8</f>
        <v>0</v>
      </c>
      <c r="BE163" s="56">
        <f>-CFS!BE39-CFS!BE40-CFS!BE8</f>
        <v>0</v>
      </c>
      <c r="BF163" s="236">
        <f>BG163-BE163</f>
        <v>0</v>
      </c>
      <c r="BG163" s="605">
        <f>-CFS!BG39-CFS!BG40-CFS!BG8</f>
        <v>0</v>
      </c>
      <c r="BH163" s="56">
        <f>-CFS!BH39-CFS!BH40-CFS!BH8</f>
        <v>0</v>
      </c>
      <c r="BI163" s="236">
        <f>BJ163-BH163</f>
        <v>0</v>
      </c>
      <c r="BJ163" s="605">
        <f>-CFS!BJ39-CFS!BJ40-CFS!BJ8</f>
        <v>0</v>
      </c>
      <c r="BK163" s="56">
        <f>-CFS!BK39-CFS!BK40-CFS!BK8</f>
        <v>0</v>
      </c>
      <c r="BL163" s="236">
        <f>BM163-BK163</f>
        <v>0</v>
      </c>
      <c r="BM163" s="605">
        <f>-CFS!BM39-CFS!BM40-CFS!BM8</f>
        <v>0</v>
      </c>
    </row>
    <row r="164" spans="1:65">
      <c r="A164" s="31" t="s">
        <v>439</v>
      </c>
      <c r="B164" s="51">
        <f t="shared" ref="B164:AI164" si="672">B6</f>
        <v>1772</v>
      </c>
      <c r="C164" s="51">
        <f t="shared" si="672"/>
        <v>1732</v>
      </c>
      <c r="D164" s="51">
        <f t="shared" si="672"/>
        <v>1876</v>
      </c>
      <c r="E164" s="51">
        <f t="shared" si="672"/>
        <v>1750</v>
      </c>
      <c r="F164" s="51">
        <f t="shared" si="672"/>
        <v>1672</v>
      </c>
      <c r="G164" s="51">
        <f t="shared" si="672"/>
        <v>1649</v>
      </c>
      <c r="H164" s="51">
        <f t="shared" si="672"/>
        <v>1706</v>
      </c>
      <c r="I164" s="51">
        <f t="shared" si="672"/>
        <v>1813</v>
      </c>
      <c r="J164" s="51">
        <f t="shared" si="672"/>
        <v>1995</v>
      </c>
      <c r="K164" s="51">
        <f t="shared" si="672"/>
        <v>2009</v>
      </c>
      <c r="L164" s="51">
        <f t="shared" si="672"/>
        <v>2136</v>
      </c>
      <c r="M164" s="51">
        <f t="shared" si="672"/>
        <v>2338</v>
      </c>
      <c r="N164" s="51">
        <f t="shared" si="672"/>
        <v>2564</v>
      </c>
      <c r="O164" s="51">
        <f t="shared" si="672"/>
        <v>3392</v>
      </c>
      <c r="P164" s="51">
        <f t="shared" si="672"/>
        <v>3446</v>
      </c>
      <c r="Q164" s="51">
        <f t="shared" si="672"/>
        <v>3490</v>
      </c>
      <c r="R164" s="51">
        <f>R6</f>
        <v>3718</v>
      </c>
      <c r="S164" s="629">
        <f t="shared" ref="S164" si="673">S158+S159+S161+S163</f>
        <v>4114</v>
      </c>
      <c r="T164" s="652">
        <f t="shared" si="672"/>
        <v>4114</v>
      </c>
      <c r="U164" s="51">
        <f>U6</f>
        <v>4071</v>
      </c>
      <c r="V164" s="629">
        <f t="shared" ref="V164" si="674">V158+V159+V161+V163</f>
        <v>4624</v>
      </c>
      <c r="W164" s="652">
        <f t="shared" si="672"/>
        <v>4624</v>
      </c>
      <c r="X164" s="51"/>
      <c r="Y164" s="629"/>
      <c r="Z164" s="652">
        <f t="shared" si="672"/>
        <v>4658</v>
      </c>
      <c r="AA164" s="51">
        <f>AA6</f>
        <v>4494</v>
      </c>
      <c r="AB164" s="629">
        <f t="shared" ref="AB164" si="675">AB158+AB159+AB161+AB163</f>
        <v>4929</v>
      </c>
      <c r="AC164" s="652">
        <f t="shared" si="672"/>
        <v>4929</v>
      </c>
      <c r="AD164" s="51">
        <f>AD6</f>
        <v>4768</v>
      </c>
      <c r="AE164" s="629">
        <f t="shared" ref="AE164" si="676">AE158+AE159+AE161+AE163</f>
        <v>4803</v>
      </c>
      <c r="AF164" s="652">
        <f t="shared" si="672"/>
        <v>4803</v>
      </c>
      <c r="AG164" s="51">
        <f>AG6</f>
        <v>4612</v>
      </c>
      <c r="AH164" s="629">
        <f t="shared" ref="AH164" si="677">AH158+AH159+AH161+AH163</f>
        <v>4515</v>
      </c>
      <c r="AI164" s="652">
        <f t="shared" si="672"/>
        <v>4515</v>
      </c>
      <c r="AJ164" s="51">
        <f>AJ6</f>
        <v>3992</v>
      </c>
      <c r="AK164" s="629">
        <f t="shared" ref="AK164" si="678">AK158+AK159+AK161+AK163</f>
        <v>3917</v>
      </c>
      <c r="AL164" s="652">
        <f>AL6</f>
        <v>3917</v>
      </c>
      <c r="AM164" s="51">
        <f>AM6</f>
        <v>3899</v>
      </c>
      <c r="AN164" s="629">
        <f t="shared" ref="AN164" si="679">AN158+AN159+AN161+AN163</f>
        <v>3936</v>
      </c>
      <c r="AO164" s="652">
        <f>AO6</f>
        <v>3936</v>
      </c>
      <c r="AP164" s="51">
        <f>AP6</f>
        <v>3807</v>
      </c>
      <c r="AQ164" s="629">
        <f t="shared" ref="AQ164" si="680">AQ158+AQ159+AQ161+AQ163</f>
        <v>3728</v>
      </c>
      <c r="AR164" s="652">
        <f>AR6</f>
        <v>3728</v>
      </c>
      <c r="AS164" s="51">
        <f>AS6</f>
        <v>3637</v>
      </c>
      <c r="AT164" s="629">
        <f t="shared" ref="AT164" si="681">AT158+AT159+AT161+AT163</f>
        <v>3724</v>
      </c>
      <c r="AU164" s="652">
        <f>AU6</f>
        <v>3724</v>
      </c>
      <c r="AV164" s="51">
        <f>AV6</f>
        <v>3732</v>
      </c>
      <c r="AW164" s="629">
        <f t="shared" ref="AW164" si="682">AW158+AW159+AW161+AW163</f>
        <v>4013</v>
      </c>
      <c r="AX164" s="652">
        <f>AX6</f>
        <v>4013</v>
      </c>
      <c r="AY164" s="51">
        <f>AY6</f>
        <v>4148</v>
      </c>
      <c r="AZ164" s="237">
        <f>AZ158+AZ159+AZ161+AZ163</f>
        <v>4313.5171793183072</v>
      </c>
      <c r="BA164" s="576">
        <f t="shared" ref="BA164:BM164" si="683">BA158+BA159+BA161+BA163</f>
        <v>4313.5171793183072</v>
      </c>
      <c r="BB164" s="48">
        <f>BB158+BB159+BB161+BB163</f>
        <v>4483.3351329187271</v>
      </c>
      <c r="BC164" s="237">
        <f>BC158+BC159+BC161+BC163</f>
        <v>4664.324168456078</v>
      </c>
      <c r="BD164" s="576">
        <f t="shared" si="683"/>
        <v>4664.324168456078</v>
      </c>
      <c r="BE164" s="48">
        <f>BE158+BE159+BE161+BE163</f>
        <v>4850.536542133932</v>
      </c>
      <c r="BF164" s="237">
        <f>BF158+BF159+BF161+BF163</f>
        <v>5052.7178199161544</v>
      </c>
      <c r="BG164" s="576">
        <f t="shared" si="683"/>
        <v>5052.7178199161544</v>
      </c>
      <c r="BH164" s="48">
        <f>BH158+BH159+BH161+BH163</f>
        <v>5261.4047762632081</v>
      </c>
      <c r="BI164" s="237">
        <f>BI158+BI159+BI161+BI163</f>
        <v>5487.9283864508125</v>
      </c>
      <c r="BJ164" s="576">
        <f t="shared" si="683"/>
        <v>5487.9283864508125</v>
      </c>
      <c r="BK164" s="48">
        <f>BK158+BK159+BK161+BK163</f>
        <v>5721.8903773645761</v>
      </c>
      <c r="BL164" s="237">
        <f>BL158+BL159+BL161+BL163</f>
        <v>5975.3813326716299</v>
      </c>
      <c r="BM164" s="576">
        <f t="shared" si="683"/>
        <v>5975.3813326716299</v>
      </c>
    </row>
    <row r="165" spans="1:65" ht="11.4">
      <c r="B165" s="40"/>
      <c r="C165" s="40"/>
      <c r="D165" s="40"/>
      <c r="E165" s="40"/>
      <c r="F165" s="40"/>
      <c r="G165" s="40"/>
      <c r="H165" s="40"/>
      <c r="I165" s="40"/>
      <c r="J165" s="40"/>
      <c r="K165" s="40"/>
      <c r="L165" s="40"/>
      <c r="M165" s="40"/>
      <c r="N165" s="40"/>
      <c r="O165" s="40"/>
      <c r="P165" s="40"/>
      <c r="Q165" s="40"/>
      <c r="R165" s="108"/>
      <c r="S165" s="676"/>
      <c r="T165" s="653"/>
      <c r="U165" s="108"/>
      <c r="V165" s="676"/>
      <c r="W165" s="653"/>
      <c r="X165" s="40"/>
      <c r="Y165" s="630"/>
      <c r="Z165" s="653"/>
      <c r="AA165" s="108"/>
      <c r="AB165" s="676"/>
      <c r="AC165" s="679"/>
      <c r="AD165" s="108"/>
      <c r="AE165" s="676"/>
      <c r="AF165" s="679"/>
      <c r="AG165" s="108"/>
      <c r="AH165" s="676"/>
      <c r="AI165" s="679"/>
      <c r="AJ165" s="108"/>
      <c r="AK165" s="676"/>
      <c r="AL165" s="679"/>
      <c r="AM165" s="108"/>
      <c r="AN165" s="676"/>
      <c r="AO165" s="679"/>
      <c r="AP165" s="108"/>
      <c r="AQ165" s="676"/>
      <c r="AR165" s="679"/>
      <c r="AS165" s="108"/>
      <c r="AT165" s="676"/>
      <c r="AU165" s="679"/>
      <c r="AV165" s="108"/>
      <c r="AW165" s="676"/>
      <c r="AX165" s="679"/>
      <c r="AY165" s="108"/>
      <c r="AZ165" s="688"/>
      <c r="BA165" s="685"/>
      <c r="BB165" s="19"/>
      <c r="BC165" s="688"/>
      <c r="BD165" s="685"/>
      <c r="BE165" s="19"/>
      <c r="BF165" s="688"/>
      <c r="BG165" s="685"/>
      <c r="BH165" s="19"/>
      <c r="BI165" s="688"/>
      <c r="BJ165" s="685"/>
      <c r="BK165" s="19"/>
      <c r="BL165" s="688"/>
      <c r="BM165" s="685"/>
    </row>
    <row r="166" spans="1:65">
      <c r="A166" s="25" t="s">
        <v>434</v>
      </c>
      <c r="B166" s="40"/>
      <c r="C166" s="298">
        <f>-C159/C161</f>
        <v>1.0656565656565657</v>
      </c>
      <c r="D166" s="298">
        <f t="shared" ref="D166:BM166" si="684">-D159/D161</f>
        <v>1.3305084745762712</v>
      </c>
      <c r="E166" s="298">
        <f t="shared" si="684"/>
        <v>0.81614349775784756</v>
      </c>
      <c r="F166" s="298">
        <f t="shared" si="684"/>
        <v>0.72314049586776863</v>
      </c>
      <c r="G166" s="298">
        <f t="shared" si="684"/>
        <v>1.1230769230769231</v>
      </c>
      <c r="H166" s="298">
        <f t="shared" si="684"/>
        <v>1.8509316770186335</v>
      </c>
      <c r="I166" s="298">
        <f t="shared" si="684"/>
        <v>1.7882352941176471</v>
      </c>
      <c r="J166" s="298">
        <f t="shared" si="684"/>
        <v>1.375</v>
      </c>
      <c r="K166" s="298">
        <f t="shared" si="684"/>
        <v>1.3298969072164948</v>
      </c>
      <c r="L166" s="298">
        <f t="shared" si="684"/>
        <v>1.4936708860759493</v>
      </c>
      <c r="M166" s="298">
        <f t="shared" si="684"/>
        <v>1.7095435684647302</v>
      </c>
      <c r="N166" s="298">
        <f t="shared" si="684"/>
        <v>1.69921875</v>
      </c>
      <c r="O166" s="298">
        <f t="shared" si="684"/>
        <v>1.7983870967741935</v>
      </c>
      <c r="P166" s="298">
        <f t="shared" si="684"/>
        <v>1.728</v>
      </c>
      <c r="Q166" s="298">
        <f t="shared" si="684"/>
        <v>1.2883597883597884</v>
      </c>
      <c r="R166" s="298">
        <f t="shared" ref="R166:S166" si="685">-R159/R161</f>
        <v>1.5663265306122449</v>
      </c>
      <c r="S166" s="675">
        <f t="shared" si="685"/>
        <v>1.2086956521739129</v>
      </c>
      <c r="T166" s="677">
        <f t="shared" si="684"/>
        <v>1.3732394366197183</v>
      </c>
      <c r="U166" s="298">
        <f t="shared" si="684"/>
        <v>1.7239819004524888</v>
      </c>
      <c r="V166" s="675">
        <f t="shared" si="684"/>
        <v>1.7117903930131004</v>
      </c>
      <c r="W166" s="677">
        <f>-W159/W161</f>
        <v>1.7177777777777778</v>
      </c>
      <c r="X166" s="298"/>
      <c r="Y166" s="675"/>
      <c r="Z166" s="677">
        <f>-Z159/Z161</f>
        <v>1.6222222222222222</v>
      </c>
      <c r="AA166" s="298">
        <f t="shared" ref="AA166:AB166" si="686">-AA159/AA161</f>
        <v>1.4351464435146444</v>
      </c>
      <c r="AB166" s="675">
        <f t="shared" si="686"/>
        <v>1.9929078014184398</v>
      </c>
      <c r="AC166" s="677">
        <f t="shared" si="684"/>
        <v>1.7370441458733206</v>
      </c>
      <c r="AD166" s="298">
        <f t="shared" si="684"/>
        <v>1.5240174672489082</v>
      </c>
      <c r="AE166" s="675">
        <f t="shared" si="684"/>
        <v>1.3135313531353134</v>
      </c>
      <c r="AF166" s="677">
        <f>-AF159/AF161</f>
        <v>1.4041353383458646</v>
      </c>
      <c r="AG166" s="298">
        <f t="shared" ref="AG166:AH166" si="687">-AG159/AG161</f>
        <v>0.45656565656565656</v>
      </c>
      <c r="AH166" s="675">
        <f t="shared" si="687"/>
        <v>1.1012269938650308</v>
      </c>
      <c r="AI166" s="677">
        <f>-AI159/AI161</f>
        <v>0.71254567600487206</v>
      </c>
      <c r="AJ166" s="298">
        <f t="shared" ref="AJ166:AK166" si="688">-AJ159/AJ161</f>
        <v>0.51851851851851849</v>
      </c>
      <c r="AK166" s="675">
        <f t="shared" si="688"/>
        <v>0.92237442922374424</v>
      </c>
      <c r="AL166" s="677">
        <f>-AL159/AL161</f>
        <v>0.70995670995671001</v>
      </c>
      <c r="AM166" s="298">
        <f t="shared" ref="AM166:AN166" si="689">-AM159/AM161</f>
        <v>0.61576354679802958</v>
      </c>
      <c r="AN166" s="675">
        <f t="shared" si="689"/>
        <v>1.0308370044052864</v>
      </c>
      <c r="AO166" s="677">
        <f t="shared" si="684"/>
        <v>0.83488372093023255</v>
      </c>
      <c r="AP166" s="298">
        <f t="shared" ref="AP166:AR166" si="690">-AP159/AP161</f>
        <v>0.85922330097087374</v>
      </c>
      <c r="AQ166" s="675">
        <f t="shared" si="690"/>
        <v>1.1612903225806452</v>
      </c>
      <c r="AR166" s="677">
        <f t="shared" si="690"/>
        <v>1.0141843971631206</v>
      </c>
      <c r="AS166" s="298">
        <f t="shared" ref="AS166:AU166" si="691">-AS159/AS161</f>
        <v>0.64878048780487807</v>
      </c>
      <c r="AT166" s="675">
        <f t="shared" si="691"/>
        <v>1.9794871794871796</v>
      </c>
      <c r="AU166" s="677">
        <f t="shared" si="691"/>
        <v>1.2975000000000001</v>
      </c>
      <c r="AV166" s="298">
        <f t="shared" ref="AV166:AW166" si="692">-AV159/AV161</f>
        <v>1.5303030303030303</v>
      </c>
      <c r="AW166" s="675">
        <f t="shared" si="692"/>
        <v>2.0339805825242721</v>
      </c>
      <c r="AX166" s="677">
        <f t="shared" si="684"/>
        <v>1.8372781065088757</v>
      </c>
      <c r="AY166" s="298">
        <f t="shared" si="684"/>
        <v>1.2880434782608696</v>
      </c>
      <c r="AZ166" s="706">
        <f t="shared" si="684"/>
        <v>2.2038984414261442</v>
      </c>
      <c r="BA166" s="700">
        <f t="shared" si="684"/>
        <v>1.7803846153846155</v>
      </c>
      <c r="BB166" s="990">
        <f t="shared" si="684"/>
        <v>1.7803846153846155</v>
      </c>
      <c r="BC166" s="706">
        <f t="shared" si="684"/>
        <v>1.7803846153846157</v>
      </c>
      <c r="BD166" s="700">
        <f t="shared" si="684"/>
        <v>1.7803846153846155</v>
      </c>
      <c r="BE166" s="990">
        <f t="shared" si="684"/>
        <v>1.7803846153846155</v>
      </c>
      <c r="BF166" s="706">
        <f t="shared" si="684"/>
        <v>1.7803846153846155</v>
      </c>
      <c r="BG166" s="700">
        <f t="shared" si="684"/>
        <v>1.7803846153846155</v>
      </c>
      <c r="BH166" s="990">
        <f t="shared" si="684"/>
        <v>1.7803846153846157</v>
      </c>
      <c r="BI166" s="706">
        <f t="shared" si="684"/>
        <v>1.7803846153846155</v>
      </c>
      <c r="BJ166" s="700">
        <f t="shared" si="684"/>
        <v>1.7803846153846157</v>
      </c>
      <c r="BK166" s="990">
        <f t="shared" si="684"/>
        <v>1.7803846153846155</v>
      </c>
      <c r="BL166" s="706">
        <f t="shared" si="684"/>
        <v>1.780384615384615</v>
      </c>
      <c r="BM166" s="700">
        <f t="shared" si="684"/>
        <v>1.7803846153846152</v>
      </c>
    </row>
    <row r="167" spans="1:65">
      <c r="B167" s="40"/>
      <c r="C167" s="40"/>
      <c r="D167" s="40"/>
      <c r="E167" s="40"/>
      <c r="F167" s="40"/>
      <c r="G167" s="40"/>
      <c r="H167" s="40"/>
      <c r="I167" s="40"/>
      <c r="J167" s="40"/>
      <c r="K167" s="40"/>
      <c r="L167" s="40"/>
      <c r="M167" s="40"/>
      <c r="N167" s="40"/>
      <c r="O167" s="40"/>
      <c r="P167" s="40"/>
      <c r="Q167" s="40"/>
      <c r="R167" s="40"/>
      <c r="S167" s="630"/>
      <c r="T167" s="653"/>
      <c r="U167" s="40"/>
      <c r="V167" s="630"/>
      <c r="W167" s="653"/>
      <c r="X167" s="40"/>
      <c r="Y167" s="630"/>
      <c r="Z167" s="653"/>
      <c r="AA167" s="40"/>
      <c r="AB167" s="630"/>
      <c r="AC167" s="653"/>
      <c r="AD167" s="40"/>
      <c r="AE167" s="630"/>
      <c r="AF167" s="653"/>
      <c r="AG167" s="40"/>
      <c r="AH167" s="630"/>
      <c r="AI167" s="653"/>
      <c r="AJ167" s="40"/>
      <c r="AK167" s="630"/>
      <c r="AL167" s="653"/>
      <c r="AM167" s="40"/>
      <c r="AN167" s="630"/>
      <c r="AO167" s="653"/>
      <c r="AP167" s="40"/>
      <c r="AQ167" s="539"/>
      <c r="AR167" s="550"/>
      <c r="AS167"/>
      <c r="AT167" s="539"/>
      <c r="AU167" s="550"/>
      <c r="AV167"/>
      <c r="AW167" s="539"/>
      <c r="AX167" s="550"/>
      <c r="AY167"/>
      <c r="AZ167" s="539"/>
      <c r="BA167" s="550"/>
      <c r="BB167"/>
      <c r="BC167" s="539"/>
      <c r="BD167" s="550"/>
      <c r="BE167"/>
      <c r="BF167" s="539"/>
      <c r="BG167" s="550"/>
      <c r="BH167"/>
      <c r="BI167" s="539"/>
      <c r="BJ167" s="550"/>
      <c r="BK167"/>
      <c r="BL167" s="539"/>
      <c r="BM167" s="550"/>
    </row>
    <row r="168" spans="1:65">
      <c r="A168" s="310" t="s">
        <v>768</v>
      </c>
      <c r="B168" s="318"/>
      <c r="C168" s="318"/>
      <c r="D168" s="318"/>
      <c r="E168" s="318"/>
      <c r="F168" s="318"/>
      <c r="G168" s="318"/>
      <c r="H168" s="318"/>
      <c r="I168" s="318"/>
      <c r="J168" s="318"/>
      <c r="K168" s="318"/>
      <c r="L168" s="318"/>
      <c r="M168" s="318"/>
      <c r="N168" s="318"/>
      <c r="O168" s="318"/>
      <c r="P168" s="318"/>
      <c r="Q168" s="318"/>
      <c r="R168" s="529"/>
      <c r="S168" s="319"/>
      <c r="T168" s="664"/>
      <c r="U168" s="529"/>
      <c r="V168" s="319"/>
      <c r="W168" s="664"/>
      <c r="X168" s="527"/>
      <c r="Y168" s="320"/>
      <c r="Z168" s="664"/>
      <c r="AA168" s="527"/>
      <c r="AB168" s="320"/>
      <c r="AC168" s="664"/>
      <c r="AD168" s="527"/>
      <c r="AE168" s="320"/>
      <c r="AF168" s="664"/>
      <c r="AG168" s="527"/>
      <c r="AH168" s="320"/>
      <c r="AI168" s="664"/>
      <c r="AJ168" s="527"/>
      <c r="AK168" s="320"/>
      <c r="AL168" s="664"/>
      <c r="AM168" s="527"/>
      <c r="AN168" s="320"/>
      <c r="AO168" s="664"/>
      <c r="AP168" s="527"/>
      <c r="AQ168" s="320"/>
      <c r="AR168" s="664"/>
      <c r="AS168" s="527"/>
      <c r="AT168" s="320"/>
      <c r="AU168" s="664"/>
      <c r="AV168" s="527"/>
      <c r="AW168" s="320"/>
      <c r="AX168" s="664"/>
      <c r="AY168" s="527"/>
      <c r="AZ168" s="215"/>
      <c r="BA168" s="574"/>
      <c r="BB168" s="179"/>
      <c r="BC168" s="215"/>
      <c r="BD168" s="574"/>
      <c r="BE168" s="179"/>
      <c r="BF168" s="215"/>
      <c r="BG168" s="574"/>
      <c r="BH168" s="179"/>
      <c r="BI168" s="215"/>
      <c r="BJ168" s="574"/>
      <c r="BK168" s="179"/>
      <c r="BL168" s="215"/>
      <c r="BM168" s="574"/>
    </row>
    <row r="169" spans="1:65">
      <c r="B169" s="40"/>
      <c r="C169" s="40"/>
      <c r="D169" s="40"/>
      <c r="E169" s="40"/>
      <c r="F169" s="40"/>
      <c r="G169" s="40"/>
      <c r="H169" s="40"/>
      <c r="I169" s="40"/>
      <c r="J169" s="40"/>
      <c r="K169" s="40"/>
      <c r="L169" s="40"/>
      <c r="M169" s="40"/>
      <c r="N169" s="40"/>
      <c r="O169" s="40"/>
      <c r="P169" s="40"/>
      <c r="Q169" s="40"/>
      <c r="R169" s="40"/>
      <c r="S169" s="630"/>
      <c r="T169" s="653"/>
      <c r="U169" s="40"/>
      <c r="V169" s="630"/>
      <c r="W169" s="653"/>
      <c r="X169" s="40"/>
      <c r="Y169" s="630"/>
      <c r="Z169" s="653"/>
      <c r="AA169" s="40"/>
      <c r="AB169" s="630"/>
      <c r="AC169" s="653"/>
      <c r="AD169" s="40"/>
      <c r="AE169" s="630"/>
      <c r="AF169" s="653"/>
      <c r="AG169" s="40"/>
      <c r="AH169" s="630"/>
      <c r="AI169" s="653"/>
      <c r="AJ169" s="40"/>
      <c r="AK169" s="630"/>
      <c r="AL169" s="653"/>
      <c r="AM169" s="40"/>
      <c r="AN169" s="630"/>
      <c r="AO169" s="653"/>
      <c r="AP169" s="40"/>
      <c r="AQ169" s="539"/>
      <c r="AR169" s="550"/>
      <c r="AS169"/>
      <c r="AT169" s="539"/>
      <c r="AU169" s="550"/>
      <c r="AV169"/>
      <c r="AW169" s="539"/>
      <c r="AX169" s="550"/>
      <c r="AY169"/>
      <c r="AZ169" s="539"/>
      <c r="BA169" s="550"/>
      <c r="BB169"/>
      <c r="BC169" s="539"/>
      <c r="BD169" s="550"/>
      <c r="BE169"/>
      <c r="BF169" s="539"/>
      <c r="BG169" s="550"/>
      <c r="BH169"/>
      <c r="BI169" s="539"/>
      <c r="BJ169" s="550"/>
      <c r="BK169"/>
      <c r="BL169" s="539"/>
      <c r="BM169" s="550"/>
    </row>
    <row r="170" spans="1:65">
      <c r="A170" s="25" t="s">
        <v>435</v>
      </c>
      <c r="B170" s="40"/>
      <c r="C170" s="40"/>
      <c r="D170" s="40"/>
      <c r="E170" s="40"/>
      <c r="F170" s="40"/>
      <c r="G170" s="40"/>
      <c r="H170" s="40"/>
      <c r="I170" s="40"/>
      <c r="J170" s="40"/>
      <c r="K170" s="40"/>
      <c r="L170" s="40"/>
      <c r="M170" s="40"/>
      <c r="N170" s="40"/>
      <c r="O170" s="40"/>
      <c r="P170" s="40"/>
      <c r="Q170" s="40"/>
      <c r="R170" s="40"/>
      <c r="S170" s="630"/>
      <c r="T170" s="653"/>
      <c r="U170" s="40"/>
      <c r="V170" s="630"/>
      <c r="W170" s="653"/>
      <c r="X170" s="40"/>
      <c r="Y170" s="630"/>
      <c r="Z170" s="653"/>
      <c r="AA170" s="40"/>
      <c r="AB170" s="630"/>
      <c r="AC170" s="653"/>
      <c r="AD170" s="40"/>
      <c r="AE170" s="630"/>
      <c r="AF170" s="653">
        <v>2213</v>
      </c>
      <c r="AG170" s="40">
        <f>AF176</f>
        <v>2009</v>
      </c>
      <c r="AH170" s="630">
        <f>AG176</f>
        <v>1540</v>
      </c>
      <c r="AI170" s="653">
        <f t="shared" ref="AI170" si="693">AF176</f>
        <v>2009</v>
      </c>
      <c r="AJ170" s="40">
        <f>AI176</f>
        <v>1405</v>
      </c>
      <c r="AK170" s="630">
        <f>AJ176</f>
        <v>1266</v>
      </c>
      <c r="AL170" s="653">
        <f>AI176</f>
        <v>1405</v>
      </c>
      <c r="AM170" s="40">
        <f>AL176</f>
        <v>1203</v>
      </c>
      <c r="AN170" s="630">
        <f>AM176</f>
        <v>1116</v>
      </c>
      <c r="AO170" s="653">
        <f>AL176</f>
        <v>1203</v>
      </c>
      <c r="AP170" s="40">
        <f>AO176</f>
        <v>1061</v>
      </c>
      <c r="AQ170" s="630">
        <f>AP176</f>
        <v>965</v>
      </c>
      <c r="AR170" s="653">
        <f>AO176</f>
        <v>1061</v>
      </c>
      <c r="AS170" s="40">
        <f>AR176</f>
        <v>905</v>
      </c>
      <c r="AT170" s="630">
        <f>AS176</f>
        <v>815</v>
      </c>
      <c r="AU170" s="653">
        <f>AR176</f>
        <v>905</v>
      </c>
      <c r="AV170" s="40">
        <f>AU176</f>
        <v>761</v>
      </c>
      <c r="AW170" s="630">
        <f>AV176</f>
        <v>785</v>
      </c>
      <c r="AX170" s="653">
        <f>AU176</f>
        <v>761</v>
      </c>
      <c r="AY170" s="40">
        <f>AX176</f>
        <v>759</v>
      </c>
      <c r="AZ170" s="236">
        <f>AY176</f>
        <v>766</v>
      </c>
      <c r="BA170" s="605">
        <f>AX176</f>
        <v>759</v>
      </c>
      <c r="BB170" s="56">
        <f>BA176</f>
        <v>704</v>
      </c>
      <c r="BC170" s="236">
        <f>BB176</f>
        <v>676.5</v>
      </c>
      <c r="BD170" s="605">
        <f>BA176</f>
        <v>704</v>
      </c>
      <c r="BE170" s="56">
        <f>BD176</f>
        <v>649</v>
      </c>
      <c r="BF170" s="236">
        <f>BE176</f>
        <v>621.5</v>
      </c>
      <c r="BG170" s="605">
        <f>BD176</f>
        <v>649</v>
      </c>
      <c r="BH170" s="56">
        <f>BG176</f>
        <v>594</v>
      </c>
      <c r="BI170" s="236">
        <f>BH176</f>
        <v>566.5</v>
      </c>
      <c r="BJ170" s="605">
        <f>BG176</f>
        <v>594</v>
      </c>
      <c r="BK170" s="56">
        <f>BJ176</f>
        <v>539</v>
      </c>
      <c r="BL170" s="236">
        <f>BK176</f>
        <v>511.5</v>
      </c>
      <c r="BM170" s="605">
        <f>BJ176</f>
        <v>539</v>
      </c>
    </row>
    <row r="171" spans="1:65">
      <c r="A171" s="25" t="s">
        <v>203</v>
      </c>
      <c r="B171" s="40"/>
      <c r="C171" s="40"/>
      <c r="D171" s="40"/>
      <c r="E171" s="40"/>
      <c r="F171" s="40"/>
      <c r="G171" s="40"/>
      <c r="H171" s="40"/>
      <c r="I171" s="40"/>
      <c r="J171" s="40"/>
      <c r="K171" s="40"/>
      <c r="L171" s="40"/>
      <c r="M171" s="40"/>
      <c r="N171" s="40"/>
      <c r="O171" s="40"/>
      <c r="P171" s="40"/>
      <c r="Q171" s="40"/>
      <c r="R171" s="40"/>
      <c r="S171" s="630"/>
      <c r="T171" s="653"/>
      <c r="U171" s="40"/>
      <c r="V171" s="630"/>
      <c r="W171" s="653"/>
      <c r="X171" s="40"/>
      <c r="Y171" s="630"/>
      <c r="Z171" s="653"/>
      <c r="AA171" s="40"/>
      <c r="AB171" s="630"/>
      <c r="AC171" s="653"/>
      <c r="AD171" s="40"/>
      <c r="AE171" s="630"/>
      <c r="AF171" s="653">
        <v>227</v>
      </c>
      <c r="AG171" s="40">
        <v>25</v>
      </c>
      <c r="AH171" s="630">
        <f>AI171-AG171</f>
        <v>110</v>
      </c>
      <c r="AI171" s="653">
        <v>135</v>
      </c>
      <c r="AJ171" s="40">
        <v>10</v>
      </c>
      <c r="AK171" s="630">
        <f>AL171-AJ171</f>
        <v>72</v>
      </c>
      <c r="AL171" s="653">
        <v>82</v>
      </c>
      <c r="AM171" s="40">
        <v>45</v>
      </c>
      <c r="AN171" s="630">
        <f>AO171-AM171</f>
        <v>100</v>
      </c>
      <c r="AO171" s="653">
        <v>145</v>
      </c>
      <c r="AP171" s="40">
        <v>90</v>
      </c>
      <c r="AQ171" s="630">
        <f>AR171-AP171</f>
        <v>108</v>
      </c>
      <c r="AR171" s="653">
        <v>198</v>
      </c>
      <c r="AS171" s="40">
        <v>42</v>
      </c>
      <c r="AT171" s="630">
        <f>AU171-AS171</f>
        <v>96</v>
      </c>
      <c r="AU171" s="653">
        <v>138</v>
      </c>
      <c r="AV171" s="40">
        <v>61</v>
      </c>
      <c r="AW171" s="630">
        <f>AX171-AV171</f>
        <v>117</v>
      </c>
      <c r="AX171" s="653">
        <v>178</v>
      </c>
      <c r="AY171" s="40">
        <v>146</v>
      </c>
      <c r="AZ171" s="236">
        <f>BA171-AY171</f>
        <v>86</v>
      </c>
      <c r="BA171" s="605">
        <f>-CFS!BA59</f>
        <v>232</v>
      </c>
      <c r="BB171" s="56">
        <f>-CFS!BB59</f>
        <v>116</v>
      </c>
      <c r="BC171" s="236">
        <f>BD171-BB171</f>
        <v>116</v>
      </c>
      <c r="BD171" s="605">
        <f>-CFS!BD59</f>
        <v>232</v>
      </c>
      <c r="BE171" s="56">
        <f>-CFS!BE59</f>
        <v>116</v>
      </c>
      <c r="BF171" s="236">
        <f>BG171-BE171</f>
        <v>116</v>
      </c>
      <c r="BG171" s="605">
        <f>-CFS!BG59</f>
        <v>232</v>
      </c>
      <c r="BH171" s="56">
        <f>-CFS!BH59</f>
        <v>116</v>
      </c>
      <c r="BI171" s="236">
        <f>BJ171-BH171</f>
        <v>116</v>
      </c>
      <c r="BJ171" s="605">
        <f>-CFS!BJ59</f>
        <v>232</v>
      </c>
      <c r="BK171" s="56">
        <f>-CFS!BK59</f>
        <v>116</v>
      </c>
      <c r="BL171" s="236">
        <f>BM171-BK171</f>
        <v>116</v>
      </c>
      <c r="BM171" s="605">
        <f>-CFS!BM59</f>
        <v>232</v>
      </c>
    </row>
    <row r="172" spans="1:65">
      <c r="A172" s="93" t="s">
        <v>273</v>
      </c>
      <c r="B172" s="58"/>
      <c r="C172" s="58"/>
      <c r="D172" s="58"/>
      <c r="E172" s="58"/>
      <c r="F172" s="58"/>
      <c r="G172" s="58"/>
      <c r="H172" s="58"/>
      <c r="I172" s="58"/>
      <c r="J172" s="58"/>
      <c r="K172" s="58"/>
      <c r="L172" s="58"/>
      <c r="M172" s="58"/>
      <c r="N172" s="58"/>
      <c r="O172" s="58"/>
      <c r="P172" s="58"/>
      <c r="Q172" s="58"/>
      <c r="R172" s="58"/>
      <c r="S172" s="644"/>
      <c r="T172" s="668"/>
      <c r="U172" s="58"/>
      <c r="V172" s="644"/>
      <c r="W172" s="668"/>
      <c r="X172" s="58"/>
      <c r="Y172" s="644"/>
      <c r="Z172" s="668"/>
      <c r="AA172" s="58"/>
      <c r="AB172" s="644"/>
      <c r="AC172" s="668"/>
      <c r="AD172" s="87"/>
      <c r="AE172" s="644"/>
      <c r="AF172" s="668">
        <f>+AF171/IS!AF5</f>
        <v>1.4692556634304207E-2</v>
      </c>
      <c r="AG172" s="87">
        <f>+AG171/IS!AG5</f>
        <v>4.4955943175687824E-3</v>
      </c>
      <c r="AH172" s="644">
        <f>+AH171/IS!AH5</f>
        <v>1.874254557846311E-2</v>
      </c>
      <c r="AI172" s="668">
        <f>+AI171/IS!AI5</f>
        <v>1.1811023622047244E-2</v>
      </c>
      <c r="AJ172" s="87">
        <f>+AJ171/IS!AJ5</f>
        <v>1.9131432944327531E-3</v>
      </c>
      <c r="AK172" s="644">
        <f>+AK171/IS!AK5</f>
        <v>1.2587412587412588E-2</v>
      </c>
      <c r="AL172" s="668">
        <f>+AL171/IS!AL5</f>
        <v>7.4906367041198503E-3</v>
      </c>
      <c r="AM172" s="87">
        <f>+AM171/IS!AM5</f>
        <v>8.4777694046721929E-3</v>
      </c>
      <c r="AN172" s="644">
        <f>+AN171/IS!AN5</f>
        <v>1.3544629554381687E-2</v>
      </c>
      <c r="AO172" s="668">
        <f>+AO171/IS!AO5</f>
        <v>1.1425419588684895E-2</v>
      </c>
      <c r="AP172" s="87">
        <f>+AP171/IS!AP5</f>
        <v>1.2949640287769784E-2</v>
      </c>
      <c r="AQ172" s="644">
        <f>+AQ171/IS!AQ5</f>
        <v>1.2767466603617449E-2</v>
      </c>
      <c r="AR172" s="668">
        <f>+AR171/IS!AR5</f>
        <v>1.2849633331170096E-2</v>
      </c>
      <c r="AS172" s="87">
        <f>+AS171/IS!AS5</f>
        <v>5.1332192617941823E-3</v>
      </c>
      <c r="AT172" s="644">
        <f>+AT171/IS!AT5</f>
        <v>9.9317194289261328E-3</v>
      </c>
      <c r="AU172" s="668">
        <f>+AU171/IS!AU5</f>
        <v>7.7319587628865982E-3</v>
      </c>
      <c r="AV172" s="87">
        <f>+AV171/IS!AV5</f>
        <v>6.7351220050789447E-3</v>
      </c>
      <c r="AW172" s="644">
        <f>+AW171/IS!AW5</f>
        <v>1.0634430103617525E-2</v>
      </c>
      <c r="AX172" s="668">
        <f>+AX171/IS!AX5</f>
        <v>8.8738222244379075E-3</v>
      </c>
      <c r="AY172" s="87">
        <f>+AY171/IS!AY5</f>
        <v>1.2944409965422466E-2</v>
      </c>
      <c r="AZ172" s="247">
        <f>+AZ171/IS!AZ5</f>
        <v>6.9720322639119214E-3</v>
      </c>
      <c r="BA172" s="583">
        <f>+BA171/IS!BA5</f>
        <v>9.8246813470855409E-3</v>
      </c>
      <c r="BB172" s="245">
        <f>+BB171/IS!BB5</f>
        <v>8.9823610369741159E-3</v>
      </c>
      <c r="BC172" s="247">
        <f>+BC171/IS!BC5</f>
        <v>8.4279479432017978E-3</v>
      </c>
      <c r="BD172" s="583">
        <f>+BD171/IS!BD5</f>
        <v>8.6963271373139157E-3</v>
      </c>
      <c r="BE172" s="245">
        <f>+BE171/IS!BE5</f>
        <v>8.1915403346823814E-3</v>
      </c>
      <c r="BF172" s="247">
        <f>+BF171/IS!BF5</f>
        <v>7.544547084335506E-3</v>
      </c>
      <c r="BG172" s="583">
        <f>+BG171/IS!BG5</f>
        <v>7.854743063203164E-3</v>
      </c>
      <c r="BH172" s="245">
        <f>+BH171/IS!BH5</f>
        <v>7.3093507926885156E-3</v>
      </c>
      <c r="BI172" s="247">
        <f>+BI171/IS!BI5</f>
        <v>6.7338065490648094E-3</v>
      </c>
      <c r="BJ172" s="583">
        <f>+BJ171/IS!BJ5</f>
        <v>7.0097846288280311E-3</v>
      </c>
      <c r="BK172" s="245">
        <f>+BK171/IS!BK5</f>
        <v>6.5197178560569245E-3</v>
      </c>
      <c r="BL172" s="247">
        <f>+BL171/IS!BL5</f>
        <v>6.017438247259802E-3</v>
      </c>
      <c r="BM172" s="583">
        <f>+BM171/IS!BM5</f>
        <v>6.2585165670866489E-3</v>
      </c>
    </row>
    <row r="173" spans="1:65">
      <c r="A173" s="25" t="s">
        <v>797</v>
      </c>
      <c r="B173" s="40"/>
      <c r="C173" s="40"/>
      <c r="D173" s="40"/>
      <c r="E173" s="40"/>
      <c r="F173" s="40"/>
      <c r="G173" s="40"/>
      <c r="H173" s="40"/>
      <c r="I173" s="40"/>
      <c r="J173" s="40"/>
      <c r="K173" s="40"/>
      <c r="L173" s="40"/>
      <c r="M173" s="40"/>
      <c r="N173" s="40"/>
      <c r="O173" s="40"/>
      <c r="P173" s="40"/>
      <c r="Q173" s="40"/>
      <c r="R173" s="40"/>
      <c r="S173" s="630"/>
      <c r="T173" s="653"/>
      <c r="U173" s="40"/>
      <c r="V173" s="630"/>
      <c r="W173" s="653"/>
      <c r="X173" s="40"/>
      <c r="Y173" s="630"/>
      <c r="Z173" s="653"/>
      <c r="AA173" s="40"/>
      <c r="AB173" s="630"/>
      <c r="AC173" s="653"/>
      <c r="AD173" s="40"/>
      <c r="AE173" s="630"/>
      <c r="AF173" s="653">
        <v>-399</v>
      </c>
      <c r="AG173" s="40">
        <f>-194-319</f>
        <v>-513</v>
      </c>
      <c r="AH173" s="630">
        <f>AI173-AG173</f>
        <v>167</v>
      </c>
      <c r="AI173" s="653">
        <v>-346</v>
      </c>
      <c r="AJ173" s="40">
        <v>-137</v>
      </c>
      <c r="AK173" s="630">
        <f>AL173-AJ173</f>
        <v>-135</v>
      </c>
      <c r="AL173" s="653">
        <v>-272</v>
      </c>
      <c r="AM173" s="40">
        <v>-131</v>
      </c>
      <c r="AN173" s="630">
        <f>AO173-AM173</f>
        <v>-139</v>
      </c>
      <c r="AO173" s="653">
        <v>-270</v>
      </c>
      <c r="AP173" s="40">
        <v>-138</v>
      </c>
      <c r="AQ173" s="630">
        <f>AR173-AP173</f>
        <v>-125</v>
      </c>
      <c r="AR173" s="653">
        <v>-263</v>
      </c>
      <c r="AS173" s="40">
        <v>-127</v>
      </c>
      <c r="AT173" s="630">
        <f>AU173-AS173</f>
        <v>-130</v>
      </c>
      <c r="AU173" s="653">
        <v>-257</v>
      </c>
      <c r="AV173" s="40">
        <v>-134</v>
      </c>
      <c r="AW173" s="630">
        <f>AX173-AV173</f>
        <v>-153</v>
      </c>
      <c r="AX173" s="653">
        <v>-287</v>
      </c>
      <c r="AY173" s="40">
        <v>-140</v>
      </c>
      <c r="AZ173" s="236">
        <f>BA173-AY173</f>
        <v>-147</v>
      </c>
      <c r="BA173" s="605">
        <f>+AX173</f>
        <v>-287</v>
      </c>
      <c r="BB173" s="56">
        <f>BD173/2</f>
        <v>-143.5</v>
      </c>
      <c r="BC173" s="236">
        <f>BD173-BB173</f>
        <v>-143.5</v>
      </c>
      <c r="BD173" s="605">
        <f>+BA173</f>
        <v>-287</v>
      </c>
      <c r="BE173" s="56">
        <f>BG173/2</f>
        <v>-143.5</v>
      </c>
      <c r="BF173" s="236">
        <f>BG173-BE173</f>
        <v>-143.5</v>
      </c>
      <c r="BG173" s="605">
        <f>+BD173</f>
        <v>-287</v>
      </c>
      <c r="BH173" s="56">
        <f>BJ173/2</f>
        <v>-143.5</v>
      </c>
      <c r="BI173" s="236">
        <f>BJ173-BH173</f>
        <v>-143.5</v>
      </c>
      <c r="BJ173" s="605">
        <f>+BG173</f>
        <v>-287</v>
      </c>
      <c r="BK173" s="56">
        <f>BM173/2</f>
        <v>-143.5</v>
      </c>
      <c r="BL173" s="236">
        <f>BM173-BK173</f>
        <v>-143.5</v>
      </c>
      <c r="BM173" s="605">
        <f t="shared" ref="BM173" si="694">+BJ173</f>
        <v>-287</v>
      </c>
    </row>
    <row r="174" spans="1:65">
      <c r="A174" s="93" t="s">
        <v>273</v>
      </c>
      <c r="B174" s="58"/>
      <c r="C174" s="58"/>
      <c r="D174" s="58"/>
      <c r="E174" s="58"/>
      <c r="F174" s="58"/>
      <c r="G174" s="58"/>
      <c r="H174" s="58"/>
      <c r="I174" s="58"/>
      <c r="J174" s="58"/>
      <c r="K174" s="58"/>
      <c r="L174" s="58"/>
      <c r="M174" s="58"/>
      <c r="N174" s="58"/>
      <c r="O174" s="58"/>
      <c r="P174" s="58"/>
      <c r="Q174" s="58"/>
      <c r="R174" s="58"/>
      <c r="S174" s="644"/>
      <c r="T174" s="668"/>
      <c r="U174" s="58"/>
      <c r="V174" s="644"/>
      <c r="W174" s="668"/>
      <c r="X174" s="58"/>
      <c r="Y174" s="644"/>
      <c r="Z174" s="668"/>
      <c r="AA174" s="58"/>
      <c r="AB174" s="644"/>
      <c r="AC174" s="668"/>
      <c r="AD174" s="87"/>
      <c r="AE174" s="644"/>
      <c r="AF174" s="668">
        <f>-AF173/IS!AF5</f>
        <v>2.5825242718446603E-2</v>
      </c>
      <c r="AG174" s="87">
        <f>-AG173/IS!AG5</f>
        <v>9.2249595396511425E-2</v>
      </c>
      <c r="AH174" s="644">
        <f>-AH173/IS!AH5</f>
        <v>-2.8454591923666724E-2</v>
      </c>
      <c r="AI174" s="668">
        <f>-AI173/IS!AI5</f>
        <v>3.027121609798775E-2</v>
      </c>
      <c r="AJ174" s="87">
        <f>-AJ173/IS!AJ5</f>
        <v>2.6210063133728718E-2</v>
      </c>
      <c r="AK174" s="644">
        <f>-AK173/IS!AK5</f>
        <v>2.36013986013986E-2</v>
      </c>
      <c r="AL174" s="668">
        <f>-AL173/IS!AL5</f>
        <v>2.4846990042934138E-2</v>
      </c>
      <c r="AM174" s="87">
        <f>-AM173/IS!AM5</f>
        <v>2.4679728711379051E-2</v>
      </c>
      <c r="AN174" s="644">
        <f>-AN173/IS!AN5</f>
        <v>1.8827035080590547E-2</v>
      </c>
      <c r="AO174" s="668">
        <f>-AO173/IS!AO5</f>
        <v>2.1274919234102907E-2</v>
      </c>
      <c r="AP174" s="87">
        <f>-AP173/IS!AP5</f>
        <v>1.9856115107913668E-2</v>
      </c>
      <c r="AQ174" s="644">
        <f>-AQ173/IS!AQ5</f>
        <v>1.4777160420853528E-2</v>
      </c>
      <c r="AR174" s="668">
        <f>-AR173/IS!AR5</f>
        <v>1.7067947303523914E-2</v>
      </c>
      <c r="AS174" s="87">
        <f>-AS173/IS!AS5</f>
        <v>1.5521877291615742E-2</v>
      </c>
      <c r="AT174" s="644">
        <f>-AT173/IS!AT5</f>
        <v>1.3449203393337472E-2</v>
      </c>
      <c r="AU174" s="668">
        <f>-AU173/IS!AU5</f>
        <v>1.4399372478709099E-2</v>
      </c>
      <c r="AV174" s="87">
        <f>-AV173/IS!AV5</f>
        <v>1.4795186043943911E-2</v>
      </c>
      <c r="AW174" s="644">
        <f>-AW173/IS!AW5</f>
        <v>1.3906562443192147E-2</v>
      </c>
      <c r="AX174" s="668">
        <f>-AX173/IS!AX5</f>
        <v>1.4307792013559998E-2</v>
      </c>
      <c r="AY174" s="87">
        <f>-AY173/IS!AY5</f>
        <v>1.241244791204894E-2</v>
      </c>
      <c r="AZ174" s="247">
        <f>-AZ173/IS!AZ5</f>
        <v>1.1917310962733168E-2</v>
      </c>
      <c r="BA174" s="583">
        <f>-BA173/IS!BA5</f>
        <v>1.2153808390575647E-2</v>
      </c>
      <c r="BB174" s="245">
        <f>-BB173/IS!BB5</f>
        <v>1.1111800075911945E-2</v>
      </c>
      <c r="BC174" s="247">
        <f>-BC173/IS!BC5</f>
        <v>1.0425952843529811E-2</v>
      </c>
      <c r="BD174" s="583">
        <f>-BD173/IS!BD5</f>
        <v>1.0757956415556439E-2</v>
      </c>
      <c r="BE174" s="245">
        <f>-BE173/IS!BE5</f>
        <v>1.0133500327818292E-2</v>
      </c>
      <c r="BF174" s="247">
        <f>-BF173/IS!BF5</f>
        <v>9.333125056915045E-3</v>
      </c>
      <c r="BG174" s="583">
        <f>-BG173/IS!BG5</f>
        <v>9.7168588756004655E-3</v>
      </c>
      <c r="BH174" s="245">
        <f>-BH173/IS!BH5</f>
        <v>9.0421710237138103E-3</v>
      </c>
      <c r="BI174" s="247">
        <f>-BI173/IS!BI5</f>
        <v>8.3301831016448294E-3</v>
      </c>
      <c r="BJ174" s="583">
        <f>-BJ173/IS!BJ5</f>
        <v>8.6715870192829517E-3</v>
      </c>
      <c r="BK174" s="245">
        <f>-BK173/IS!BK5</f>
        <v>8.065340623656627E-3</v>
      </c>
      <c r="BL174" s="247">
        <f>-BL173/IS!BL5</f>
        <v>7.4439861076015653E-3</v>
      </c>
      <c r="BM174" s="583">
        <f>-BM173/IS!BM5</f>
        <v>7.7422166153183975E-3</v>
      </c>
    </row>
    <row r="175" spans="1:65">
      <c r="A175" s="25" t="s">
        <v>438</v>
      </c>
      <c r="B175" s="40"/>
      <c r="C175" s="40"/>
      <c r="D175" s="40"/>
      <c r="E175" s="40"/>
      <c r="F175" s="40"/>
      <c r="G175" s="40"/>
      <c r="H175" s="40"/>
      <c r="I175" s="40"/>
      <c r="J175" s="40"/>
      <c r="K175" s="40"/>
      <c r="L175" s="40"/>
      <c r="M175" s="40"/>
      <c r="N175" s="40"/>
      <c r="O175" s="40"/>
      <c r="P175" s="40"/>
      <c r="Q175" s="40"/>
      <c r="R175" s="40"/>
      <c r="S175" s="630"/>
      <c r="T175" s="653"/>
      <c r="U175" s="40"/>
      <c r="V175" s="630"/>
      <c r="W175" s="653"/>
      <c r="X175" s="40"/>
      <c r="Y175" s="630"/>
      <c r="Z175" s="653"/>
      <c r="AA175" s="40"/>
      <c r="AB175" s="630"/>
      <c r="AC175" s="653"/>
      <c r="AD175" s="40"/>
      <c r="AE175" s="630"/>
      <c r="AF175" s="653">
        <f>AF176-AF173-AF171-AF170</f>
        <v>-32</v>
      </c>
      <c r="AG175" s="40">
        <f>AG176-AG173-AG171-AG170</f>
        <v>19</v>
      </c>
      <c r="AH175" s="630">
        <f>AI175-AG175</f>
        <v>-412</v>
      </c>
      <c r="AI175" s="653">
        <f>AI176-AI173-AI171-AI170</f>
        <v>-393</v>
      </c>
      <c r="AJ175" s="40">
        <f>AJ176-AJ173-AJ171-AJ170</f>
        <v>-12</v>
      </c>
      <c r="AK175" s="630">
        <f>AL175-AJ175</f>
        <v>0</v>
      </c>
      <c r="AL175" s="653">
        <f>AL176-AL173-AL171-AL170</f>
        <v>-12</v>
      </c>
      <c r="AM175" s="40">
        <f>AM176-AM173-AM171-AM170</f>
        <v>-1</v>
      </c>
      <c r="AN175" s="630">
        <f>AO175-AM175</f>
        <v>-16</v>
      </c>
      <c r="AO175" s="653">
        <f>AO176-AO173-AO171-AO170</f>
        <v>-17</v>
      </c>
      <c r="AP175" s="40">
        <f>AP176-AP173-AP171-AP170</f>
        <v>-48</v>
      </c>
      <c r="AQ175" s="630">
        <f>AR175-AP175</f>
        <v>-43</v>
      </c>
      <c r="AR175" s="653">
        <f>AR176-AR173-AR171-AR170</f>
        <v>-91</v>
      </c>
      <c r="AS175" s="40">
        <f>AS176-AS173-AS171-AS170</f>
        <v>-5</v>
      </c>
      <c r="AT175" s="630">
        <f>AU175-AS175</f>
        <v>-20</v>
      </c>
      <c r="AU175" s="653">
        <f>AU176-AU173-AU171-AU170</f>
        <v>-25</v>
      </c>
      <c r="AV175" s="40">
        <f>AV176-AV173-AV171-AV170</f>
        <v>97</v>
      </c>
      <c r="AW175" s="630">
        <f>AX175-AV175</f>
        <v>10</v>
      </c>
      <c r="AX175" s="653">
        <f>AX176-AX173-AX171-AX170</f>
        <v>107</v>
      </c>
      <c r="AY175" s="40">
        <f>AY176-AY173-AY171-AY170</f>
        <v>1</v>
      </c>
      <c r="AZ175" s="236">
        <f>BA175-AY175</f>
        <v>-1</v>
      </c>
      <c r="BA175" s="580">
        <v>0</v>
      </c>
      <c r="BB175" s="56">
        <f>BD175/2</f>
        <v>0</v>
      </c>
      <c r="BC175" s="236">
        <f>BD175-BB175</f>
        <v>0</v>
      </c>
      <c r="BD175" s="580">
        <v>0</v>
      </c>
      <c r="BE175" s="56">
        <f>BG175/2</f>
        <v>0</v>
      </c>
      <c r="BF175" s="236">
        <f>BG175-BE175</f>
        <v>0</v>
      </c>
      <c r="BG175" s="580">
        <v>0</v>
      </c>
      <c r="BH175" s="56">
        <f>BJ175/2</f>
        <v>0</v>
      </c>
      <c r="BI175" s="236">
        <f>BJ175-BH175</f>
        <v>0</v>
      </c>
      <c r="BJ175" s="580">
        <v>0</v>
      </c>
      <c r="BK175" s="56">
        <f>BM175/2</f>
        <v>0</v>
      </c>
      <c r="BL175" s="236">
        <f>BM175-BK175</f>
        <v>0</v>
      </c>
      <c r="BM175" s="580">
        <v>0</v>
      </c>
    </row>
    <row r="176" spans="1:65">
      <c r="A176" s="31" t="s">
        <v>796</v>
      </c>
      <c r="B176" s="51"/>
      <c r="C176" s="51"/>
      <c r="D176" s="51"/>
      <c r="E176" s="51"/>
      <c r="F176" s="51"/>
      <c r="G176" s="51"/>
      <c r="H176" s="51"/>
      <c r="I176" s="51"/>
      <c r="J176" s="51"/>
      <c r="K176" s="51"/>
      <c r="L176" s="51"/>
      <c r="M176" s="51"/>
      <c r="N176" s="51"/>
      <c r="O176" s="51"/>
      <c r="P176" s="51"/>
      <c r="Q176" s="51"/>
      <c r="R176" s="51"/>
      <c r="S176" s="629"/>
      <c r="T176" s="652"/>
      <c r="U176" s="51"/>
      <c r="V176" s="629"/>
      <c r="W176" s="652"/>
      <c r="X176" s="51"/>
      <c r="Y176" s="629"/>
      <c r="Z176" s="652"/>
      <c r="AA176" s="51"/>
      <c r="AB176" s="629"/>
      <c r="AC176" s="652"/>
      <c r="AD176" s="51"/>
      <c r="AE176" s="629"/>
      <c r="AF176" s="652">
        <f>BS!AF7</f>
        <v>2009</v>
      </c>
      <c r="AG176" s="51">
        <f>BS!AG7</f>
        <v>1540</v>
      </c>
      <c r="AH176" s="629">
        <f t="shared" ref="AH176" si="695">AH170+AH171+AH173+AH175</f>
        <v>1405</v>
      </c>
      <c r="AI176" s="652">
        <f>BS!AI7</f>
        <v>1405</v>
      </c>
      <c r="AJ176" s="51">
        <f>BS!AJ7</f>
        <v>1266</v>
      </c>
      <c r="AK176" s="629">
        <f t="shared" ref="AK176" si="696">AK170+AK171+AK173+AK175</f>
        <v>1203</v>
      </c>
      <c r="AL176" s="652">
        <f>BS!AL7</f>
        <v>1203</v>
      </c>
      <c r="AM176" s="51">
        <f>BS!AM7</f>
        <v>1116</v>
      </c>
      <c r="AN176" s="629">
        <f t="shared" ref="AN176" si="697">AN170+AN171+AN173+AN175</f>
        <v>1061</v>
      </c>
      <c r="AO176" s="652">
        <f>BS!AO7</f>
        <v>1061</v>
      </c>
      <c r="AP176" s="51">
        <f>BS!AP7</f>
        <v>965</v>
      </c>
      <c r="AQ176" s="629">
        <f t="shared" ref="AQ176" si="698">AQ170+AQ171+AQ173+AQ175</f>
        <v>905</v>
      </c>
      <c r="AR176" s="652">
        <f>BS!AR7</f>
        <v>905</v>
      </c>
      <c r="AS176" s="51">
        <f>BS!AS7</f>
        <v>815</v>
      </c>
      <c r="AT176" s="629">
        <f t="shared" ref="AT176" si="699">AT170+AT171+AT173+AT175</f>
        <v>761</v>
      </c>
      <c r="AU176" s="652">
        <f>BS!AU7</f>
        <v>761</v>
      </c>
      <c r="AV176" s="51">
        <f>BS!AV7</f>
        <v>785</v>
      </c>
      <c r="AW176" s="629">
        <f t="shared" ref="AW176" si="700">AW170+AW171+AW173+AW175</f>
        <v>759</v>
      </c>
      <c r="AX176" s="652">
        <f>BS!AX7</f>
        <v>759</v>
      </c>
      <c r="AY176" s="51">
        <f>BS!AY7</f>
        <v>766</v>
      </c>
      <c r="AZ176" s="237">
        <f>AZ170+AZ171+AZ173+AZ175</f>
        <v>704</v>
      </c>
      <c r="BA176" s="576">
        <f t="shared" ref="BA176:BM176" si="701">BA170+BA171+BA173+BA175</f>
        <v>704</v>
      </c>
      <c r="BB176" s="48">
        <f>BB170+BB171+BB173+BB175</f>
        <v>676.5</v>
      </c>
      <c r="BC176" s="237">
        <f>BC170+BC171+BC173+BC175</f>
        <v>649</v>
      </c>
      <c r="BD176" s="576">
        <f t="shared" si="701"/>
        <v>649</v>
      </c>
      <c r="BE176" s="48">
        <f>BE170+BE171+BE173+BE175</f>
        <v>621.5</v>
      </c>
      <c r="BF176" s="237">
        <f>BF170+BF171+BF173+BF175</f>
        <v>594</v>
      </c>
      <c r="BG176" s="576">
        <f t="shared" si="701"/>
        <v>594</v>
      </c>
      <c r="BH176" s="48">
        <f>BH170+BH171+BH173+BH175</f>
        <v>566.5</v>
      </c>
      <c r="BI176" s="237">
        <f>BI170+BI171+BI173+BI175</f>
        <v>539</v>
      </c>
      <c r="BJ176" s="576">
        <f t="shared" si="701"/>
        <v>539</v>
      </c>
      <c r="BK176" s="48">
        <f>BK170+BK171+BK173+BK175</f>
        <v>511.5</v>
      </c>
      <c r="BL176" s="237">
        <f>BL170+BL171+BL173+BL175</f>
        <v>484</v>
      </c>
      <c r="BM176" s="576">
        <f t="shared" si="701"/>
        <v>484</v>
      </c>
    </row>
    <row r="177" spans="1:65">
      <c r="B177" s="40"/>
      <c r="C177" s="40"/>
      <c r="D177" s="40"/>
      <c r="E177" s="40"/>
      <c r="F177" s="40"/>
      <c r="G177" s="40"/>
      <c r="H177" s="40"/>
      <c r="I177" s="40"/>
      <c r="J177" s="40"/>
      <c r="K177" s="40"/>
      <c r="L177" s="40"/>
      <c r="M177" s="40"/>
      <c r="N177" s="40"/>
      <c r="O177" s="40"/>
      <c r="P177" s="40"/>
      <c r="Q177" s="40"/>
      <c r="R177" s="40"/>
      <c r="S177" s="630"/>
      <c r="T177" s="653"/>
      <c r="U177" s="40"/>
      <c r="V177" s="630"/>
      <c r="W177" s="653"/>
      <c r="X177" s="40"/>
      <c r="Y177" s="630"/>
      <c r="Z177" s="653"/>
      <c r="AA177" s="40"/>
      <c r="AB177" s="630"/>
      <c r="AC177" s="653"/>
      <c r="AD177" s="40"/>
      <c r="AE177" s="630"/>
      <c r="AF177" s="653"/>
      <c r="AG177" s="40"/>
      <c r="AH177" s="630"/>
      <c r="AI177" s="653"/>
      <c r="AJ177" s="40"/>
      <c r="AK177" s="630"/>
      <c r="AL177" s="653"/>
      <c r="AM177" s="40"/>
      <c r="AN177" s="630"/>
      <c r="AO177" s="653"/>
      <c r="AP177" s="40"/>
      <c r="AQ177" s="539"/>
      <c r="AR177" s="550"/>
      <c r="AS177"/>
      <c r="AT177" s="539"/>
      <c r="AU177" s="550"/>
      <c r="AV177"/>
      <c r="AW177" s="539"/>
      <c r="AX177" s="550"/>
      <c r="AY177"/>
      <c r="AZ177" s="539"/>
      <c r="BA177" s="550"/>
      <c r="BB177"/>
      <c r="BC177" s="539"/>
      <c r="BD177" s="550"/>
      <c r="BE177"/>
      <c r="BF177" s="539"/>
      <c r="BG177" s="550"/>
      <c r="BH177"/>
      <c r="BI177" s="539"/>
      <c r="BJ177" s="550"/>
      <c r="BK177"/>
      <c r="BL177" s="539"/>
      <c r="BM177" s="550"/>
    </row>
    <row r="178" spans="1:65">
      <c r="A178" s="310" t="s">
        <v>30</v>
      </c>
      <c r="B178" s="335"/>
      <c r="C178" s="335"/>
      <c r="D178" s="335"/>
      <c r="E178" s="335"/>
      <c r="F178" s="335"/>
      <c r="G178" s="335"/>
      <c r="H178" s="335"/>
      <c r="I178" s="335"/>
      <c r="J178" s="335"/>
      <c r="K178" s="335"/>
      <c r="L178" s="335"/>
      <c r="M178" s="335"/>
      <c r="N178" s="335"/>
      <c r="O178" s="335"/>
      <c r="P178" s="335"/>
      <c r="Q178" s="335"/>
      <c r="R178" s="530"/>
      <c r="S178" s="696"/>
      <c r="T178" s="711"/>
      <c r="U178" s="530"/>
      <c r="V178" s="696"/>
      <c r="W178" s="711"/>
      <c r="X178" s="530"/>
      <c r="Y178" s="696"/>
      <c r="Z178" s="711"/>
      <c r="AA178" s="530"/>
      <c r="AB178" s="696"/>
      <c r="AC178" s="711"/>
      <c r="AD178" s="530"/>
      <c r="AE178" s="696"/>
      <c r="AF178" s="711"/>
      <c r="AG178" s="530"/>
      <c r="AH178" s="696"/>
      <c r="AI178" s="711"/>
      <c r="AJ178" s="530"/>
      <c r="AK178" s="696"/>
      <c r="AL178" s="711"/>
      <c r="AM178" s="530"/>
      <c r="AN178" s="696"/>
      <c r="AO178" s="711"/>
      <c r="AP178" s="530"/>
      <c r="AQ178" s="696"/>
      <c r="AR178" s="711"/>
      <c r="AS178" s="530"/>
      <c r="AT178" s="696"/>
      <c r="AU178" s="711"/>
      <c r="AV178" s="530"/>
      <c r="AW178" s="696"/>
      <c r="AX178" s="711"/>
      <c r="AY178" s="530"/>
      <c r="AZ178" s="707"/>
      <c r="BA178" s="701"/>
      <c r="BB178" s="531"/>
      <c r="BC178" s="707"/>
      <c r="BD178" s="701"/>
      <c r="BE178" s="531"/>
      <c r="BF178" s="707"/>
      <c r="BG178" s="701"/>
      <c r="BH178" s="531"/>
      <c r="BI178" s="707"/>
      <c r="BJ178" s="701"/>
      <c r="BK178" s="531"/>
      <c r="BL178" s="707"/>
      <c r="BM178" s="701"/>
    </row>
    <row r="179" spans="1:65">
      <c r="B179" s="40"/>
      <c r="C179" s="40"/>
      <c r="D179" s="40"/>
      <c r="E179" s="40"/>
      <c r="F179" s="40"/>
      <c r="G179" s="40"/>
      <c r="H179" s="40"/>
      <c r="I179" s="40"/>
      <c r="J179" s="40"/>
      <c r="K179" s="40"/>
      <c r="L179" s="40"/>
      <c r="M179" s="40"/>
      <c r="N179" s="40"/>
      <c r="O179" s="40"/>
      <c r="P179" s="40"/>
      <c r="Q179" s="40"/>
      <c r="R179" s="40"/>
      <c r="S179" s="630"/>
      <c r="T179" s="653"/>
      <c r="U179" s="40"/>
      <c r="V179" s="630"/>
      <c r="W179" s="653"/>
      <c r="X179" s="40"/>
      <c r="Y179" s="630"/>
      <c r="Z179" s="653"/>
      <c r="AA179" s="40"/>
      <c r="AB179" s="630"/>
      <c r="AC179" s="653"/>
      <c r="AD179" s="40"/>
      <c r="AE179" s="630"/>
      <c r="AF179" s="653"/>
      <c r="AG179" s="40"/>
      <c r="AH179" s="630"/>
      <c r="AI179" s="653"/>
      <c r="AJ179" s="40"/>
      <c r="AK179" s="630"/>
      <c r="AL179" s="653"/>
      <c r="AM179" s="40"/>
      <c r="AN179" s="630"/>
      <c r="AO179" s="653"/>
      <c r="AP179" s="40"/>
      <c r="AQ179" s="539"/>
      <c r="AR179" s="550"/>
      <c r="AS179"/>
      <c r="AT179" s="539"/>
      <c r="AU179" s="550"/>
      <c r="AV179"/>
      <c r="AW179" s="539"/>
      <c r="AX179" s="550"/>
      <c r="AY179"/>
      <c r="AZ179" s="539"/>
      <c r="BA179" s="550"/>
      <c r="BB179"/>
      <c r="BC179" s="539"/>
      <c r="BD179" s="550"/>
      <c r="BE179"/>
      <c r="BF179" s="539"/>
      <c r="BG179" s="550"/>
      <c r="BH179"/>
      <c r="BI179" s="539"/>
      <c r="BJ179" s="550"/>
      <c r="BK179"/>
      <c r="BL179" s="539"/>
      <c r="BM179" s="550"/>
    </row>
    <row r="180" spans="1:65">
      <c r="A180" s="25" t="s">
        <v>24</v>
      </c>
      <c r="B180" s="40"/>
      <c r="C180" s="40"/>
      <c r="D180" s="40"/>
      <c r="E180" s="40"/>
      <c r="F180" s="40">
        <v>58</v>
      </c>
      <c r="G180" s="40">
        <v>65</v>
      </c>
      <c r="H180" s="40">
        <v>82</v>
      </c>
      <c r="I180" s="40">
        <v>83</v>
      </c>
      <c r="J180" s="40">
        <v>59</v>
      </c>
      <c r="K180" s="40">
        <v>21</v>
      </c>
      <c r="L180" s="40">
        <v>23</v>
      </c>
      <c r="M180" s="40">
        <v>20</v>
      </c>
      <c r="N180" s="40">
        <v>10</v>
      </c>
      <c r="O180" s="40">
        <v>15</v>
      </c>
      <c r="P180" s="40">
        <v>17</v>
      </c>
      <c r="Q180" s="40">
        <v>12</v>
      </c>
      <c r="R180" s="40">
        <v>7</v>
      </c>
      <c r="S180" s="630">
        <f>T180-R180</f>
        <v>7</v>
      </c>
      <c r="T180" s="653">
        <v>14</v>
      </c>
      <c r="U180" s="40">
        <v>5</v>
      </c>
      <c r="V180" s="630">
        <f>W180-U180</f>
        <v>6</v>
      </c>
      <c r="W180" s="653">
        <v>11</v>
      </c>
      <c r="X180" s="40">
        <v>5</v>
      </c>
      <c r="Y180" s="630">
        <f>Z180-X180</f>
        <v>6</v>
      </c>
      <c r="Z180" s="653">
        <v>11</v>
      </c>
      <c r="AA180" s="40">
        <v>11</v>
      </c>
      <c r="AB180" s="630">
        <f>AC180-AA180</f>
        <v>16</v>
      </c>
      <c r="AC180" s="653">
        <v>27</v>
      </c>
      <c r="AD180" s="40">
        <v>19</v>
      </c>
      <c r="AE180" s="630">
        <f>AF180-AD180</f>
        <v>12</v>
      </c>
      <c r="AF180" s="653">
        <v>31</v>
      </c>
      <c r="AG180" s="40">
        <v>10</v>
      </c>
      <c r="AH180" s="630">
        <f>AI180-AG180</f>
        <v>11</v>
      </c>
      <c r="AI180" s="653">
        <v>21</v>
      </c>
      <c r="AJ180" s="40">
        <v>3</v>
      </c>
      <c r="AK180" s="630">
        <f>AL180-AJ180</f>
        <v>4</v>
      </c>
      <c r="AL180" s="653">
        <v>7</v>
      </c>
      <c r="AM180" s="40">
        <v>9</v>
      </c>
      <c r="AN180" s="630">
        <f>AO180-AM180</f>
        <v>26</v>
      </c>
      <c r="AO180" s="653">
        <v>35</v>
      </c>
      <c r="AP180" s="40">
        <v>56</v>
      </c>
      <c r="AQ180" s="630">
        <f>AR180-AP180</f>
        <v>108</v>
      </c>
      <c r="AR180" s="653">
        <v>164</v>
      </c>
      <c r="AS180" s="40">
        <v>128</v>
      </c>
      <c r="AT180" s="630">
        <f>AU180-AS180</f>
        <v>141</v>
      </c>
      <c r="AU180" s="653">
        <v>269</v>
      </c>
      <c r="AV180" s="40">
        <v>150</v>
      </c>
      <c r="AW180" s="630">
        <f>AX180-AV180</f>
        <v>121</v>
      </c>
      <c r="AX180" s="653">
        <v>271</v>
      </c>
      <c r="AY180" s="40">
        <v>113</v>
      </c>
      <c r="AZ180" s="236">
        <f>BA180-AY180</f>
        <v>199.20000000000005</v>
      </c>
      <c r="BA180" s="605">
        <f>BA214*AX55</f>
        <v>312.20000000000005</v>
      </c>
      <c r="BB180" s="56">
        <f>(BB214*BA55)/2</f>
        <v>169.55047454234028</v>
      </c>
      <c r="BC180" s="236">
        <f>BD180-BB180</f>
        <v>169.55047454234028</v>
      </c>
      <c r="BD180" s="605">
        <f>BD214*BA55</f>
        <v>339.10094908468056</v>
      </c>
      <c r="BE180" s="56">
        <f>(BE214*BD55)/2</f>
        <v>191.75783466540895</v>
      </c>
      <c r="BF180" s="236">
        <f>BG180-BE180</f>
        <v>191.75783466540895</v>
      </c>
      <c r="BG180" s="605">
        <f>BG214*BD55</f>
        <v>383.5156693308179</v>
      </c>
      <c r="BH180" s="56">
        <f>(BH214*BG55)/2</f>
        <v>237.40688837383956</v>
      </c>
      <c r="BI180" s="236">
        <f>BJ180-BH180</f>
        <v>237.40688837383956</v>
      </c>
      <c r="BJ180" s="605">
        <f t="shared" ref="BJ180" si="702">BJ214*BG55</f>
        <v>474.81377674767913</v>
      </c>
      <c r="BK180" s="56">
        <f>(BK214*BJ55)/2</f>
        <v>364.55856024334878</v>
      </c>
      <c r="BL180" s="236">
        <f>BM180-BK180</f>
        <v>364.55856024334878</v>
      </c>
      <c r="BM180" s="605">
        <f>BM214*BJ55</f>
        <v>729.11712048669756</v>
      </c>
    </row>
    <row r="181" spans="1:65">
      <c r="A181" s="25" t="s">
        <v>26</v>
      </c>
      <c r="B181" s="40"/>
      <c r="C181" s="40"/>
      <c r="D181" s="40"/>
      <c r="E181" s="40"/>
      <c r="F181" s="40">
        <v>0</v>
      </c>
      <c r="G181" s="40">
        <v>0</v>
      </c>
      <c r="H181" s="40">
        <v>696</v>
      </c>
      <c r="I181" s="40">
        <v>215</v>
      </c>
      <c r="J181" s="40">
        <v>0</v>
      </c>
      <c r="K181" s="40">
        <v>1783</v>
      </c>
      <c r="L181" s="40">
        <v>0</v>
      </c>
      <c r="M181" s="40">
        <v>0</v>
      </c>
      <c r="N181" s="40">
        <v>750</v>
      </c>
      <c r="O181" s="40">
        <v>287</v>
      </c>
      <c r="P181" s="40">
        <v>2</v>
      </c>
      <c r="Q181" s="40">
        <v>0</v>
      </c>
      <c r="R181" s="40">
        <v>1</v>
      </c>
      <c r="S181" s="630">
        <f t="shared" ref="S181:S186" si="703">T181-R181</f>
        <v>0</v>
      </c>
      <c r="T181" s="653">
        <v>1</v>
      </c>
      <c r="U181" s="40">
        <v>1407</v>
      </c>
      <c r="V181" s="630">
        <f t="shared" ref="V181:V186" si="704">W181-U181</f>
        <v>1204</v>
      </c>
      <c r="W181" s="653">
        <v>2611</v>
      </c>
      <c r="X181" s="40">
        <v>1407</v>
      </c>
      <c r="Y181" s="630">
        <f t="shared" ref="Y181:Y186" si="705">Z181-X181</f>
        <v>1204</v>
      </c>
      <c r="Z181" s="653">
        <v>2611</v>
      </c>
      <c r="AA181" s="40">
        <v>0</v>
      </c>
      <c r="AB181" s="630">
        <f t="shared" ref="AB181:AB186" si="706">AC181-AA181</f>
        <v>0</v>
      </c>
      <c r="AC181" s="653">
        <v>0</v>
      </c>
      <c r="AD181" s="40">
        <v>0</v>
      </c>
      <c r="AE181" s="630">
        <f t="shared" ref="AE181:AE186" si="707">AF181-AD181</f>
        <v>14</v>
      </c>
      <c r="AF181" s="653">
        <v>14</v>
      </c>
      <c r="AG181" s="40">
        <v>0</v>
      </c>
      <c r="AH181" s="630">
        <f t="shared" ref="AH181:AH186" si="708">AI181-AG181</f>
        <v>0</v>
      </c>
      <c r="AI181" s="653">
        <v>0</v>
      </c>
      <c r="AJ181" s="40">
        <v>25</v>
      </c>
      <c r="AK181" s="630">
        <f t="shared" ref="AK181:AK186" si="709">AL181-AJ181</f>
        <v>55</v>
      </c>
      <c r="AL181" s="653">
        <v>80</v>
      </c>
      <c r="AM181" s="40">
        <v>0</v>
      </c>
      <c r="AN181" s="630">
        <f t="shared" ref="AN181:AN186" si="710">AO181-AM181</f>
        <v>0</v>
      </c>
      <c r="AO181" s="653">
        <v>0</v>
      </c>
      <c r="AP181" s="40">
        <v>407</v>
      </c>
      <c r="AQ181" s="630">
        <f t="shared" ref="AQ181:AQ186" si="711">AR181-AP181</f>
        <v>167</v>
      </c>
      <c r="AR181" s="653">
        <v>574</v>
      </c>
      <c r="AS181" s="40">
        <v>0</v>
      </c>
      <c r="AT181" s="630">
        <f t="shared" ref="AT181:AT186" si="712">AU181-AS181</f>
        <v>0</v>
      </c>
      <c r="AU181" s="653">
        <v>0</v>
      </c>
      <c r="AV181" s="40">
        <v>1652</v>
      </c>
      <c r="AW181" s="630">
        <f t="shared" ref="AW181:AW186" si="713">AX181-AV181</f>
        <v>-317</v>
      </c>
      <c r="AX181" s="653">
        <v>1335</v>
      </c>
      <c r="AY181" s="40">
        <v>0</v>
      </c>
      <c r="AZ181" s="236">
        <f t="shared" ref="AZ181:AZ186" si="714">BA181-AY181</f>
        <v>0</v>
      </c>
      <c r="BA181" s="580">
        <v>0</v>
      </c>
      <c r="BB181" s="56">
        <f t="shared" ref="BB181:BB186" si="715">BD181/2</f>
        <v>0</v>
      </c>
      <c r="BC181" s="236">
        <f t="shared" ref="BC181:BC186" si="716">BD181-BB181</f>
        <v>0</v>
      </c>
      <c r="BD181" s="605">
        <f t="shared" ref="BD181:BD186" si="717">BA181</f>
        <v>0</v>
      </c>
      <c r="BE181" s="56">
        <f t="shared" ref="BE181:BE186" si="718">BG181/2</f>
        <v>0</v>
      </c>
      <c r="BF181" s="236">
        <f t="shared" ref="BF181:BF186" si="719">BG181-BE181</f>
        <v>0</v>
      </c>
      <c r="BG181" s="605">
        <f t="shared" ref="BG181:BG186" si="720">BD181</f>
        <v>0</v>
      </c>
      <c r="BH181" s="56">
        <f t="shared" ref="BH181:BH186" si="721">BJ181/2</f>
        <v>0</v>
      </c>
      <c r="BI181" s="236">
        <f t="shared" ref="BI181:BI186" si="722">BJ181-BH181</f>
        <v>0</v>
      </c>
      <c r="BJ181" s="605">
        <f t="shared" ref="BJ181:BJ186" si="723">BG181</f>
        <v>0</v>
      </c>
      <c r="BK181" s="56">
        <f t="shared" ref="BK181:BK186" si="724">BM181/2</f>
        <v>0</v>
      </c>
      <c r="BL181" s="236">
        <f t="shared" ref="BL181:BL186" si="725">BM181-BK181</f>
        <v>0</v>
      </c>
      <c r="BM181" s="605">
        <f t="shared" ref="BM181:BM186" si="726">BJ181</f>
        <v>0</v>
      </c>
    </row>
    <row r="182" spans="1:65">
      <c r="A182" s="25" t="s">
        <v>27</v>
      </c>
      <c r="B182" s="40"/>
      <c r="C182" s="40"/>
      <c r="D182" s="40"/>
      <c r="E182" s="40"/>
      <c r="F182" s="40">
        <v>0</v>
      </c>
      <c r="G182" s="40">
        <v>30</v>
      </c>
      <c r="H182" s="40">
        <v>39</v>
      </c>
      <c r="I182" s="40">
        <v>0</v>
      </c>
      <c r="J182" s="40">
        <v>0</v>
      </c>
      <c r="K182" s="40">
        <v>72</v>
      </c>
      <c r="L182" s="40">
        <v>0</v>
      </c>
      <c r="M182" s="40">
        <v>2</v>
      </c>
      <c r="N182" s="40">
        <v>11</v>
      </c>
      <c r="O182" s="40">
        <v>8</v>
      </c>
      <c r="P182" s="40">
        <v>89</v>
      </c>
      <c r="Q182" s="40">
        <v>21</v>
      </c>
      <c r="R182" s="40">
        <v>0</v>
      </c>
      <c r="S182" s="630">
        <f t="shared" si="703"/>
        <v>23</v>
      </c>
      <c r="T182" s="653">
        <v>23</v>
      </c>
      <c r="U182" s="40">
        <v>4</v>
      </c>
      <c r="V182" s="630">
        <f t="shared" si="704"/>
        <v>13</v>
      </c>
      <c r="W182" s="653">
        <v>17</v>
      </c>
      <c r="X182" s="40">
        <v>4</v>
      </c>
      <c r="Y182" s="630">
        <f t="shared" si="705"/>
        <v>13</v>
      </c>
      <c r="Z182" s="653">
        <v>17</v>
      </c>
      <c r="AA182" s="40">
        <v>0</v>
      </c>
      <c r="AB182" s="630">
        <f t="shared" si="706"/>
        <v>25</v>
      </c>
      <c r="AC182" s="653">
        <v>25</v>
      </c>
      <c r="AD182" s="40">
        <v>1</v>
      </c>
      <c r="AE182" s="630">
        <f t="shared" si="707"/>
        <v>10</v>
      </c>
      <c r="AF182" s="653">
        <v>11</v>
      </c>
      <c r="AG182" s="40">
        <v>0</v>
      </c>
      <c r="AH182" s="630">
        <f t="shared" si="708"/>
        <v>12</v>
      </c>
      <c r="AI182" s="653">
        <v>12</v>
      </c>
      <c r="AJ182" s="40">
        <v>0</v>
      </c>
      <c r="AK182" s="630">
        <f t="shared" si="709"/>
        <v>0</v>
      </c>
      <c r="AL182" s="653">
        <v>0</v>
      </c>
      <c r="AM182" s="40">
        <v>0</v>
      </c>
      <c r="AN182" s="630">
        <f t="shared" si="710"/>
        <v>0</v>
      </c>
      <c r="AO182" s="653">
        <v>0</v>
      </c>
      <c r="AP182" s="40">
        <v>0</v>
      </c>
      <c r="AQ182" s="630">
        <f t="shared" si="711"/>
        <v>0</v>
      </c>
      <c r="AR182" s="653">
        <v>0</v>
      </c>
      <c r="AS182" s="40">
        <v>0</v>
      </c>
      <c r="AT182" s="630">
        <f t="shared" si="712"/>
        <v>0</v>
      </c>
      <c r="AU182" s="653">
        <v>0</v>
      </c>
      <c r="AV182" s="40">
        <v>0</v>
      </c>
      <c r="AW182" s="630">
        <f t="shared" si="713"/>
        <v>0</v>
      </c>
      <c r="AX182" s="653">
        <v>0</v>
      </c>
      <c r="AY182" s="40">
        <v>6</v>
      </c>
      <c r="AZ182" s="236">
        <f t="shared" si="714"/>
        <v>-6</v>
      </c>
      <c r="BA182" s="605">
        <f t="shared" ref="BA182:BA186" si="727">AX182</f>
        <v>0</v>
      </c>
      <c r="BB182" s="56">
        <f t="shared" si="715"/>
        <v>0</v>
      </c>
      <c r="BC182" s="236">
        <f t="shared" si="716"/>
        <v>0</v>
      </c>
      <c r="BD182" s="605">
        <f t="shared" si="717"/>
        <v>0</v>
      </c>
      <c r="BE182" s="56">
        <f t="shared" si="718"/>
        <v>0</v>
      </c>
      <c r="BF182" s="236">
        <f t="shared" si="719"/>
        <v>0</v>
      </c>
      <c r="BG182" s="605">
        <f t="shared" si="720"/>
        <v>0</v>
      </c>
      <c r="BH182" s="56">
        <f t="shared" si="721"/>
        <v>0</v>
      </c>
      <c r="BI182" s="236">
        <f t="shared" si="722"/>
        <v>0</v>
      </c>
      <c r="BJ182" s="605">
        <f t="shared" si="723"/>
        <v>0</v>
      </c>
      <c r="BK182" s="56">
        <f t="shared" si="724"/>
        <v>0</v>
      </c>
      <c r="BL182" s="236">
        <f t="shared" si="725"/>
        <v>0</v>
      </c>
      <c r="BM182" s="605">
        <f t="shared" si="726"/>
        <v>0</v>
      </c>
    </row>
    <row r="183" spans="1:65">
      <c r="A183" s="25" t="s">
        <v>28</v>
      </c>
      <c r="B183" s="40"/>
      <c r="C183" s="40"/>
      <c r="D183" s="40"/>
      <c r="E183" s="40"/>
      <c r="F183" s="40">
        <v>0</v>
      </c>
      <c r="G183" s="40">
        <v>54</v>
      </c>
      <c r="H183" s="40">
        <v>34</v>
      </c>
      <c r="I183" s="40">
        <v>36</v>
      </c>
      <c r="J183" s="40">
        <v>0</v>
      </c>
      <c r="K183" s="40">
        <v>52</v>
      </c>
      <c r="L183" s="40">
        <v>29</v>
      </c>
      <c r="M183" s="40">
        <v>0</v>
      </c>
      <c r="N183" s="40">
        <v>0</v>
      </c>
      <c r="O183" s="40">
        <v>0</v>
      </c>
      <c r="P183" s="40">
        <v>0</v>
      </c>
      <c r="Q183" s="40">
        <v>0</v>
      </c>
      <c r="R183" s="40">
        <v>6</v>
      </c>
      <c r="S183" s="630">
        <f t="shared" si="703"/>
        <v>10</v>
      </c>
      <c r="T183" s="653">
        <v>16</v>
      </c>
      <c r="U183" s="40">
        <v>0</v>
      </c>
      <c r="V183" s="630">
        <f t="shared" si="704"/>
        <v>37</v>
      </c>
      <c r="W183" s="653">
        <v>37</v>
      </c>
      <c r="X183" s="40">
        <v>0</v>
      </c>
      <c r="Y183" s="630">
        <f t="shared" si="705"/>
        <v>37</v>
      </c>
      <c r="Z183" s="653">
        <v>37</v>
      </c>
      <c r="AA183" s="40">
        <v>39</v>
      </c>
      <c r="AB183" s="630">
        <f t="shared" si="706"/>
        <v>-39</v>
      </c>
      <c r="AC183" s="653">
        <v>0</v>
      </c>
      <c r="AD183" s="40">
        <v>25</v>
      </c>
      <c r="AE183" s="630">
        <f t="shared" si="707"/>
        <v>11</v>
      </c>
      <c r="AF183" s="653">
        <v>36</v>
      </c>
      <c r="AG183" s="40">
        <v>0</v>
      </c>
      <c r="AH183" s="630">
        <f t="shared" si="708"/>
        <v>0</v>
      </c>
      <c r="AI183" s="653">
        <v>0</v>
      </c>
      <c r="AJ183" s="40">
        <v>41</v>
      </c>
      <c r="AK183" s="630">
        <f t="shared" si="709"/>
        <v>22</v>
      </c>
      <c r="AL183" s="653">
        <v>63</v>
      </c>
      <c r="AM183" s="40">
        <v>95</v>
      </c>
      <c r="AN183" s="630">
        <f t="shared" si="710"/>
        <v>11</v>
      </c>
      <c r="AO183" s="653">
        <v>106</v>
      </c>
      <c r="AP183" s="40">
        <v>0</v>
      </c>
      <c r="AQ183" s="630">
        <f t="shared" si="711"/>
        <v>0</v>
      </c>
      <c r="AR183" s="653">
        <v>0</v>
      </c>
      <c r="AS183" s="40">
        <v>12</v>
      </c>
      <c r="AT183" s="630">
        <f t="shared" si="712"/>
        <v>-12</v>
      </c>
      <c r="AU183" s="653">
        <v>0</v>
      </c>
      <c r="AV183" s="40">
        <v>0</v>
      </c>
      <c r="AW183" s="630">
        <f t="shared" si="713"/>
        <v>0</v>
      </c>
      <c r="AX183" s="653">
        <v>0</v>
      </c>
      <c r="AY183" s="40">
        <v>73</v>
      </c>
      <c r="AZ183" s="236">
        <f t="shared" si="714"/>
        <v>-73</v>
      </c>
      <c r="BA183" s="605">
        <f t="shared" si="727"/>
        <v>0</v>
      </c>
      <c r="BB183" s="56">
        <f t="shared" si="715"/>
        <v>0</v>
      </c>
      <c r="BC183" s="236">
        <f t="shared" si="716"/>
        <v>0</v>
      </c>
      <c r="BD183" s="605">
        <f t="shared" si="717"/>
        <v>0</v>
      </c>
      <c r="BE183" s="56">
        <f t="shared" si="718"/>
        <v>0</v>
      </c>
      <c r="BF183" s="236">
        <f t="shared" si="719"/>
        <v>0</v>
      </c>
      <c r="BG183" s="605">
        <f t="shared" si="720"/>
        <v>0</v>
      </c>
      <c r="BH183" s="56">
        <f t="shared" si="721"/>
        <v>0</v>
      </c>
      <c r="BI183" s="236">
        <f t="shared" si="722"/>
        <v>0</v>
      </c>
      <c r="BJ183" s="605">
        <f t="shared" si="723"/>
        <v>0</v>
      </c>
      <c r="BK183" s="56">
        <f t="shared" si="724"/>
        <v>0</v>
      </c>
      <c r="BL183" s="236">
        <f t="shared" si="725"/>
        <v>0</v>
      </c>
      <c r="BM183" s="605">
        <f t="shared" si="726"/>
        <v>0</v>
      </c>
    </row>
    <row r="184" spans="1:65">
      <c r="A184" s="25" t="s">
        <v>25</v>
      </c>
      <c r="B184" s="40"/>
      <c r="C184" s="40"/>
      <c r="D184" s="40"/>
      <c r="E184" s="40"/>
      <c r="F184" s="40">
        <v>314</v>
      </c>
      <c r="G184" s="40">
        <v>312</v>
      </c>
      <c r="H184" s="40">
        <v>343</v>
      </c>
      <c r="I184" s="40">
        <v>384</v>
      </c>
      <c r="J184" s="40">
        <v>373</v>
      </c>
      <c r="K184" s="40">
        <v>305</v>
      </c>
      <c r="L184" s="40">
        <v>400</v>
      </c>
      <c r="M184" s="40">
        <v>410</v>
      </c>
      <c r="N184" s="40">
        <v>26</v>
      </c>
      <c r="O184" s="40">
        <v>17</v>
      </c>
      <c r="P184" s="40">
        <v>13</v>
      </c>
      <c r="Q184" s="40">
        <v>65</v>
      </c>
      <c r="R184" s="40">
        <v>22</v>
      </c>
      <c r="S184" s="630">
        <f t="shared" si="703"/>
        <v>20</v>
      </c>
      <c r="T184" s="653">
        <v>42</v>
      </c>
      <c r="U184" s="40">
        <v>18</v>
      </c>
      <c r="V184" s="630">
        <f t="shared" si="704"/>
        <v>21</v>
      </c>
      <c r="W184" s="653">
        <v>39</v>
      </c>
      <c r="X184" s="40">
        <v>18</v>
      </c>
      <c r="Y184" s="630">
        <f t="shared" si="705"/>
        <v>21</v>
      </c>
      <c r="Z184" s="653">
        <v>39</v>
      </c>
      <c r="AA184" s="40">
        <v>27</v>
      </c>
      <c r="AB184" s="630">
        <f t="shared" si="706"/>
        <v>29</v>
      </c>
      <c r="AC184" s="653">
        <v>56</v>
      </c>
      <c r="AD184" s="40">
        <v>28</v>
      </c>
      <c r="AE184" s="630">
        <f t="shared" si="707"/>
        <v>32</v>
      </c>
      <c r="AF184" s="653">
        <v>60</v>
      </c>
      <c r="AG184" s="40">
        <v>13</v>
      </c>
      <c r="AH184" s="630">
        <f t="shared" si="708"/>
        <v>15</v>
      </c>
      <c r="AI184" s="653">
        <v>28</v>
      </c>
      <c r="AJ184" s="40">
        <v>7</v>
      </c>
      <c r="AK184" s="630">
        <f t="shared" si="709"/>
        <v>10</v>
      </c>
      <c r="AL184" s="653">
        <v>17</v>
      </c>
      <c r="AM184" s="40">
        <v>14</v>
      </c>
      <c r="AN184" s="630">
        <f t="shared" si="710"/>
        <v>10</v>
      </c>
      <c r="AO184" s="653">
        <v>24</v>
      </c>
      <c r="AP184" s="40">
        <v>15</v>
      </c>
      <c r="AQ184" s="630">
        <f t="shared" si="711"/>
        <v>15</v>
      </c>
      <c r="AR184" s="653">
        <v>30</v>
      </c>
      <c r="AS184" s="40">
        <v>12</v>
      </c>
      <c r="AT184" s="630">
        <f t="shared" si="712"/>
        <v>25</v>
      </c>
      <c r="AU184" s="653">
        <v>37</v>
      </c>
      <c r="AV184" s="40">
        <v>11</v>
      </c>
      <c r="AW184" s="630">
        <f t="shared" si="713"/>
        <v>21</v>
      </c>
      <c r="AX184" s="653">
        <v>32</v>
      </c>
      <c r="AY184" s="40">
        <v>5</v>
      </c>
      <c r="AZ184" s="236">
        <f t="shared" si="714"/>
        <v>27</v>
      </c>
      <c r="BA184" s="605">
        <f t="shared" si="727"/>
        <v>32</v>
      </c>
      <c r="BB184" s="56">
        <f t="shared" si="715"/>
        <v>16</v>
      </c>
      <c r="BC184" s="236">
        <f t="shared" si="716"/>
        <v>16</v>
      </c>
      <c r="BD184" s="605">
        <f t="shared" si="717"/>
        <v>32</v>
      </c>
      <c r="BE184" s="56">
        <f t="shared" si="718"/>
        <v>16</v>
      </c>
      <c r="BF184" s="236">
        <f t="shared" si="719"/>
        <v>16</v>
      </c>
      <c r="BG184" s="605">
        <f t="shared" si="720"/>
        <v>32</v>
      </c>
      <c r="BH184" s="56">
        <f t="shared" si="721"/>
        <v>16</v>
      </c>
      <c r="BI184" s="236">
        <f t="shared" si="722"/>
        <v>16</v>
      </c>
      <c r="BJ184" s="605">
        <f t="shared" si="723"/>
        <v>32</v>
      </c>
      <c r="BK184" s="56">
        <f t="shared" si="724"/>
        <v>16</v>
      </c>
      <c r="BL184" s="236">
        <f t="shared" si="725"/>
        <v>16</v>
      </c>
      <c r="BM184" s="605">
        <f t="shared" si="726"/>
        <v>32</v>
      </c>
    </row>
    <row r="185" spans="1:65">
      <c r="A185" s="25" t="s">
        <v>29</v>
      </c>
      <c r="B185" s="40"/>
      <c r="C185" s="40"/>
      <c r="D185" s="40"/>
      <c r="E185" s="40"/>
      <c r="F185" s="40">
        <v>0</v>
      </c>
      <c r="G185" s="40">
        <v>11</v>
      </c>
      <c r="H185" s="40">
        <v>0</v>
      </c>
      <c r="I185" s="40">
        <v>0</v>
      </c>
      <c r="J185" s="40">
        <v>0</v>
      </c>
      <c r="K185" s="40">
        <v>43</v>
      </c>
      <c r="L185" s="40">
        <v>1</v>
      </c>
      <c r="M185" s="40">
        <v>24</v>
      </c>
      <c r="N185" s="40">
        <v>0</v>
      </c>
      <c r="O185" s="40">
        <v>0</v>
      </c>
      <c r="P185" s="40">
        <v>0</v>
      </c>
      <c r="Q185" s="40">
        <v>17</v>
      </c>
      <c r="R185" s="40">
        <v>0</v>
      </c>
      <c r="S185" s="630">
        <f t="shared" si="703"/>
        <v>0</v>
      </c>
      <c r="T185" s="653">
        <v>0</v>
      </c>
      <c r="U185" s="40">
        <v>136</v>
      </c>
      <c r="V185" s="630">
        <f t="shared" si="704"/>
        <v>122</v>
      </c>
      <c r="W185" s="653">
        <v>258</v>
      </c>
      <c r="X185" s="40">
        <v>214</v>
      </c>
      <c r="Y185" s="630">
        <f t="shared" si="705"/>
        <v>-18</v>
      </c>
      <c r="Z185" s="653">
        <v>196</v>
      </c>
      <c r="AA185" s="40">
        <v>29</v>
      </c>
      <c r="AB185" s="630">
        <f t="shared" si="706"/>
        <v>134</v>
      </c>
      <c r="AC185" s="653">
        <v>163</v>
      </c>
      <c r="AD185" s="40">
        <v>0</v>
      </c>
      <c r="AE185" s="630">
        <f t="shared" si="707"/>
        <v>100</v>
      </c>
      <c r="AF185" s="653">
        <v>100</v>
      </c>
      <c r="AG185" s="40">
        <v>0</v>
      </c>
      <c r="AH185" s="630">
        <f t="shared" si="708"/>
        <v>0</v>
      </c>
      <c r="AI185" s="653">
        <v>0</v>
      </c>
      <c r="AJ185" s="40">
        <v>164</v>
      </c>
      <c r="AK185" s="630">
        <f t="shared" si="709"/>
        <v>-102</v>
      </c>
      <c r="AL185" s="653">
        <v>62</v>
      </c>
      <c r="AM185" s="40">
        <v>0</v>
      </c>
      <c r="AN185" s="630">
        <f t="shared" si="710"/>
        <v>0</v>
      </c>
      <c r="AO185" s="653">
        <v>0</v>
      </c>
      <c r="AP185" s="40">
        <v>396</v>
      </c>
      <c r="AQ185" s="630">
        <f t="shared" si="711"/>
        <v>-2</v>
      </c>
      <c r="AR185" s="653">
        <v>394</v>
      </c>
      <c r="AS185" s="40">
        <v>120</v>
      </c>
      <c r="AT185" s="630">
        <f t="shared" si="712"/>
        <v>70</v>
      </c>
      <c r="AU185" s="653">
        <v>190</v>
      </c>
      <c r="AV185" s="40">
        <v>529</v>
      </c>
      <c r="AW185" s="630">
        <f t="shared" si="713"/>
        <v>-30</v>
      </c>
      <c r="AX185" s="653">
        <v>499</v>
      </c>
      <c r="AY185" s="40">
        <v>0</v>
      </c>
      <c r="AZ185" s="236">
        <f t="shared" si="714"/>
        <v>0</v>
      </c>
      <c r="BA185" s="580">
        <v>0</v>
      </c>
      <c r="BB185" s="56">
        <f t="shared" si="715"/>
        <v>0</v>
      </c>
      <c r="BC185" s="236">
        <f t="shared" si="716"/>
        <v>0</v>
      </c>
      <c r="BD185" s="605">
        <f t="shared" si="717"/>
        <v>0</v>
      </c>
      <c r="BE185" s="56">
        <f t="shared" si="718"/>
        <v>0</v>
      </c>
      <c r="BF185" s="236">
        <f t="shared" si="719"/>
        <v>0</v>
      </c>
      <c r="BG185" s="605">
        <f t="shared" si="720"/>
        <v>0</v>
      </c>
      <c r="BH185" s="56">
        <f t="shared" si="721"/>
        <v>0</v>
      </c>
      <c r="BI185" s="236">
        <f t="shared" si="722"/>
        <v>0</v>
      </c>
      <c r="BJ185" s="605">
        <f t="shared" si="723"/>
        <v>0</v>
      </c>
      <c r="BK185" s="56">
        <f t="shared" si="724"/>
        <v>0</v>
      </c>
      <c r="BL185" s="236">
        <f t="shared" si="725"/>
        <v>0</v>
      </c>
      <c r="BM185" s="605">
        <f t="shared" si="726"/>
        <v>0</v>
      </c>
    </row>
    <row r="186" spans="1:65">
      <c r="A186" s="25" t="s">
        <v>379</v>
      </c>
      <c r="B186" s="40"/>
      <c r="C186" s="40"/>
      <c r="D186" s="40"/>
      <c r="E186" s="40"/>
      <c r="F186" s="40">
        <v>0</v>
      </c>
      <c r="G186" s="40">
        <v>0</v>
      </c>
      <c r="H186" s="40">
        <v>2</v>
      </c>
      <c r="I186" s="40">
        <f>43+1</f>
        <v>44</v>
      </c>
      <c r="J186" s="40">
        <v>0</v>
      </c>
      <c r="K186" s="40">
        <v>0</v>
      </c>
      <c r="L186" s="40">
        <v>0</v>
      </c>
      <c r="M186" s="40">
        <v>0</v>
      </c>
      <c r="N186" s="40">
        <v>0</v>
      </c>
      <c r="O186" s="40">
        <v>0</v>
      </c>
      <c r="P186" s="40">
        <v>0</v>
      </c>
      <c r="Q186" s="40">
        <v>0</v>
      </c>
      <c r="R186" s="40">
        <v>0</v>
      </c>
      <c r="S186" s="630">
        <f t="shared" si="703"/>
        <v>0</v>
      </c>
      <c r="T186" s="653">
        <v>0</v>
      </c>
      <c r="U186" s="40">
        <v>0</v>
      </c>
      <c r="V186" s="630">
        <f t="shared" si="704"/>
        <v>0</v>
      </c>
      <c r="W186" s="653">
        <v>0</v>
      </c>
      <c r="X186" s="40">
        <v>0</v>
      </c>
      <c r="Y186" s="630">
        <f t="shared" si="705"/>
        <v>0</v>
      </c>
      <c r="Z186" s="653">
        <v>0</v>
      </c>
      <c r="AA186" s="40">
        <v>0</v>
      </c>
      <c r="AB186" s="630">
        <f t="shared" si="706"/>
        <v>0</v>
      </c>
      <c r="AC186" s="653">
        <v>0</v>
      </c>
      <c r="AD186" s="40">
        <v>0</v>
      </c>
      <c r="AE186" s="630">
        <f t="shared" si="707"/>
        <v>0</v>
      </c>
      <c r="AF186" s="653">
        <v>0</v>
      </c>
      <c r="AG186" s="40">
        <v>0</v>
      </c>
      <c r="AH186" s="630">
        <f t="shared" si="708"/>
        <v>0</v>
      </c>
      <c r="AI186" s="653">
        <f>AF186</f>
        <v>0</v>
      </c>
      <c r="AJ186" s="40">
        <v>40</v>
      </c>
      <c r="AK186" s="630">
        <f t="shared" si="709"/>
        <v>-40</v>
      </c>
      <c r="AL186" s="653">
        <v>0</v>
      </c>
      <c r="AM186" s="40">
        <v>97</v>
      </c>
      <c r="AN186" s="630">
        <f t="shared" si="710"/>
        <v>93</v>
      </c>
      <c r="AO186" s="653">
        <v>190</v>
      </c>
      <c r="AP186" s="40">
        <v>60</v>
      </c>
      <c r="AQ186" s="630">
        <f t="shared" si="711"/>
        <v>-59</v>
      </c>
      <c r="AR186" s="653">
        <v>1</v>
      </c>
      <c r="AS186" s="40">
        <v>34</v>
      </c>
      <c r="AT186" s="630">
        <f t="shared" si="712"/>
        <v>6</v>
      </c>
      <c r="AU186" s="653">
        <v>40</v>
      </c>
      <c r="AV186" s="40">
        <v>0</v>
      </c>
      <c r="AW186" s="630">
        <f t="shared" si="713"/>
        <v>0</v>
      </c>
      <c r="AX186" s="653">
        <v>0</v>
      </c>
      <c r="AY186" s="40">
        <v>0</v>
      </c>
      <c r="AZ186" s="236">
        <f t="shared" si="714"/>
        <v>0</v>
      </c>
      <c r="BA186" s="605">
        <f t="shared" si="727"/>
        <v>0</v>
      </c>
      <c r="BB186" s="56">
        <f t="shared" si="715"/>
        <v>0</v>
      </c>
      <c r="BC186" s="236">
        <f t="shared" si="716"/>
        <v>0</v>
      </c>
      <c r="BD186" s="605">
        <f t="shared" si="717"/>
        <v>0</v>
      </c>
      <c r="BE186" s="56">
        <f t="shared" si="718"/>
        <v>0</v>
      </c>
      <c r="BF186" s="236">
        <f t="shared" si="719"/>
        <v>0</v>
      </c>
      <c r="BG186" s="605">
        <f t="shared" si="720"/>
        <v>0</v>
      </c>
      <c r="BH186" s="56">
        <f t="shared" si="721"/>
        <v>0</v>
      </c>
      <c r="BI186" s="236">
        <f t="shared" si="722"/>
        <v>0</v>
      </c>
      <c r="BJ186" s="605">
        <f t="shared" si="723"/>
        <v>0</v>
      </c>
      <c r="BK186" s="56">
        <f t="shared" si="724"/>
        <v>0</v>
      </c>
      <c r="BL186" s="236">
        <f t="shared" si="725"/>
        <v>0</v>
      </c>
      <c r="BM186" s="605">
        <f t="shared" si="726"/>
        <v>0</v>
      </c>
    </row>
    <row r="187" spans="1:65">
      <c r="A187" s="68" t="s">
        <v>123</v>
      </c>
      <c r="B187" s="267"/>
      <c r="C187" s="267"/>
      <c r="D187" s="267"/>
      <c r="E187" s="46"/>
      <c r="F187" s="46">
        <f>SUM(F180:F186)</f>
        <v>372</v>
      </c>
      <c r="G187" s="46">
        <f>SUM(G180:G186)</f>
        <v>472</v>
      </c>
      <c r="H187" s="46">
        <f>SUM(H180:H186)</f>
        <v>1196</v>
      </c>
      <c r="I187" s="46">
        <f>SUM(I180:I186)</f>
        <v>762</v>
      </c>
      <c r="J187" s="46">
        <f t="shared" ref="J187:BM187" si="728">SUM(J180:J186)</f>
        <v>432</v>
      </c>
      <c r="K187" s="46">
        <f t="shared" si="728"/>
        <v>2276</v>
      </c>
      <c r="L187" s="46">
        <f t="shared" si="728"/>
        <v>453</v>
      </c>
      <c r="M187" s="46">
        <f t="shared" si="728"/>
        <v>456</v>
      </c>
      <c r="N187" s="46">
        <f t="shared" si="728"/>
        <v>797</v>
      </c>
      <c r="O187" s="46">
        <f t="shared" si="728"/>
        <v>327</v>
      </c>
      <c r="P187" s="46">
        <f t="shared" si="728"/>
        <v>121</v>
      </c>
      <c r="Q187" s="46">
        <f t="shared" si="728"/>
        <v>115</v>
      </c>
      <c r="R187" s="46">
        <f t="shared" ref="R187:S187" si="729">SUM(R180:R186)</f>
        <v>36</v>
      </c>
      <c r="S187" s="643">
        <f t="shared" si="729"/>
        <v>60</v>
      </c>
      <c r="T187" s="667">
        <f t="shared" si="728"/>
        <v>96</v>
      </c>
      <c r="U187" s="46">
        <f t="shared" si="728"/>
        <v>1570</v>
      </c>
      <c r="V187" s="643">
        <f t="shared" si="728"/>
        <v>1403</v>
      </c>
      <c r="W187" s="667">
        <f t="shared" si="728"/>
        <v>2973</v>
      </c>
      <c r="X187" s="46">
        <f t="shared" si="728"/>
        <v>1648</v>
      </c>
      <c r="Y187" s="643">
        <f t="shared" si="728"/>
        <v>1263</v>
      </c>
      <c r="Z187" s="667">
        <f>SUM(Z180:Z186)</f>
        <v>2911</v>
      </c>
      <c r="AA187" s="46">
        <f t="shared" ref="AA187:AB187" si="730">SUM(AA180:AA186)</f>
        <v>106</v>
      </c>
      <c r="AB187" s="643">
        <f t="shared" si="730"/>
        <v>165</v>
      </c>
      <c r="AC187" s="667">
        <f t="shared" si="728"/>
        <v>271</v>
      </c>
      <c r="AD187" s="46">
        <f t="shared" ref="AD187:AE187" si="731">SUM(AD180:AD186)</f>
        <v>73</v>
      </c>
      <c r="AE187" s="643">
        <f t="shared" si="731"/>
        <v>179</v>
      </c>
      <c r="AF187" s="667">
        <f t="shared" si="728"/>
        <v>252</v>
      </c>
      <c r="AG187" s="46">
        <f t="shared" si="728"/>
        <v>23</v>
      </c>
      <c r="AH187" s="643">
        <f t="shared" si="728"/>
        <v>38</v>
      </c>
      <c r="AI187" s="667">
        <f t="shared" si="728"/>
        <v>61</v>
      </c>
      <c r="AJ187" s="46">
        <f t="shared" ref="AJ187:AK187" si="732">SUM(AJ180:AJ186)</f>
        <v>280</v>
      </c>
      <c r="AK187" s="643">
        <f t="shared" si="732"/>
        <v>-51</v>
      </c>
      <c r="AL187" s="667">
        <f t="shared" si="728"/>
        <v>229</v>
      </c>
      <c r="AM187" s="46">
        <f t="shared" si="728"/>
        <v>215</v>
      </c>
      <c r="AN187" s="643">
        <f t="shared" ref="AN187" si="733">SUM(AN180:AN186)</f>
        <v>140</v>
      </c>
      <c r="AO187" s="667">
        <f t="shared" si="728"/>
        <v>355</v>
      </c>
      <c r="AP187" s="46">
        <f t="shared" ref="AP187:AR187" si="734">SUM(AP180:AP186)</f>
        <v>934</v>
      </c>
      <c r="AQ187" s="643">
        <f t="shared" si="734"/>
        <v>229</v>
      </c>
      <c r="AR187" s="667">
        <f t="shared" si="734"/>
        <v>1163</v>
      </c>
      <c r="AS187" s="46">
        <f t="shared" ref="AS187:AU187" si="735">SUM(AS180:AS186)</f>
        <v>306</v>
      </c>
      <c r="AT187" s="643">
        <f t="shared" si="735"/>
        <v>230</v>
      </c>
      <c r="AU187" s="667">
        <f t="shared" si="735"/>
        <v>536</v>
      </c>
      <c r="AV187" s="46">
        <f t="shared" ref="AV187:AW187" si="736">SUM(AV180:AV186)</f>
        <v>2342</v>
      </c>
      <c r="AW187" s="643">
        <f t="shared" si="736"/>
        <v>-205</v>
      </c>
      <c r="AX187" s="667">
        <f t="shared" si="728"/>
        <v>2137</v>
      </c>
      <c r="AY187" s="46">
        <f t="shared" si="728"/>
        <v>197</v>
      </c>
      <c r="AZ187" s="250">
        <f t="shared" si="728"/>
        <v>147.20000000000005</v>
      </c>
      <c r="BA187" s="615">
        <f t="shared" si="728"/>
        <v>344.20000000000005</v>
      </c>
      <c r="BB187" s="249">
        <f t="shared" si="728"/>
        <v>185.55047454234028</v>
      </c>
      <c r="BC187" s="250">
        <f t="shared" si="728"/>
        <v>185.55047454234028</v>
      </c>
      <c r="BD187" s="615">
        <f t="shared" si="728"/>
        <v>371.10094908468056</v>
      </c>
      <c r="BE187" s="249">
        <f t="shared" si="728"/>
        <v>207.75783466540895</v>
      </c>
      <c r="BF187" s="250">
        <f t="shared" si="728"/>
        <v>207.75783466540895</v>
      </c>
      <c r="BG187" s="615">
        <f t="shared" si="728"/>
        <v>415.5156693308179</v>
      </c>
      <c r="BH187" s="249">
        <f t="shared" si="728"/>
        <v>253.40688837383956</v>
      </c>
      <c r="BI187" s="250">
        <f t="shared" si="728"/>
        <v>253.40688837383956</v>
      </c>
      <c r="BJ187" s="615">
        <f t="shared" si="728"/>
        <v>506.81377674767913</v>
      </c>
      <c r="BK187" s="249">
        <f t="shared" si="728"/>
        <v>380.55856024334878</v>
      </c>
      <c r="BL187" s="250">
        <f t="shared" si="728"/>
        <v>380.55856024334878</v>
      </c>
      <c r="BM187" s="615">
        <f t="shared" si="728"/>
        <v>761.11712048669756</v>
      </c>
    </row>
    <row r="188" spans="1:65">
      <c r="A188" s="143" t="s">
        <v>122</v>
      </c>
      <c r="B188" s="40"/>
      <c r="C188" s="40"/>
      <c r="D188" s="40"/>
      <c r="E188" s="40"/>
      <c r="F188" s="40"/>
      <c r="G188" s="40"/>
      <c r="H188" s="40"/>
      <c r="I188" s="40"/>
      <c r="J188" s="40"/>
      <c r="K188" s="40"/>
      <c r="L188" s="40"/>
      <c r="M188" s="40"/>
      <c r="N188" s="40"/>
      <c r="O188" s="40"/>
      <c r="P188" s="40"/>
      <c r="Q188" s="40"/>
      <c r="R188" s="40"/>
      <c r="S188" s="630"/>
      <c r="T188" s="653"/>
      <c r="U188" s="40"/>
      <c r="V188" s="630"/>
      <c r="W188" s="653"/>
      <c r="X188" s="40"/>
      <c r="Y188" s="630"/>
      <c r="Z188" s="653"/>
      <c r="AA188" s="40"/>
      <c r="AB188" s="630"/>
      <c r="AC188" s="653"/>
      <c r="AD188" s="40"/>
      <c r="AE188" s="630"/>
      <c r="AF188" s="653"/>
      <c r="AG188" s="40"/>
      <c r="AH188" s="630"/>
      <c r="AI188" s="653"/>
      <c r="AJ188" s="40"/>
      <c r="AK188" s="630"/>
      <c r="AL188" s="653"/>
      <c r="AM188" s="40"/>
      <c r="AN188" s="630"/>
      <c r="AO188" s="653"/>
      <c r="AP188" s="40"/>
      <c r="AQ188" s="539"/>
      <c r="AR188" s="550"/>
      <c r="AS188"/>
      <c r="AT188" s="539"/>
      <c r="AU188" s="550"/>
      <c r="AV188"/>
      <c r="AW188" s="539"/>
      <c r="AX188" s="550"/>
      <c r="AY188"/>
      <c r="AZ188" s="539"/>
      <c r="BA188" s="550"/>
      <c r="BB188"/>
      <c r="BC188" s="539"/>
      <c r="BD188" s="550"/>
      <c r="BE188"/>
      <c r="BF188" s="539"/>
      <c r="BG188" s="550"/>
      <c r="BH188"/>
      <c r="BI188" s="539"/>
      <c r="BJ188" s="550"/>
      <c r="BK188"/>
      <c r="BL188" s="539"/>
      <c r="BM188" s="550"/>
    </row>
    <row r="189" spans="1:65">
      <c r="A189" s="25" t="s">
        <v>24</v>
      </c>
      <c r="B189" s="40"/>
      <c r="C189" s="40"/>
      <c r="D189" s="40"/>
      <c r="E189" s="40"/>
      <c r="F189" s="40"/>
      <c r="G189" s="40">
        <f t="shared" ref="G189:BM189" si="737">G180</f>
        <v>65</v>
      </c>
      <c r="H189" s="40">
        <f t="shared" si="737"/>
        <v>82</v>
      </c>
      <c r="I189" s="40">
        <f t="shared" si="737"/>
        <v>83</v>
      </c>
      <c r="J189" s="40">
        <f t="shared" si="737"/>
        <v>59</v>
      </c>
      <c r="K189" s="40">
        <f t="shared" si="737"/>
        <v>21</v>
      </c>
      <c r="L189" s="40">
        <f t="shared" si="737"/>
        <v>23</v>
      </c>
      <c r="M189" s="40">
        <f t="shared" si="737"/>
        <v>20</v>
      </c>
      <c r="N189" s="40">
        <f t="shared" si="737"/>
        <v>10</v>
      </c>
      <c r="O189" s="40">
        <f t="shared" si="737"/>
        <v>15</v>
      </c>
      <c r="P189" s="40">
        <f t="shared" si="737"/>
        <v>17</v>
      </c>
      <c r="Q189" s="40">
        <f t="shared" si="737"/>
        <v>12</v>
      </c>
      <c r="R189" s="40">
        <v>7</v>
      </c>
      <c r="S189" s="630">
        <f t="shared" ref="S189:S191" si="738">T189-R189</f>
        <v>7</v>
      </c>
      <c r="T189" s="653">
        <f t="shared" si="737"/>
        <v>14</v>
      </c>
      <c r="U189" s="40">
        <v>5</v>
      </c>
      <c r="V189" s="630">
        <f t="shared" ref="V189:V191" si="739">W189-U189</f>
        <v>6</v>
      </c>
      <c r="W189" s="653">
        <f t="shared" si="737"/>
        <v>11</v>
      </c>
      <c r="X189" s="40">
        <v>5</v>
      </c>
      <c r="Y189" s="630">
        <f t="shared" ref="Y189:Y191" si="740">Z189-X189</f>
        <v>6</v>
      </c>
      <c r="Z189" s="653">
        <f>Z180</f>
        <v>11</v>
      </c>
      <c r="AA189" s="40">
        <v>11</v>
      </c>
      <c r="AB189" s="630">
        <f t="shared" ref="AB189:AB191" si="741">AC189-AA189</f>
        <v>16</v>
      </c>
      <c r="AC189" s="653">
        <f t="shared" si="737"/>
        <v>27</v>
      </c>
      <c r="AD189" s="40">
        <v>19</v>
      </c>
      <c r="AE189" s="630">
        <f t="shared" ref="AE189:AE191" si="742">AF189-AD189</f>
        <v>12</v>
      </c>
      <c r="AF189" s="653">
        <f t="shared" si="737"/>
        <v>31</v>
      </c>
      <c r="AG189" s="40">
        <v>11</v>
      </c>
      <c r="AH189" s="630">
        <f t="shared" ref="AH189:AH191" si="743">AI189-AG189</f>
        <v>10</v>
      </c>
      <c r="AI189" s="653">
        <f>AI180</f>
        <v>21</v>
      </c>
      <c r="AJ189" s="40">
        <f t="shared" ref="AJ189" si="744">AJ180</f>
        <v>3</v>
      </c>
      <c r="AK189" s="630">
        <f t="shared" ref="AK189:AK191" si="745">AL189-AJ189</f>
        <v>4</v>
      </c>
      <c r="AL189" s="653">
        <f t="shared" si="737"/>
        <v>7</v>
      </c>
      <c r="AM189" s="40">
        <f t="shared" si="737"/>
        <v>9</v>
      </c>
      <c r="AN189" s="630">
        <f t="shared" ref="AN189:AN191" si="746">AO189-AM189</f>
        <v>26</v>
      </c>
      <c r="AO189" s="653">
        <f t="shared" si="737"/>
        <v>35</v>
      </c>
      <c r="AP189" s="40">
        <f t="shared" ref="AP189" si="747">AP180</f>
        <v>56</v>
      </c>
      <c r="AQ189" s="630">
        <f t="shared" ref="AQ189:AQ191" si="748">AR189-AP189</f>
        <v>108</v>
      </c>
      <c r="AR189" s="653">
        <f t="shared" ref="AR189:AS189" si="749">AR180</f>
        <v>164</v>
      </c>
      <c r="AS189" s="40">
        <f t="shared" si="749"/>
        <v>128</v>
      </c>
      <c r="AT189" s="630">
        <f t="shared" ref="AT189:AT191" si="750">AU189-AS189</f>
        <v>138</v>
      </c>
      <c r="AU189" s="653">
        <v>266</v>
      </c>
      <c r="AV189" s="40">
        <v>147</v>
      </c>
      <c r="AW189" s="630">
        <f t="shared" ref="AW189:AW191" si="751">AX189-AV189</f>
        <v>118</v>
      </c>
      <c r="AX189" s="653">
        <v>265</v>
      </c>
      <c r="AY189" s="40">
        <v>112</v>
      </c>
      <c r="AZ189" s="236">
        <f t="shared" ref="AZ189:AZ191" si="752">BA189-AY189</f>
        <v>200.20000000000005</v>
      </c>
      <c r="BA189" s="605">
        <f t="shared" si="737"/>
        <v>312.20000000000005</v>
      </c>
      <c r="BB189" s="56">
        <f t="shared" si="737"/>
        <v>169.55047454234028</v>
      </c>
      <c r="BC189" s="236">
        <f t="shared" ref="BC189:BC191" si="753">BD189-BB189</f>
        <v>169.55047454234028</v>
      </c>
      <c r="BD189" s="605">
        <f t="shared" si="737"/>
        <v>339.10094908468056</v>
      </c>
      <c r="BE189" s="56">
        <f t="shared" si="737"/>
        <v>191.75783466540895</v>
      </c>
      <c r="BF189" s="236">
        <f t="shared" ref="BF189:BF191" si="754">BG189-BE189</f>
        <v>191.75783466540895</v>
      </c>
      <c r="BG189" s="605">
        <f t="shared" si="737"/>
        <v>383.5156693308179</v>
      </c>
      <c r="BH189" s="56">
        <f t="shared" si="737"/>
        <v>237.40688837383956</v>
      </c>
      <c r="BI189" s="236">
        <f t="shared" ref="BI189:BI191" si="755">BJ189-BH189</f>
        <v>237.40688837383956</v>
      </c>
      <c r="BJ189" s="605">
        <f t="shared" si="737"/>
        <v>474.81377674767913</v>
      </c>
      <c r="BK189" s="56">
        <f t="shared" si="737"/>
        <v>364.55856024334878</v>
      </c>
      <c r="BL189" s="236">
        <f t="shared" ref="BL189:BL191" si="756">BM189-BK189</f>
        <v>364.55856024334878</v>
      </c>
      <c r="BM189" s="605">
        <f t="shared" si="737"/>
        <v>729.11712048669756</v>
      </c>
    </row>
    <row r="190" spans="1:65">
      <c r="A190" s="25" t="s">
        <v>29</v>
      </c>
      <c r="B190" s="40"/>
      <c r="C190" s="40"/>
      <c r="D190" s="40"/>
      <c r="E190" s="40"/>
      <c r="F190" s="40"/>
      <c r="G190" s="40">
        <v>1</v>
      </c>
      <c r="H190" s="40">
        <v>0</v>
      </c>
      <c r="I190" s="40">
        <v>0</v>
      </c>
      <c r="J190" s="40">
        <v>0</v>
      </c>
      <c r="K190" s="40">
        <v>0</v>
      </c>
      <c r="L190" s="40">
        <v>0</v>
      </c>
      <c r="M190" s="40">
        <v>0</v>
      </c>
      <c r="N190" s="40">
        <v>0</v>
      </c>
      <c r="O190" s="40">
        <v>0</v>
      </c>
      <c r="P190" s="40">
        <v>0</v>
      </c>
      <c r="Q190" s="40">
        <v>32</v>
      </c>
      <c r="R190" s="40">
        <v>0</v>
      </c>
      <c r="S190" s="630">
        <f t="shared" si="738"/>
        <v>0</v>
      </c>
      <c r="T190" s="653">
        <v>0</v>
      </c>
      <c r="U190" s="40">
        <v>0</v>
      </c>
      <c r="V190" s="630">
        <f t="shared" si="739"/>
        <v>0</v>
      </c>
      <c r="W190" s="653">
        <v>0</v>
      </c>
      <c r="X190" s="40">
        <v>0</v>
      </c>
      <c r="Y190" s="630">
        <f t="shared" si="740"/>
        <v>0</v>
      </c>
      <c r="Z190" s="653">
        <v>0</v>
      </c>
      <c r="AA190" s="40">
        <v>0</v>
      </c>
      <c r="AB190" s="630">
        <f t="shared" si="741"/>
        <v>0</v>
      </c>
      <c r="AC190" s="653">
        <v>0</v>
      </c>
      <c r="AD190" s="40">
        <v>0</v>
      </c>
      <c r="AE190" s="630">
        <f t="shared" si="742"/>
        <v>0</v>
      </c>
      <c r="AF190" s="653">
        <v>0</v>
      </c>
      <c r="AG190" s="40">
        <v>0</v>
      </c>
      <c r="AH190" s="630">
        <f t="shared" si="743"/>
        <v>0</v>
      </c>
      <c r="AI190" s="653">
        <v>0</v>
      </c>
      <c r="AJ190" s="40">
        <f>7+8</f>
        <v>15</v>
      </c>
      <c r="AK190" s="630">
        <f t="shared" si="745"/>
        <v>-1</v>
      </c>
      <c r="AL190" s="653">
        <f>6+8</f>
        <v>14</v>
      </c>
      <c r="AM190" s="40">
        <v>0</v>
      </c>
      <c r="AN190" s="630">
        <f t="shared" si="746"/>
        <v>0</v>
      </c>
      <c r="AO190" s="653">
        <v>0</v>
      </c>
      <c r="AP190" s="40">
        <v>0</v>
      </c>
      <c r="AQ190" s="630">
        <f t="shared" si="748"/>
        <v>0</v>
      </c>
      <c r="AR190" s="653">
        <v>0</v>
      </c>
      <c r="AS190" s="40">
        <v>0</v>
      </c>
      <c r="AT190" s="630">
        <f t="shared" si="750"/>
        <v>0</v>
      </c>
      <c r="AU190" s="653">
        <v>0</v>
      </c>
      <c r="AV190" s="40">
        <v>0</v>
      </c>
      <c r="AW190" s="630">
        <f t="shared" si="751"/>
        <v>0</v>
      </c>
      <c r="AX190" s="653">
        <v>0</v>
      </c>
      <c r="AY190" s="40">
        <v>0</v>
      </c>
      <c r="AZ190" s="236">
        <f t="shared" si="752"/>
        <v>0</v>
      </c>
      <c r="BA190" s="605">
        <f>AX190</f>
        <v>0</v>
      </c>
      <c r="BB190" s="56">
        <f>BD190/2</f>
        <v>0</v>
      </c>
      <c r="BC190" s="236">
        <f t="shared" si="753"/>
        <v>0</v>
      </c>
      <c r="BD190" s="605">
        <f>BA190</f>
        <v>0</v>
      </c>
      <c r="BE190" s="56">
        <f>BG190/2</f>
        <v>0</v>
      </c>
      <c r="BF190" s="236">
        <f t="shared" si="754"/>
        <v>0</v>
      </c>
      <c r="BG190" s="605">
        <f>BD190</f>
        <v>0</v>
      </c>
      <c r="BH190" s="56">
        <f>BJ190/2</f>
        <v>0</v>
      </c>
      <c r="BI190" s="236">
        <f t="shared" si="755"/>
        <v>0</v>
      </c>
      <c r="BJ190" s="605">
        <f>BG190</f>
        <v>0</v>
      </c>
      <c r="BK190" s="56">
        <f>BM190/2</f>
        <v>0</v>
      </c>
      <c r="BL190" s="236">
        <f t="shared" si="756"/>
        <v>0</v>
      </c>
      <c r="BM190" s="605">
        <f t="shared" ref="BM190:BM191" si="757">BJ190</f>
        <v>0</v>
      </c>
    </row>
    <row r="191" spans="1:65">
      <c r="A191" s="25" t="s">
        <v>379</v>
      </c>
      <c r="B191" s="40"/>
      <c r="C191" s="40"/>
      <c r="D191" s="40"/>
      <c r="E191" s="40"/>
      <c r="F191" s="40"/>
      <c r="G191" s="40">
        <f>G186</f>
        <v>0</v>
      </c>
      <c r="H191" s="40">
        <f>H186</f>
        <v>2</v>
      </c>
      <c r="I191" s="40">
        <f>I186</f>
        <v>44</v>
      </c>
      <c r="J191" s="40">
        <f t="shared" ref="J191:T191" si="758">J186</f>
        <v>0</v>
      </c>
      <c r="K191" s="40">
        <f t="shared" si="758"/>
        <v>0</v>
      </c>
      <c r="L191" s="40">
        <f t="shared" si="758"/>
        <v>0</v>
      </c>
      <c r="M191" s="40">
        <f t="shared" si="758"/>
        <v>0</v>
      </c>
      <c r="N191" s="40">
        <f t="shared" si="758"/>
        <v>0</v>
      </c>
      <c r="O191" s="40">
        <f t="shared" si="758"/>
        <v>0</v>
      </c>
      <c r="P191" s="40">
        <f t="shared" si="758"/>
        <v>0</v>
      </c>
      <c r="Q191" s="40">
        <f t="shared" si="758"/>
        <v>0</v>
      </c>
      <c r="R191" s="40">
        <v>0</v>
      </c>
      <c r="S191" s="630">
        <f t="shared" si="738"/>
        <v>0</v>
      </c>
      <c r="T191" s="653">
        <f t="shared" si="758"/>
        <v>0</v>
      </c>
      <c r="U191" s="40">
        <v>0</v>
      </c>
      <c r="V191" s="630">
        <f t="shared" si="739"/>
        <v>0</v>
      </c>
      <c r="W191" s="653">
        <f>W186</f>
        <v>0</v>
      </c>
      <c r="X191" s="40">
        <v>0</v>
      </c>
      <c r="Y191" s="630">
        <f t="shared" si="740"/>
        <v>0</v>
      </c>
      <c r="Z191" s="653">
        <f>Z186</f>
        <v>0</v>
      </c>
      <c r="AA191" s="40">
        <v>0</v>
      </c>
      <c r="AB191" s="630">
        <f t="shared" si="741"/>
        <v>0</v>
      </c>
      <c r="AC191" s="653">
        <f>AC186</f>
        <v>0</v>
      </c>
      <c r="AD191" s="40">
        <v>0</v>
      </c>
      <c r="AE191" s="630">
        <f t="shared" si="742"/>
        <v>0</v>
      </c>
      <c r="AF191" s="653">
        <v>0</v>
      </c>
      <c r="AG191" s="40">
        <v>0</v>
      </c>
      <c r="AH191" s="630">
        <f t="shared" si="743"/>
        <v>0</v>
      </c>
      <c r="AI191" s="653">
        <v>0</v>
      </c>
      <c r="AJ191" s="40">
        <v>0</v>
      </c>
      <c r="AK191" s="630">
        <f t="shared" si="745"/>
        <v>0</v>
      </c>
      <c r="AL191" s="653">
        <v>0</v>
      </c>
      <c r="AM191" s="40">
        <v>0</v>
      </c>
      <c r="AN191" s="630">
        <f t="shared" si="746"/>
        <v>0</v>
      </c>
      <c r="AO191" s="653">
        <v>0</v>
      </c>
      <c r="AP191" s="40">
        <v>0</v>
      </c>
      <c r="AQ191" s="630">
        <f t="shared" si="748"/>
        <v>0</v>
      </c>
      <c r="AR191" s="653">
        <v>0</v>
      </c>
      <c r="AS191" s="40">
        <v>0</v>
      </c>
      <c r="AT191" s="630">
        <f t="shared" si="750"/>
        <v>0</v>
      </c>
      <c r="AU191" s="653">
        <v>0</v>
      </c>
      <c r="AV191" s="40">
        <v>0</v>
      </c>
      <c r="AW191" s="630">
        <f t="shared" si="751"/>
        <v>0</v>
      </c>
      <c r="AX191" s="653">
        <v>0</v>
      </c>
      <c r="AY191" s="40">
        <v>0</v>
      </c>
      <c r="AZ191" s="236">
        <f t="shared" si="752"/>
        <v>0</v>
      </c>
      <c r="BA191" s="605">
        <f>AX191</f>
        <v>0</v>
      </c>
      <c r="BB191" s="56">
        <f>BD191/2</f>
        <v>0</v>
      </c>
      <c r="BC191" s="236">
        <f t="shared" si="753"/>
        <v>0</v>
      </c>
      <c r="BD191" s="605">
        <f>BA191</f>
        <v>0</v>
      </c>
      <c r="BE191" s="56">
        <f>BG191/2</f>
        <v>0</v>
      </c>
      <c r="BF191" s="236">
        <f t="shared" si="754"/>
        <v>0</v>
      </c>
      <c r="BG191" s="605">
        <f>BD191</f>
        <v>0</v>
      </c>
      <c r="BH191" s="56">
        <f>BJ191/2</f>
        <v>0</v>
      </c>
      <c r="BI191" s="236">
        <f t="shared" si="755"/>
        <v>0</v>
      </c>
      <c r="BJ191" s="605">
        <f>BG191</f>
        <v>0</v>
      </c>
      <c r="BK191" s="56">
        <f>BM191/2</f>
        <v>0</v>
      </c>
      <c r="BL191" s="236">
        <f t="shared" si="756"/>
        <v>0</v>
      </c>
      <c r="BM191" s="605">
        <f t="shared" si="757"/>
        <v>0</v>
      </c>
    </row>
    <row r="192" spans="1:65">
      <c r="A192" s="31" t="s">
        <v>124</v>
      </c>
      <c r="B192" s="40"/>
      <c r="C192" s="40"/>
      <c r="D192" s="40"/>
      <c r="E192" s="40"/>
      <c r="F192" s="40"/>
      <c r="G192" s="51">
        <f>SUM(G189:G191)</f>
        <v>66</v>
      </c>
      <c r="H192" s="51">
        <f>SUM(H189:H191)</f>
        <v>84</v>
      </c>
      <c r="I192" s="51">
        <f>SUM(I189:I191)</f>
        <v>127</v>
      </c>
      <c r="J192" s="51">
        <f>SUM(J189:J191)</f>
        <v>59</v>
      </c>
      <c r="K192" s="51">
        <f t="shared" ref="K192:BM192" si="759">SUM(K189:K191)</f>
        <v>21</v>
      </c>
      <c r="L192" s="51">
        <f t="shared" si="759"/>
        <v>23</v>
      </c>
      <c r="M192" s="51">
        <f t="shared" si="759"/>
        <v>20</v>
      </c>
      <c r="N192" s="51">
        <f t="shared" si="759"/>
        <v>10</v>
      </c>
      <c r="O192" s="51">
        <f t="shared" si="759"/>
        <v>15</v>
      </c>
      <c r="P192" s="51">
        <f t="shared" si="759"/>
        <v>17</v>
      </c>
      <c r="Q192" s="51">
        <f t="shared" si="759"/>
        <v>44</v>
      </c>
      <c r="R192" s="51">
        <f t="shared" ref="R192:S192" si="760">SUM(R189:R191)</f>
        <v>7</v>
      </c>
      <c r="S192" s="629">
        <f t="shared" si="760"/>
        <v>7</v>
      </c>
      <c r="T192" s="652">
        <f t="shared" si="759"/>
        <v>14</v>
      </c>
      <c r="U192" s="51">
        <f t="shared" si="759"/>
        <v>5</v>
      </c>
      <c r="V192" s="629">
        <f t="shared" si="759"/>
        <v>6</v>
      </c>
      <c r="W192" s="652">
        <f>SUM(W189:W191)</f>
        <v>11</v>
      </c>
      <c r="X192" s="51">
        <f t="shared" ref="X192:Y192" si="761">SUM(X189:X191)</f>
        <v>5</v>
      </c>
      <c r="Y192" s="629">
        <f t="shared" si="761"/>
        <v>6</v>
      </c>
      <c r="Z192" s="652">
        <f>SUM(Z189:Z191)</f>
        <v>11</v>
      </c>
      <c r="AA192" s="51">
        <f t="shared" ref="AA192:AB192" si="762">SUM(AA189:AA191)</f>
        <v>11</v>
      </c>
      <c r="AB192" s="629">
        <f t="shared" si="762"/>
        <v>16</v>
      </c>
      <c r="AC192" s="652">
        <f t="shared" si="759"/>
        <v>27</v>
      </c>
      <c r="AD192" s="51">
        <f t="shared" ref="AD192:AE192" si="763">SUM(AD189:AD191)</f>
        <v>19</v>
      </c>
      <c r="AE192" s="629">
        <f t="shared" si="763"/>
        <v>12</v>
      </c>
      <c r="AF192" s="652">
        <f t="shared" si="759"/>
        <v>31</v>
      </c>
      <c r="AG192" s="51">
        <f t="shared" si="759"/>
        <v>11</v>
      </c>
      <c r="AH192" s="629">
        <f t="shared" si="759"/>
        <v>10</v>
      </c>
      <c r="AI192" s="652">
        <f t="shared" si="759"/>
        <v>21</v>
      </c>
      <c r="AJ192" s="51">
        <f t="shared" ref="AJ192:AK192" si="764">SUM(AJ189:AJ191)</f>
        <v>18</v>
      </c>
      <c r="AK192" s="629">
        <f t="shared" si="764"/>
        <v>3</v>
      </c>
      <c r="AL192" s="652">
        <f t="shared" si="759"/>
        <v>21</v>
      </c>
      <c r="AM192" s="51">
        <f t="shared" si="759"/>
        <v>9</v>
      </c>
      <c r="AN192" s="629">
        <f t="shared" ref="AN192" si="765">SUM(AN189:AN191)</f>
        <v>26</v>
      </c>
      <c r="AO192" s="652">
        <f t="shared" si="759"/>
        <v>35</v>
      </c>
      <c r="AP192" s="51">
        <f t="shared" ref="AP192:AR192" si="766">SUM(AP189:AP191)</f>
        <v>56</v>
      </c>
      <c r="AQ192" s="629">
        <f t="shared" si="766"/>
        <v>108</v>
      </c>
      <c r="AR192" s="652">
        <f t="shared" si="766"/>
        <v>164</v>
      </c>
      <c r="AS192" s="51">
        <f t="shared" ref="AS192:AU192" si="767">SUM(AS189:AS191)</f>
        <v>128</v>
      </c>
      <c r="AT192" s="629">
        <f t="shared" si="767"/>
        <v>138</v>
      </c>
      <c r="AU192" s="652">
        <f t="shared" si="767"/>
        <v>266</v>
      </c>
      <c r="AV192" s="51">
        <f t="shared" ref="AV192:AW192" si="768">SUM(AV189:AV191)</f>
        <v>147</v>
      </c>
      <c r="AW192" s="629">
        <f t="shared" si="768"/>
        <v>118</v>
      </c>
      <c r="AX192" s="652">
        <f t="shared" si="759"/>
        <v>265</v>
      </c>
      <c r="AY192" s="51">
        <f t="shared" si="759"/>
        <v>112</v>
      </c>
      <c r="AZ192" s="237">
        <f t="shared" si="759"/>
        <v>200.20000000000005</v>
      </c>
      <c r="BA192" s="576">
        <f t="shared" si="759"/>
        <v>312.20000000000005</v>
      </c>
      <c r="BB192" s="48">
        <f t="shared" si="759"/>
        <v>169.55047454234028</v>
      </c>
      <c r="BC192" s="237">
        <f t="shared" si="759"/>
        <v>169.55047454234028</v>
      </c>
      <c r="BD192" s="576">
        <f t="shared" si="759"/>
        <v>339.10094908468056</v>
      </c>
      <c r="BE192" s="48">
        <f t="shared" si="759"/>
        <v>191.75783466540895</v>
      </c>
      <c r="BF192" s="237">
        <f t="shared" si="759"/>
        <v>191.75783466540895</v>
      </c>
      <c r="BG192" s="576">
        <f t="shared" si="759"/>
        <v>383.5156693308179</v>
      </c>
      <c r="BH192" s="48">
        <f t="shared" si="759"/>
        <v>237.40688837383956</v>
      </c>
      <c r="BI192" s="237">
        <f t="shared" si="759"/>
        <v>237.40688837383956</v>
      </c>
      <c r="BJ192" s="576">
        <f t="shared" si="759"/>
        <v>474.81377674767913</v>
      </c>
      <c r="BK192" s="48">
        <f t="shared" si="759"/>
        <v>364.55856024334878</v>
      </c>
      <c r="BL192" s="237">
        <f t="shared" si="759"/>
        <v>364.55856024334878</v>
      </c>
      <c r="BM192" s="576">
        <f t="shared" si="759"/>
        <v>729.11712048669756</v>
      </c>
    </row>
    <row r="193" spans="1:65">
      <c r="A193" s="31"/>
      <c r="B193" s="40"/>
      <c r="C193" s="40"/>
      <c r="D193" s="40"/>
      <c r="E193" s="40"/>
      <c r="F193" s="40"/>
      <c r="G193" s="40"/>
      <c r="H193" s="40"/>
      <c r="I193" s="40"/>
      <c r="J193" s="40"/>
      <c r="K193" s="40"/>
      <c r="L193" s="40"/>
      <c r="M193" s="40"/>
      <c r="N193" s="40"/>
      <c r="O193" s="40"/>
      <c r="P193" s="40"/>
      <c r="Q193" s="51"/>
      <c r="R193" s="40"/>
      <c r="S193" s="630"/>
      <c r="T193" s="652"/>
      <c r="U193" s="40"/>
      <c r="V193" s="630"/>
      <c r="W193" s="652"/>
      <c r="X193" s="40"/>
      <c r="Y193" s="630"/>
      <c r="Z193" s="652"/>
      <c r="AA193" s="40"/>
      <c r="AB193" s="630"/>
      <c r="AC193" s="653"/>
      <c r="AD193" s="40"/>
      <c r="AE193" s="630"/>
      <c r="AF193" s="653"/>
      <c r="AG193" s="40"/>
      <c r="AH193" s="630"/>
      <c r="AI193" s="653"/>
      <c r="AJ193" s="40"/>
      <c r="AK193" s="630"/>
      <c r="AL193" s="653"/>
      <c r="AM193" s="40"/>
      <c r="AN193" s="630"/>
      <c r="AO193" s="653"/>
      <c r="AP193" s="40"/>
      <c r="AQ193" s="539"/>
      <c r="AR193" s="550"/>
      <c r="AS193"/>
      <c r="AT193" s="539"/>
      <c r="AU193" s="550"/>
      <c r="AV193"/>
      <c r="AW193" s="539"/>
      <c r="AX193" s="550"/>
      <c r="AY193"/>
      <c r="AZ193" s="539"/>
      <c r="BA193" s="550"/>
      <c r="BB193"/>
      <c r="BC193" s="539"/>
      <c r="BD193" s="550"/>
      <c r="BE193"/>
      <c r="BF193" s="539"/>
      <c r="BG193" s="550"/>
      <c r="BH193"/>
      <c r="BI193" s="539"/>
      <c r="BJ193" s="550"/>
      <c r="BK193"/>
      <c r="BL193" s="539"/>
      <c r="BM193" s="550"/>
    </row>
    <row r="194" spans="1:65">
      <c r="A194" s="25" t="s">
        <v>110</v>
      </c>
      <c r="B194" s="40"/>
      <c r="C194" s="40"/>
      <c r="D194" s="40"/>
      <c r="E194" s="40"/>
      <c r="F194" s="40">
        <v>-110</v>
      </c>
      <c r="G194" s="40">
        <v>-104</v>
      </c>
      <c r="H194" s="40">
        <v>-100</v>
      </c>
      <c r="I194" s="40">
        <f>-88</f>
        <v>-88</v>
      </c>
      <c r="J194" s="40">
        <v>-69</v>
      </c>
      <c r="K194" s="40">
        <v>-64</v>
      </c>
      <c r="L194" s="40">
        <v>-63</v>
      </c>
      <c r="M194" s="40">
        <v>-51</v>
      </c>
      <c r="N194" s="40">
        <v>-51</v>
      </c>
      <c r="O194" s="40">
        <v>-58</v>
      </c>
      <c r="P194" s="40">
        <v>-63</v>
      </c>
      <c r="Q194" s="40">
        <v>-71</v>
      </c>
      <c r="R194" s="40">
        <v>-42</v>
      </c>
      <c r="S194" s="630">
        <f t="shared" ref="S194:S202" si="769">T194-R194</f>
        <v>-35</v>
      </c>
      <c r="T194" s="653">
        <v>-77</v>
      </c>
      <c r="U194" s="40">
        <v>-36</v>
      </c>
      <c r="V194" s="630">
        <f t="shared" ref="V194:V202" si="770">W194-U194</f>
        <v>-31</v>
      </c>
      <c r="W194" s="653">
        <v>-67</v>
      </c>
      <c r="X194" s="40">
        <v>-36</v>
      </c>
      <c r="Y194" s="630">
        <f t="shared" ref="Y194:Y202" si="771">Z194-X194</f>
        <v>-31</v>
      </c>
      <c r="Z194" s="653">
        <v>-67</v>
      </c>
      <c r="AA194" s="40">
        <v>-48</v>
      </c>
      <c r="AB194" s="630">
        <f t="shared" ref="AB194:AB202" si="772">AC194-AA194</f>
        <v>-59</v>
      </c>
      <c r="AC194" s="653">
        <v>-107</v>
      </c>
      <c r="AD194" s="40">
        <v>-97</v>
      </c>
      <c r="AE194" s="630">
        <f t="shared" ref="AE194:AE202" si="773">AF194-AD194</f>
        <v>-85</v>
      </c>
      <c r="AF194" s="653">
        <v>-182</v>
      </c>
      <c r="AG194" s="40">
        <v>-79</v>
      </c>
      <c r="AH194" s="630">
        <f t="shared" ref="AH194:AH202" si="774">AI194-AG194</f>
        <v>-99</v>
      </c>
      <c r="AI194" s="653">
        <v>-178</v>
      </c>
      <c r="AJ194" s="40">
        <v>-106</v>
      </c>
      <c r="AK194" s="630">
        <f t="shared" ref="AK194:AK202" si="775">AL194-AJ194</f>
        <v>-146</v>
      </c>
      <c r="AL194" s="653">
        <v>-252</v>
      </c>
      <c r="AM194" s="40">
        <v>-171</v>
      </c>
      <c r="AN194" s="630">
        <f t="shared" ref="AN194:AN202" si="776">AO194-AM194</f>
        <v>-172</v>
      </c>
      <c r="AO194" s="653">
        <v>-343</v>
      </c>
      <c r="AP194" s="40">
        <v>-173</v>
      </c>
      <c r="AQ194" s="630">
        <f t="shared" ref="AQ194:AQ202" si="777">AR194-AP194</f>
        <v>-196</v>
      </c>
      <c r="AR194" s="653">
        <v>-369</v>
      </c>
      <c r="AS194" s="40">
        <v>-188</v>
      </c>
      <c r="AT194" s="630">
        <f t="shared" ref="AT194:AT202" si="778">AU194-AS194</f>
        <v>-174</v>
      </c>
      <c r="AU194" s="653">
        <v>-362</v>
      </c>
      <c r="AV194" s="40">
        <v>-161</v>
      </c>
      <c r="AW194" s="630">
        <f t="shared" ref="AW194:AW202" si="779">AX194-AV194</f>
        <v>-141</v>
      </c>
      <c r="AX194" s="653">
        <v>-302</v>
      </c>
      <c r="AY194" s="40">
        <v>-118</v>
      </c>
      <c r="AZ194" s="236">
        <f t="shared" ref="AZ194:AZ202" si="780">BA194-AY194</f>
        <v>-153.40750000000003</v>
      </c>
      <c r="BA194" s="605">
        <f>BA215*AVERAGE(AX57,BA57)</f>
        <v>-271.40750000000003</v>
      </c>
      <c r="BB194" s="56">
        <f>(BB215*AVERAGE(BA57,BB57))/2</f>
        <v>-132.5675</v>
      </c>
      <c r="BC194" s="236">
        <f t="shared" ref="BC194:BC202" si="781">BD194-BB194</f>
        <v>-132.5675</v>
      </c>
      <c r="BD194" s="605">
        <f>BD215*AVERAGE(BA57,BD57)</f>
        <v>-265.13499999999999</v>
      </c>
      <c r="BE194" s="56">
        <f>(BE215*AVERAGE(BD57,BE57))/2</f>
        <v>-132.5675</v>
      </c>
      <c r="BF194" s="236">
        <f t="shared" ref="BF194:BF202" si="782">BG194-BE194</f>
        <v>-132.5675</v>
      </c>
      <c r="BG194" s="605">
        <f>BG215*AVERAGE(BD57,BG57)</f>
        <v>-265.13499999999999</v>
      </c>
      <c r="BH194" s="56">
        <f>(BH215*AVERAGE(BG57,BH57))/2</f>
        <v>-132.5675</v>
      </c>
      <c r="BI194" s="236">
        <f t="shared" ref="BI194:BI202" si="783">BJ194-BH194</f>
        <v>-132.5675</v>
      </c>
      <c r="BJ194" s="605">
        <f>BJ215*AVERAGE(BG57,BJ57)</f>
        <v>-265.13499999999999</v>
      </c>
      <c r="BK194" s="56">
        <f>(BK215*AVERAGE(BJ57,BK57))/2</f>
        <v>-132.5675</v>
      </c>
      <c r="BL194" s="236">
        <f t="shared" ref="BL194:BL202" si="784">BM194-BK194</f>
        <v>-132.5675</v>
      </c>
      <c r="BM194" s="605">
        <f>BM215*AVERAGE(BJ57,BM57)</f>
        <v>-265.13499999999999</v>
      </c>
    </row>
    <row r="195" spans="1:65">
      <c r="A195" s="25" t="s">
        <v>115</v>
      </c>
      <c r="B195" s="40"/>
      <c r="C195" s="40"/>
      <c r="D195" s="40"/>
      <c r="E195" s="40"/>
      <c r="F195" s="40">
        <v>0</v>
      </c>
      <c r="G195" s="40">
        <v>-399</v>
      </c>
      <c r="H195" s="40">
        <v>0</v>
      </c>
      <c r="I195" s="40">
        <v>0</v>
      </c>
      <c r="J195" s="40">
        <v>-2383</v>
      </c>
      <c r="K195" s="40">
        <v>0</v>
      </c>
      <c r="L195" s="40">
        <v>-370</v>
      </c>
      <c r="M195" s="40">
        <v>-21</v>
      </c>
      <c r="N195" s="40">
        <v>0</v>
      </c>
      <c r="O195" s="40">
        <v>-3</v>
      </c>
      <c r="P195" s="40">
        <v>-1127</v>
      </c>
      <c r="Q195" s="40">
        <v>-1217</v>
      </c>
      <c r="R195" s="40">
        <v>-2162</v>
      </c>
      <c r="S195" s="630">
        <f t="shared" si="769"/>
        <v>-2275</v>
      </c>
      <c r="T195" s="653">
        <v>-4437</v>
      </c>
      <c r="U195" s="40">
        <v>0</v>
      </c>
      <c r="V195" s="630">
        <f t="shared" si="770"/>
        <v>0</v>
      </c>
      <c r="W195" s="653">
        <v>0</v>
      </c>
      <c r="X195" s="40">
        <v>0</v>
      </c>
      <c r="Y195" s="630">
        <f t="shared" si="771"/>
        <v>0</v>
      </c>
      <c r="Z195" s="653">
        <v>0</v>
      </c>
      <c r="AA195" s="40">
        <v>-854</v>
      </c>
      <c r="AB195" s="630">
        <f t="shared" si="772"/>
        <v>-1268</v>
      </c>
      <c r="AC195" s="653">
        <v>-2122</v>
      </c>
      <c r="AD195" s="40">
        <v>-763</v>
      </c>
      <c r="AE195" s="630">
        <f t="shared" si="773"/>
        <v>720</v>
      </c>
      <c r="AF195" s="653">
        <v>-43</v>
      </c>
      <c r="AG195" s="40">
        <v>-2631</v>
      </c>
      <c r="AH195" s="630">
        <f t="shared" si="774"/>
        <v>2608</v>
      </c>
      <c r="AI195" s="653">
        <v>-23</v>
      </c>
      <c r="AJ195" s="40">
        <v>0</v>
      </c>
      <c r="AK195" s="630">
        <f t="shared" si="775"/>
        <v>-681</v>
      </c>
      <c r="AL195" s="653">
        <v>-681</v>
      </c>
      <c r="AM195" s="40">
        <v>-1537</v>
      </c>
      <c r="AN195" s="630">
        <f t="shared" si="776"/>
        <v>-338</v>
      </c>
      <c r="AO195" s="653">
        <v>-1875</v>
      </c>
      <c r="AP195" s="40">
        <v>0</v>
      </c>
      <c r="AQ195" s="630">
        <f t="shared" si="777"/>
        <v>0</v>
      </c>
      <c r="AR195" s="653">
        <v>0</v>
      </c>
      <c r="AS195" s="40">
        <v>-225</v>
      </c>
      <c r="AT195" s="630">
        <f t="shared" si="778"/>
        <v>-406</v>
      </c>
      <c r="AU195" s="653">
        <v>-631</v>
      </c>
      <c r="AV195" s="40">
        <v>0</v>
      </c>
      <c r="AW195" s="630">
        <f t="shared" si="779"/>
        <v>0</v>
      </c>
      <c r="AX195" s="653">
        <v>0</v>
      </c>
      <c r="AY195" s="40">
        <v>-329</v>
      </c>
      <c r="AZ195" s="236">
        <f t="shared" si="780"/>
        <v>329</v>
      </c>
      <c r="BA195" s="580">
        <v>0</v>
      </c>
      <c r="BB195" s="56">
        <f>BD195/2</f>
        <v>0</v>
      </c>
      <c r="BC195" s="236">
        <f t="shared" si="781"/>
        <v>0</v>
      </c>
      <c r="BD195" s="580">
        <v>0</v>
      </c>
      <c r="BE195" s="56">
        <f>BG195/2</f>
        <v>0</v>
      </c>
      <c r="BF195" s="236">
        <f t="shared" si="782"/>
        <v>0</v>
      </c>
      <c r="BG195" s="580">
        <v>0</v>
      </c>
      <c r="BH195" s="56">
        <f>BJ195/2</f>
        <v>0</v>
      </c>
      <c r="BI195" s="236">
        <f t="shared" si="783"/>
        <v>0</v>
      </c>
      <c r="BJ195" s="580">
        <v>0</v>
      </c>
      <c r="BK195" s="56">
        <f>BM195/2</f>
        <v>0</v>
      </c>
      <c r="BL195" s="236">
        <f t="shared" si="784"/>
        <v>0</v>
      </c>
      <c r="BM195" s="580">
        <v>0</v>
      </c>
    </row>
    <row r="196" spans="1:65">
      <c r="A196" s="25" t="s">
        <v>804</v>
      </c>
      <c r="B196" s="40"/>
      <c r="C196" s="40"/>
      <c r="D196" s="40"/>
      <c r="E196" s="40"/>
      <c r="F196" s="40"/>
      <c r="G196" s="40"/>
      <c r="H196" s="40"/>
      <c r="I196" s="40"/>
      <c r="J196" s="40"/>
      <c r="K196" s="40"/>
      <c r="L196" s="40"/>
      <c r="M196" s="40"/>
      <c r="N196" s="40"/>
      <c r="O196" s="40"/>
      <c r="P196" s="40"/>
      <c r="Q196" s="40"/>
      <c r="R196" s="40">
        <v>0</v>
      </c>
      <c r="S196" s="630">
        <f t="shared" si="769"/>
        <v>0</v>
      </c>
      <c r="T196" s="653"/>
      <c r="U196" s="40">
        <v>0</v>
      </c>
      <c r="V196" s="630">
        <f t="shared" si="770"/>
        <v>0</v>
      </c>
      <c r="W196" s="653"/>
      <c r="X196" s="40">
        <v>0</v>
      </c>
      <c r="Y196" s="630">
        <f t="shared" si="771"/>
        <v>0</v>
      </c>
      <c r="Z196" s="653"/>
      <c r="AA196" s="40">
        <v>0</v>
      </c>
      <c r="AB196" s="630">
        <f t="shared" si="772"/>
        <v>0</v>
      </c>
      <c r="AC196" s="653"/>
      <c r="AD196" s="40">
        <v>0</v>
      </c>
      <c r="AE196" s="630">
        <f t="shared" si="773"/>
        <v>0</v>
      </c>
      <c r="AF196" s="653"/>
      <c r="AG196" s="40">
        <v>-73</v>
      </c>
      <c r="AH196" s="630">
        <f t="shared" si="774"/>
        <v>-2</v>
      </c>
      <c r="AI196" s="653">
        <v>-75</v>
      </c>
      <c r="AJ196" s="40">
        <v>0</v>
      </c>
      <c r="AK196" s="630">
        <f t="shared" si="775"/>
        <v>0</v>
      </c>
      <c r="AL196" s="653">
        <v>0</v>
      </c>
      <c r="AM196" s="40">
        <v>0</v>
      </c>
      <c r="AN196" s="630">
        <f t="shared" si="776"/>
        <v>0</v>
      </c>
      <c r="AO196" s="653">
        <v>0</v>
      </c>
      <c r="AP196" s="40">
        <v>0</v>
      </c>
      <c r="AQ196" s="630">
        <f t="shared" si="777"/>
        <v>0</v>
      </c>
      <c r="AR196" s="653">
        <v>0</v>
      </c>
      <c r="AS196" s="40">
        <v>-24</v>
      </c>
      <c r="AT196" s="630">
        <f t="shared" si="778"/>
        <v>0</v>
      </c>
      <c r="AU196" s="653">
        <v>-24</v>
      </c>
      <c r="AV196" s="40">
        <v>-6</v>
      </c>
      <c r="AW196" s="630">
        <f t="shared" si="779"/>
        <v>2</v>
      </c>
      <c r="AX196" s="653">
        <v>-4</v>
      </c>
      <c r="AY196" s="40">
        <v>0</v>
      </c>
      <c r="AZ196" s="236">
        <f t="shared" si="780"/>
        <v>0</v>
      </c>
      <c r="BA196" s="580">
        <v>0</v>
      </c>
      <c r="BB196" s="56">
        <f>BD196/2</f>
        <v>0</v>
      </c>
      <c r="BC196" s="236">
        <f t="shared" ref="BC196" si="785">BD196-BB196</f>
        <v>0</v>
      </c>
      <c r="BD196" s="580">
        <v>0</v>
      </c>
      <c r="BE196" s="56">
        <f>BG196/2</f>
        <v>0</v>
      </c>
      <c r="BF196" s="236">
        <f t="shared" ref="BF196" si="786">BG196-BE196</f>
        <v>0</v>
      </c>
      <c r="BG196" s="580">
        <v>0</v>
      </c>
      <c r="BH196" s="56">
        <f>BJ196/2</f>
        <v>0</v>
      </c>
      <c r="BI196" s="236">
        <f t="shared" ref="BI196" si="787">BJ196-BH196</f>
        <v>0</v>
      </c>
      <c r="BJ196" s="580">
        <v>0</v>
      </c>
      <c r="BK196" s="56">
        <f>BM196/2</f>
        <v>0</v>
      </c>
      <c r="BL196" s="236">
        <f t="shared" ref="BL196" si="788">BM196-BK196</f>
        <v>0</v>
      </c>
      <c r="BM196" s="580">
        <v>0</v>
      </c>
    </row>
    <row r="197" spans="1:65">
      <c r="A197" s="25" t="s">
        <v>27</v>
      </c>
      <c r="B197" s="40"/>
      <c r="C197" s="40"/>
      <c r="D197" s="40"/>
      <c r="E197" s="40"/>
      <c r="F197" s="40">
        <v>0</v>
      </c>
      <c r="G197" s="40">
        <v>0</v>
      </c>
      <c r="H197" s="40">
        <v>0</v>
      </c>
      <c r="I197" s="40">
        <v>-13</v>
      </c>
      <c r="J197" s="40">
        <v>-121</v>
      </c>
      <c r="K197" s="40">
        <v>0</v>
      </c>
      <c r="L197" s="40">
        <v>-6</v>
      </c>
      <c r="M197" s="40">
        <v>0</v>
      </c>
      <c r="N197" s="40">
        <v>0</v>
      </c>
      <c r="O197" s="40">
        <v>-259</v>
      </c>
      <c r="P197" s="40">
        <v>-174</v>
      </c>
      <c r="Q197" s="40">
        <v>-13</v>
      </c>
      <c r="R197" s="40">
        <v>-8</v>
      </c>
      <c r="S197" s="630">
        <f t="shared" si="769"/>
        <v>-23</v>
      </c>
      <c r="T197" s="653">
        <v>-31</v>
      </c>
      <c r="U197" s="40">
        <v>0</v>
      </c>
      <c r="V197" s="630">
        <f t="shared" si="770"/>
        <v>-6</v>
      </c>
      <c r="W197" s="653">
        <v>-6</v>
      </c>
      <c r="X197" s="40">
        <v>0</v>
      </c>
      <c r="Y197" s="630">
        <f t="shared" si="771"/>
        <v>-5</v>
      </c>
      <c r="Z197" s="653">
        <v>-5</v>
      </c>
      <c r="AA197" s="40">
        <v>-2</v>
      </c>
      <c r="AB197" s="630">
        <f t="shared" si="772"/>
        <v>-25</v>
      </c>
      <c r="AC197" s="653">
        <v>-27</v>
      </c>
      <c r="AD197" s="40">
        <v>0</v>
      </c>
      <c r="AE197" s="630">
        <f t="shared" si="773"/>
        <v>-10</v>
      </c>
      <c r="AF197" s="653">
        <v>-10</v>
      </c>
      <c r="AG197" s="40">
        <v>0</v>
      </c>
      <c r="AH197" s="630">
        <f t="shared" si="774"/>
        <v>-20</v>
      </c>
      <c r="AI197" s="653">
        <v>-20</v>
      </c>
      <c r="AJ197" s="40">
        <v>0</v>
      </c>
      <c r="AK197" s="630">
        <f t="shared" si="775"/>
        <v>-7</v>
      </c>
      <c r="AL197" s="653">
        <v>-7</v>
      </c>
      <c r="AM197" s="40">
        <v>0</v>
      </c>
      <c r="AN197" s="630">
        <f t="shared" si="776"/>
        <v>-7</v>
      </c>
      <c r="AO197" s="653">
        <v>-7</v>
      </c>
      <c r="AP197" s="40">
        <v>0</v>
      </c>
      <c r="AQ197" s="630">
        <f t="shared" si="777"/>
        <v>-1</v>
      </c>
      <c r="AR197" s="653">
        <v>-1</v>
      </c>
      <c r="AS197" s="40">
        <v>0</v>
      </c>
      <c r="AT197" s="630">
        <f t="shared" si="778"/>
        <v>0</v>
      </c>
      <c r="AU197" s="653">
        <v>0</v>
      </c>
      <c r="AV197" s="40">
        <v>0</v>
      </c>
      <c r="AW197" s="630">
        <f t="shared" si="779"/>
        <v>0</v>
      </c>
      <c r="AX197" s="653">
        <v>0</v>
      </c>
      <c r="AY197" s="40">
        <v>0</v>
      </c>
      <c r="AZ197" s="236">
        <f t="shared" si="780"/>
        <v>0</v>
      </c>
      <c r="BA197" s="580">
        <v>0</v>
      </c>
      <c r="BB197" s="56">
        <f t="shared" ref="BB197:BB202" si="789">BD197/2</f>
        <v>0</v>
      </c>
      <c r="BC197" s="236">
        <f t="shared" si="781"/>
        <v>0</v>
      </c>
      <c r="BD197" s="580">
        <v>0</v>
      </c>
      <c r="BE197" s="56">
        <f t="shared" ref="BE197:BE202" si="790">BG197/2</f>
        <v>0</v>
      </c>
      <c r="BF197" s="236">
        <f t="shared" si="782"/>
        <v>0</v>
      </c>
      <c r="BG197" s="580">
        <v>0</v>
      </c>
      <c r="BH197" s="56">
        <f t="shared" ref="BH197:BH202" si="791">BJ197/2</f>
        <v>0</v>
      </c>
      <c r="BI197" s="236">
        <f t="shared" si="783"/>
        <v>0</v>
      </c>
      <c r="BJ197" s="580">
        <v>0</v>
      </c>
      <c r="BK197" s="56">
        <f t="shared" ref="BK197:BK202" si="792">BM197/2</f>
        <v>0</v>
      </c>
      <c r="BL197" s="236">
        <f t="shared" si="784"/>
        <v>0</v>
      </c>
      <c r="BM197" s="580">
        <v>0</v>
      </c>
    </row>
    <row r="198" spans="1:65">
      <c r="A198" s="25" t="s">
        <v>111</v>
      </c>
      <c r="B198" s="40"/>
      <c r="C198" s="40"/>
      <c r="D198" s="40"/>
      <c r="E198" s="40"/>
      <c r="F198" s="40">
        <v>0</v>
      </c>
      <c r="G198" s="40">
        <v>-43</v>
      </c>
      <c r="H198" s="40">
        <v>-27</v>
      </c>
      <c r="I198" s="40">
        <v>-26</v>
      </c>
      <c r="J198" s="40">
        <v>-26</v>
      </c>
      <c r="K198" s="40">
        <v>-25</v>
      </c>
      <c r="L198" s="40">
        <v>-13</v>
      </c>
      <c r="M198" s="40">
        <v>-11</v>
      </c>
      <c r="N198" s="40">
        <v>-10</v>
      </c>
      <c r="O198" s="40">
        <v>-9</v>
      </c>
      <c r="P198" s="40">
        <v>-7</v>
      </c>
      <c r="Q198" s="40">
        <v>-8</v>
      </c>
      <c r="R198" s="40">
        <v>-2</v>
      </c>
      <c r="S198" s="630">
        <f t="shared" si="769"/>
        <v>-4</v>
      </c>
      <c r="T198" s="653">
        <v>-6</v>
      </c>
      <c r="U198" s="40">
        <v>-2</v>
      </c>
      <c r="V198" s="630">
        <f t="shared" si="770"/>
        <v>-3</v>
      </c>
      <c r="W198" s="653">
        <v>-5</v>
      </c>
      <c r="X198" s="40">
        <v>-2</v>
      </c>
      <c r="Y198" s="630">
        <f t="shared" si="771"/>
        <v>-3</v>
      </c>
      <c r="Z198" s="653">
        <v>-5</v>
      </c>
      <c r="AA198" s="40">
        <v>-5</v>
      </c>
      <c r="AB198" s="630">
        <f t="shared" si="772"/>
        <v>-3</v>
      </c>
      <c r="AC198" s="653">
        <v>-8</v>
      </c>
      <c r="AD198" s="40">
        <v>-2</v>
      </c>
      <c r="AE198" s="630">
        <f t="shared" si="773"/>
        <v>-1</v>
      </c>
      <c r="AF198" s="653">
        <v>-3</v>
      </c>
      <c r="AG198" s="40">
        <v>-1</v>
      </c>
      <c r="AH198" s="630">
        <f t="shared" si="774"/>
        <v>-2</v>
      </c>
      <c r="AI198" s="653">
        <v>-3</v>
      </c>
      <c r="AJ198" s="40">
        <v>0</v>
      </c>
      <c r="AK198" s="630">
        <f t="shared" si="775"/>
        <v>0</v>
      </c>
      <c r="AL198" s="653">
        <v>0</v>
      </c>
      <c r="AM198" s="40">
        <v>-6</v>
      </c>
      <c r="AN198" s="630">
        <f t="shared" si="776"/>
        <v>6</v>
      </c>
      <c r="AO198" s="653">
        <f>AL198</f>
        <v>0</v>
      </c>
      <c r="AP198" s="40">
        <v>0</v>
      </c>
      <c r="AQ198" s="630">
        <f t="shared" si="777"/>
        <v>0</v>
      </c>
      <c r="AR198" s="653">
        <f>AO198</f>
        <v>0</v>
      </c>
      <c r="AS198" s="40">
        <v>0</v>
      </c>
      <c r="AT198" s="630">
        <f t="shared" si="778"/>
        <v>0</v>
      </c>
      <c r="AU198" s="653">
        <v>0</v>
      </c>
      <c r="AV198" s="40">
        <v>0</v>
      </c>
      <c r="AW198" s="630">
        <f t="shared" si="779"/>
        <v>0</v>
      </c>
      <c r="AX198" s="653">
        <v>0</v>
      </c>
      <c r="AY198" s="40">
        <v>0</v>
      </c>
      <c r="AZ198" s="236">
        <f t="shared" si="780"/>
        <v>0</v>
      </c>
      <c r="BA198" s="580">
        <v>0</v>
      </c>
      <c r="BB198" s="56">
        <f t="shared" si="789"/>
        <v>0</v>
      </c>
      <c r="BC198" s="236">
        <f t="shared" si="781"/>
        <v>0</v>
      </c>
      <c r="BD198" s="580">
        <v>0</v>
      </c>
      <c r="BE198" s="56">
        <f t="shared" si="790"/>
        <v>0</v>
      </c>
      <c r="BF198" s="236">
        <f t="shared" si="782"/>
        <v>0</v>
      </c>
      <c r="BG198" s="580">
        <v>0</v>
      </c>
      <c r="BH198" s="56">
        <f t="shared" si="791"/>
        <v>0</v>
      </c>
      <c r="BI198" s="236">
        <f t="shared" si="783"/>
        <v>0</v>
      </c>
      <c r="BJ198" s="580">
        <v>0</v>
      </c>
      <c r="BK198" s="56">
        <f t="shared" si="792"/>
        <v>0</v>
      </c>
      <c r="BL198" s="236">
        <f t="shared" si="784"/>
        <v>0</v>
      </c>
      <c r="BM198" s="580">
        <v>0</v>
      </c>
    </row>
    <row r="199" spans="1:65">
      <c r="A199" s="25" t="s">
        <v>116</v>
      </c>
      <c r="B199" s="40"/>
      <c r="C199" s="40"/>
      <c r="D199" s="40"/>
      <c r="E199" s="40"/>
      <c r="F199" s="40">
        <v>0</v>
      </c>
      <c r="G199" s="40">
        <v>0</v>
      </c>
      <c r="H199" s="40">
        <v>0</v>
      </c>
      <c r="I199" s="40">
        <v>0</v>
      </c>
      <c r="J199" s="40">
        <v>-96</v>
      </c>
      <c r="K199" s="40">
        <v>0</v>
      </c>
      <c r="L199" s="40">
        <v>0</v>
      </c>
      <c r="M199" s="40">
        <v>-28</v>
      </c>
      <c r="N199" s="40">
        <v>-3</v>
      </c>
      <c r="O199" s="40">
        <v>-34</v>
      </c>
      <c r="P199" s="40">
        <v>-15</v>
      </c>
      <c r="Q199" s="40">
        <v>-89</v>
      </c>
      <c r="R199" s="40">
        <v>0</v>
      </c>
      <c r="S199" s="630">
        <f t="shared" si="769"/>
        <v>0</v>
      </c>
      <c r="T199" s="653">
        <v>0</v>
      </c>
      <c r="U199" s="40">
        <v>-16</v>
      </c>
      <c r="V199" s="630">
        <f t="shared" si="770"/>
        <v>16</v>
      </c>
      <c r="W199" s="653">
        <v>0</v>
      </c>
      <c r="X199" s="40">
        <v>-16</v>
      </c>
      <c r="Y199" s="630">
        <f t="shared" si="771"/>
        <v>16</v>
      </c>
      <c r="Z199" s="653">
        <v>0</v>
      </c>
      <c r="AA199" s="40">
        <v>0</v>
      </c>
      <c r="AB199" s="630">
        <f t="shared" si="772"/>
        <v>-22</v>
      </c>
      <c r="AC199" s="653">
        <v>-22</v>
      </c>
      <c r="AD199" s="40">
        <v>0</v>
      </c>
      <c r="AE199" s="630">
        <f t="shared" si="773"/>
        <v>0</v>
      </c>
      <c r="AF199" s="653">
        <v>0</v>
      </c>
      <c r="AG199" s="40">
        <v>-98</v>
      </c>
      <c r="AH199" s="630">
        <f t="shared" si="774"/>
        <v>36</v>
      </c>
      <c r="AI199" s="653">
        <v>-62</v>
      </c>
      <c r="AJ199" s="40">
        <v>0</v>
      </c>
      <c r="AK199" s="630">
        <f t="shared" si="775"/>
        <v>0</v>
      </c>
      <c r="AL199" s="653">
        <v>0</v>
      </c>
      <c r="AM199" s="40">
        <v>0</v>
      </c>
      <c r="AN199" s="630">
        <f t="shared" si="776"/>
        <v>0</v>
      </c>
      <c r="AO199" s="653">
        <v>0</v>
      </c>
      <c r="AP199" s="40">
        <v>-52</v>
      </c>
      <c r="AQ199" s="630">
        <f t="shared" si="777"/>
        <v>-8</v>
      </c>
      <c r="AR199" s="653">
        <v>-60</v>
      </c>
      <c r="AS199" s="40">
        <v>0</v>
      </c>
      <c r="AT199" s="630">
        <f t="shared" si="778"/>
        <v>-18</v>
      </c>
      <c r="AU199" s="653">
        <v>-18</v>
      </c>
      <c r="AV199" s="40">
        <v>-12</v>
      </c>
      <c r="AW199" s="630">
        <f t="shared" si="779"/>
        <v>5</v>
      </c>
      <c r="AX199" s="653">
        <v>-7</v>
      </c>
      <c r="AY199" s="40">
        <v>0</v>
      </c>
      <c r="AZ199" s="236">
        <f t="shared" si="780"/>
        <v>0</v>
      </c>
      <c r="BA199" s="580">
        <v>0</v>
      </c>
      <c r="BB199" s="56">
        <f t="shared" si="789"/>
        <v>0</v>
      </c>
      <c r="BC199" s="236">
        <f t="shared" si="781"/>
        <v>0</v>
      </c>
      <c r="BD199" s="580">
        <v>0</v>
      </c>
      <c r="BE199" s="56">
        <f t="shared" si="790"/>
        <v>0</v>
      </c>
      <c r="BF199" s="236">
        <f t="shared" si="782"/>
        <v>0</v>
      </c>
      <c r="BG199" s="580">
        <v>0</v>
      </c>
      <c r="BH199" s="56">
        <f t="shared" si="791"/>
        <v>0</v>
      </c>
      <c r="BI199" s="236">
        <f t="shared" si="783"/>
        <v>0</v>
      </c>
      <c r="BJ199" s="580">
        <v>0</v>
      </c>
      <c r="BK199" s="56">
        <f t="shared" si="792"/>
        <v>0</v>
      </c>
      <c r="BL199" s="236">
        <f t="shared" si="784"/>
        <v>0</v>
      </c>
      <c r="BM199" s="580">
        <v>0</v>
      </c>
    </row>
    <row r="200" spans="1:65">
      <c r="A200" s="25" t="s">
        <v>112</v>
      </c>
      <c r="B200" s="40"/>
      <c r="C200" s="40"/>
      <c r="D200" s="40"/>
      <c r="E200" s="40"/>
      <c r="F200" s="40">
        <v>-315</v>
      </c>
      <c r="G200" s="40">
        <v>-321</v>
      </c>
      <c r="H200" s="40">
        <v>-340</v>
      </c>
      <c r="I200" s="40">
        <v>-354</v>
      </c>
      <c r="J200" s="40">
        <v>-395</v>
      </c>
      <c r="K200" s="40">
        <v>-402</v>
      </c>
      <c r="L200" s="40">
        <v>-431</v>
      </c>
      <c r="M200" s="40">
        <v>-422</v>
      </c>
      <c r="N200" s="40">
        <v>-34</v>
      </c>
      <c r="O200" s="40">
        <v>-43</v>
      </c>
      <c r="P200" s="40">
        <v>-42</v>
      </c>
      <c r="Q200" s="40">
        <v>-33</v>
      </c>
      <c r="R200" s="40">
        <v>-19</v>
      </c>
      <c r="S200" s="630">
        <f t="shared" si="769"/>
        <v>-20</v>
      </c>
      <c r="T200" s="653">
        <v>-39</v>
      </c>
      <c r="U200" s="40">
        <v>-19</v>
      </c>
      <c r="V200" s="630">
        <f t="shared" si="770"/>
        <v>-19</v>
      </c>
      <c r="W200" s="653">
        <v>-38</v>
      </c>
      <c r="X200" s="40">
        <v>-19</v>
      </c>
      <c r="Y200" s="630">
        <f t="shared" si="771"/>
        <v>-19</v>
      </c>
      <c r="Z200" s="653">
        <v>-38</v>
      </c>
      <c r="AA200" s="40">
        <v>-16</v>
      </c>
      <c r="AB200" s="630">
        <f t="shared" si="772"/>
        <v>-17</v>
      </c>
      <c r="AC200" s="653">
        <v>-33</v>
      </c>
      <c r="AD200" s="40">
        <v>-18</v>
      </c>
      <c r="AE200" s="630">
        <f t="shared" si="773"/>
        <v>-19</v>
      </c>
      <c r="AF200" s="653">
        <v>-37</v>
      </c>
      <c r="AG200" s="40">
        <v>-14</v>
      </c>
      <c r="AH200" s="630">
        <f t="shared" si="774"/>
        <v>-15</v>
      </c>
      <c r="AI200" s="653">
        <v>-29</v>
      </c>
      <c r="AJ200" s="40">
        <v>-10</v>
      </c>
      <c r="AK200" s="630">
        <f t="shared" si="775"/>
        <v>-10</v>
      </c>
      <c r="AL200" s="653">
        <v>-20</v>
      </c>
      <c r="AM200" s="40">
        <v>-12</v>
      </c>
      <c r="AN200" s="630">
        <f t="shared" si="776"/>
        <v>-14</v>
      </c>
      <c r="AO200" s="653">
        <v>-26</v>
      </c>
      <c r="AP200" s="40">
        <v>-22</v>
      </c>
      <c r="AQ200" s="630">
        <f t="shared" si="777"/>
        <v>-20</v>
      </c>
      <c r="AR200" s="653">
        <v>-42</v>
      </c>
      <c r="AS200" s="40">
        <v>-14</v>
      </c>
      <c r="AT200" s="630">
        <f t="shared" si="778"/>
        <v>-25</v>
      </c>
      <c r="AU200" s="653">
        <v>-39</v>
      </c>
      <c r="AV200" s="40">
        <v>-9</v>
      </c>
      <c r="AW200" s="630">
        <f t="shared" si="779"/>
        <v>-33</v>
      </c>
      <c r="AX200" s="653">
        <f>-4-38</f>
        <v>-42</v>
      </c>
      <c r="AY200" s="40">
        <v>-19</v>
      </c>
      <c r="AZ200" s="236">
        <f t="shared" si="780"/>
        <v>-21</v>
      </c>
      <c r="BA200" s="580">
        <v>-40</v>
      </c>
      <c r="BB200" s="56">
        <f t="shared" si="789"/>
        <v>-20</v>
      </c>
      <c r="BC200" s="236">
        <f t="shared" si="781"/>
        <v>-20</v>
      </c>
      <c r="BD200" s="605">
        <f>BA200</f>
        <v>-40</v>
      </c>
      <c r="BE200" s="56">
        <f t="shared" si="790"/>
        <v>-20</v>
      </c>
      <c r="BF200" s="236">
        <f t="shared" si="782"/>
        <v>-20</v>
      </c>
      <c r="BG200" s="605">
        <f>BD200</f>
        <v>-40</v>
      </c>
      <c r="BH200" s="56">
        <f t="shared" si="791"/>
        <v>-20</v>
      </c>
      <c r="BI200" s="236">
        <f t="shared" si="783"/>
        <v>-20</v>
      </c>
      <c r="BJ200" s="605">
        <f>BG200</f>
        <v>-40</v>
      </c>
      <c r="BK200" s="56">
        <f t="shared" si="792"/>
        <v>-20</v>
      </c>
      <c r="BL200" s="236">
        <f t="shared" si="784"/>
        <v>-20</v>
      </c>
      <c r="BM200" s="605">
        <f t="shared" ref="BM200" si="793">BJ200</f>
        <v>-40</v>
      </c>
    </row>
    <row r="201" spans="1:65">
      <c r="A201" s="25" t="s">
        <v>113</v>
      </c>
      <c r="B201" s="40"/>
      <c r="C201" s="40"/>
      <c r="D201" s="40"/>
      <c r="E201" s="40"/>
      <c r="F201" s="40">
        <v>0</v>
      </c>
      <c r="G201" s="40">
        <v>0</v>
      </c>
      <c r="H201" s="40">
        <v>-31</v>
      </c>
      <c r="I201" s="40">
        <v>-15</v>
      </c>
      <c r="J201" s="40">
        <v>-91</v>
      </c>
      <c r="K201" s="40">
        <v>0</v>
      </c>
      <c r="L201" s="40">
        <v>0</v>
      </c>
      <c r="M201" s="40">
        <v>0</v>
      </c>
      <c r="N201" s="40">
        <v>0</v>
      </c>
      <c r="O201" s="40">
        <v>-5</v>
      </c>
      <c r="P201" s="40">
        <v>-13</v>
      </c>
      <c r="Q201" s="40">
        <v>0</v>
      </c>
      <c r="R201" s="40">
        <v>-171</v>
      </c>
      <c r="S201" s="630">
        <f t="shared" si="769"/>
        <v>26</v>
      </c>
      <c r="T201" s="653">
        <v>-145</v>
      </c>
      <c r="U201" s="40">
        <v>0</v>
      </c>
      <c r="V201" s="630">
        <f t="shared" si="770"/>
        <v>0</v>
      </c>
      <c r="W201" s="653">
        <v>0</v>
      </c>
      <c r="X201" s="40">
        <v>0</v>
      </c>
      <c r="Y201" s="630">
        <f t="shared" si="771"/>
        <v>0</v>
      </c>
      <c r="Z201" s="653">
        <v>0</v>
      </c>
      <c r="AA201" s="40">
        <v>0</v>
      </c>
      <c r="AB201" s="630">
        <f t="shared" si="772"/>
        <v>0</v>
      </c>
      <c r="AC201" s="653">
        <v>0</v>
      </c>
      <c r="AD201" s="40">
        <v>-123</v>
      </c>
      <c r="AE201" s="630">
        <f t="shared" si="773"/>
        <v>123</v>
      </c>
      <c r="AF201" s="653">
        <v>0</v>
      </c>
      <c r="AG201" s="40">
        <v>-669</v>
      </c>
      <c r="AH201" s="630">
        <f t="shared" si="774"/>
        <v>345</v>
      </c>
      <c r="AI201" s="653">
        <v>-324</v>
      </c>
      <c r="AJ201" s="40">
        <v>0</v>
      </c>
      <c r="AK201" s="630">
        <f t="shared" si="775"/>
        <v>0</v>
      </c>
      <c r="AL201" s="653">
        <v>0</v>
      </c>
      <c r="AM201" s="40">
        <v>-464</v>
      </c>
      <c r="AN201" s="630">
        <f t="shared" si="776"/>
        <v>106</v>
      </c>
      <c r="AO201" s="653">
        <v>-358</v>
      </c>
      <c r="AP201" s="40">
        <v>0</v>
      </c>
      <c r="AQ201" s="630">
        <f t="shared" si="777"/>
        <v>0</v>
      </c>
      <c r="AR201" s="653">
        <v>0</v>
      </c>
      <c r="AS201" s="40">
        <v>0</v>
      </c>
      <c r="AT201" s="630">
        <f t="shared" si="778"/>
        <v>0</v>
      </c>
      <c r="AU201" s="653">
        <v>0</v>
      </c>
      <c r="AV201" s="40">
        <v>0</v>
      </c>
      <c r="AW201" s="630">
        <f t="shared" si="779"/>
        <v>0</v>
      </c>
      <c r="AX201" s="653">
        <v>0</v>
      </c>
      <c r="AY201" s="40">
        <v>-167</v>
      </c>
      <c r="AZ201" s="236">
        <f t="shared" si="780"/>
        <v>167</v>
      </c>
      <c r="BA201" s="580">
        <v>0</v>
      </c>
      <c r="BB201" s="56">
        <f t="shared" si="789"/>
        <v>0</v>
      </c>
      <c r="BC201" s="236">
        <f t="shared" si="781"/>
        <v>0</v>
      </c>
      <c r="BD201" s="580">
        <v>0</v>
      </c>
      <c r="BE201" s="56">
        <f t="shared" si="790"/>
        <v>0</v>
      </c>
      <c r="BF201" s="236">
        <f t="shared" si="782"/>
        <v>0</v>
      </c>
      <c r="BG201" s="580">
        <v>0</v>
      </c>
      <c r="BH201" s="56">
        <f t="shared" si="791"/>
        <v>0</v>
      </c>
      <c r="BI201" s="236">
        <f t="shared" si="783"/>
        <v>0</v>
      </c>
      <c r="BJ201" s="580">
        <v>0</v>
      </c>
      <c r="BK201" s="56">
        <f t="shared" si="792"/>
        <v>0</v>
      </c>
      <c r="BL201" s="236">
        <f t="shared" si="784"/>
        <v>0</v>
      </c>
      <c r="BM201" s="580">
        <v>0</v>
      </c>
    </row>
    <row r="202" spans="1:65">
      <c r="A202" s="25" t="s">
        <v>114</v>
      </c>
      <c r="B202" s="40"/>
      <c r="C202" s="40"/>
      <c r="D202" s="40"/>
      <c r="E202" s="40"/>
      <c r="F202" s="40">
        <v>0</v>
      </c>
      <c r="G202" s="40">
        <v>-5</v>
      </c>
      <c r="H202" s="40">
        <v>0</v>
      </c>
      <c r="I202" s="40">
        <v>0</v>
      </c>
      <c r="J202" s="40">
        <v>-5</v>
      </c>
      <c r="K202" s="40">
        <v>0</v>
      </c>
      <c r="L202" s="40">
        <v>-2</v>
      </c>
      <c r="M202" s="40">
        <v>-7</v>
      </c>
      <c r="N202" s="40">
        <v>-10</v>
      </c>
      <c r="O202" s="40">
        <v>-30</v>
      </c>
      <c r="P202" s="40">
        <v>-11</v>
      </c>
      <c r="Q202" s="40">
        <v>-25</v>
      </c>
      <c r="R202" s="40">
        <v>-18</v>
      </c>
      <c r="S202" s="630">
        <f t="shared" si="769"/>
        <v>-20</v>
      </c>
      <c r="T202" s="653">
        <v>-38</v>
      </c>
      <c r="U202" s="40">
        <v>-27</v>
      </c>
      <c r="V202" s="630">
        <f t="shared" si="770"/>
        <v>-18</v>
      </c>
      <c r="W202" s="653">
        <v>-45</v>
      </c>
      <c r="X202" s="40">
        <v>-28</v>
      </c>
      <c r="Y202" s="630">
        <f t="shared" si="771"/>
        <v>-21</v>
      </c>
      <c r="Z202" s="653">
        <v>-49</v>
      </c>
      <c r="AA202" s="40">
        <v>-26</v>
      </c>
      <c r="AB202" s="630">
        <f t="shared" si="772"/>
        <v>-70</v>
      </c>
      <c r="AC202" s="653">
        <v>-96</v>
      </c>
      <c r="AD202" s="40">
        <v>-62</v>
      </c>
      <c r="AE202" s="630">
        <f t="shared" si="773"/>
        <v>-93</v>
      </c>
      <c r="AF202" s="653">
        <v>-155</v>
      </c>
      <c r="AG202" s="40">
        <f>-9-47</f>
        <v>-56</v>
      </c>
      <c r="AH202" s="630">
        <f t="shared" si="774"/>
        <v>-104</v>
      </c>
      <c r="AI202" s="653">
        <f>-97-63</f>
        <v>-160</v>
      </c>
      <c r="AJ202" s="40">
        <f>-35-46</f>
        <v>-81</v>
      </c>
      <c r="AK202" s="630">
        <f t="shared" si="775"/>
        <v>-51</v>
      </c>
      <c r="AL202" s="653">
        <f>-62-70</f>
        <v>-132</v>
      </c>
      <c r="AM202" s="40">
        <f>-31-48</f>
        <v>-79</v>
      </c>
      <c r="AN202" s="630">
        <f t="shared" si="776"/>
        <v>-87</v>
      </c>
      <c r="AO202" s="653">
        <f>-61-105</f>
        <v>-166</v>
      </c>
      <c r="AP202" s="40">
        <f>-32-34</f>
        <v>-66</v>
      </c>
      <c r="AQ202" s="630">
        <f t="shared" si="777"/>
        <v>-143</v>
      </c>
      <c r="AR202" s="653">
        <f>-57-152</f>
        <v>-209</v>
      </c>
      <c r="AS202" s="40">
        <f>-12-73</f>
        <v>-85</v>
      </c>
      <c r="AT202" s="630">
        <f t="shared" si="778"/>
        <v>-65</v>
      </c>
      <c r="AU202" s="653">
        <f>-17-133</f>
        <v>-150</v>
      </c>
      <c r="AV202" s="40">
        <f>-4-62</f>
        <v>-66</v>
      </c>
      <c r="AW202" s="630">
        <f t="shared" si="779"/>
        <v>-58</v>
      </c>
      <c r="AX202" s="653">
        <f>-9-115</f>
        <v>-124</v>
      </c>
      <c r="AY202" s="40">
        <f>-1-50</f>
        <v>-51</v>
      </c>
      <c r="AZ202" s="236">
        <f t="shared" si="780"/>
        <v>-73</v>
      </c>
      <c r="BA202" s="605">
        <f>AX202</f>
        <v>-124</v>
      </c>
      <c r="BB202" s="56">
        <f t="shared" si="789"/>
        <v>-62</v>
      </c>
      <c r="BC202" s="236">
        <f t="shared" si="781"/>
        <v>-62</v>
      </c>
      <c r="BD202" s="605">
        <f>BA202</f>
        <v>-124</v>
      </c>
      <c r="BE202" s="56">
        <f t="shared" si="790"/>
        <v>-62</v>
      </c>
      <c r="BF202" s="236">
        <f t="shared" si="782"/>
        <v>-62</v>
      </c>
      <c r="BG202" s="605">
        <f>BD202</f>
        <v>-124</v>
      </c>
      <c r="BH202" s="56">
        <f t="shared" si="791"/>
        <v>-62</v>
      </c>
      <c r="BI202" s="236">
        <f t="shared" si="783"/>
        <v>-62</v>
      </c>
      <c r="BJ202" s="605">
        <f>BG202</f>
        <v>-124</v>
      </c>
      <c r="BK202" s="56">
        <f t="shared" si="792"/>
        <v>-62</v>
      </c>
      <c r="BL202" s="236">
        <f t="shared" si="784"/>
        <v>-62</v>
      </c>
      <c r="BM202" s="605">
        <f t="shared" ref="BM202" si="794">BJ202</f>
        <v>-124</v>
      </c>
    </row>
    <row r="203" spans="1:65" ht="11.4">
      <c r="A203" s="68" t="s">
        <v>19</v>
      </c>
      <c r="B203" s="336"/>
      <c r="C203" s="336"/>
      <c r="D203" s="336"/>
      <c r="E203" s="46"/>
      <c r="F203" s="46">
        <f t="shared" ref="F203:BM203" si="795">SUM(F194:F202)</f>
        <v>-425</v>
      </c>
      <c r="G203" s="46">
        <f t="shared" si="795"/>
        <v>-872</v>
      </c>
      <c r="H203" s="46">
        <f t="shared" si="795"/>
        <v>-498</v>
      </c>
      <c r="I203" s="46">
        <f t="shared" si="795"/>
        <v>-496</v>
      </c>
      <c r="J203" s="46">
        <f t="shared" si="795"/>
        <v>-3186</v>
      </c>
      <c r="K203" s="46">
        <f t="shared" si="795"/>
        <v>-491</v>
      </c>
      <c r="L203" s="46">
        <f t="shared" si="795"/>
        <v>-885</v>
      </c>
      <c r="M203" s="46">
        <f t="shared" si="795"/>
        <v>-540</v>
      </c>
      <c r="N203" s="46">
        <f t="shared" si="795"/>
        <v>-108</v>
      </c>
      <c r="O203" s="46">
        <f t="shared" si="795"/>
        <v>-441</v>
      </c>
      <c r="P203" s="46">
        <f t="shared" si="795"/>
        <v>-1452</v>
      </c>
      <c r="Q203" s="46">
        <f t="shared" si="795"/>
        <v>-1456</v>
      </c>
      <c r="R203" s="46">
        <f t="shared" si="795"/>
        <v>-2422</v>
      </c>
      <c r="S203" s="643">
        <f t="shared" si="795"/>
        <v>-2351</v>
      </c>
      <c r="T203" s="667">
        <f t="shared" si="795"/>
        <v>-4773</v>
      </c>
      <c r="U203" s="46">
        <f t="shared" ref="U203:V203" si="796">SUM(U194:U202)</f>
        <v>-100</v>
      </c>
      <c r="V203" s="643">
        <f t="shared" si="796"/>
        <v>-61</v>
      </c>
      <c r="W203" s="667">
        <f t="shared" si="795"/>
        <v>-161</v>
      </c>
      <c r="X203" s="46">
        <f t="shared" ref="X203:Y203" si="797">SUM(X194:X202)</f>
        <v>-101</v>
      </c>
      <c r="Y203" s="643">
        <f t="shared" si="797"/>
        <v>-63</v>
      </c>
      <c r="Z203" s="667">
        <f t="shared" si="795"/>
        <v>-164</v>
      </c>
      <c r="AA203" s="46">
        <f t="shared" si="795"/>
        <v>-951</v>
      </c>
      <c r="AB203" s="643">
        <f t="shared" si="795"/>
        <v>-1464</v>
      </c>
      <c r="AC203" s="667">
        <f t="shared" si="795"/>
        <v>-2415</v>
      </c>
      <c r="AD203" s="46">
        <f t="shared" ref="AD203:AE203" si="798">SUM(AD194:AD202)</f>
        <v>-1065</v>
      </c>
      <c r="AE203" s="643">
        <f t="shared" si="798"/>
        <v>635</v>
      </c>
      <c r="AF203" s="667">
        <f t="shared" si="795"/>
        <v>-430</v>
      </c>
      <c r="AG203" s="46">
        <f t="shared" si="795"/>
        <v>-3621</v>
      </c>
      <c r="AH203" s="643">
        <f t="shared" si="795"/>
        <v>2747</v>
      </c>
      <c r="AI203" s="667">
        <f t="shared" si="795"/>
        <v>-874</v>
      </c>
      <c r="AJ203" s="46">
        <f t="shared" ref="AJ203:AK203" si="799">SUM(AJ194:AJ202)</f>
        <v>-197</v>
      </c>
      <c r="AK203" s="643">
        <f t="shared" si="799"/>
        <v>-895</v>
      </c>
      <c r="AL203" s="667">
        <f t="shared" si="795"/>
        <v>-1092</v>
      </c>
      <c r="AM203" s="46">
        <f t="shared" si="795"/>
        <v>-2269</v>
      </c>
      <c r="AN203" s="643">
        <f t="shared" ref="AN203" si="800">SUM(AN194:AN202)</f>
        <v>-506</v>
      </c>
      <c r="AO203" s="667">
        <f t="shared" si="795"/>
        <v>-2775</v>
      </c>
      <c r="AP203" s="46">
        <f t="shared" ref="AP203:AR203" si="801">SUM(AP194:AP202)</f>
        <v>-313</v>
      </c>
      <c r="AQ203" s="643">
        <f t="shared" si="801"/>
        <v>-368</v>
      </c>
      <c r="AR203" s="667">
        <f t="shared" si="801"/>
        <v>-681</v>
      </c>
      <c r="AS203" s="46">
        <f t="shared" ref="AS203:AU203" si="802">SUM(AS194:AS202)</f>
        <v>-536</v>
      </c>
      <c r="AT203" s="643">
        <f t="shared" si="802"/>
        <v>-688</v>
      </c>
      <c r="AU203" s="667">
        <f t="shared" si="802"/>
        <v>-1224</v>
      </c>
      <c r="AV203" s="46">
        <f t="shared" ref="AV203:AW203" si="803">SUM(AV194:AV202)</f>
        <v>-254</v>
      </c>
      <c r="AW203" s="643">
        <f t="shared" si="803"/>
        <v>-225</v>
      </c>
      <c r="AX203" s="667">
        <f t="shared" si="795"/>
        <v>-479</v>
      </c>
      <c r="AY203" s="46">
        <f t="shared" si="795"/>
        <v>-684</v>
      </c>
      <c r="AZ203" s="250">
        <f t="shared" si="795"/>
        <v>248.59249999999997</v>
      </c>
      <c r="BA203" s="615">
        <f t="shared" si="795"/>
        <v>-435.40750000000003</v>
      </c>
      <c r="BB203" s="249">
        <f t="shared" si="795"/>
        <v>-214.5675</v>
      </c>
      <c r="BC203" s="250">
        <f t="shared" si="795"/>
        <v>-214.5675</v>
      </c>
      <c r="BD203" s="615">
        <f t="shared" si="795"/>
        <v>-429.13499999999999</v>
      </c>
      <c r="BE203" s="249">
        <f t="shared" si="795"/>
        <v>-214.5675</v>
      </c>
      <c r="BF203" s="250">
        <f t="shared" si="795"/>
        <v>-214.5675</v>
      </c>
      <c r="BG203" s="615">
        <f t="shared" si="795"/>
        <v>-429.13499999999999</v>
      </c>
      <c r="BH203" s="249">
        <f t="shared" si="795"/>
        <v>-214.5675</v>
      </c>
      <c r="BI203" s="250">
        <f t="shared" si="795"/>
        <v>-214.5675</v>
      </c>
      <c r="BJ203" s="615">
        <f t="shared" si="795"/>
        <v>-429.13499999999999</v>
      </c>
      <c r="BK203" s="249">
        <f t="shared" si="795"/>
        <v>-214.5675</v>
      </c>
      <c r="BL203" s="250">
        <f t="shared" si="795"/>
        <v>-214.5675</v>
      </c>
      <c r="BM203" s="615">
        <f t="shared" si="795"/>
        <v>-429.13499999999999</v>
      </c>
    </row>
    <row r="204" spans="1:65">
      <c r="A204" s="143" t="s">
        <v>122</v>
      </c>
      <c r="B204" s="40"/>
      <c r="C204" s="40"/>
      <c r="D204" s="40"/>
      <c r="E204" s="40"/>
      <c r="F204" s="40"/>
      <c r="G204" s="40"/>
      <c r="H204" s="40"/>
      <c r="I204" s="40"/>
      <c r="J204" s="40"/>
      <c r="K204" s="40"/>
      <c r="L204" s="40"/>
      <c r="M204" s="40"/>
      <c r="N204" s="40"/>
      <c r="O204" s="40"/>
      <c r="P204" s="40"/>
      <c r="Q204" s="40"/>
      <c r="R204" s="40"/>
      <c r="S204" s="630"/>
      <c r="T204" s="653"/>
      <c r="U204" s="40"/>
      <c r="V204" s="630"/>
      <c r="W204" s="653"/>
      <c r="X204" s="40"/>
      <c r="Y204" s="630"/>
      <c r="Z204" s="653"/>
      <c r="AA204" s="40"/>
      <c r="AB204" s="630"/>
      <c r="AC204" s="653"/>
      <c r="AD204" s="40"/>
      <c r="AE204" s="630"/>
      <c r="AF204" s="653"/>
      <c r="AG204" s="40"/>
      <c r="AH204" s="630"/>
      <c r="AI204" s="653"/>
      <c r="AJ204" s="40"/>
      <c r="AK204" s="630"/>
      <c r="AL204" s="653"/>
      <c r="AM204" s="40"/>
      <c r="AN204" s="630"/>
      <c r="AO204" s="653"/>
      <c r="AP204" s="40"/>
      <c r="AQ204" s="539"/>
      <c r="AR204" s="550"/>
      <c r="AS204"/>
      <c r="AT204" s="539"/>
      <c r="AU204" s="550"/>
      <c r="AV204"/>
      <c r="AW204" s="539"/>
      <c r="AX204" s="550"/>
      <c r="AY204"/>
      <c r="AZ204" s="539"/>
      <c r="BA204" s="550"/>
      <c r="BB204"/>
      <c r="BC204" s="539"/>
      <c r="BD204" s="550"/>
      <c r="BE204"/>
      <c r="BF204" s="539"/>
      <c r="BG204" s="550"/>
      <c r="BH204"/>
      <c r="BI204" s="539"/>
      <c r="BJ204" s="550"/>
      <c r="BK204"/>
      <c r="BL204" s="539"/>
      <c r="BM204" s="550"/>
    </row>
    <row r="205" spans="1:65">
      <c r="A205" s="25" t="s">
        <v>110</v>
      </c>
      <c r="B205" s="40"/>
      <c r="C205" s="40"/>
      <c r="D205" s="40"/>
      <c r="E205" s="40"/>
      <c r="F205" s="40"/>
      <c r="G205" s="40">
        <f t="shared" ref="G205:BM205" si="804">G194</f>
        <v>-104</v>
      </c>
      <c r="H205" s="40">
        <f t="shared" si="804"/>
        <v>-100</v>
      </c>
      <c r="I205" s="40">
        <f t="shared" si="804"/>
        <v>-88</v>
      </c>
      <c r="J205" s="40">
        <f t="shared" si="804"/>
        <v>-69</v>
      </c>
      <c r="K205" s="40">
        <f t="shared" si="804"/>
        <v>-64</v>
      </c>
      <c r="L205" s="40">
        <f t="shared" si="804"/>
        <v>-63</v>
      </c>
      <c r="M205" s="40">
        <f t="shared" si="804"/>
        <v>-51</v>
      </c>
      <c r="N205" s="40">
        <f t="shared" si="804"/>
        <v>-51</v>
      </c>
      <c r="O205" s="40">
        <f t="shared" si="804"/>
        <v>-58</v>
      </c>
      <c r="P205" s="40">
        <f t="shared" si="804"/>
        <v>-63</v>
      </c>
      <c r="Q205" s="40">
        <f t="shared" si="804"/>
        <v>-71</v>
      </c>
      <c r="R205" s="40">
        <v>-42</v>
      </c>
      <c r="S205" s="630">
        <f t="shared" ref="S205:S207" si="805">T205-R205</f>
        <v>-35</v>
      </c>
      <c r="T205" s="653">
        <f t="shared" si="804"/>
        <v>-77</v>
      </c>
      <c r="U205" s="40">
        <v>-36</v>
      </c>
      <c r="V205" s="630">
        <f t="shared" ref="V205:V207" si="806">W205-U205</f>
        <v>-28</v>
      </c>
      <c r="W205" s="653">
        <v>-64</v>
      </c>
      <c r="X205" s="40">
        <v>-36</v>
      </c>
      <c r="Y205" s="630">
        <f t="shared" ref="Y205:Y207" si="807">Z205-X205</f>
        <v>-28</v>
      </c>
      <c r="Z205" s="653">
        <v>-64</v>
      </c>
      <c r="AA205" s="40">
        <v>-48</v>
      </c>
      <c r="AB205" s="630">
        <f t="shared" ref="AB205:AB207" si="808">AC205-AA205</f>
        <v>-51</v>
      </c>
      <c r="AC205" s="653">
        <v>-99</v>
      </c>
      <c r="AD205" s="40">
        <v>-87</v>
      </c>
      <c r="AE205" s="630">
        <f t="shared" ref="AE205:AE207" si="809">AF205-AD205</f>
        <v>-76</v>
      </c>
      <c r="AF205" s="653">
        <v>-163</v>
      </c>
      <c r="AG205" s="40">
        <v>-74</v>
      </c>
      <c r="AH205" s="630">
        <f t="shared" ref="AH205:AH207" si="810">AI205-AG205</f>
        <v>-101</v>
      </c>
      <c r="AI205" s="653">
        <v>-175</v>
      </c>
      <c r="AJ205" s="40">
        <v>-113</v>
      </c>
      <c r="AK205" s="630">
        <f t="shared" ref="AK205:AK207" si="811">AL205-AJ205</f>
        <v>-149</v>
      </c>
      <c r="AL205" s="653">
        <v>-262</v>
      </c>
      <c r="AM205" s="40">
        <v>-171</v>
      </c>
      <c r="AN205" s="630">
        <f t="shared" ref="AN205:AN207" si="812">AO205-AM205</f>
        <v>-149</v>
      </c>
      <c r="AO205" s="653">
        <v>-320</v>
      </c>
      <c r="AP205" s="40">
        <v>-133</v>
      </c>
      <c r="AQ205" s="630">
        <f t="shared" ref="AQ205:AQ207" si="813">AR205-AP205</f>
        <v>-142</v>
      </c>
      <c r="AR205" s="653">
        <v>-275</v>
      </c>
      <c r="AS205" s="40">
        <v>-137</v>
      </c>
      <c r="AT205" s="630">
        <f t="shared" ref="AT205:AT207" si="814">AU205-AS205</f>
        <v>-136</v>
      </c>
      <c r="AU205" s="653">
        <v>-273</v>
      </c>
      <c r="AV205" s="40">
        <v>-125</v>
      </c>
      <c r="AW205" s="630">
        <f t="shared" ref="AW205:AW207" si="815">AX205-AV205</f>
        <v>-115</v>
      </c>
      <c r="AX205" s="653">
        <v>-240</v>
      </c>
      <c r="AY205" s="40">
        <v>-103</v>
      </c>
      <c r="AZ205" s="236">
        <f t="shared" ref="AZ205:AZ207" si="816">BA205-AY205</f>
        <v>-168.40750000000003</v>
      </c>
      <c r="BA205" s="605">
        <f t="shared" si="804"/>
        <v>-271.40750000000003</v>
      </c>
      <c r="BB205" s="56">
        <f t="shared" si="804"/>
        <v>-132.5675</v>
      </c>
      <c r="BC205" s="236">
        <f t="shared" ref="BC205:BC207" si="817">BD205-BB205</f>
        <v>-132.5675</v>
      </c>
      <c r="BD205" s="605">
        <f t="shared" si="804"/>
        <v>-265.13499999999999</v>
      </c>
      <c r="BE205" s="56">
        <f t="shared" si="804"/>
        <v>-132.5675</v>
      </c>
      <c r="BF205" s="236">
        <f t="shared" ref="BF205:BF207" si="818">BG205-BE205</f>
        <v>-132.5675</v>
      </c>
      <c r="BG205" s="605">
        <f t="shared" si="804"/>
        <v>-265.13499999999999</v>
      </c>
      <c r="BH205" s="56">
        <f t="shared" si="804"/>
        <v>-132.5675</v>
      </c>
      <c r="BI205" s="236">
        <f t="shared" ref="BI205:BI207" si="819">BJ205-BH205</f>
        <v>-132.5675</v>
      </c>
      <c r="BJ205" s="605">
        <f t="shared" si="804"/>
        <v>-265.13499999999999</v>
      </c>
      <c r="BK205" s="56">
        <f t="shared" si="804"/>
        <v>-132.5675</v>
      </c>
      <c r="BL205" s="236">
        <f t="shared" ref="BL205:BL207" si="820">BM205-BK205</f>
        <v>-132.5675</v>
      </c>
      <c r="BM205" s="605">
        <f t="shared" si="804"/>
        <v>-265.13499999999999</v>
      </c>
    </row>
    <row r="206" spans="1:65">
      <c r="A206" s="25" t="s">
        <v>111</v>
      </c>
      <c r="B206" s="40"/>
      <c r="C206" s="40"/>
      <c r="D206" s="40"/>
      <c r="E206" s="40"/>
      <c r="F206" s="40"/>
      <c r="G206" s="40">
        <f t="shared" ref="G206:O206" si="821">G198</f>
        <v>-43</v>
      </c>
      <c r="H206" s="40">
        <f t="shared" si="821"/>
        <v>-27</v>
      </c>
      <c r="I206" s="40">
        <f t="shared" si="821"/>
        <v>-26</v>
      </c>
      <c r="J206" s="40">
        <f t="shared" si="821"/>
        <v>-26</v>
      </c>
      <c r="K206" s="40">
        <f t="shared" si="821"/>
        <v>-25</v>
      </c>
      <c r="L206" s="40">
        <f t="shared" si="821"/>
        <v>-13</v>
      </c>
      <c r="M206" s="40">
        <f t="shared" si="821"/>
        <v>-11</v>
      </c>
      <c r="N206" s="40">
        <f t="shared" si="821"/>
        <v>-10</v>
      </c>
      <c r="O206" s="40">
        <f t="shared" si="821"/>
        <v>-9</v>
      </c>
      <c r="P206" s="40">
        <v>-5</v>
      </c>
      <c r="Q206" s="40">
        <f>Q198</f>
        <v>-8</v>
      </c>
      <c r="R206" s="40">
        <f t="shared" ref="R206" si="822">R198</f>
        <v>-2</v>
      </c>
      <c r="S206" s="630">
        <f t="shared" si="805"/>
        <v>-4</v>
      </c>
      <c r="T206" s="653">
        <f>T198</f>
        <v>-6</v>
      </c>
      <c r="U206" s="40">
        <f t="shared" ref="U206" si="823">U198</f>
        <v>-2</v>
      </c>
      <c r="V206" s="630">
        <f t="shared" si="806"/>
        <v>-3</v>
      </c>
      <c r="W206" s="653">
        <f>W198</f>
        <v>-5</v>
      </c>
      <c r="X206" s="40">
        <f t="shared" ref="X206" si="824">X198</f>
        <v>-2</v>
      </c>
      <c r="Y206" s="630">
        <f t="shared" si="807"/>
        <v>-3</v>
      </c>
      <c r="Z206" s="653">
        <f>Z198</f>
        <v>-5</v>
      </c>
      <c r="AA206" s="40">
        <f t="shared" ref="AA206" si="825">AA198</f>
        <v>-5</v>
      </c>
      <c r="AB206" s="630">
        <f t="shared" si="808"/>
        <v>-3</v>
      </c>
      <c r="AC206" s="653">
        <f t="shared" ref="AC206:BM206" si="826">AC198</f>
        <v>-8</v>
      </c>
      <c r="AD206" s="40">
        <f t="shared" ref="AD206" si="827">AD198</f>
        <v>-2</v>
      </c>
      <c r="AE206" s="630">
        <f t="shared" si="809"/>
        <v>-1</v>
      </c>
      <c r="AF206" s="653">
        <f t="shared" si="826"/>
        <v>-3</v>
      </c>
      <c r="AG206" s="40">
        <f t="shared" si="826"/>
        <v>-1</v>
      </c>
      <c r="AH206" s="630">
        <f t="shared" si="810"/>
        <v>-7</v>
      </c>
      <c r="AI206" s="653">
        <v>-8</v>
      </c>
      <c r="AJ206" s="40">
        <f t="shared" ref="AJ206" si="828">AJ198</f>
        <v>0</v>
      </c>
      <c r="AK206" s="630">
        <f t="shared" si="811"/>
        <v>0</v>
      </c>
      <c r="AL206" s="653">
        <f t="shared" si="826"/>
        <v>0</v>
      </c>
      <c r="AM206" s="40">
        <f t="shared" si="826"/>
        <v>-6</v>
      </c>
      <c r="AN206" s="630">
        <f t="shared" si="812"/>
        <v>6</v>
      </c>
      <c r="AO206" s="653">
        <f t="shared" si="826"/>
        <v>0</v>
      </c>
      <c r="AP206" s="40">
        <f t="shared" ref="AP206" si="829">AP198</f>
        <v>0</v>
      </c>
      <c r="AQ206" s="630">
        <f t="shared" si="813"/>
        <v>0</v>
      </c>
      <c r="AR206" s="653">
        <f t="shared" ref="AR206:AS206" si="830">AR198</f>
        <v>0</v>
      </c>
      <c r="AS206" s="40">
        <f t="shared" si="830"/>
        <v>0</v>
      </c>
      <c r="AT206" s="630">
        <f t="shared" si="814"/>
        <v>0</v>
      </c>
      <c r="AU206" s="653">
        <f t="shared" ref="AU206:AV206" si="831">AU198</f>
        <v>0</v>
      </c>
      <c r="AV206" s="40">
        <f t="shared" si="831"/>
        <v>0</v>
      </c>
      <c r="AW206" s="630">
        <f t="shared" si="815"/>
        <v>0</v>
      </c>
      <c r="AX206" s="653">
        <f t="shared" ref="AX206:AY206" si="832">AX198</f>
        <v>0</v>
      </c>
      <c r="AY206" s="40">
        <f t="shared" si="832"/>
        <v>0</v>
      </c>
      <c r="AZ206" s="236">
        <f t="shared" si="816"/>
        <v>0</v>
      </c>
      <c r="BA206" s="605">
        <f t="shared" si="826"/>
        <v>0</v>
      </c>
      <c r="BB206" s="56">
        <f t="shared" si="826"/>
        <v>0</v>
      </c>
      <c r="BC206" s="236">
        <f t="shared" si="817"/>
        <v>0</v>
      </c>
      <c r="BD206" s="605">
        <f t="shared" si="826"/>
        <v>0</v>
      </c>
      <c r="BE206" s="56">
        <f t="shared" si="826"/>
        <v>0</v>
      </c>
      <c r="BF206" s="236">
        <f t="shared" si="818"/>
        <v>0</v>
      </c>
      <c r="BG206" s="605">
        <f t="shared" si="826"/>
        <v>0</v>
      </c>
      <c r="BH206" s="56">
        <f t="shared" si="826"/>
        <v>0</v>
      </c>
      <c r="BI206" s="236">
        <f t="shared" si="819"/>
        <v>0</v>
      </c>
      <c r="BJ206" s="605">
        <f t="shared" si="826"/>
        <v>0</v>
      </c>
      <c r="BK206" s="56">
        <f t="shared" si="826"/>
        <v>0</v>
      </c>
      <c r="BL206" s="236">
        <f t="shared" si="820"/>
        <v>0</v>
      </c>
      <c r="BM206" s="605">
        <f t="shared" si="826"/>
        <v>0</v>
      </c>
    </row>
    <row r="207" spans="1:65">
      <c r="A207" s="25" t="s">
        <v>114</v>
      </c>
      <c r="B207" s="40"/>
      <c r="C207" s="40"/>
      <c r="D207" s="40"/>
      <c r="E207" s="40"/>
      <c r="F207" s="40"/>
      <c r="G207" s="40">
        <f>G202</f>
        <v>-5</v>
      </c>
      <c r="H207" s="40">
        <f>H202</f>
        <v>0</v>
      </c>
      <c r="I207" s="40">
        <f>I202</f>
        <v>0</v>
      </c>
      <c r="J207" s="40">
        <v>-3</v>
      </c>
      <c r="K207" s="40">
        <f>K202</f>
        <v>0</v>
      </c>
      <c r="L207" s="40">
        <f>L202</f>
        <v>-2</v>
      </c>
      <c r="M207" s="40">
        <f>M202</f>
        <v>-7</v>
      </c>
      <c r="N207" s="40">
        <f>N202</f>
        <v>-10</v>
      </c>
      <c r="O207" s="40">
        <v>-20</v>
      </c>
      <c r="P207" s="40">
        <v>-10</v>
      </c>
      <c r="Q207" s="40">
        <f t="shared" ref="Q207:BM207" si="833">Q202</f>
        <v>-25</v>
      </c>
      <c r="R207" s="40">
        <v>-17</v>
      </c>
      <c r="S207" s="630">
        <f t="shared" si="805"/>
        <v>-16</v>
      </c>
      <c r="T207" s="653">
        <v>-33</v>
      </c>
      <c r="U207" s="40">
        <v>-25</v>
      </c>
      <c r="V207" s="630">
        <f t="shared" si="806"/>
        <v>-21</v>
      </c>
      <c r="W207" s="653">
        <v>-46</v>
      </c>
      <c r="X207" s="40">
        <v>-26</v>
      </c>
      <c r="Y207" s="630">
        <f t="shared" si="807"/>
        <v>-23</v>
      </c>
      <c r="Z207" s="653">
        <v>-49</v>
      </c>
      <c r="AA207" s="40">
        <v>-26</v>
      </c>
      <c r="AB207" s="630">
        <f t="shared" si="808"/>
        <v>-44</v>
      </c>
      <c r="AC207" s="653">
        <v>-70</v>
      </c>
      <c r="AD207" s="40">
        <v>-40</v>
      </c>
      <c r="AE207" s="630">
        <f t="shared" si="809"/>
        <v>-50</v>
      </c>
      <c r="AF207" s="653">
        <v>-90</v>
      </c>
      <c r="AG207" s="40">
        <f>-1369-88-9-45</f>
        <v>-1511</v>
      </c>
      <c r="AH207" s="630">
        <f t="shared" si="810"/>
        <v>-312</v>
      </c>
      <c r="AI207" s="653">
        <f>-1503-202-97-21</f>
        <v>-1823</v>
      </c>
      <c r="AJ207" s="40">
        <f>-35-44</f>
        <v>-79</v>
      </c>
      <c r="AK207" s="630">
        <f t="shared" si="811"/>
        <v>-58</v>
      </c>
      <c r="AL207" s="653">
        <f>-62-75</f>
        <v>-137</v>
      </c>
      <c r="AM207" s="40">
        <f>-31-37</f>
        <v>-68</v>
      </c>
      <c r="AN207" s="630">
        <f t="shared" si="812"/>
        <v>-93</v>
      </c>
      <c r="AO207" s="653">
        <f>-61-100</f>
        <v>-161</v>
      </c>
      <c r="AP207" s="40">
        <f>-32-40</f>
        <v>-72</v>
      </c>
      <c r="AQ207" s="630">
        <f t="shared" si="813"/>
        <v>-145</v>
      </c>
      <c r="AR207" s="653">
        <f>-57-160</f>
        <v>-217</v>
      </c>
      <c r="AS207" s="40">
        <f>-24-12-69</f>
        <v>-105</v>
      </c>
      <c r="AT207" s="630">
        <f t="shared" si="814"/>
        <v>-59</v>
      </c>
      <c r="AU207" s="653">
        <f>-24-17-123</f>
        <v>-164</v>
      </c>
      <c r="AV207" s="40">
        <f>-4-62</f>
        <v>-66</v>
      </c>
      <c r="AW207" s="630">
        <f t="shared" si="815"/>
        <v>-69</v>
      </c>
      <c r="AX207" s="653">
        <v>-135</v>
      </c>
      <c r="AY207" s="40">
        <f>-1-47</f>
        <v>-48</v>
      </c>
      <c r="AZ207" s="236">
        <f t="shared" si="816"/>
        <v>-76</v>
      </c>
      <c r="BA207" s="605">
        <f t="shared" si="833"/>
        <v>-124</v>
      </c>
      <c r="BB207" s="56">
        <f t="shared" si="833"/>
        <v>-62</v>
      </c>
      <c r="BC207" s="236">
        <f t="shared" si="817"/>
        <v>-62</v>
      </c>
      <c r="BD207" s="605">
        <f t="shared" si="833"/>
        <v>-124</v>
      </c>
      <c r="BE207" s="56">
        <f t="shared" si="833"/>
        <v>-62</v>
      </c>
      <c r="BF207" s="236">
        <f t="shared" si="818"/>
        <v>-62</v>
      </c>
      <c r="BG207" s="605">
        <f t="shared" si="833"/>
        <v>-124</v>
      </c>
      <c r="BH207" s="56">
        <f t="shared" si="833"/>
        <v>-62</v>
      </c>
      <c r="BI207" s="236">
        <f t="shared" si="819"/>
        <v>-62</v>
      </c>
      <c r="BJ207" s="605">
        <f t="shared" si="833"/>
        <v>-124</v>
      </c>
      <c r="BK207" s="56">
        <f t="shared" si="833"/>
        <v>-62</v>
      </c>
      <c r="BL207" s="236">
        <f t="shared" si="820"/>
        <v>-62</v>
      </c>
      <c r="BM207" s="605">
        <f t="shared" si="833"/>
        <v>-124</v>
      </c>
    </row>
    <row r="208" spans="1:65">
      <c r="A208" s="31" t="s">
        <v>125</v>
      </c>
      <c r="B208" s="40"/>
      <c r="C208" s="40"/>
      <c r="D208" s="40"/>
      <c r="E208" s="40"/>
      <c r="F208" s="40"/>
      <c r="G208" s="51">
        <f t="shared" ref="G208:BM208" si="834">SUM(G205:G207)</f>
        <v>-152</v>
      </c>
      <c r="H208" s="51">
        <f t="shared" si="834"/>
        <v>-127</v>
      </c>
      <c r="I208" s="51">
        <f t="shared" si="834"/>
        <v>-114</v>
      </c>
      <c r="J208" s="51">
        <f t="shared" si="834"/>
        <v>-98</v>
      </c>
      <c r="K208" s="51">
        <f t="shared" si="834"/>
        <v>-89</v>
      </c>
      <c r="L208" s="51">
        <f t="shared" si="834"/>
        <v>-78</v>
      </c>
      <c r="M208" s="51">
        <f t="shared" si="834"/>
        <v>-69</v>
      </c>
      <c r="N208" s="51">
        <f t="shared" si="834"/>
        <v>-71</v>
      </c>
      <c r="O208" s="51">
        <f t="shared" si="834"/>
        <v>-87</v>
      </c>
      <c r="P208" s="51">
        <f t="shared" si="834"/>
        <v>-78</v>
      </c>
      <c r="Q208" s="51">
        <f t="shared" si="834"/>
        <v>-104</v>
      </c>
      <c r="R208" s="51">
        <f t="shared" ref="R208:S208" si="835">SUM(R205:R207)</f>
        <v>-61</v>
      </c>
      <c r="S208" s="629">
        <f t="shared" si="835"/>
        <v>-55</v>
      </c>
      <c r="T208" s="652">
        <f t="shared" si="834"/>
        <v>-116</v>
      </c>
      <c r="U208" s="51">
        <f t="shared" ref="U208:V208" si="836">SUM(U205:U207)</f>
        <v>-63</v>
      </c>
      <c r="V208" s="629">
        <f t="shared" si="836"/>
        <v>-52</v>
      </c>
      <c r="W208" s="652">
        <f t="shared" si="834"/>
        <v>-115</v>
      </c>
      <c r="X208" s="51">
        <f t="shared" ref="X208:Y208" si="837">SUM(X205:X207)</f>
        <v>-64</v>
      </c>
      <c r="Y208" s="629">
        <f t="shared" si="837"/>
        <v>-54</v>
      </c>
      <c r="Z208" s="652">
        <f t="shared" si="834"/>
        <v>-118</v>
      </c>
      <c r="AA208" s="51">
        <f t="shared" ref="AA208:AB208" si="838">SUM(AA205:AA207)</f>
        <v>-79</v>
      </c>
      <c r="AB208" s="629">
        <f t="shared" si="838"/>
        <v>-98</v>
      </c>
      <c r="AC208" s="652">
        <f t="shared" si="834"/>
        <v>-177</v>
      </c>
      <c r="AD208" s="51">
        <f t="shared" ref="AD208:AE208" si="839">SUM(AD205:AD207)</f>
        <v>-129</v>
      </c>
      <c r="AE208" s="629">
        <f t="shared" si="839"/>
        <v>-127</v>
      </c>
      <c r="AF208" s="652">
        <f t="shared" si="834"/>
        <v>-256</v>
      </c>
      <c r="AG208" s="51">
        <f t="shared" ref="AG208:AH208" si="840">SUM(AG205:AG207)</f>
        <v>-1586</v>
      </c>
      <c r="AH208" s="629">
        <f t="shared" si="840"/>
        <v>-420</v>
      </c>
      <c r="AI208" s="652">
        <f t="shared" si="834"/>
        <v>-2006</v>
      </c>
      <c r="AJ208" s="51">
        <f t="shared" ref="AJ208:AK208" si="841">SUM(AJ205:AJ207)</f>
        <v>-192</v>
      </c>
      <c r="AK208" s="629">
        <f t="shared" si="841"/>
        <v>-207</v>
      </c>
      <c r="AL208" s="652">
        <f t="shared" si="834"/>
        <v>-399</v>
      </c>
      <c r="AM208" s="51">
        <f t="shared" ref="AM208" si="842">SUM(AM205:AM207)</f>
        <v>-245</v>
      </c>
      <c r="AN208" s="629">
        <f t="shared" ref="AN208" si="843">SUM(AN205:AN207)</f>
        <v>-236</v>
      </c>
      <c r="AO208" s="652">
        <f t="shared" si="834"/>
        <v>-481</v>
      </c>
      <c r="AP208" s="51">
        <f t="shared" ref="AP208:AQ208" si="844">SUM(AP205:AP207)</f>
        <v>-205</v>
      </c>
      <c r="AQ208" s="629">
        <f t="shared" si="844"/>
        <v>-287</v>
      </c>
      <c r="AR208" s="652">
        <f t="shared" ref="AR208:AT208" si="845">SUM(AR205:AR207)</f>
        <v>-492</v>
      </c>
      <c r="AS208" s="51">
        <f t="shared" si="845"/>
        <v>-242</v>
      </c>
      <c r="AT208" s="629">
        <f t="shared" si="845"/>
        <v>-195</v>
      </c>
      <c r="AU208" s="652">
        <f t="shared" ref="AU208:AW208" si="846">SUM(AU205:AU207)</f>
        <v>-437</v>
      </c>
      <c r="AV208" s="51">
        <f t="shared" si="846"/>
        <v>-191</v>
      </c>
      <c r="AW208" s="629">
        <f t="shared" si="846"/>
        <v>-184</v>
      </c>
      <c r="AX208" s="652">
        <f t="shared" ref="AX208:AY208" si="847">SUM(AX205:AX207)</f>
        <v>-375</v>
      </c>
      <c r="AY208" s="51">
        <f t="shared" si="847"/>
        <v>-151</v>
      </c>
      <c r="AZ208" s="237">
        <f t="shared" ref="AZ208" si="848">SUM(AZ205:AZ207)</f>
        <v>-244.40750000000003</v>
      </c>
      <c r="BA208" s="576">
        <f t="shared" si="834"/>
        <v>-395.40750000000003</v>
      </c>
      <c r="BB208" s="48">
        <f t="shared" ref="BB208:BC208" si="849">SUM(BB205:BB207)</f>
        <v>-194.5675</v>
      </c>
      <c r="BC208" s="237">
        <f t="shared" si="849"/>
        <v>-194.5675</v>
      </c>
      <c r="BD208" s="576">
        <f t="shared" si="834"/>
        <v>-389.13499999999999</v>
      </c>
      <c r="BE208" s="48">
        <f t="shared" ref="BE208:BF208" si="850">SUM(BE205:BE207)</f>
        <v>-194.5675</v>
      </c>
      <c r="BF208" s="237">
        <f t="shared" si="850"/>
        <v>-194.5675</v>
      </c>
      <c r="BG208" s="576">
        <f t="shared" si="834"/>
        <v>-389.13499999999999</v>
      </c>
      <c r="BH208" s="48">
        <f t="shared" ref="BH208:BI208" si="851">SUM(BH205:BH207)</f>
        <v>-194.5675</v>
      </c>
      <c r="BI208" s="237">
        <f t="shared" si="851"/>
        <v>-194.5675</v>
      </c>
      <c r="BJ208" s="576">
        <f t="shared" si="834"/>
        <v>-389.13499999999999</v>
      </c>
      <c r="BK208" s="48">
        <f t="shared" ref="BK208:BL208" si="852">SUM(BK205:BK207)</f>
        <v>-194.5675</v>
      </c>
      <c r="BL208" s="237">
        <f t="shared" si="852"/>
        <v>-194.5675</v>
      </c>
      <c r="BM208" s="576">
        <f t="shared" si="834"/>
        <v>-389.13499999999999</v>
      </c>
    </row>
    <row r="209" spans="1:65" ht="11.4">
      <c r="B209" s="40"/>
      <c r="C209" s="40"/>
      <c r="D209" s="40"/>
      <c r="E209" s="40"/>
      <c r="F209" s="40"/>
      <c r="G209" s="40"/>
      <c r="H209" s="40"/>
      <c r="I209" s="40"/>
      <c r="J209" s="40"/>
      <c r="K209" s="40"/>
      <c r="L209" s="40"/>
      <c r="M209" s="40"/>
      <c r="N209" s="40"/>
      <c r="O209" s="40"/>
      <c r="P209" s="40"/>
      <c r="Q209" s="40"/>
      <c r="R209" s="108"/>
      <c r="S209" s="676"/>
      <c r="T209" s="653"/>
      <c r="U209" s="108"/>
      <c r="V209" s="676"/>
      <c r="W209" s="653"/>
      <c r="X209" s="108"/>
      <c r="Y209" s="676"/>
      <c r="Z209" s="653"/>
      <c r="AA209" s="108"/>
      <c r="AB209" s="676"/>
      <c r="AC209" s="679"/>
      <c r="AD209" s="108"/>
      <c r="AE209" s="676"/>
      <c r="AF209" s="679"/>
      <c r="AG209" s="108"/>
      <c r="AH209" s="676"/>
      <c r="AI209" s="679"/>
      <c r="AJ209" s="108"/>
      <c r="AK209" s="676"/>
      <c r="AL209" s="679"/>
      <c r="AM209" s="108"/>
      <c r="AN209" s="676"/>
      <c r="AO209" s="679"/>
      <c r="AP209" s="108"/>
      <c r="AQ209" s="688"/>
      <c r="AR209" s="685"/>
      <c r="AS209" s="19"/>
      <c r="AT209" s="688"/>
      <c r="AU209" s="685"/>
      <c r="AV209" s="19"/>
      <c r="AW209" s="688"/>
      <c r="AX209" s="685"/>
      <c r="AY209" s="19"/>
      <c r="AZ209" s="688"/>
      <c r="BA209" s="685"/>
      <c r="BB209" s="19"/>
      <c r="BC209" s="688"/>
      <c r="BD209" s="685"/>
      <c r="BE209" s="19"/>
      <c r="BF209" s="688"/>
      <c r="BG209" s="685"/>
      <c r="BH209" s="19"/>
      <c r="BI209" s="688"/>
      <c r="BJ209" s="685"/>
      <c r="BK209" s="19"/>
      <c r="BL209" s="688"/>
      <c r="BM209" s="685"/>
    </row>
    <row r="210" spans="1:65">
      <c r="A210" s="31" t="s">
        <v>20</v>
      </c>
      <c r="B210" s="40"/>
      <c r="C210" s="40"/>
      <c r="D210" s="40"/>
      <c r="E210" s="51"/>
      <c r="F210" s="51">
        <f t="shared" ref="F210:BM210" si="853">F187+F203</f>
        <v>-53</v>
      </c>
      <c r="G210" s="51">
        <f t="shared" si="853"/>
        <v>-400</v>
      </c>
      <c r="H210" s="51">
        <f t="shared" si="853"/>
        <v>698</v>
      </c>
      <c r="I210" s="51">
        <f t="shared" si="853"/>
        <v>266</v>
      </c>
      <c r="J210" s="51">
        <f t="shared" si="853"/>
        <v>-2754</v>
      </c>
      <c r="K210" s="51">
        <f t="shared" si="853"/>
        <v>1785</v>
      </c>
      <c r="L210" s="51">
        <f t="shared" si="853"/>
        <v>-432</v>
      </c>
      <c r="M210" s="51">
        <f t="shared" si="853"/>
        <v>-84</v>
      </c>
      <c r="N210" s="51">
        <f t="shared" si="853"/>
        <v>689</v>
      </c>
      <c r="O210" s="51">
        <f t="shared" si="853"/>
        <v>-114</v>
      </c>
      <c r="P210" s="51">
        <f t="shared" si="853"/>
        <v>-1331</v>
      </c>
      <c r="Q210" s="51">
        <f t="shared" si="853"/>
        <v>-1341</v>
      </c>
      <c r="R210" s="51">
        <f t="shared" ref="R210:S210" si="854">R187+R203</f>
        <v>-2386</v>
      </c>
      <c r="S210" s="629">
        <f t="shared" si="854"/>
        <v>-2291</v>
      </c>
      <c r="T210" s="652">
        <f t="shared" si="853"/>
        <v>-4677</v>
      </c>
      <c r="U210" s="51">
        <f t="shared" si="853"/>
        <v>1470</v>
      </c>
      <c r="V210" s="629">
        <f t="shared" si="853"/>
        <v>1342</v>
      </c>
      <c r="W210" s="652">
        <f>W187+W203</f>
        <v>2812</v>
      </c>
      <c r="X210" s="51">
        <f t="shared" ref="X210:Y210" si="855">X187+X203</f>
        <v>1547</v>
      </c>
      <c r="Y210" s="629">
        <f t="shared" si="855"/>
        <v>1200</v>
      </c>
      <c r="Z210" s="652">
        <f>Z187+Z203</f>
        <v>2747</v>
      </c>
      <c r="AA210" s="51">
        <f t="shared" ref="AA210:AB210" si="856">AA187+AA203</f>
        <v>-845</v>
      </c>
      <c r="AB210" s="629">
        <f t="shared" si="856"/>
        <v>-1299</v>
      </c>
      <c r="AC210" s="652">
        <f t="shared" si="853"/>
        <v>-2144</v>
      </c>
      <c r="AD210" s="51">
        <f t="shared" si="853"/>
        <v>-992</v>
      </c>
      <c r="AE210" s="629">
        <f t="shared" si="853"/>
        <v>814</v>
      </c>
      <c r="AF210" s="652">
        <f>AF187+AF203</f>
        <v>-178</v>
      </c>
      <c r="AG210" s="51">
        <f t="shared" ref="AG210:AH210" si="857">AG187+AG203</f>
        <v>-3598</v>
      </c>
      <c r="AH210" s="629">
        <f t="shared" si="857"/>
        <v>2785</v>
      </c>
      <c r="AI210" s="652">
        <f t="shared" si="853"/>
        <v>-813</v>
      </c>
      <c r="AJ210" s="51">
        <f t="shared" si="853"/>
        <v>83</v>
      </c>
      <c r="AK210" s="629">
        <f t="shared" si="853"/>
        <v>-946</v>
      </c>
      <c r="AL210" s="652">
        <f>AL187+AL203</f>
        <v>-863</v>
      </c>
      <c r="AM210" s="51">
        <f t="shared" ref="AM210:AN210" si="858">AM187+AM203</f>
        <v>-2054</v>
      </c>
      <c r="AN210" s="629">
        <f t="shared" si="858"/>
        <v>-366</v>
      </c>
      <c r="AO210" s="652">
        <f t="shared" si="853"/>
        <v>-2420</v>
      </c>
      <c r="AP210" s="51">
        <f t="shared" ref="AP210:AR210" si="859">AP187+AP203</f>
        <v>621</v>
      </c>
      <c r="AQ210" s="629">
        <f t="shared" si="859"/>
        <v>-139</v>
      </c>
      <c r="AR210" s="652">
        <f t="shared" si="859"/>
        <v>482</v>
      </c>
      <c r="AS210" s="51">
        <f t="shared" ref="AS210:AU210" si="860">AS187+AS203</f>
        <v>-230</v>
      </c>
      <c r="AT210" s="629">
        <f t="shared" si="860"/>
        <v>-458</v>
      </c>
      <c r="AU210" s="652">
        <f t="shared" si="860"/>
        <v>-688</v>
      </c>
      <c r="AV210" s="51">
        <f t="shared" ref="AV210:AW210" si="861">AV187+AV203</f>
        <v>2088</v>
      </c>
      <c r="AW210" s="629">
        <f t="shared" si="861"/>
        <v>-430</v>
      </c>
      <c r="AX210" s="652">
        <f t="shared" si="853"/>
        <v>1658</v>
      </c>
      <c r="AY210" s="51">
        <f t="shared" si="853"/>
        <v>-487</v>
      </c>
      <c r="AZ210" s="237">
        <f t="shared" si="853"/>
        <v>395.79250000000002</v>
      </c>
      <c r="BA210" s="576">
        <f t="shared" si="853"/>
        <v>-91.207499999999982</v>
      </c>
      <c r="BB210" s="48">
        <f t="shared" si="853"/>
        <v>-29.017025457659713</v>
      </c>
      <c r="BC210" s="237">
        <f t="shared" si="853"/>
        <v>-29.017025457659713</v>
      </c>
      <c r="BD210" s="576">
        <f t="shared" si="853"/>
        <v>-58.034050915319426</v>
      </c>
      <c r="BE210" s="48">
        <f t="shared" si="853"/>
        <v>-6.8096653345910454</v>
      </c>
      <c r="BF210" s="237">
        <f t="shared" si="853"/>
        <v>-6.8096653345910454</v>
      </c>
      <c r="BG210" s="576">
        <f t="shared" si="853"/>
        <v>-13.619330669182091</v>
      </c>
      <c r="BH210" s="48">
        <f t="shared" si="853"/>
        <v>38.839388373839569</v>
      </c>
      <c r="BI210" s="237">
        <f t="shared" si="853"/>
        <v>38.839388373839569</v>
      </c>
      <c r="BJ210" s="576">
        <f t="shared" si="853"/>
        <v>77.678776747679137</v>
      </c>
      <c r="BK210" s="48">
        <f t="shared" si="853"/>
        <v>165.99106024334878</v>
      </c>
      <c r="BL210" s="237">
        <f t="shared" si="853"/>
        <v>165.99106024334878</v>
      </c>
      <c r="BM210" s="576">
        <f t="shared" si="853"/>
        <v>331.98212048669757</v>
      </c>
    </row>
    <row r="211" spans="1:65">
      <c r="A211" s="31" t="s">
        <v>31</v>
      </c>
      <c r="B211" s="40"/>
      <c r="C211" s="40"/>
      <c r="D211" s="40"/>
      <c r="E211" s="40"/>
      <c r="F211" s="40"/>
      <c r="G211" s="51">
        <f t="shared" ref="G211:BM211" si="862">G192+G208</f>
        <v>-86</v>
      </c>
      <c r="H211" s="51">
        <f t="shared" si="862"/>
        <v>-43</v>
      </c>
      <c r="I211" s="51">
        <f t="shared" si="862"/>
        <v>13</v>
      </c>
      <c r="J211" s="51">
        <f t="shared" si="862"/>
        <v>-39</v>
      </c>
      <c r="K211" s="51">
        <f t="shared" si="862"/>
        <v>-68</v>
      </c>
      <c r="L211" s="51">
        <f t="shared" si="862"/>
        <v>-55</v>
      </c>
      <c r="M211" s="51">
        <f t="shared" si="862"/>
        <v>-49</v>
      </c>
      <c r="N211" s="51">
        <f t="shared" si="862"/>
        <v>-61</v>
      </c>
      <c r="O211" s="51">
        <f t="shared" si="862"/>
        <v>-72</v>
      </c>
      <c r="P211" s="51">
        <f t="shared" si="862"/>
        <v>-61</v>
      </c>
      <c r="Q211" s="51">
        <f t="shared" si="862"/>
        <v>-60</v>
      </c>
      <c r="R211" s="51">
        <f t="shared" ref="R211" si="863">R192+R208</f>
        <v>-54</v>
      </c>
      <c r="S211" s="629">
        <f>S192+S208</f>
        <v>-48</v>
      </c>
      <c r="T211" s="652">
        <f t="shared" si="862"/>
        <v>-102</v>
      </c>
      <c r="U211" s="51">
        <f t="shared" si="862"/>
        <v>-58</v>
      </c>
      <c r="V211" s="629">
        <f>V192+V208</f>
        <v>-46</v>
      </c>
      <c r="W211" s="652">
        <f t="shared" si="862"/>
        <v>-104</v>
      </c>
      <c r="X211" s="51">
        <f t="shared" si="862"/>
        <v>-59</v>
      </c>
      <c r="Y211" s="629">
        <f>Y192+Y208</f>
        <v>-48</v>
      </c>
      <c r="Z211" s="652">
        <f t="shared" si="862"/>
        <v>-107</v>
      </c>
      <c r="AA211" s="51">
        <f t="shared" ref="AA211" si="864">AA192+AA208</f>
        <v>-68</v>
      </c>
      <c r="AB211" s="629">
        <f>AB192+AB208</f>
        <v>-82</v>
      </c>
      <c r="AC211" s="652">
        <f t="shared" si="862"/>
        <v>-150</v>
      </c>
      <c r="AD211" s="51">
        <f t="shared" si="862"/>
        <v>-110</v>
      </c>
      <c r="AE211" s="629">
        <f>AE192+AE208</f>
        <v>-115</v>
      </c>
      <c r="AF211" s="652">
        <f t="shared" si="862"/>
        <v>-225</v>
      </c>
      <c r="AG211" s="51">
        <f t="shared" ref="AG211" si="865">AG192+AG208</f>
        <v>-1575</v>
      </c>
      <c r="AH211" s="629">
        <f>AH192+AH208</f>
        <v>-410</v>
      </c>
      <c r="AI211" s="652">
        <f t="shared" si="862"/>
        <v>-1985</v>
      </c>
      <c r="AJ211" s="51">
        <f t="shared" si="862"/>
        <v>-174</v>
      </c>
      <c r="AK211" s="629">
        <f>AK192+AK208</f>
        <v>-204</v>
      </c>
      <c r="AL211" s="652">
        <f>AL192+AL208</f>
        <v>-378</v>
      </c>
      <c r="AM211" s="51">
        <f t="shared" ref="AM211" si="866">AM192+AM208</f>
        <v>-236</v>
      </c>
      <c r="AN211" s="629">
        <f>AN192+AN208</f>
        <v>-210</v>
      </c>
      <c r="AO211" s="652">
        <f t="shared" si="862"/>
        <v>-446</v>
      </c>
      <c r="AP211" s="51">
        <f t="shared" ref="AP211" si="867">AP192+AP208</f>
        <v>-149</v>
      </c>
      <c r="AQ211" s="629">
        <f>AQ192+AQ208</f>
        <v>-179</v>
      </c>
      <c r="AR211" s="652">
        <f t="shared" ref="AR211:AS211" si="868">AR192+AR208</f>
        <v>-328</v>
      </c>
      <c r="AS211" s="51">
        <f t="shared" si="868"/>
        <v>-114</v>
      </c>
      <c r="AT211" s="629">
        <f>AT192+AT208</f>
        <v>-57</v>
      </c>
      <c r="AU211" s="652">
        <f t="shared" ref="AU211:AV211" si="869">AU192+AU208</f>
        <v>-171</v>
      </c>
      <c r="AV211" s="51">
        <f t="shared" si="869"/>
        <v>-44</v>
      </c>
      <c r="AW211" s="629">
        <f>AW192+AW208</f>
        <v>-66</v>
      </c>
      <c r="AX211" s="652">
        <f t="shared" ref="AX211:AY211" si="870">AX192+AX208</f>
        <v>-110</v>
      </c>
      <c r="AY211" s="51">
        <f t="shared" si="870"/>
        <v>-39</v>
      </c>
      <c r="AZ211" s="237">
        <f>AZ192+AZ208</f>
        <v>-44.207499999999982</v>
      </c>
      <c r="BA211" s="576">
        <f t="shared" si="862"/>
        <v>-83.207499999999982</v>
      </c>
      <c r="BB211" s="48">
        <f t="shared" si="862"/>
        <v>-25.017025457659713</v>
      </c>
      <c r="BC211" s="237">
        <f>BC192+BC208</f>
        <v>-25.017025457659713</v>
      </c>
      <c r="BD211" s="576">
        <f t="shared" si="862"/>
        <v>-50.034050915319426</v>
      </c>
      <c r="BE211" s="48">
        <f t="shared" si="862"/>
        <v>-2.8096653345910454</v>
      </c>
      <c r="BF211" s="237">
        <f>BF192+BF208</f>
        <v>-2.8096653345910454</v>
      </c>
      <c r="BG211" s="576">
        <f t="shared" si="862"/>
        <v>-5.6193306691820908</v>
      </c>
      <c r="BH211" s="48">
        <f t="shared" si="862"/>
        <v>42.839388373839569</v>
      </c>
      <c r="BI211" s="237">
        <f>BI192+BI208</f>
        <v>42.839388373839569</v>
      </c>
      <c r="BJ211" s="576">
        <f t="shared" si="862"/>
        <v>85.678776747679137</v>
      </c>
      <c r="BK211" s="48">
        <f t="shared" si="862"/>
        <v>169.99106024334878</v>
      </c>
      <c r="BL211" s="237">
        <f>BL192+BL208</f>
        <v>169.99106024334878</v>
      </c>
      <c r="BM211" s="576">
        <f t="shared" si="862"/>
        <v>339.98212048669757</v>
      </c>
    </row>
    <row r="212" spans="1:65">
      <c r="A212" s="25" t="s">
        <v>548</v>
      </c>
      <c r="B212" s="40"/>
      <c r="C212" s="40"/>
      <c r="D212" s="40"/>
      <c r="E212" s="40"/>
      <c r="F212" s="40">
        <f>CFS!F60</f>
        <v>-52</v>
      </c>
      <c r="G212" s="40">
        <f>CFS!G60</f>
        <v>-49</v>
      </c>
      <c r="H212" s="40">
        <f>CFS!H60</f>
        <v>-14</v>
      </c>
      <c r="I212" s="40">
        <f>CFS!I60</f>
        <v>-1</v>
      </c>
      <c r="J212" s="40">
        <f>CFS!J60</f>
        <v>-2</v>
      </c>
      <c r="K212" s="40">
        <f>CFS!K60</f>
        <v>-43</v>
      </c>
      <c r="L212" s="40">
        <f>CFS!L60</f>
        <v>-54</v>
      </c>
      <c r="M212" s="40">
        <f>CFS!M60</f>
        <v>-31</v>
      </c>
      <c r="N212" s="40">
        <f>CFS!N60</f>
        <v>-41</v>
      </c>
      <c r="O212" s="40">
        <f>CFS!O60</f>
        <v>-43</v>
      </c>
      <c r="P212" s="40">
        <f>CFS!P60</f>
        <v>-45</v>
      </c>
      <c r="Q212" s="40">
        <f>CFS!Q60</f>
        <v>-55</v>
      </c>
      <c r="R212" s="40">
        <f>CFS!R60</f>
        <v>-48</v>
      </c>
      <c r="S212" s="630">
        <f>CFS!S60</f>
        <v>-24</v>
      </c>
      <c r="T212" s="653">
        <f>CFS!T60</f>
        <v>-72</v>
      </c>
      <c r="U212" s="40">
        <f>CFS!U60</f>
        <v>-33</v>
      </c>
      <c r="V212" s="630">
        <f>CFS!V60</f>
        <v>-20</v>
      </c>
      <c r="W212" s="653">
        <f>CFS!W60</f>
        <v>-53</v>
      </c>
      <c r="X212" s="40">
        <f>CFS!X60</f>
        <v>-33</v>
      </c>
      <c r="Y212" s="630">
        <f>CFS!Y60</f>
        <v>-20</v>
      </c>
      <c r="Z212" s="653">
        <f>CFS!Z60</f>
        <v>-53</v>
      </c>
      <c r="AA212" s="40">
        <f>CFS!AA60</f>
        <v>-40</v>
      </c>
      <c r="AB212" s="630">
        <f>CFS!AB60</f>
        <v>-30</v>
      </c>
      <c r="AC212" s="653">
        <f>CFS!AC60</f>
        <v>-70</v>
      </c>
      <c r="AD212" s="40">
        <f>CFS!AD60</f>
        <v>-89</v>
      </c>
      <c r="AE212" s="630">
        <f>CFS!AE60</f>
        <v>-103</v>
      </c>
      <c r="AF212" s="653">
        <f>CFS!AF60</f>
        <v>-192</v>
      </c>
      <c r="AG212" s="40">
        <f>CFS!AG60</f>
        <v>-153</v>
      </c>
      <c r="AH212" s="630">
        <f>CFS!AH60</f>
        <v>-106</v>
      </c>
      <c r="AI212" s="653">
        <f>CFS!AI60</f>
        <v>-259</v>
      </c>
      <c r="AJ212" s="40">
        <f>CFS!AJ60</f>
        <v>-450</v>
      </c>
      <c r="AK212" s="630">
        <f>CFS!AK60</f>
        <v>-324</v>
      </c>
      <c r="AL212" s="653">
        <f>CFS!AL60</f>
        <v>-774</v>
      </c>
      <c r="AM212" s="40">
        <f>CFS!AM60</f>
        <v>-431</v>
      </c>
      <c r="AN212" s="630">
        <f>CFS!AN60</f>
        <v>-211</v>
      </c>
      <c r="AO212" s="653">
        <f>CFS!AO60</f>
        <v>-642</v>
      </c>
      <c r="AP212" s="40">
        <f>CFS!AP60</f>
        <v>-309</v>
      </c>
      <c r="AQ212" s="630">
        <f>CFS!AQ60</f>
        <v>-254</v>
      </c>
      <c r="AR212" s="653">
        <f>CFS!AR60</f>
        <v>-563</v>
      </c>
      <c r="AS212" s="40">
        <f>CFS!AS60</f>
        <v>-108</v>
      </c>
      <c r="AT212" s="630">
        <f>CFS!AT60</f>
        <v>-67</v>
      </c>
      <c r="AU212" s="653">
        <f>CFS!AU60</f>
        <v>-175</v>
      </c>
      <c r="AV212" s="40">
        <f>CFS!AV60</f>
        <v>-102</v>
      </c>
      <c r="AW212" s="630">
        <f>CFS!AW60</f>
        <v>-38</v>
      </c>
      <c r="AX212" s="653">
        <f>CFS!AX60</f>
        <v>-140</v>
      </c>
      <c r="AY212" s="40">
        <f>CFS!AY60</f>
        <v>-34</v>
      </c>
      <c r="AZ212" s="236">
        <f>CFS!AZ60</f>
        <v>47.792500000000018</v>
      </c>
      <c r="BA212" s="605">
        <f>CFS!BA60</f>
        <v>13.792500000000018</v>
      </c>
      <c r="BB212" s="56">
        <f>CFS!BB60</f>
        <v>36.982974542340287</v>
      </c>
      <c r="BC212" s="236">
        <f>CFS!BC60</f>
        <v>36.982974542340287</v>
      </c>
      <c r="BD212" s="605">
        <f>CFS!BD60</f>
        <v>73.965949084680574</v>
      </c>
      <c r="BE212" s="56">
        <f>CFS!BE60</f>
        <v>59.190334665408955</v>
      </c>
      <c r="BF212" s="236">
        <f>CFS!BF60</f>
        <v>59.190334665408955</v>
      </c>
      <c r="BG212" s="605">
        <f>CFS!BG60</f>
        <v>118.38066933081791</v>
      </c>
      <c r="BH212" s="56">
        <f>CFS!BH60</f>
        <v>104.83938837383957</v>
      </c>
      <c r="BI212" s="236">
        <f>CFS!BI60</f>
        <v>104.83938837383957</v>
      </c>
      <c r="BJ212" s="605">
        <f>CFS!BJ60</f>
        <v>209.67877674767914</v>
      </c>
      <c r="BK212" s="56">
        <f>CFS!BK60</f>
        <v>231.99106024334878</v>
      </c>
      <c r="BL212" s="236">
        <f>CFS!BL60</f>
        <v>231.99106024334878</v>
      </c>
      <c r="BM212" s="605">
        <f>CFS!BM60</f>
        <v>463.98212048669757</v>
      </c>
    </row>
    <row r="213" spans="1:65" ht="11.4">
      <c r="B213" s="40"/>
      <c r="C213" s="40"/>
      <c r="D213" s="40"/>
      <c r="E213" s="40"/>
      <c r="F213" s="40"/>
      <c r="G213" s="40"/>
      <c r="H213" s="40"/>
      <c r="I213" s="40"/>
      <c r="J213" s="40"/>
      <c r="K213" s="40"/>
      <c r="L213" s="40"/>
      <c r="M213" s="40"/>
      <c r="N213" s="40"/>
      <c r="O213" s="40"/>
      <c r="P213" s="40"/>
      <c r="Q213" s="40"/>
      <c r="R213" s="108"/>
      <c r="S213" s="676"/>
      <c r="T213" s="653"/>
      <c r="U213" s="108"/>
      <c r="V213" s="676"/>
      <c r="W213" s="653"/>
      <c r="X213" s="108"/>
      <c r="Y213" s="676"/>
      <c r="Z213" s="653"/>
      <c r="AA213" s="108"/>
      <c r="AB213" s="676"/>
      <c r="AC213" s="679"/>
      <c r="AD213" s="108"/>
      <c r="AE213" s="676"/>
      <c r="AF213" s="679"/>
      <c r="AG213" s="108"/>
      <c r="AH213" s="676"/>
      <c r="AI213" s="679"/>
      <c r="AJ213" s="108"/>
      <c r="AK213" s="676"/>
      <c r="AL213" s="679"/>
      <c r="AM213" s="108"/>
      <c r="AN213" s="676"/>
      <c r="AO213" s="679"/>
      <c r="AP213" s="108"/>
      <c r="AQ213" s="688"/>
      <c r="AR213" s="685"/>
      <c r="AS213" s="108"/>
      <c r="AT213" s="688"/>
      <c r="AU213" s="685"/>
      <c r="AV213" s="19"/>
      <c r="AW213" s="688"/>
      <c r="AX213" s="685"/>
      <c r="AY213" s="19"/>
      <c r="AZ213" s="688"/>
      <c r="BA213" s="685"/>
      <c r="BB213" s="19"/>
      <c r="BC213" s="688"/>
      <c r="BD213" s="685"/>
      <c r="BE213" s="19"/>
      <c r="BF213" s="688"/>
      <c r="BG213" s="685"/>
      <c r="BH213" s="19"/>
      <c r="BI213" s="688"/>
      <c r="BJ213" s="685"/>
      <c r="BK213" s="19"/>
      <c r="BL213" s="688"/>
      <c r="BM213" s="685"/>
    </row>
    <row r="214" spans="1:65">
      <c r="A214" s="25" t="s">
        <v>453</v>
      </c>
      <c r="B214" s="40"/>
      <c r="C214" s="40"/>
      <c r="D214" s="40"/>
      <c r="E214" s="40"/>
      <c r="F214" s="58">
        <f t="shared" ref="F214:Q214" si="871">F180/AVERAGE(E55:F55)</f>
        <v>4.8719025619487613E-2</v>
      </c>
      <c r="G214" s="58">
        <f t="shared" si="871"/>
        <v>4.0511062636335304E-2</v>
      </c>
      <c r="H214" s="58">
        <f t="shared" si="871"/>
        <v>4.1603247082699135E-2</v>
      </c>
      <c r="I214" s="58">
        <f t="shared" si="871"/>
        <v>4.0676304827248225E-2</v>
      </c>
      <c r="J214" s="58">
        <f t="shared" si="871"/>
        <v>2.7020838103961529E-2</v>
      </c>
      <c r="K214" s="58">
        <f t="shared" si="871"/>
        <v>7.730535615681944E-3</v>
      </c>
      <c r="L214" s="58">
        <f t="shared" si="871"/>
        <v>7.90242226421577E-3</v>
      </c>
      <c r="M214" s="58">
        <f t="shared" si="871"/>
        <v>9.5946270088750306E-3</v>
      </c>
      <c r="N214" s="58">
        <f t="shared" si="871"/>
        <v>5.1347881899871627E-3</v>
      </c>
      <c r="O214" s="58">
        <f t="shared" si="871"/>
        <v>4.5627376425855515E-3</v>
      </c>
      <c r="P214" s="58">
        <f t="shared" si="871"/>
        <v>4.9620548744892003E-3</v>
      </c>
      <c r="Q214" s="58">
        <f t="shared" si="871"/>
        <v>3.9748261013580659E-3</v>
      </c>
      <c r="R214" s="87">
        <f>R180*2/AVERAGE(Q55,R55)</f>
        <v>5.1253889804136919E-3</v>
      </c>
      <c r="S214" s="644">
        <f>S180*2/AVERAGE(R55,S55)</f>
        <v>5.5357848952155E-3</v>
      </c>
      <c r="T214" s="668">
        <f>T180/AVERAGE(Q55,T55)</f>
        <v>4.7082562636623507E-3</v>
      </c>
      <c r="U214" s="87">
        <f>U180*2/AVERAGE(T55,U55)</f>
        <v>3.9161934599569216E-3</v>
      </c>
      <c r="V214" s="644">
        <f>V180*2/AVERAGE(U55,V55)</f>
        <v>4.5377197958026095E-3</v>
      </c>
      <c r="W214" s="668">
        <f>W180/AVERAGE(T55,W55)</f>
        <v>3.8434661076170509E-3</v>
      </c>
      <c r="X214" s="87"/>
      <c r="Y214" s="644"/>
      <c r="Z214" s="668">
        <f>Z180/AVERAGE(W55,Z55)</f>
        <v>3.7250253979004403E-3</v>
      </c>
      <c r="AA214" s="87">
        <f>AA180*2/AVERAGE(Z55,AA55)</f>
        <v>6.0010911074740861E-3</v>
      </c>
      <c r="AB214" s="644">
        <f>AB180*2/AVERAGE(AA55,AB55)</f>
        <v>6.8427242595958514E-3</v>
      </c>
      <c r="AC214" s="668">
        <f>AC180/AVERAGE(Z55,AC55)</f>
        <v>6.8121609688406711E-3</v>
      </c>
      <c r="AD214" s="87">
        <f>AD180*2/AVERAGE(AC55,AD55)</f>
        <v>8.2770638205184061E-3</v>
      </c>
      <c r="AE214" s="644">
        <f>AE180*2/AVERAGE(AD55,AE55)</f>
        <v>5.5484915038723848E-3</v>
      </c>
      <c r="AF214" s="668">
        <f>AF180/AVERAGE(AC55,AF55)</f>
        <v>6.583837740256982E-3</v>
      </c>
      <c r="AG214" s="87">
        <f>AG180*2/AVERAGE(AF55,AG55)</f>
        <v>4.6072333563695004E-3</v>
      </c>
      <c r="AH214" s="644">
        <f>AH180*2/AVERAGE(AG55,AH55)</f>
        <v>5.6832859726168947E-3</v>
      </c>
      <c r="AI214" s="668">
        <f>AI180/AVERAGE(AF55,AI55)</f>
        <v>5.2856783287188519E-3</v>
      </c>
      <c r="AJ214" s="87">
        <f>AJ180*2/AVERAGE(AI55,AJ55)</f>
        <v>1.8498535532603668E-3</v>
      </c>
      <c r="AK214" s="644">
        <f>AK180*2/AVERAGE(AJ55,AK55)</f>
        <v>2.8419182948490229E-3</v>
      </c>
      <c r="AL214" s="668">
        <f>AL180/AVERAGE(AI55,AL55)</f>
        <v>2.2767929744673932E-3</v>
      </c>
      <c r="AM214" s="87">
        <f>AM180*2/AVERAGE(AL55,AM55)</f>
        <v>6.6298342541436465E-3</v>
      </c>
      <c r="AN214" s="644">
        <f>AN180*2/AVERAGE(AM55,AN55)</f>
        <v>1.9291411611945836E-2</v>
      </c>
      <c r="AO214" s="668">
        <f>AO180/AVERAGE(AL55,AO55)</f>
        <v>1.3325718636969351E-2</v>
      </c>
      <c r="AP214" s="87">
        <f>AP180*2/AVERAGE(AO55,AP55)</f>
        <v>4.0965618141916606E-2</v>
      </c>
      <c r="AQ214" s="644">
        <f>AQ180*2/AVERAGE(AP55,AQ55)</f>
        <v>6.5011286681715574E-2</v>
      </c>
      <c r="AR214" s="668">
        <f>AR180/AVERAGE(AO55,AR55)</f>
        <v>5.1322171804099516E-2</v>
      </c>
      <c r="AS214" s="87">
        <f>AS180*2/AVERAGE(AR55,AS55)</f>
        <v>6.3186474145378257E-2</v>
      </c>
      <c r="AT214" s="644">
        <f>AT180*2/AVERAGE(AS55,AT55)</f>
        <v>5.7004244996967858E-2</v>
      </c>
      <c r="AU214" s="668">
        <f>AU180/AVERAGE(AR55,AU55)</f>
        <v>5.7484774014317772E-2</v>
      </c>
      <c r="AV214" s="87">
        <f>AV180*2/AVERAGE(AU55,AV55)</f>
        <v>5.1639555899819264E-2</v>
      </c>
      <c r="AW214" s="644">
        <f>AW180*2/AVERAGE(AV55,AW55)</f>
        <v>3.9388020833333336E-2</v>
      </c>
      <c r="AX214" s="668">
        <f>AX180/AVERAGE(AU55,AX55)</f>
        <v>4.585836365174719E-2</v>
      </c>
      <c r="AY214" s="87">
        <f>AY180*2/AVERAGE(AX55,AY55)</f>
        <v>3.5512256442489003E-2</v>
      </c>
      <c r="AZ214" s="603">
        <f>AZ180*2/AVERAGE(AY55,AZ55)</f>
        <v>6.0063233823164364E-2</v>
      </c>
      <c r="BA214" s="702">
        <v>0.05</v>
      </c>
      <c r="BB214" s="991">
        <f>BD214</f>
        <v>0.05</v>
      </c>
      <c r="BC214" s="603">
        <f>BC180*2/AVERAGE(BB55,BC55)</f>
        <v>4.0928289979459694E-2</v>
      </c>
      <c r="BD214" s="627">
        <f>BA214</f>
        <v>0.05</v>
      </c>
      <c r="BE214" s="991">
        <f>BG214</f>
        <v>0.05</v>
      </c>
      <c r="BF214" s="603">
        <f>BF180*2/AVERAGE(BE55,BF55)</f>
        <v>4.1462383825842504E-2</v>
      </c>
      <c r="BG214" s="627">
        <f>BD214</f>
        <v>0.05</v>
      </c>
      <c r="BH214" s="991">
        <f>BJ214</f>
        <v>0.05</v>
      </c>
      <c r="BI214" s="603">
        <f>BI180*2/AVERAGE(BH55,BI55)</f>
        <v>3.5435645612601513E-2</v>
      </c>
      <c r="BJ214" s="627">
        <f>BG214</f>
        <v>0.05</v>
      </c>
      <c r="BK214" s="991">
        <f>BM214</f>
        <v>0.05</v>
      </c>
      <c r="BL214" s="603">
        <f>BL180*2/AVERAGE(BK55,BL55)</f>
        <v>3.8252681075719559E-2</v>
      </c>
      <c r="BM214" s="627">
        <f t="shared" ref="BM214" si="872">BJ214</f>
        <v>0.05</v>
      </c>
    </row>
    <row r="215" spans="1:65">
      <c r="A215" s="25" t="s">
        <v>415</v>
      </c>
      <c r="B215" s="40"/>
      <c r="C215" s="58"/>
      <c r="D215" s="58"/>
      <c r="E215" s="58"/>
      <c r="F215" s="58">
        <f t="shared" ref="F215:Q215" si="873">F194/AVERAGE(E57:F57)</f>
        <v>7.5136612021857924E-2</v>
      </c>
      <c r="G215" s="58">
        <f t="shared" si="873"/>
        <v>6.5615141955835968E-2</v>
      </c>
      <c r="H215" s="58">
        <f t="shared" si="873"/>
        <v>6.8422853232979822E-2</v>
      </c>
      <c r="I215" s="58">
        <f t="shared" si="873"/>
        <v>7.1719641401792988E-2</v>
      </c>
      <c r="J215" s="58">
        <f t="shared" si="873"/>
        <v>5.721393034825871E-2</v>
      </c>
      <c r="K215" s="58">
        <f t="shared" si="873"/>
        <v>3.9251763262802823E-2</v>
      </c>
      <c r="L215" s="58">
        <f t="shared" si="873"/>
        <v>3.3466135458167331E-2</v>
      </c>
      <c r="M215" s="58">
        <f t="shared" si="873"/>
        <v>3.3376963350785341E-2</v>
      </c>
      <c r="N215" s="58">
        <f t="shared" si="873"/>
        <v>3.9427908774642445E-2</v>
      </c>
      <c r="O215" s="58">
        <f t="shared" si="873"/>
        <v>3.0900372935535429E-2</v>
      </c>
      <c r="P215" s="58">
        <f t="shared" si="873"/>
        <v>2.7202072538860103E-2</v>
      </c>
      <c r="Q215" s="58">
        <f t="shared" si="873"/>
        <v>2.552579543411828E-2</v>
      </c>
      <c r="R215" s="87">
        <f>R194*2/AVERAGE(Q57,R57)</f>
        <v>2.5324088031353633E-2</v>
      </c>
      <c r="S215" s="644">
        <f>S194*2/AVERAGE(R57,S57)</f>
        <v>2.0929884885633129E-2</v>
      </c>
      <c r="T215" s="668">
        <f>T194/AVERAGE(Q57,T57)</f>
        <v>2.3126595584922662E-2</v>
      </c>
      <c r="U215" s="87">
        <f>U194*2/AVERAGE(T57,U57)</f>
        <v>2.0782219656516093E-2</v>
      </c>
      <c r="V215" s="644">
        <f>V194*2/AVERAGE(U57,V57)</f>
        <v>1.7563739376770537E-2</v>
      </c>
      <c r="W215" s="668">
        <f>W194/AVERAGE(T57,W57)</f>
        <v>1.9576333089846604E-2</v>
      </c>
      <c r="X215" s="87"/>
      <c r="Y215" s="644"/>
      <c r="Z215" s="668">
        <f>Z194/AVERAGE(W57,Z57)</f>
        <v>1.9208715596330275E-2</v>
      </c>
      <c r="AA215" s="87">
        <f>AA194*2/AVERAGE(Z57,AA57)</f>
        <v>2.4214907302307985E-2</v>
      </c>
      <c r="AB215" s="644">
        <f>AB194*2/AVERAGE(AA57,AB57)</f>
        <v>2.5925519059650664E-2</v>
      </c>
      <c r="AC215" s="668">
        <f>AC194/AVERAGE(Z57,AC57)</f>
        <v>2.625766871165644E-2</v>
      </c>
      <c r="AD215" s="87">
        <f>AD194*2/AVERAGE(AC57,AD57)</f>
        <v>3.4670717540881066E-2</v>
      </c>
      <c r="AE215" s="644">
        <f>AE194*2/AVERAGE(AD57,AE57)</f>
        <v>2.7836908465695104E-2</v>
      </c>
      <c r="AF215" s="668">
        <f>AF194/AVERAGE(AC57,AF57)</f>
        <v>3.517927901807287E-2</v>
      </c>
      <c r="AG215" s="87">
        <f>AG194*2/AVERAGE(AF57,AG57)</f>
        <v>2.1870025607308465E-2</v>
      </c>
      <c r="AH215" s="644">
        <f>AH194*2/AVERAGE(AG57,AH57)</f>
        <v>2.4605443022244315E-2</v>
      </c>
      <c r="AI215" s="668">
        <f>AI194/AVERAGE(AF57,AI57)</f>
        <v>2.7353054168267384E-2</v>
      </c>
      <c r="AJ215" s="87">
        <f>AJ194*2/AVERAGE(AI57,AJ57)</f>
        <v>2.7632950990615225E-2</v>
      </c>
      <c r="AK215" s="644">
        <f>AK194*2/AVERAGE(AJ57,AK57)</f>
        <v>3.6817551380658176E-2</v>
      </c>
      <c r="AL215" s="668">
        <f>AL194/AVERAGE(AI57,AL57)</f>
        <v>3.3205955988931349E-2</v>
      </c>
      <c r="AM215" s="87">
        <f>AM194*2/AVERAGE(AL57,AM57)</f>
        <v>4.308118662215784E-2</v>
      </c>
      <c r="AN215" s="644">
        <f>AN194*2/AVERAGE(AM57,AN57)</f>
        <v>4.9199084668192221E-2</v>
      </c>
      <c r="AO215" s="668">
        <f>AO194/AVERAGE(AL57,AO57)</f>
        <v>4.9699340723031227E-2</v>
      </c>
      <c r="AP215" s="87">
        <f>AP194*2/AVERAGE(AO57,AP57)</f>
        <v>5.9593523940750945E-2</v>
      </c>
      <c r="AQ215" s="644">
        <f>AQ194*2/AVERAGE(AP57,AQ57)</f>
        <v>6.8675543097407143E-2</v>
      </c>
      <c r="AR215" s="668">
        <f>AR194/AVERAGE(AO57,AR57)</f>
        <v>6.3001536622844453E-2</v>
      </c>
      <c r="AS215" s="87">
        <f>AS194*2/AVERAGE(AR57,AS57)</f>
        <v>6.8933907782564849E-2</v>
      </c>
      <c r="AT215" s="644">
        <f>AT194*2/AVERAGE(AS57,AT57)</f>
        <v>6.7691110678856248E-2</v>
      </c>
      <c r="AU215" s="668">
        <f>AU194/AVERAGE(AR57,AU57)</f>
        <v>6.6476907538334407E-2</v>
      </c>
      <c r="AV215" s="87">
        <f>AV194*2/AVERAGE(AU57,AV57)</f>
        <v>6.41370381436112E-2</v>
      </c>
      <c r="AW215" s="644">
        <f>AW194*2/AVERAGE(AV57,AW57)</f>
        <v>6.1431216643067207E-2</v>
      </c>
      <c r="AX215" s="668">
        <f>AX194/AVERAGE(AU57,AX57)</f>
        <v>6.4227988090174395E-2</v>
      </c>
      <c r="AY215" s="87">
        <f>AY194*2/AVERAGE(AX57,AY57)</f>
        <v>5.4992426890364675E-2</v>
      </c>
      <c r="AZ215" s="247">
        <f>AZ194*2/AVERAGE(AY57,AZ57)</f>
        <v>7.3138259833134697E-2</v>
      </c>
      <c r="BA215" s="585">
        <v>6.5000000000000002E-2</v>
      </c>
      <c r="BB215" s="991">
        <f>BD215</f>
        <v>6.5000000000000002E-2</v>
      </c>
      <c r="BC215" s="247">
        <f>BC194*2/AVERAGE(BB57,BC57)</f>
        <v>6.5000000000000002E-2</v>
      </c>
      <c r="BD215" s="583">
        <f>+BA215</f>
        <v>6.5000000000000002E-2</v>
      </c>
      <c r="BE215" s="991">
        <f>BG215</f>
        <v>6.5000000000000002E-2</v>
      </c>
      <c r="BF215" s="247">
        <f>BF194*2/AVERAGE(BE57,BF57)</f>
        <v>6.5000000000000002E-2</v>
      </c>
      <c r="BG215" s="583">
        <f>+BD215</f>
        <v>6.5000000000000002E-2</v>
      </c>
      <c r="BH215" s="991">
        <f>BJ215</f>
        <v>6.5000000000000002E-2</v>
      </c>
      <c r="BI215" s="247">
        <f>BI194*2/AVERAGE(BH57,BI57)</f>
        <v>6.5000000000000002E-2</v>
      </c>
      <c r="BJ215" s="583">
        <f>+BG215</f>
        <v>6.5000000000000002E-2</v>
      </c>
      <c r="BK215" s="991">
        <f>BM215</f>
        <v>6.5000000000000002E-2</v>
      </c>
      <c r="BL215" s="247">
        <f>BL194*2/AVERAGE(BK57,BL57)</f>
        <v>6.5000000000000002E-2</v>
      </c>
      <c r="BM215" s="583">
        <f t="shared" ref="BM215" si="874">+BJ215</f>
        <v>6.5000000000000002E-2</v>
      </c>
    </row>
    <row r="216" spans="1:65" ht="11.4">
      <c r="B216" s="40"/>
      <c r="C216" s="40"/>
      <c r="D216" s="40"/>
      <c r="E216" s="40"/>
      <c r="F216" s="40"/>
      <c r="G216" s="40"/>
      <c r="H216" s="40"/>
      <c r="I216" s="40"/>
      <c r="J216" s="40"/>
      <c r="K216" s="40"/>
      <c r="L216" s="40"/>
      <c r="M216" s="40"/>
      <c r="N216" s="40"/>
      <c r="O216" s="40"/>
      <c r="P216" s="40"/>
      <c r="Q216" s="40"/>
      <c r="R216" s="40"/>
      <c r="S216" s="630"/>
      <c r="T216" s="653"/>
      <c r="U216" s="40"/>
      <c r="V216" s="630"/>
      <c r="W216" s="653"/>
      <c r="X216" s="40"/>
      <c r="Y216" s="630"/>
      <c r="Z216" s="653"/>
      <c r="AA216" s="108"/>
      <c r="AB216" s="676"/>
      <c r="AC216" s="679"/>
      <c r="AD216" s="108"/>
      <c r="AE216" s="676"/>
      <c r="AF216" s="679"/>
      <c r="AG216" s="108"/>
      <c r="AH216" s="676"/>
      <c r="AI216" s="679"/>
      <c r="AJ216" s="108"/>
      <c r="AK216" s="676"/>
      <c r="AL216" s="679"/>
      <c r="AM216" s="108"/>
      <c r="AN216" s="676"/>
      <c r="AO216" s="679"/>
      <c r="AP216" s="108"/>
      <c r="AQ216" s="688"/>
      <c r="AR216" s="685"/>
      <c r="AS216" s="19"/>
      <c r="AT216" s="688"/>
      <c r="AU216" s="685"/>
      <c r="AV216" s="19"/>
      <c r="AW216" s="688"/>
      <c r="AX216" s="685"/>
      <c r="AY216" s="19"/>
      <c r="AZ216" s="688"/>
      <c r="BA216" s="685"/>
      <c r="BB216" s="19"/>
      <c r="BC216" s="688"/>
      <c r="BD216" s="685"/>
      <c r="BE216" s="19"/>
      <c r="BF216" s="688"/>
      <c r="BG216" s="685"/>
      <c r="BH216" s="19"/>
      <c r="BI216" s="688"/>
      <c r="BJ216" s="685"/>
      <c r="BK216" s="19"/>
      <c r="BL216" s="688"/>
      <c r="BM216" s="685"/>
    </row>
    <row r="217" spans="1:65">
      <c r="A217" s="310" t="s">
        <v>351</v>
      </c>
      <c r="B217" s="335"/>
      <c r="C217" s="335"/>
      <c r="D217" s="335"/>
      <c r="E217" s="335"/>
      <c r="F217" s="335"/>
      <c r="G217" s="335"/>
      <c r="H217" s="335"/>
      <c r="I217" s="335"/>
      <c r="J217" s="335"/>
      <c r="K217" s="335"/>
      <c r="L217" s="335"/>
      <c r="M217" s="335"/>
      <c r="N217" s="335"/>
      <c r="O217" s="335"/>
      <c r="P217" s="335"/>
      <c r="Q217" s="335"/>
      <c r="R217" s="530"/>
      <c r="S217" s="696"/>
      <c r="T217" s="711"/>
      <c r="U217" s="530"/>
      <c r="V217" s="696"/>
      <c r="W217" s="711"/>
      <c r="X217" s="530"/>
      <c r="Y217" s="696"/>
      <c r="Z217" s="711"/>
      <c r="AA217" s="530"/>
      <c r="AB217" s="696"/>
      <c r="AC217" s="711"/>
      <c r="AD217" s="530"/>
      <c r="AE217" s="696"/>
      <c r="AF217" s="711"/>
      <c r="AG217" s="530"/>
      <c r="AH217" s="696"/>
      <c r="AI217" s="711"/>
      <c r="AJ217" s="530"/>
      <c r="AK217" s="696"/>
      <c r="AL217" s="711"/>
      <c r="AM217" s="530"/>
      <c r="AN217" s="696"/>
      <c r="AO217" s="711"/>
      <c r="AP217" s="530"/>
      <c r="AQ217" s="696"/>
      <c r="AR217" s="711"/>
      <c r="AS217" s="530"/>
      <c r="AT217" s="696"/>
      <c r="AU217" s="711"/>
      <c r="AV217" s="530"/>
      <c r="AW217" s="696"/>
      <c r="AX217" s="711"/>
      <c r="AY217" s="530"/>
      <c r="AZ217" s="707"/>
      <c r="BA217" s="701"/>
      <c r="BB217" s="531"/>
      <c r="BC217" s="707"/>
      <c r="BD217" s="701"/>
      <c r="BE217" s="531"/>
      <c r="BF217" s="707"/>
      <c r="BG217" s="701"/>
      <c r="BH217" s="531"/>
      <c r="BI217" s="707"/>
      <c r="BJ217" s="701"/>
      <c r="BK217" s="531"/>
      <c r="BL217" s="707"/>
      <c r="BM217" s="701"/>
    </row>
    <row r="218" spans="1:65" ht="11.4">
      <c r="B218" s="40"/>
      <c r="C218" s="40"/>
      <c r="D218" s="40"/>
      <c r="E218" s="40"/>
      <c r="F218" s="40"/>
      <c r="G218" s="40"/>
      <c r="H218" s="40"/>
      <c r="I218" s="40"/>
      <c r="J218" s="40"/>
      <c r="K218" s="40"/>
      <c r="L218" s="40"/>
      <c r="M218" s="40"/>
      <c r="N218" s="40"/>
      <c r="O218" s="40"/>
      <c r="P218" s="40"/>
      <c r="Q218" s="40"/>
      <c r="R218" s="40"/>
      <c r="S218" s="630"/>
      <c r="T218" s="653"/>
      <c r="U218" s="40"/>
      <c r="V218" s="630"/>
      <c r="W218" s="653"/>
      <c r="X218" s="40"/>
      <c r="Y218" s="630"/>
      <c r="Z218" s="653"/>
      <c r="AA218" s="108"/>
      <c r="AB218" s="676"/>
      <c r="AC218" s="679"/>
      <c r="AD218" s="108"/>
      <c r="AE218" s="676"/>
      <c r="AF218" s="679"/>
      <c r="AG218" s="108"/>
      <c r="AH218" s="676"/>
      <c r="AI218" s="679"/>
      <c r="AJ218" s="108"/>
      <c r="AK218" s="676"/>
      <c r="AL218" s="679"/>
      <c r="AM218" s="108"/>
      <c r="AN218" s="676"/>
      <c r="AO218" s="679"/>
      <c r="AP218" s="108"/>
      <c r="AQ218" s="688"/>
      <c r="AR218" s="685"/>
      <c r="AS218" s="19"/>
      <c r="AT218" s="688"/>
      <c r="AU218" s="685"/>
      <c r="AV218" s="19"/>
      <c r="AW218" s="688"/>
      <c r="AX218" s="685"/>
      <c r="AY218" s="19"/>
      <c r="AZ218" s="688"/>
      <c r="BA218" s="685"/>
      <c r="BB218" s="19"/>
      <c r="BC218" s="688"/>
      <c r="BD218" s="685"/>
      <c r="BE218" s="19"/>
      <c r="BF218" s="688"/>
      <c r="BG218" s="685"/>
      <c r="BH218" s="19"/>
      <c r="BI218" s="688"/>
      <c r="BJ218" s="685"/>
      <c r="BK218" s="19"/>
      <c r="BL218" s="688"/>
      <c r="BM218" s="685"/>
    </row>
    <row r="219" spans="1:65">
      <c r="A219" s="25" t="s">
        <v>197</v>
      </c>
      <c r="B219" s="40">
        <f t="shared" ref="B219:BM219" si="875">B125</f>
        <v>836</v>
      </c>
      <c r="C219" s="40">
        <f t="shared" si="875"/>
        <v>769</v>
      </c>
      <c r="D219" s="40">
        <f t="shared" si="875"/>
        <v>786</v>
      </c>
      <c r="E219" s="40">
        <f t="shared" si="875"/>
        <v>759</v>
      </c>
      <c r="F219" s="40">
        <f t="shared" si="875"/>
        <v>759</v>
      </c>
      <c r="G219" s="40">
        <f t="shared" si="875"/>
        <v>751</v>
      </c>
      <c r="H219" s="40">
        <f t="shared" si="875"/>
        <v>735</v>
      </c>
      <c r="I219" s="40">
        <f t="shared" si="875"/>
        <v>801</v>
      </c>
      <c r="J219" s="40">
        <f t="shared" si="875"/>
        <v>1008</v>
      </c>
      <c r="K219" s="40">
        <f t="shared" si="875"/>
        <v>984</v>
      </c>
      <c r="L219" s="40">
        <f t="shared" si="875"/>
        <v>1108</v>
      </c>
      <c r="M219" s="40">
        <f t="shared" si="875"/>
        <v>1099</v>
      </c>
      <c r="N219" s="40">
        <f t="shared" si="875"/>
        <v>1102</v>
      </c>
      <c r="O219" s="40">
        <f t="shared" si="875"/>
        <v>1838</v>
      </c>
      <c r="P219" s="40">
        <f t="shared" si="875"/>
        <v>1659</v>
      </c>
      <c r="Q219" s="40">
        <f t="shared" si="875"/>
        <v>1503</v>
      </c>
      <c r="R219" s="40">
        <f t="shared" si="875"/>
        <v>1686</v>
      </c>
      <c r="S219" s="630">
        <f t="shared" si="875"/>
        <v>1537</v>
      </c>
      <c r="T219" s="653">
        <f t="shared" si="875"/>
        <v>1537</v>
      </c>
      <c r="U219" s="40">
        <f t="shared" ref="U219:V219" si="876">U125</f>
        <v>1549</v>
      </c>
      <c r="V219" s="630">
        <f t="shared" si="876"/>
        <v>1545</v>
      </c>
      <c r="W219" s="653">
        <f t="shared" si="875"/>
        <v>1545</v>
      </c>
      <c r="X219" s="40"/>
      <c r="Y219" s="630"/>
      <c r="Z219" s="653">
        <f t="shared" si="875"/>
        <v>1545</v>
      </c>
      <c r="AA219" s="40">
        <f t="shared" si="875"/>
        <v>1029</v>
      </c>
      <c r="AB219" s="630">
        <f t="shared" si="875"/>
        <v>1045</v>
      </c>
      <c r="AC219" s="653">
        <f>AC125</f>
        <v>1045</v>
      </c>
      <c r="AD219" s="40">
        <f t="shared" ref="AD219:AE219" si="877">AD125</f>
        <v>1050</v>
      </c>
      <c r="AE219" s="630">
        <f t="shared" si="877"/>
        <v>994</v>
      </c>
      <c r="AF219" s="653">
        <f t="shared" si="875"/>
        <v>994</v>
      </c>
      <c r="AG219" s="40">
        <f t="shared" ref="AG219:AH219" si="878">AG125</f>
        <v>1066</v>
      </c>
      <c r="AH219" s="630">
        <f t="shared" si="878"/>
        <v>1074</v>
      </c>
      <c r="AI219" s="653">
        <f t="shared" si="875"/>
        <v>1074</v>
      </c>
      <c r="AJ219" s="40">
        <f t="shared" si="875"/>
        <v>1033</v>
      </c>
      <c r="AK219" s="630">
        <f t="shared" si="875"/>
        <v>1026</v>
      </c>
      <c r="AL219" s="653">
        <f>AL125</f>
        <v>1026</v>
      </c>
      <c r="AM219" s="40">
        <f t="shared" ref="AM219:AN219" si="879">AM125</f>
        <v>1071</v>
      </c>
      <c r="AN219" s="630">
        <f t="shared" si="879"/>
        <v>1099</v>
      </c>
      <c r="AO219" s="653">
        <f t="shared" si="875"/>
        <v>1099</v>
      </c>
      <c r="AP219" s="40">
        <f t="shared" ref="AP219:AR219" si="880">AP125</f>
        <v>1059</v>
      </c>
      <c r="AQ219" s="630">
        <f t="shared" si="880"/>
        <v>1066</v>
      </c>
      <c r="AR219" s="653">
        <f t="shared" si="880"/>
        <v>1066</v>
      </c>
      <c r="AS219" s="40">
        <f t="shared" ref="AS219:AU219" si="881">AS125</f>
        <v>1048</v>
      </c>
      <c r="AT219" s="630">
        <f t="shared" si="881"/>
        <v>1009</v>
      </c>
      <c r="AU219" s="653">
        <f t="shared" si="881"/>
        <v>1009</v>
      </c>
      <c r="AV219" s="40">
        <f t="shared" ref="AV219:AW219" si="882">AV125</f>
        <v>1009</v>
      </c>
      <c r="AW219" s="630">
        <f t="shared" si="882"/>
        <v>1028</v>
      </c>
      <c r="AX219" s="653">
        <f t="shared" si="875"/>
        <v>1028</v>
      </c>
      <c r="AY219" s="40">
        <f t="shared" si="875"/>
        <v>1024</v>
      </c>
      <c r="AZ219" s="236">
        <f t="shared" si="875"/>
        <v>1028</v>
      </c>
      <c r="BA219" s="605">
        <f t="shared" si="875"/>
        <v>1028</v>
      </c>
      <c r="BB219" s="56">
        <f t="shared" si="875"/>
        <v>1028</v>
      </c>
      <c r="BC219" s="236">
        <f t="shared" si="875"/>
        <v>1028</v>
      </c>
      <c r="BD219" s="605">
        <f t="shared" si="875"/>
        <v>1028</v>
      </c>
      <c r="BE219" s="56">
        <f t="shared" si="875"/>
        <v>1028</v>
      </c>
      <c r="BF219" s="236">
        <f t="shared" si="875"/>
        <v>1028</v>
      </c>
      <c r="BG219" s="605">
        <f t="shared" si="875"/>
        <v>1028</v>
      </c>
      <c r="BH219" s="56">
        <f t="shared" si="875"/>
        <v>1028</v>
      </c>
      <c r="BI219" s="236">
        <f t="shared" si="875"/>
        <v>1028</v>
      </c>
      <c r="BJ219" s="605">
        <f t="shared" si="875"/>
        <v>1028</v>
      </c>
      <c r="BK219" s="56">
        <f t="shared" si="875"/>
        <v>1028</v>
      </c>
      <c r="BL219" s="236">
        <f t="shared" si="875"/>
        <v>1028</v>
      </c>
      <c r="BM219" s="605">
        <f t="shared" si="875"/>
        <v>1028</v>
      </c>
    </row>
    <row r="220" spans="1:65">
      <c r="A220" s="25" t="s">
        <v>717</v>
      </c>
      <c r="B220" s="40">
        <f t="shared" ref="B220:BM220" si="883">B5-B219</f>
        <v>41</v>
      </c>
      <c r="C220" s="40">
        <f t="shared" si="883"/>
        <v>54</v>
      </c>
      <c r="D220" s="40">
        <f t="shared" si="883"/>
        <v>82</v>
      </c>
      <c r="E220" s="40">
        <f t="shared" si="883"/>
        <v>104</v>
      </c>
      <c r="F220" s="40">
        <f t="shared" si="883"/>
        <v>468</v>
      </c>
      <c r="G220" s="40">
        <f t="shared" si="883"/>
        <v>564</v>
      </c>
      <c r="H220" s="40">
        <f t="shared" si="883"/>
        <v>725</v>
      </c>
      <c r="I220" s="40">
        <f t="shared" si="883"/>
        <v>960</v>
      </c>
      <c r="J220" s="40">
        <f t="shared" si="883"/>
        <v>1278</v>
      </c>
      <c r="K220" s="40">
        <f t="shared" si="883"/>
        <v>1488</v>
      </c>
      <c r="L220" s="40">
        <f t="shared" si="883"/>
        <v>1776</v>
      </c>
      <c r="M220" s="40">
        <f t="shared" si="883"/>
        <v>1783</v>
      </c>
      <c r="N220" s="40">
        <f t="shared" si="883"/>
        <v>1799</v>
      </c>
      <c r="O220" s="40">
        <f t="shared" si="883"/>
        <v>3149</v>
      </c>
      <c r="P220" s="40">
        <f t="shared" si="883"/>
        <v>3145</v>
      </c>
      <c r="Q220" s="40">
        <f t="shared" si="883"/>
        <v>3142</v>
      </c>
      <c r="R220" s="40">
        <f t="shared" ref="R220:S220" si="884">R5-R219</f>
        <v>3304</v>
      </c>
      <c r="S220" s="630">
        <f t="shared" si="884"/>
        <v>3543</v>
      </c>
      <c r="T220" s="653">
        <f t="shared" si="883"/>
        <v>3543</v>
      </c>
      <c r="U220" s="40">
        <f t="shared" si="883"/>
        <v>3720</v>
      </c>
      <c r="V220" s="630">
        <f t="shared" si="883"/>
        <v>5518</v>
      </c>
      <c r="W220" s="653">
        <f t="shared" si="883"/>
        <v>5518</v>
      </c>
      <c r="X220" s="40"/>
      <c r="Y220" s="630"/>
      <c r="Z220" s="653">
        <f t="shared" si="883"/>
        <v>4020</v>
      </c>
      <c r="AA220" s="40">
        <f t="shared" ref="AA220:AB220" si="885">AA5-AA219</f>
        <v>4237</v>
      </c>
      <c r="AB220" s="630">
        <f t="shared" si="885"/>
        <v>4250</v>
      </c>
      <c r="AC220" s="653">
        <f t="shared" si="883"/>
        <v>4250</v>
      </c>
      <c r="AD220" s="40">
        <f t="shared" si="883"/>
        <v>4387</v>
      </c>
      <c r="AE220" s="630">
        <f t="shared" si="883"/>
        <v>4448</v>
      </c>
      <c r="AF220" s="653">
        <f t="shared" si="883"/>
        <v>4448</v>
      </c>
      <c r="AG220" s="40">
        <f t="shared" ref="AG220:AH220" si="886">AG5-AG219</f>
        <v>4263</v>
      </c>
      <c r="AH220" s="630">
        <f t="shared" si="886"/>
        <v>4071</v>
      </c>
      <c r="AI220" s="653">
        <f t="shared" si="883"/>
        <v>4071</v>
      </c>
      <c r="AJ220" s="40">
        <f t="shared" si="883"/>
        <v>3030</v>
      </c>
      <c r="AK220" s="630">
        <f t="shared" si="883"/>
        <v>3015</v>
      </c>
      <c r="AL220" s="653">
        <f>AL5-AL219</f>
        <v>3015</v>
      </c>
      <c r="AM220" s="40">
        <f t="shared" ref="AM220:AN220" si="887">AM5-AM219</f>
        <v>2983</v>
      </c>
      <c r="AN220" s="630">
        <f t="shared" si="887"/>
        <v>2999</v>
      </c>
      <c r="AO220" s="653">
        <f t="shared" si="883"/>
        <v>2999</v>
      </c>
      <c r="AP220" s="40">
        <f t="shared" ref="AP220:AR220" si="888">AP5-AP219</f>
        <v>2960</v>
      </c>
      <c r="AQ220" s="630">
        <f t="shared" si="888"/>
        <v>2943</v>
      </c>
      <c r="AR220" s="653">
        <f t="shared" si="888"/>
        <v>2943</v>
      </c>
      <c r="AS220" s="40">
        <f t="shared" ref="AS220:AU220" si="889">AS5-AS219</f>
        <v>3378</v>
      </c>
      <c r="AT220" s="630">
        <f t="shared" si="889"/>
        <v>3393</v>
      </c>
      <c r="AU220" s="653">
        <f t="shared" si="889"/>
        <v>3393</v>
      </c>
      <c r="AV220" s="40">
        <f t="shared" ref="AV220:AW220" si="890">AV5-AV219</f>
        <v>3479</v>
      </c>
      <c r="AW220" s="630">
        <f t="shared" si="890"/>
        <v>3570</v>
      </c>
      <c r="AX220" s="653">
        <f t="shared" si="883"/>
        <v>3570</v>
      </c>
      <c r="AY220" s="40">
        <f t="shared" si="883"/>
        <v>3600</v>
      </c>
      <c r="AZ220" s="236">
        <f t="shared" si="883"/>
        <v>3684.3682510262506</v>
      </c>
      <c r="BA220" s="605">
        <f t="shared" si="883"/>
        <v>3684.3682510262506</v>
      </c>
      <c r="BB220" s="56">
        <f t="shared" si="883"/>
        <v>3747.4617015810563</v>
      </c>
      <c r="BC220" s="236">
        <f t="shared" si="883"/>
        <v>3814.7056090863089</v>
      </c>
      <c r="BD220" s="605">
        <f t="shared" si="883"/>
        <v>3814.7056090863089</v>
      </c>
      <c r="BE220" s="56">
        <f t="shared" si="883"/>
        <v>3883.8901737465421</v>
      </c>
      <c r="BF220" s="236">
        <f t="shared" si="883"/>
        <v>3959.0077580914549</v>
      </c>
      <c r="BG220" s="605">
        <f t="shared" si="883"/>
        <v>3959.0077580914549</v>
      </c>
      <c r="BH220" s="56">
        <f t="shared" si="883"/>
        <v>4036.5424349766627</v>
      </c>
      <c r="BI220" s="236">
        <f t="shared" si="883"/>
        <v>4120.7040674533855</v>
      </c>
      <c r="BJ220" s="605">
        <f t="shared" si="883"/>
        <v>4120.7040674533855</v>
      </c>
      <c r="BK220" s="56">
        <f t="shared" si="883"/>
        <v>4207.6293247212661</v>
      </c>
      <c r="BL220" s="236">
        <f t="shared" si="883"/>
        <v>4301.8102915487725</v>
      </c>
      <c r="BM220" s="605">
        <f t="shared" si="883"/>
        <v>4301.8102915487725</v>
      </c>
    </row>
    <row r="221" spans="1:65">
      <c r="A221" s="25" t="s">
        <v>454</v>
      </c>
      <c r="B221" s="40">
        <f t="shared" ref="B221:BM221" si="891">B6</f>
        <v>1772</v>
      </c>
      <c r="C221" s="40">
        <f t="shared" si="891"/>
        <v>1732</v>
      </c>
      <c r="D221" s="40">
        <f t="shared" si="891"/>
        <v>1876</v>
      </c>
      <c r="E221" s="40">
        <f t="shared" si="891"/>
        <v>1750</v>
      </c>
      <c r="F221" s="40">
        <f t="shared" si="891"/>
        <v>1672</v>
      </c>
      <c r="G221" s="40">
        <f t="shared" si="891"/>
        <v>1649</v>
      </c>
      <c r="H221" s="40">
        <f t="shared" si="891"/>
        <v>1706</v>
      </c>
      <c r="I221" s="40">
        <f t="shared" si="891"/>
        <v>1813</v>
      </c>
      <c r="J221" s="40">
        <f t="shared" si="891"/>
        <v>1995</v>
      </c>
      <c r="K221" s="40">
        <f t="shared" si="891"/>
        <v>2009</v>
      </c>
      <c r="L221" s="40">
        <f t="shared" si="891"/>
        <v>2136</v>
      </c>
      <c r="M221" s="40">
        <f t="shared" si="891"/>
        <v>2338</v>
      </c>
      <c r="N221" s="40">
        <f t="shared" si="891"/>
        <v>2564</v>
      </c>
      <c r="O221" s="40">
        <f t="shared" si="891"/>
        <v>3392</v>
      </c>
      <c r="P221" s="40">
        <f t="shared" si="891"/>
        <v>3446</v>
      </c>
      <c r="Q221" s="40">
        <f t="shared" si="891"/>
        <v>3490</v>
      </c>
      <c r="R221" s="40">
        <f t="shared" ref="R221:S221" si="892">R6</f>
        <v>3718</v>
      </c>
      <c r="S221" s="630">
        <f t="shared" si="892"/>
        <v>4114</v>
      </c>
      <c r="T221" s="653">
        <f t="shared" si="891"/>
        <v>4114</v>
      </c>
      <c r="U221" s="40">
        <f t="shared" si="891"/>
        <v>4071</v>
      </c>
      <c r="V221" s="630">
        <f t="shared" si="891"/>
        <v>4624</v>
      </c>
      <c r="W221" s="653">
        <f t="shared" si="891"/>
        <v>4624</v>
      </c>
      <c r="X221" s="40"/>
      <c r="Y221" s="630"/>
      <c r="Z221" s="653">
        <f t="shared" si="891"/>
        <v>4658</v>
      </c>
      <c r="AA221" s="40">
        <f t="shared" ref="AA221:AB221" si="893">AA6</f>
        <v>4494</v>
      </c>
      <c r="AB221" s="630">
        <f t="shared" si="893"/>
        <v>4929</v>
      </c>
      <c r="AC221" s="653">
        <f t="shared" si="891"/>
        <v>4929</v>
      </c>
      <c r="AD221" s="40">
        <f t="shared" si="891"/>
        <v>4768</v>
      </c>
      <c r="AE221" s="630">
        <f t="shared" si="891"/>
        <v>4803</v>
      </c>
      <c r="AF221" s="653">
        <f t="shared" si="891"/>
        <v>4803</v>
      </c>
      <c r="AG221" s="40">
        <f t="shared" ref="AG221:AH221" si="894">AG6</f>
        <v>4612</v>
      </c>
      <c r="AH221" s="630">
        <f t="shared" si="894"/>
        <v>4515</v>
      </c>
      <c r="AI221" s="653">
        <f t="shared" si="891"/>
        <v>4515</v>
      </c>
      <c r="AJ221" s="40">
        <f t="shared" si="891"/>
        <v>3992</v>
      </c>
      <c r="AK221" s="630">
        <f t="shared" si="891"/>
        <v>3917</v>
      </c>
      <c r="AL221" s="653">
        <f>AL6</f>
        <v>3917</v>
      </c>
      <c r="AM221" s="40">
        <f t="shared" ref="AM221:AN221" si="895">AM6</f>
        <v>3899</v>
      </c>
      <c r="AN221" s="630">
        <f t="shared" si="895"/>
        <v>3936</v>
      </c>
      <c r="AO221" s="653">
        <f t="shared" si="891"/>
        <v>3936</v>
      </c>
      <c r="AP221" s="40">
        <f t="shared" ref="AP221:AR221" si="896">AP6</f>
        <v>3807</v>
      </c>
      <c r="AQ221" s="630">
        <f t="shared" si="896"/>
        <v>3728</v>
      </c>
      <c r="AR221" s="653">
        <f t="shared" si="896"/>
        <v>3728</v>
      </c>
      <c r="AS221" s="40">
        <f t="shared" ref="AS221:AU221" si="897">AS6</f>
        <v>3637</v>
      </c>
      <c r="AT221" s="630">
        <f t="shared" si="897"/>
        <v>3724</v>
      </c>
      <c r="AU221" s="653">
        <f t="shared" si="897"/>
        <v>3724</v>
      </c>
      <c r="AV221" s="40">
        <f t="shared" ref="AV221:AW221" si="898">AV6</f>
        <v>3732</v>
      </c>
      <c r="AW221" s="630">
        <f t="shared" si="898"/>
        <v>4013</v>
      </c>
      <c r="AX221" s="653">
        <f t="shared" si="891"/>
        <v>4013</v>
      </c>
      <c r="AY221" s="40">
        <f t="shared" si="891"/>
        <v>4148</v>
      </c>
      <c r="AZ221" s="236">
        <f t="shared" si="891"/>
        <v>4313.5171793183072</v>
      </c>
      <c r="BA221" s="605">
        <f t="shared" si="891"/>
        <v>4313.5171793183072</v>
      </c>
      <c r="BB221" s="56">
        <f t="shared" si="891"/>
        <v>4483.3351329187271</v>
      </c>
      <c r="BC221" s="236">
        <f t="shared" si="891"/>
        <v>4664.324168456078</v>
      </c>
      <c r="BD221" s="605">
        <f t="shared" si="891"/>
        <v>4664.324168456078</v>
      </c>
      <c r="BE221" s="56">
        <f t="shared" si="891"/>
        <v>4850.536542133932</v>
      </c>
      <c r="BF221" s="236">
        <f t="shared" si="891"/>
        <v>5052.7178199161544</v>
      </c>
      <c r="BG221" s="605">
        <f t="shared" si="891"/>
        <v>5052.7178199161544</v>
      </c>
      <c r="BH221" s="56">
        <f t="shared" si="891"/>
        <v>5261.4047762632081</v>
      </c>
      <c r="BI221" s="236">
        <f t="shared" si="891"/>
        <v>5487.9283864508125</v>
      </c>
      <c r="BJ221" s="605">
        <f t="shared" si="891"/>
        <v>5487.9283864508125</v>
      </c>
      <c r="BK221" s="56">
        <f t="shared" si="891"/>
        <v>5721.8903773645761</v>
      </c>
      <c r="BL221" s="236">
        <f t="shared" si="891"/>
        <v>5975.3813326716299</v>
      </c>
      <c r="BM221" s="605">
        <f t="shared" si="891"/>
        <v>5975.3813326716299</v>
      </c>
    </row>
    <row r="222" spans="1:65">
      <c r="A222" s="25" t="s">
        <v>718</v>
      </c>
      <c r="B222" s="40">
        <f t="shared" ref="B222:BM222" si="899">B8</f>
        <v>174</v>
      </c>
      <c r="C222" s="40">
        <f t="shared" si="899"/>
        <v>204</v>
      </c>
      <c r="D222" s="40">
        <f t="shared" si="899"/>
        <v>195</v>
      </c>
      <c r="E222" s="40">
        <f t="shared" si="899"/>
        <v>202</v>
      </c>
      <c r="F222" s="40">
        <f t="shared" si="899"/>
        <v>211</v>
      </c>
      <c r="G222" s="40">
        <f t="shared" si="899"/>
        <v>247</v>
      </c>
      <c r="H222" s="40">
        <f t="shared" si="899"/>
        <v>240</v>
      </c>
      <c r="I222" s="40">
        <f t="shared" si="899"/>
        <v>284</v>
      </c>
      <c r="J222" s="40">
        <f t="shared" si="899"/>
        <v>345</v>
      </c>
      <c r="K222" s="40">
        <f t="shared" si="899"/>
        <v>437</v>
      </c>
      <c r="L222" s="40">
        <f t="shared" si="899"/>
        <v>393</v>
      </c>
      <c r="M222" s="40">
        <f t="shared" si="899"/>
        <v>1680</v>
      </c>
      <c r="N222" s="40">
        <f t="shared" si="899"/>
        <v>1800</v>
      </c>
      <c r="O222" s="40">
        <f t="shared" si="899"/>
        <v>601</v>
      </c>
      <c r="P222" s="40">
        <f t="shared" si="899"/>
        <v>539</v>
      </c>
      <c r="Q222" s="40">
        <f t="shared" si="899"/>
        <v>576</v>
      </c>
      <c r="R222" s="40">
        <f t="shared" ref="R222:S222" si="900">R8</f>
        <v>765</v>
      </c>
      <c r="S222" s="630">
        <f t="shared" si="900"/>
        <v>844</v>
      </c>
      <c r="T222" s="653">
        <f t="shared" si="899"/>
        <v>844</v>
      </c>
      <c r="U222" s="40">
        <f t="shared" si="899"/>
        <v>850</v>
      </c>
      <c r="V222" s="630">
        <f t="shared" si="899"/>
        <v>688</v>
      </c>
      <c r="W222" s="653">
        <f t="shared" si="899"/>
        <v>688</v>
      </c>
      <c r="X222" s="40"/>
      <c r="Y222" s="630"/>
      <c r="Z222" s="653">
        <f t="shared" si="899"/>
        <v>375</v>
      </c>
      <c r="AA222" s="40">
        <f t="shared" ref="AA222:AB222" si="901">AA8</f>
        <v>717</v>
      </c>
      <c r="AB222" s="630">
        <f t="shared" si="901"/>
        <v>412</v>
      </c>
      <c r="AC222" s="653">
        <f t="shared" si="899"/>
        <v>412</v>
      </c>
      <c r="AD222" s="40">
        <f t="shared" si="899"/>
        <v>405</v>
      </c>
      <c r="AE222" s="630">
        <f t="shared" si="899"/>
        <v>402</v>
      </c>
      <c r="AF222" s="653">
        <f t="shared" si="899"/>
        <v>402</v>
      </c>
      <c r="AG222" s="40">
        <f t="shared" ref="AG222:AH222" si="902">AG8</f>
        <v>421</v>
      </c>
      <c r="AH222" s="630">
        <f t="shared" si="902"/>
        <v>394</v>
      </c>
      <c r="AI222" s="653">
        <f t="shared" si="899"/>
        <v>394</v>
      </c>
      <c r="AJ222" s="40">
        <f t="shared" si="899"/>
        <v>413</v>
      </c>
      <c r="AK222" s="630">
        <f t="shared" si="899"/>
        <v>404</v>
      </c>
      <c r="AL222" s="653">
        <f>AL8</f>
        <v>404</v>
      </c>
      <c r="AM222" s="40">
        <f t="shared" ref="AM222:AN222" si="903">AM8</f>
        <v>466</v>
      </c>
      <c r="AN222" s="630">
        <f t="shared" si="903"/>
        <v>422</v>
      </c>
      <c r="AO222" s="653">
        <f t="shared" si="899"/>
        <v>422</v>
      </c>
      <c r="AP222" s="40">
        <f t="shared" ref="AP222:AR222" si="904">AP8</f>
        <v>485</v>
      </c>
      <c r="AQ222" s="630">
        <f t="shared" si="904"/>
        <v>479</v>
      </c>
      <c r="AR222" s="653">
        <f t="shared" si="904"/>
        <v>479</v>
      </c>
      <c r="AS222" s="40">
        <f t="shared" ref="AS222:AU222" si="905">AS8</f>
        <v>540</v>
      </c>
      <c r="AT222" s="630">
        <f t="shared" si="905"/>
        <v>592</v>
      </c>
      <c r="AU222" s="653">
        <f t="shared" si="905"/>
        <v>592</v>
      </c>
      <c r="AV222" s="40">
        <f t="shared" ref="AV222:AW222" si="906">AV8</f>
        <v>1244</v>
      </c>
      <c r="AW222" s="630">
        <f t="shared" si="906"/>
        <v>1285</v>
      </c>
      <c r="AX222" s="653">
        <f t="shared" si="899"/>
        <v>1285</v>
      </c>
      <c r="AY222" s="40">
        <f t="shared" si="899"/>
        <v>1252</v>
      </c>
      <c r="AZ222" s="236">
        <f t="shared" si="899"/>
        <v>1260.8</v>
      </c>
      <c r="BA222" s="605">
        <f t="shared" si="899"/>
        <v>1260.8</v>
      </c>
      <c r="BB222" s="56">
        <f t="shared" si="899"/>
        <v>1247.67</v>
      </c>
      <c r="BC222" s="236">
        <f t="shared" si="899"/>
        <v>1234.54</v>
      </c>
      <c r="BD222" s="605">
        <f t="shared" si="899"/>
        <v>1234.54</v>
      </c>
      <c r="BE222" s="56">
        <f t="shared" si="899"/>
        <v>1222.9535000000001</v>
      </c>
      <c r="BF222" s="236">
        <f t="shared" si="899"/>
        <v>1211.367</v>
      </c>
      <c r="BG222" s="605">
        <f t="shared" si="899"/>
        <v>1211.367</v>
      </c>
      <c r="BH222" s="56">
        <f t="shared" si="899"/>
        <v>1201.401175</v>
      </c>
      <c r="BI222" s="236">
        <f t="shared" si="899"/>
        <v>1191.43535</v>
      </c>
      <c r="BJ222" s="605">
        <f t="shared" si="899"/>
        <v>1191.43535</v>
      </c>
      <c r="BK222" s="56">
        <f t="shared" si="899"/>
        <v>1183.1712337500001</v>
      </c>
      <c r="BL222" s="236">
        <f t="shared" si="899"/>
        <v>1174.9071174999999</v>
      </c>
      <c r="BM222" s="605">
        <f t="shared" si="899"/>
        <v>1174.9071174999999</v>
      </c>
    </row>
    <row r="223" spans="1:65">
      <c r="A223" s="25" t="s">
        <v>720</v>
      </c>
      <c r="B223" s="40">
        <f t="shared" ref="B223:BM223" si="907">B11-B35</f>
        <v>-60</v>
      </c>
      <c r="C223" s="40">
        <f t="shared" si="907"/>
        <v>-52</v>
      </c>
      <c r="D223" s="40">
        <f t="shared" si="907"/>
        <v>-74</v>
      </c>
      <c r="E223" s="40">
        <f t="shared" si="907"/>
        <v>-97</v>
      </c>
      <c r="F223" s="40">
        <f t="shared" si="907"/>
        <v>203</v>
      </c>
      <c r="G223" s="40">
        <f t="shared" si="907"/>
        <v>261</v>
      </c>
      <c r="H223" s="40">
        <f t="shared" si="907"/>
        <v>-111</v>
      </c>
      <c r="I223" s="40">
        <f t="shared" si="907"/>
        <v>-264</v>
      </c>
      <c r="J223" s="40">
        <f t="shared" si="907"/>
        <v>497</v>
      </c>
      <c r="K223" s="40">
        <f t="shared" si="907"/>
        <v>-6</v>
      </c>
      <c r="L223" s="40">
        <f t="shared" si="907"/>
        <v>13</v>
      </c>
      <c r="M223" s="40">
        <f t="shared" si="907"/>
        <v>-77</v>
      </c>
      <c r="N223" s="40">
        <f t="shared" si="907"/>
        <v>-242</v>
      </c>
      <c r="O223" s="40">
        <f t="shared" si="907"/>
        <v>-566</v>
      </c>
      <c r="P223" s="40">
        <f t="shared" si="907"/>
        <v>-859</v>
      </c>
      <c r="Q223" s="40">
        <f t="shared" si="907"/>
        <v>-521</v>
      </c>
      <c r="R223" s="40">
        <f t="shared" ref="R223:S223" si="908">R11-R35</f>
        <v>-246</v>
      </c>
      <c r="S223" s="630">
        <f t="shared" si="908"/>
        <v>100</v>
      </c>
      <c r="T223" s="653">
        <f t="shared" si="907"/>
        <v>100</v>
      </c>
      <c r="U223" s="40">
        <f t="shared" si="907"/>
        <v>-159</v>
      </c>
      <c r="V223" s="630">
        <f t="shared" si="907"/>
        <v>-873</v>
      </c>
      <c r="W223" s="653">
        <f t="shared" si="907"/>
        <v>-873</v>
      </c>
      <c r="X223" s="40"/>
      <c r="Y223" s="630"/>
      <c r="Z223" s="653">
        <f t="shared" si="907"/>
        <v>380</v>
      </c>
      <c r="AA223" s="40">
        <f t="shared" ref="AA223:AB223" si="909">AA11-AA35</f>
        <v>453</v>
      </c>
      <c r="AB223" s="630">
        <f t="shared" si="909"/>
        <v>1130</v>
      </c>
      <c r="AC223" s="653">
        <f t="shared" si="907"/>
        <v>1130</v>
      </c>
      <c r="AD223" s="40">
        <f t="shared" si="907"/>
        <v>1488</v>
      </c>
      <c r="AE223" s="630">
        <f t="shared" si="907"/>
        <v>1269</v>
      </c>
      <c r="AF223" s="653">
        <f t="shared" si="907"/>
        <v>1269</v>
      </c>
      <c r="AG223" s="40">
        <f t="shared" ref="AG223:AH223" si="910">AG11-AG35</f>
        <v>1277</v>
      </c>
      <c r="AH223" s="630">
        <f t="shared" si="910"/>
        <v>1332</v>
      </c>
      <c r="AI223" s="653">
        <f t="shared" si="907"/>
        <v>1332</v>
      </c>
      <c r="AJ223" s="40">
        <f t="shared" si="907"/>
        <v>1670</v>
      </c>
      <c r="AK223" s="630">
        <f t="shared" si="907"/>
        <v>1798</v>
      </c>
      <c r="AL223" s="653">
        <f>AL11-AL35</f>
        <v>1798</v>
      </c>
      <c r="AM223" s="40">
        <f t="shared" ref="AM223:AN223" si="911">AM11-AM35</f>
        <v>1969</v>
      </c>
      <c r="AN223" s="630">
        <f t="shared" si="911"/>
        <v>2445</v>
      </c>
      <c r="AO223" s="653">
        <f t="shared" si="907"/>
        <v>2445</v>
      </c>
      <c r="AP223" s="40">
        <f t="shared" ref="AP223:AR223" si="912">AP11-AP35</f>
        <v>2354</v>
      </c>
      <c r="AQ223" s="630">
        <f t="shared" si="912"/>
        <v>2668</v>
      </c>
      <c r="AR223" s="653">
        <f t="shared" si="912"/>
        <v>2668</v>
      </c>
      <c r="AS223" s="40">
        <f t="shared" ref="AS223:AU223" si="913">AS11-AS35</f>
        <v>2639</v>
      </c>
      <c r="AT223" s="630">
        <f t="shared" si="913"/>
        <v>3429</v>
      </c>
      <c r="AU223" s="653">
        <f t="shared" si="913"/>
        <v>3429</v>
      </c>
      <c r="AV223" s="40">
        <f t="shared" ref="AV223:AW223" si="914">AV11-AV35</f>
        <v>3251</v>
      </c>
      <c r="AW223" s="630">
        <f t="shared" si="914"/>
        <v>3359</v>
      </c>
      <c r="AX223" s="653">
        <f t="shared" si="907"/>
        <v>3359</v>
      </c>
      <c r="AY223" s="40">
        <f t="shared" si="907"/>
        <v>3339</v>
      </c>
      <c r="AZ223" s="236">
        <f t="shared" si="907"/>
        <v>3201.5156404291974</v>
      </c>
      <c r="BA223" s="605">
        <f t="shared" si="907"/>
        <v>3201.5156404291974</v>
      </c>
      <c r="BB223" s="56">
        <f t="shared" si="907"/>
        <v>3034.4646419694427</v>
      </c>
      <c r="BC223" s="236">
        <f t="shared" si="907"/>
        <v>2859.6582660850968</v>
      </c>
      <c r="BD223" s="605">
        <f t="shared" si="907"/>
        <v>2859.6582660850968</v>
      </c>
      <c r="BE223" s="56">
        <f t="shared" si="907"/>
        <v>2666.5106972453859</v>
      </c>
      <c r="BF223" s="236">
        <f t="shared" si="907"/>
        <v>2459.9986450944366</v>
      </c>
      <c r="BG223" s="605">
        <f t="shared" si="907"/>
        <v>2459.9986450944366</v>
      </c>
      <c r="BH223" s="56">
        <f t="shared" si="907"/>
        <v>2230.8005212691533</v>
      </c>
      <c r="BI223" s="236">
        <f t="shared" si="907"/>
        <v>1985.2511553641634</v>
      </c>
      <c r="BJ223" s="605">
        <f t="shared" si="907"/>
        <v>1985.2511553641634</v>
      </c>
      <c r="BK223" s="56">
        <f t="shared" si="907"/>
        <v>1710.7318405654992</v>
      </c>
      <c r="BL223" s="236">
        <f t="shared" si="907"/>
        <v>1416.887786633579</v>
      </c>
      <c r="BM223" s="605">
        <f t="shared" si="907"/>
        <v>1416.887786633579</v>
      </c>
    </row>
    <row r="224" spans="1:65">
      <c r="A224" s="25" t="s">
        <v>702</v>
      </c>
      <c r="B224" s="40">
        <f t="shared" ref="B224:BM224" si="915">B79</f>
        <v>663</v>
      </c>
      <c r="C224" s="40">
        <f t="shared" si="915"/>
        <v>773</v>
      </c>
      <c r="D224" s="40">
        <f t="shared" si="915"/>
        <v>485</v>
      </c>
      <c r="E224" s="40">
        <f t="shared" si="915"/>
        <v>450</v>
      </c>
      <c r="F224" s="40">
        <f t="shared" si="915"/>
        <v>201</v>
      </c>
      <c r="G224" s="40">
        <f t="shared" si="915"/>
        <v>17</v>
      </c>
      <c r="H224" s="40">
        <f t="shared" si="915"/>
        <v>-205</v>
      </c>
      <c r="I224" s="40">
        <f t="shared" si="915"/>
        <v>-913</v>
      </c>
      <c r="J224" s="40">
        <f t="shared" si="915"/>
        <v>-524</v>
      </c>
      <c r="K224" s="40">
        <f t="shared" si="915"/>
        <v>-464</v>
      </c>
      <c r="L224" s="40">
        <f t="shared" si="915"/>
        <v>-809</v>
      </c>
      <c r="M224" s="40">
        <f t="shared" si="915"/>
        <v>-980</v>
      </c>
      <c r="N224" s="40">
        <f t="shared" si="915"/>
        <v>-1228</v>
      </c>
      <c r="O224" s="40">
        <f t="shared" si="915"/>
        <v>-772</v>
      </c>
      <c r="P224" s="40">
        <f t="shared" si="915"/>
        <v>-959</v>
      </c>
      <c r="Q224" s="40">
        <f t="shared" si="915"/>
        <v>-359</v>
      </c>
      <c r="R224" s="40">
        <f t="shared" ref="R224:S224" si="916">R79</f>
        <v>-21</v>
      </c>
      <c r="S224" s="630">
        <f t="shared" si="916"/>
        <v>-1374</v>
      </c>
      <c r="T224" s="653">
        <f t="shared" si="915"/>
        <v>-1374</v>
      </c>
      <c r="U224" s="40">
        <f t="shared" si="915"/>
        <v>-859</v>
      </c>
      <c r="V224" s="630">
        <f t="shared" si="915"/>
        <v>-2126</v>
      </c>
      <c r="W224" s="653">
        <f t="shared" si="915"/>
        <v>-2126</v>
      </c>
      <c r="X224" s="40"/>
      <c r="Y224" s="630"/>
      <c r="Z224" s="653">
        <f t="shared" si="915"/>
        <v>-6733</v>
      </c>
      <c r="AA224" s="40">
        <f t="shared" ref="AA224:AB224" si="917">AA79</f>
        <v>-6950</v>
      </c>
      <c r="AB224" s="630">
        <f t="shared" si="917"/>
        <v>-8328</v>
      </c>
      <c r="AC224" s="653">
        <f t="shared" si="915"/>
        <v>-8328</v>
      </c>
      <c r="AD224" s="40">
        <f t="shared" si="915"/>
        <v>-8251</v>
      </c>
      <c r="AE224" s="630">
        <f t="shared" si="915"/>
        <v>-9881</v>
      </c>
      <c r="AF224" s="653">
        <f t="shared" si="915"/>
        <v>-9881</v>
      </c>
      <c r="AG224" s="40">
        <f t="shared" ref="AG224:AH224" si="918">AG79</f>
        <v>-8702</v>
      </c>
      <c r="AH224" s="630">
        <f t="shared" si="918"/>
        <v>-8352</v>
      </c>
      <c r="AI224" s="653">
        <f t="shared" si="915"/>
        <v>-8352</v>
      </c>
      <c r="AJ224" s="40">
        <f t="shared" si="915"/>
        <v>-7607</v>
      </c>
      <c r="AK224" s="630">
        <f t="shared" si="915"/>
        <v>-7378</v>
      </c>
      <c r="AL224" s="653">
        <f>AL79</f>
        <v>-7378</v>
      </c>
      <c r="AM224" s="40">
        <f t="shared" ref="AM224:AN224" si="919">AM79</f>
        <v>-7776</v>
      </c>
      <c r="AN224" s="630">
        <f t="shared" si="919"/>
        <v>-8384</v>
      </c>
      <c r="AO224" s="653">
        <f t="shared" si="915"/>
        <v>-8384</v>
      </c>
      <c r="AP224" s="40">
        <f t="shared" ref="AP224:AR224" si="920">AP79</f>
        <v>-8664</v>
      </c>
      <c r="AQ224" s="630">
        <f t="shared" si="920"/>
        <v>-9146</v>
      </c>
      <c r="AR224" s="653">
        <f t="shared" si="920"/>
        <v>-9146</v>
      </c>
      <c r="AS224" s="40">
        <f t="shared" ref="AS224:AU224" si="921">AS79</f>
        <v>-9431</v>
      </c>
      <c r="AT224" s="630">
        <f t="shared" si="921"/>
        <v>-10112</v>
      </c>
      <c r="AU224" s="653">
        <f t="shared" si="921"/>
        <v>-10112</v>
      </c>
      <c r="AV224" s="40">
        <f t="shared" ref="AV224:AW224" si="922">AV79</f>
        <v>-10490</v>
      </c>
      <c r="AW224" s="630">
        <f t="shared" si="922"/>
        <v>-10664</v>
      </c>
      <c r="AX224" s="653">
        <f t="shared" si="915"/>
        <v>-10664</v>
      </c>
      <c r="AY224" s="40">
        <f t="shared" si="915"/>
        <v>-10922</v>
      </c>
      <c r="AZ224" s="236">
        <f t="shared" si="915"/>
        <v>-11262.595950437379</v>
      </c>
      <c r="BA224" s="605">
        <f t="shared" si="915"/>
        <v>-11262.595950437379</v>
      </c>
      <c r="BB224" s="56">
        <f t="shared" si="915"/>
        <v>-13412.062225474712</v>
      </c>
      <c r="BC224" s="236">
        <f t="shared" si="915"/>
        <v>-12024.662339641063</v>
      </c>
      <c r="BD224" s="605">
        <f t="shared" si="915"/>
        <v>-12024.662339641063</v>
      </c>
      <c r="BE224" s="56">
        <f t="shared" si="915"/>
        <v>-13037.699179120274</v>
      </c>
      <c r="BF224" s="236">
        <f t="shared" si="915"/>
        <v>-13089.390860792317</v>
      </c>
      <c r="BG224" s="605">
        <f t="shared" si="915"/>
        <v>-13089.390860792317</v>
      </c>
      <c r="BH224" s="56">
        <f t="shared" si="915"/>
        <v>-13803.16924917593</v>
      </c>
      <c r="BI224" s="236">
        <f t="shared" si="915"/>
        <v>-14017.893408439884</v>
      </c>
      <c r="BJ224" s="605">
        <f t="shared" si="915"/>
        <v>-14017.893408439884</v>
      </c>
      <c r="BK224" s="56">
        <f t="shared" si="915"/>
        <v>-14666.291920526424</v>
      </c>
      <c r="BL224" s="236">
        <f t="shared" si="915"/>
        <v>-14952.555190105675</v>
      </c>
      <c r="BM224" s="605">
        <f t="shared" si="915"/>
        <v>-14952.555190105675</v>
      </c>
    </row>
    <row r="225" spans="1:65">
      <c r="A225" s="68" t="s">
        <v>721</v>
      </c>
      <c r="B225" s="46">
        <f t="shared" ref="B225:BM225" si="923">SUM(B219:B224)</f>
        <v>3426</v>
      </c>
      <c r="C225" s="46">
        <f t="shared" si="923"/>
        <v>3480</v>
      </c>
      <c r="D225" s="46">
        <f t="shared" si="923"/>
        <v>3350</v>
      </c>
      <c r="E225" s="46">
        <f t="shared" si="923"/>
        <v>3168</v>
      </c>
      <c r="F225" s="46">
        <f t="shared" si="923"/>
        <v>3514</v>
      </c>
      <c r="G225" s="46">
        <f t="shared" si="923"/>
        <v>3489</v>
      </c>
      <c r="H225" s="46">
        <f t="shared" si="923"/>
        <v>3090</v>
      </c>
      <c r="I225" s="46">
        <f t="shared" si="923"/>
        <v>2681</v>
      </c>
      <c r="J225" s="46">
        <f t="shared" si="923"/>
        <v>4599</v>
      </c>
      <c r="K225" s="46">
        <f t="shared" si="923"/>
        <v>4448</v>
      </c>
      <c r="L225" s="46">
        <f t="shared" si="923"/>
        <v>4617</v>
      </c>
      <c r="M225" s="46">
        <f t="shared" si="923"/>
        <v>5843</v>
      </c>
      <c r="N225" s="46">
        <f t="shared" si="923"/>
        <v>5795</v>
      </c>
      <c r="O225" s="46">
        <f t="shared" si="923"/>
        <v>7642</v>
      </c>
      <c r="P225" s="46">
        <f t="shared" si="923"/>
        <v>6971</v>
      </c>
      <c r="Q225" s="46">
        <f t="shared" si="923"/>
        <v>7831</v>
      </c>
      <c r="R225" s="46">
        <f t="shared" ref="R225:S225" si="924">SUM(R219:R224)</f>
        <v>9206</v>
      </c>
      <c r="S225" s="643">
        <f t="shared" si="924"/>
        <v>8764</v>
      </c>
      <c r="T225" s="667">
        <f t="shared" si="923"/>
        <v>8764</v>
      </c>
      <c r="U225" s="46">
        <f t="shared" ref="U225:V225" si="925">SUM(U219:U224)</f>
        <v>9172</v>
      </c>
      <c r="V225" s="643">
        <f t="shared" si="925"/>
        <v>9376</v>
      </c>
      <c r="W225" s="667">
        <f t="shared" si="923"/>
        <v>9376</v>
      </c>
      <c r="X225" s="46"/>
      <c r="Y225" s="643"/>
      <c r="Z225" s="667">
        <f t="shared" si="923"/>
        <v>4245</v>
      </c>
      <c r="AA225" s="46">
        <f t="shared" ref="AA225:AB225" si="926">SUM(AA219:AA224)</f>
        <v>3980</v>
      </c>
      <c r="AB225" s="643">
        <f t="shared" si="926"/>
        <v>3438</v>
      </c>
      <c r="AC225" s="667">
        <f>SUM(AC219:AC224)</f>
        <v>3438</v>
      </c>
      <c r="AD225" s="46">
        <f t="shared" ref="AD225:AE225" si="927">SUM(AD219:AD224)</f>
        <v>3847</v>
      </c>
      <c r="AE225" s="643">
        <f t="shared" si="927"/>
        <v>2035</v>
      </c>
      <c r="AF225" s="667">
        <f t="shared" si="923"/>
        <v>2035</v>
      </c>
      <c r="AG225" s="46">
        <f t="shared" ref="AG225:AH225" si="928">SUM(AG219:AG224)</f>
        <v>2937</v>
      </c>
      <c r="AH225" s="643">
        <f t="shared" si="928"/>
        <v>3034</v>
      </c>
      <c r="AI225" s="667">
        <f t="shared" si="923"/>
        <v>3034</v>
      </c>
      <c r="AJ225" s="46">
        <f t="shared" ref="AJ225:AK225" si="929">SUM(AJ219:AJ224)</f>
        <v>2531</v>
      </c>
      <c r="AK225" s="643">
        <f t="shared" si="929"/>
        <v>2782</v>
      </c>
      <c r="AL225" s="667">
        <f>SUM(AL219:AL224)</f>
        <v>2782</v>
      </c>
      <c r="AM225" s="46">
        <f t="shared" ref="AM225:AN225" si="930">SUM(AM219:AM224)</f>
        <v>2612</v>
      </c>
      <c r="AN225" s="643">
        <f t="shared" si="930"/>
        <v>2517</v>
      </c>
      <c r="AO225" s="667">
        <f t="shared" si="923"/>
        <v>2517</v>
      </c>
      <c r="AP225" s="46">
        <f t="shared" ref="AP225:AQ225" si="931">SUM(AP219:AP224)</f>
        <v>2001</v>
      </c>
      <c r="AQ225" s="643">
        <f t="shared" si="931"/>
        <v>1738</v>
      </c>
      <c r="AR225" s="667">
        <f t="shared" ref="AR225:AT225" si="932">SUM(AR219:AR224)</f>
        <v>1738</v>
      </c>
      <c r="AS225" s="46">
        <f t="shared" si="932"/>
        <v>1811</v>
      </c>
      <c r="AT225" s="643">
        <f t="shared" si="932"/>
        <v>2035</v>
      </c>
      <c r="AU225" s="667">
        <f t="shared" ref="AU225:AW225" si="933">SUM(AU219:AU224)</f>
        <v>2035</v>
      </c>
      <c r="AV225" s="46">
        <f t="shared" si="933"/>
        <v>2225</v>
      </c>
      <c r="AW225" s="643">
        <f t="shared" si="933"/>
        <v>2591</v>
      </c>
      <c r="AX225" s="667">
        <f t="shared" ref="AX225:AY225" si="934">SUM(AX219:AX224)</f>
        <v>2591</v>
      </c>
      <c r="AY225" s="46">
        <f t="shared" si="934"/>
        <v>2441</v>
      </c>
      <c r="AZ225" s="250">
        <f t="shared" si="923"/>
        <v>2225.6051203363768</v>
      </c>
      <c r="BA225" s="615">
        <f t="shared" si="923"/>
        <v>2225.6051203363768</v>
      </c>
      <c r="BB225" s="249">
        <f t="shared" si="923"/>
        <v>128.86925099451219</v>
      </c>
      <c r="BC225" s="250">
        <f t="shared" si="923"/>
        <v>1576.56570398642</v>
      </c>
      <c r="BD225" s="615">
        <f t="shared" si="923"/>
        <v>1576.56570398642</v>
      </c>
      <c r="BE225" s="249">
        <f t="shared" si="923"/>
        <v>614.19173400558429</v>
      </c>
      <c r="BF225" s="250">
        <f t="shared" si="923"/>
        <v>621.70036230972801</v>
      </c>
      <c r="BG225" s="615">
        <f t="shared" si="923"/>
        <v>621.70036230972801</v>
      </c>
      <c r="BH225" s="249">
        <f t="shared" si="923"/>
        <v>-45.020341666904642</v>
      </c>
      <c r="BI225" s="250">
        <f t="shared" si="923"/>
        <v>-204.57444917152316</v>
      </c>
      <c r="BJ225" s="615">
        <f t="shared" si="923"/>
        <v>-204.57444917152316</v>
      </c>
      <c r="BK225" s="249">
        <f t="shared" si="923"/>
        <v>-814.86914412508304</v>
      </c>
      <c r="BL225" s="250">
        <f t="shared" si="923"/>
        <v>-1055.5686617516949</v>
      </c>
      <c r="BM225" s="615">
        <f t="shared" si="923"/>
        <v>-1055.5686617516949</v>
      </c>
    </row>
    <row r="226" spans="1:65">
      <c r="A226" s="31" t="s">
        <v>352</v>
      </c>
      <c r="B226" s="51">
        <f>B225-B219</f>
        <v>2590</v>
      </c>
      <c r="C226" s="51">
        <f t="shared" ref="C226:BM226" si="935">C225-C219</f>
        <v>2711</v>
      </c>
      <c r="D226" s="51">
        <f t="shared" si="935"/>
        <v>2564</v>
      </c>
      <c r="E226" s="51">
        <f t="shared" si="935"/>
        <v>2409</v>
      </c>
      <c r="F226" s="51">
        <f t="shared" si="935"/>
        <v>2755</v>
      </c>
      <c r="G226" s="51">
        <f t="shared" si="935"/>
        <v>2738</v>
      </c>
      <c r="H226" s="51">
        <f t="shared" si="935"/>
        <v>2355</v>
      </c>
      <c r="I226" s="51">
        <f t="shared" si="935"/>
        <v>1880</v>
      </c>
      <c r="J226" s="51">
        <f t="shared" si="935"/>
        <v>3591</v>
      </c>
      <c r="K226" s="51">
        <f t="shared" si="935"/>
        <v>3464</v>
      </c>
      <c r="L226" s="51">
        <f t="shared" si="935"/>
        <v>3509</v>
      </c>
      <c r="M226" s="51">
        <f t="shared" si="935"/>
        <v>4744</v>
      </c>
      <c r="N226" s="51">
        <f t="shared" si="935"/>
        <v>4693</v>
      </c>
      <c r="O226" s="51">
        <f t="shared" si="935"/>
        <v>5804</v>
      </c>
      <c r="P226" s="51">
        <f t="shared" si="935"/>
        <v>5312</v>
      </c>
      <c r="Q226" s="51">
        <f t="shared" si="935"/>
        <v>6328</v>
      </c>
      <c r="R226" s="51">
        <f t="shared" si="935"/>
        <v>7520</v>
      </c>
      <c r="S226" s="629">
        <f t="shared" si="935"/>
        <v>7227</v>
      </c>
      <c r="T226" s="652">
        <f t="shared" si="935"/>
        <v>7227</v>
      </c>
      <c r="U226" s="51">
        <f t="shared" ref="U226:V226" si="936">U225-U219</f>
        <v>7623</v>
      </c>
      <c r="V226" s="629">
        <f t="shared" si="936"/>
        <v>7831</v>
      </c>
      <c r="W226" s="652">
        <f t="shared" si="935"/>
        <v>7831</v>
      </c>
      <c r="X226" s="51"/>
      <c r="Y226" s="629"/>
      <c r="Z226" s="652">
        <f t="shared" si="935"/>
        <v>2700</v>
      </c>
      <c r="AA226" s="51">
        <f t="shared" si="935"/>
        <v>2951</v>
      </c>
      <c r="AB226" s="629">
        <f t="shared" si="935"/>
        <v>2393</v>
      </c>
      <c r="AC226" s="652">
        <f>AC225-AC219</f>
        <v>2393</v>
      </c>
      <c r="AD226" s="51">
        <f t="shared" ref="AD226:AE226" si="937">AD225-AD219</f>
        <v>2797</v>
      </c>
      <c r="AE226" s="629">
        <f t="shared" si="937"/>
        <v>1041</v>
      </c>
      <c r="AF226" s="652">
        <f t="shared" si="935"/>
        <v>1041</v>
      </c>
      <c r="AG226" s="51">
        <f t="shared" ref="AG226:AH226" si="938">AG225-AG219</f>
        <v>1871</v>
      </c>
      <c r="AH226" s="629">
        <f t="shared" si="938"/>
        <v>1960</v>
      </c>
      <c r="AI226" s="652">
        <f t="shared" si="935"/>
        <v>1960</v>
      </c>
      <c r="AJ226" s="51">
        <f t="shared" si="935"/>
        <v>1498</v>
      </c>
      <c r="AK226" s="629">
        <f t="shared" si="935"/>
        <v>1756</v>
      </c>
      <c r="AL226" s="652">
        <f>AL225-AL219</f>
        <v>1756</v>
      </c>
      <c r="AM226" s="51">
        <f t="shared" ref="AM226:AN226" si="939">AM225-AM219</f>
        <v>1541</v>
      </c>
      <c r="AN226" s="629">
        <f t="shared" si="939"/>
        <v>1418</v>
      </c>
      <c r="AO226" s="652">
        <f t="shared" si="935"/>
        <v>1418</v>
      </c>
      <c r="AP226" s="51">
        <f t="shared" ref="AP226:AR226" si="940">AP225-AP219</f>
        <v>942</v>
      </c>
      <c r="AQ226" s="629">
        <f t="shared" si="940"/>
        <v>672</v>
      </c>
      <c r="AR226" s="652">
        <f t="shared" si="940"/>
        <v>672</v>
      </c>
      <c r="AS226" s="51">
        <f t="shared" ref="AS226:AU226" si="941">AS225-AS219</f>
        <v>763</v>
      </c>
      <c r="AT226" s="629">
        <f t="shared" si="941"/>
        <v>1026</v>
      </c>
      <c r="AU226" s="652">
        <f t="shared" si="941"/>
        <v>1026</v>
      </c>
      <c r="AV226" s="51">
        <f t="shared" ref="AV226:AW226" si="942">AV225-AV219</f>
        <v>1216</v>
      </c>
      <c r="AW226" s="629">
        <f t="shared" si="942"/>
        <v>1563</v>
      </c>
      <c r="AX226" s="652">
        <f t="shared" si="935"/>
        <v>1563</v>
      </c>
      <c r="AY226" s="51">
        <f t="shared" si="935"/>
        <v>1417</v>
      </c>
      <c r="AZ226" s="237">
        <f t="shared" si="935"/>
        <v>1197.6051203363768</v>
      </c>
      <c r="BA226" s="576">
        <f t="shared" si="935"/>
        <v>1197.6051203363768</v>
      </c>
      <c r="BB226" s="48">
        <f t="shared" si="935"/>
        <v>-899.13074900548781</v>
      </c>
      <c r="BC226" s="237">
        <f t="shared" si="935"/>
        <v>548.56570398641998</v>
      </c>
      <c r="BD226" s="576">
        <f t="shared" si="935"/>
        <v>548.56570398641998</v>
      </c>
      <c r="BE226" s="48">
        <f t="shared" si="935"/>
        <v>-413.80826599441571</v>
      </c>
      <c r="BF226" s="237">
        <f t="shared" si="935"/>
        <v>-406.29963769027199</v>
      </c>
      <c r="BG226" s="576">
        <f t="shared" si="935"/>
        <v>-406.29963769027199</v>
      </c>
      <c r="BH226" s="48">
        <f t="shared" si="935"/>
        <v>-1073.0203416669046</v>
      </c>
      <c r="BI226" s="237">
        <f t="shared" si="935"/>
        <v>-1232.5744491715232</v>
      </c>
      <c r="BJ226" s="576">
        <f t="shared" si="935"/>
        <v>-1232.5744491715232</v>
      </c>
      <c r="BK226" s="48">
        <f t="shared" si="935"/>
        <v>-1842.869144125083</v>
      </c>
      <c r="BL226" s="237">
        <f t="shared" si="935"/>
        <v>-2083.5686617516949</v>
      </c>
      <c r="BM226" s="576">
        <f t="shared" si="935"/>
        <v>-2083.5686617516949</v>
      </c>
    </row>
    <row r="227" spans="1:65" ht="11.4">
      <c r="B227" s="40"/>
      <c r="C227" s="40"/>
      <c r="D227" s="40"/>
      <c r="E227" s="40"/>
      <c r="F227" s="40"/>
      <c r="G227" s="40"/>
      <c r="H227" s="40"/>
      <c r="I227" s="40"/>
      <c r="J227" s="40"/>
      <c r="K227" s="40"/>
      <c r="L227" s="40"/>
      <c r="M227" s="40"/>
      <c r="N227" s="40"/>
      <c r="O227" s="40"/>
      <c r="P227" s="40"/>
      <c r="Q227" s="40"/>
      <c r="R227" s="108"/>
      <c r="S227" s="676"/>
      <c r="T227" s="653"/>
      <c r="U227" s="108"/>
      <c r="V227" s="676"/>
      <c r="W227" s="653"/>
      <c r="X227" s="40"/>
      <c r="Y227" s="630"/>
      <c r="Z227" s="653"/>
      <c r="AA227" s="108"/>
      <c r="AB227" s="676"/>
      <c r="AC227" s="679"/>
      <c r="AD227" s="108"/>
      <c r="AE227" s="676"/>
      <c r="AF227" s="679"/>
      <c r="AG227" s="108"/>
      <c r="AH227" s="676"/>
      <c r="AI227" s="679"/>
      <c r="AJ227" s="108"/>
      <c r="AK227" s="676"/>
      <c r="AL227" s="679"/>
      <c r="AM227" s="108"/>
      <c r="AN227" s="676"/>
      <c r="AO227" s="679"/>
      <c r="AP227" s="108"/>
      <c r="AQ227" s="688"/>
      <c r="AR227" s="685"/>
      <c r="AS227" s="19"/>
      <c r="AT227" s="688"/>
      <c r="AU227" s="685"/>
      <c r="AV227" s="19"/>
      <c r="AW227" s="688"/>
      <c r="AX227" s="685"/>
      <c r="AY227" s="19"/>
      <c r="AZ227" s="688"/>
      <c r="BA227" s="685"/>
      <c r="BB227" s="19"/>
      <c r="BC227" s="688"/>
      <c r="BD227" s="685"/>
      <c r="BE227" s="19"/>
      <c r="BF227" s="688"/>
      <c r="BG227" s="685"/>
      <c r="BH227" s="19"/>
      <c r="BI227" s="688"/>
      <c r="BJ227" s="685"/>
      <c r="BK227" s="19"/>
      <c r="BL227" s="688"/>
      <c r="BM227" s="685"/>
    </row>
    <row r="228" spans="1:65">
      <c r="A228" s="25" t="s">
        <v>426</v>
      </c>
      <c r="B228" s="40">
        <f>IS!B25</f>
        <v>559</v>
      </c>
      <c r="C228" s="40">
        <f>IS!C25</f>
        <v>594</v>
      </c>
      <c r="D228" s="40">
        <f>IS!D25</f>
        <v>362</v>
      </c>
      <c r="E228" s="40">
        <f>IS!E25</f>
        <v>375</v>
      </c>
      <c r="F228" s="40">
        <f>IS!F25</f>
        <v>417</v>
      </c>
      <c r="G228" s="40">
        <f>IS!G25</f>
        <v>679</v>
      </c>
      <c r="H228" s="40">
        <f>IS!H25</f>
        <v>748</v>
      </c>
      <c r="I228" s="40">
        <f>IS!I25</f>
        <v>832</v>
      </c>
      <c r="J228" s="40">
        <f>IS!J25</f>
        <v>919</v>
      </c>
      <c r="K228" s="40">
        <f>IS!K25</f>
        <v>983</v>
      </c>
      <c r="L228" s="40">
        <f>IS!L25</f>
        <v>1010</v>
      </c>
      <c r="M228" s="40">
        <f>IS!M25</f>
        <v>1206</v>
      </c>
      <c r="N228" s="40">
        <f>IS!N25</f>
        <v>1495</v>
      </c>
      <c r="O228" s="40">
        <f>IS!O25</f>
        <v>1831</v>
      </c>
      <c r="P228" s="40">
        <f>IS!P25</f>
        <v>1681</v>
      </c>
      <c r="Q228" s="40">
        <f>IS!Q25</f>
        <v>1492</v>
      </c>
      <c r="R228" s="40">
        <f>IS!R25</f>
        <v>158</v>
      </c>
      <c r="S228" s="630">
        <f>IS!S25</f>
        <v>757</v>
      </c>
      <c r="T228" s="653">
        <f>IS!T25</f>
        <v>915</v>
      </c>
      <c r="U228" s="40">
        <f>IS!U25</f>
        <v>345</v>
      </c>
      <c r="V228" s="630">
        <f>IS!V25</f>
        <v>830</v>
      </c>
      <c r="W228" s="653">
        <f>IS!W25</f>
        <v>1175</v>
      </c>
      <c r="X228" s="40"/>
      <c r="Y228" s="630"/>
      <c r="Z228" s="653">
        <f>IS!Z25</f>
        <v>306</v>
      </c>
      <c r="AA228" s="40">
        <f>IS!AA25</f>
        <v>141</v>
      </c>
      <c r="AB228" s="630">
        <f>IS!AB25</f>
        <v>475</v>
      </c>
      <c r="AC228" s="653">
        <f>IS!AC25</f>
        <v>616</v>
      </c>
      <c r="AD228" s="40">
        <f>IS!AD25</f>
        <v>203</v>
      </c>
      <c r="AE228" s="630">
        <f>IS!AE25</f>
        <v>605</v>
      </c>
      <c r="AF228" s="653">
        <f>IS!AF25</f>
        <v>808</v>
      </c>
      <c r="AG228" s="40">
        <f>IS!AG25</f>
        <v>-1630</v>
      </c>
      <c r="AH228" s="630">
        <f>IS!AH25</f>
        <v>-378</v>
      </c>
      <c r="AI228" s="653">
        <f>IS!AI25</f>
        <v>-2008</v>
      </c>
      <c r="AJ228" s="40">
        <f>IS!AJ25</f>
        <v>307</v>
      </c>
      <c r="AK228" s="630">
        <f>IS!AK25</f>
        <v>107</v>
      </c>
      <c r="AL228" s="653">
        <f>IS!AL25</f>
        <v>414</v>
      </c>
      <c r="AM228" s="40">
        <f>IS!AM25</f>
        <v>125</v>
      </c>
      <c r="AN228" s="630">
        <f>IS!AN25</f>
        <v>527</v>
      </c>
      <c r="AO228" s="653">
        <f>IS!AO25</f>
        <v>652</v>
      </c>
      <c r="AP228" s="40">
        <f>IS!AP25</f>
        <v>673</v>
      </c>
      <c r="AQ228" s="630">
        <f>IS!AQ25</f>
        <v>917</v>
      </c>
      <c r="AR228" s="653">
        <f>IS!AR25</f>
        <v>1590</v>
      </c>
      <c r="AS228" s="40">
        <f>IS!AS25</f>
        <v>1149</v>
      </c>
      <c r="AT228" s="630">
        <f>IS!AT25</f>
        <v>1315</v>
      </c>
      <c r="AU228" s="653">
        <f>IS!AU25</f>
        <v>2464</v>
      </c>
      <c r="AV228" s="40">
        <f>IS!AV25</f>
        <v>1733</v>
      </c>
      <c r="AW228" s="630">
        <f>IS!AW25</f>
        <v>1729</v>
      </c>
      <c r="AX228" s="653">
        <f>IS!AX25</f>
        <v>3462</v>
      </c>
      <c r="AY228" s="40">
        <f>IS!AY25</f>
        <v>2534</v>
      </c>
      <c r="AZ228" s="236">
        <f>IS!AZ25</f>
        <v>2400.2997844152897</v>
      </c>
      <c r="BA228" s="605">
        <f>IS!BA25</f>
        <v>4934.2997844152887</v>
      </c>
      <c r="BB228" s="56">
        <f>IS!BB25</f>
        <v>2755.0368868903415</v>
      </c>
      <c r="BC228" s="236">
        <f>IS!BC25</f>
        <v>2881.8334281820567</v>
      </c>
      <c r="BD228" s="605">
        <f>IS!BD25</f>
        <v>5636.8703150723977</v>
      </c>
      <c r="BE228" s="56">
        <f>IS!BE25</f>
        <v>3154.3525232827742</v>
      </c>
      <c r="BF228" s="236">
        <f>IS!BF25</f>
        <v>3372.0588813627842</v>
      </c>
      <c r="BG228" s="605">
        <f>IS!BG25</f>
        <v>6526.4114046455588</v>
      </c>
      <c r="BH228" s="56">
        <f>IS!BH25</f>
        <v>3690.9654838577753</v>
      </c>
      <c r="BI228" s="236">
        <f>IS!BI25</f>
        <v>3956.9131648663019</v>
      </c>
      <c r="BJ228" s="605">
        <f>IS!BJ25</f>
        <v>7647.8786487240768</v>
      </c>
      <c r="BK228" s="56">
        <f>IS!BK25</f>
        <v>4295.0854914857346</v>
      </c>
      <c r="BL228" s="236">
        <f>IS!BL25</f>
        <v>4609.0197401873738</v>
      </c>
      <c r="BM228" s="605">
        <f>IS!BM25</f>
        <v>8904.1052316731093</v>
      </c>
    </row>
    <row r="229" spans="1:65">
      <c r="A229" s="25" t="s">
        <v>327</v>
      </c>
      <c r="B229" s="40">
        <f>B228*(1-IS!B37)</f>
        <v>387.19724770642199</v>
      </c>
      <c r="C229" s="40">
        <f>C228*(1-IS!C37)</f>
        <v>401.41894736842102</v>
      </c>
      <c r="D229" s="40">
        <f>D228*(1-IS!D37)</f>
        <v>254.10980392156861</v>
      </c>
      <c r="E229" s="40">
        <f>E228*(1-IS!E37)</f>
        <v>264.4736842105263</v>
      </c>
      <c r="F229" s="40">
        <f>F228*(1-IS!F37)</f>
        <v>302.43956043956041</v>
      </c>
      <c r="G229" s="40">
        <f>G228*(1-IS!G37)</f>
        <v>484.34569983136589</v>
      </c>
      <c r="H229" s="40">
        <f>H228*(1-IS!H37)</f>
        <v>546.41134751773052</v>
      </c>
      <c r="I229" s="40">
        <f>I228*(1-IS!I37)</f>
        <v>641.96923076923076</v>
      </c>
      <c r="J229" s="40">
        <f>J228*(1-IS!J37)</f>
        <v>692.3829545454546</v>
      </c>
      <c r="K229" s="40">
        <f>K228*(1-IS!K37)</f>
        <v>782.10273224043715</v>
      </c>
      <c r="L229" s="40">
        <f>L228*(1-IS!L37)</f>
        <v>760.40837696335086</v>
      </c>
      <c r="M229" s="40">
        <f>M228*(1-IS!M37)</f>
        <v>933.94641313742432</v>
      </c>
      <c r="N229" s="40">
        <f>N228*(1-IS!N37)</f>
        <v>1164.5153417015342</v>
      </c>
      <c r="O229" s="40">
        <f>O228*(1-IS!O37)</f>
        <v>1379.2353610005687</v>
      </c>
      <c r="P229" s="40">
        <f>P228*(1-IS!P37)</f>
        <v>1278.3901234567902</v>
      </c>
      <c r="Q229" s="40">
        <f>Q228*(1-IS!Q37)</f>
        <v>1126.2932960893856</v>
      </c>
      <c r="R229" s="40">
        <f>R228*(1-IS!R37)</f>
        <v>116.98076923076924</v>
      </c>
      <c r="S229" s="630">
        <f>S228*(1-IS!S37)</f>
        <v>507.15796897038086</v>
      </c>
      <c r="T229" s="653">
        <f>T228*(1-IS!T37)</f>
        <v>621.25461254612549</v>
      </c>
      <c r="U229" s="40">
        <f>U228*(1-IS!U37)</f>
        <v>247.63066202090593</v>
      </c>
      <c r="V229" s="630">
        <f>V228*(1-IS!V37)</f>
        <v>568.50765306122446</v>
      </c>
      <c r="W229" s="653">
        <f>W228*(1-IS!W37)</f>
        <v>815.14939309056956</v>
      </c>
      <c r="X229" s="40"/>
      <c r="Y229" s="630"/>
      <c r="Z229" s="653">
        <f>Z228*(1-IS!Z37)</f>
        <v>67.658291457286424</v>
      </c>
      <c r="AA229" s="40">
        <f>AA228*(1-IS!AA37)</f>
        <v>92.712328767123282</v>
      </c>
      <c r="AB229" s="630">
        <f>AB228*(1-IS!AB37)</f>
        <v>310.62340966921118</v>
      </c>
      <c r="AC229" s="653">
        <f>AC228*(1-IS!AC37)</f>
        <v>403.17596566523605</v>
      </c>
      <c r="AD229" s="40">
        <f>AD228*(1-IS!AD37)</f>
        <v>-61.118279569892465</v>
      </c>
      <c r="AE229" s="630">
        <f>AE228*(1-IS!AE37)</f>
        <v>412.38775510204079</v>
      </c>
      <c r="AF229" s="653">
        <f>AF228*(1-IS!AF37)</f>
        <v>424.09605488850775</v>
      </c>
      <c r="AG229" s="40">
        <f>AG228*(1-IS!AG37)</f>
        <v>-1675.8008117389948</v>
      </c>
      <c r="AH229" s="630">
        <f>AH228*(1-IS!AH37)</f>
        <v>-356.94683544303797</v>
      </c>
      <c r="AI229" s="653">
        <f>AI228*(1-IS!AI37)</f>
        <v>-2031.1324818432256</v>
      </c>
      <c r="AJ229" s="40">
        <f>AJ228*(1-IS!AJ37)</f>
        <v>240.06015037593983</v>
      </c>
      <c r="AK229" s="630">
        <f>AK228*(1-IS!AK37)</f>
        <v>103.69072164948453</v>
      </c>
      <c r="AL229" s="653">
        <f>AL228*(1-IS!AL37)</f>
        <v>115</v>
      </c>
      <c r="AM229" s="40">
        <f>AM228*(1-IS!AM37)</f>
        <v>211.7117117117117</v>
      </c>
      <c r="AN229" s="630">
        <f>AN228*(1-IS!AN37)</f>
        <v>575.21135646687685</v>
      </c>
      <c r="AO229" s="653">
        <f>AO228*(1-IS!AO37)</f>
        <v>500.07766990291253</v>
      </c>
      <c r="AP229" s="40">
        <f>AP228*(1-IS!AP37)</f>
        <v>518.87786259541986</v>
      </c>
      <c r="AQ229" s="630">
        <f>AQ228*(1-IS!AQ37)</f>
        <v>917</v>
      </c>
      <c r="AR229" s="653">
        <f>AR228*(1-IS!AR37)</f>
        <v>1438.8114104595879</v>
      </c>
      <c r="AS229" s="40">
        <f>AS228*(1-IS!AS37)</f>
        <v>818.17681159420295</v>
      </c>
      <c r="AT229" s="630">
        <f>AT228*(1-IS!AT37)</f>
        <v>970.04769475357716</v>
      </c>
      <c r="AU229" s="653">
        <f>AU228*(1-IS!AU37)</f>
        <v>1789.1670300915832</v>
      </c>
      <c r="AV229" s="40">
        <f>AV228*(1-IS!AV37)</f>
        <v>1353.3611604499704</v>
      </c>
      <c r="AW229" s="630">
        <f>AW228*(1-IS!AW37)</f>
        <v>1209.1563439567049</v>
      </c>
      <c r="AX229" s="653">
        <f>AX228*(1-IS!AX37)</f>
        <v>2563.4498806682577</v>
      </c>
      <c r="AY229" s="40">
        <f>AY228*(1-IS!AY37)</f>
        <v>1881.9647294589176</v>
      </c>
      <c r="AZ229" s="236">
        <f>AZ228*(1-IS!AZ37)</f>
        <v>1818.8172641495116</v>
      </c>
      <c r="BA229" s="605">
        <f>BA228*(1-IS!BA37)</f>
        <v>3700.7248383114666</v>
      </c>
      <c r="BB229" s="56">
        <f>BB228*(1-IS!BB37)</f>
        <v>2066.2776651677559</v>
      </c>
      <c r="BC229" s="236">
        <f>BC228*(1-IS!BC37)</f>
        <v>2161.3750711365424</v>
      </c>
      <c r="BD229" s="605">
        <f>BD228*(1-IS!BD37)</f>
        <v>4227.6527363042987</v>
      </c>
      <c r="BE229" s="56">
        <f>BE228*(1-IS!BE37)</f>
        <v>2365.7643924620807</v>
      </c>
      <c r="BF229" s="236">
        <f>BF228*(1-IS!BF37)</f>
        <v>2529.0441610220882</v>
      </c>
      <c r="BG229" s="605">
        <f>BG228*(1-IS!BG37)</f>
        <v>4894.8085534841694</v>
      </c>
      <c r="BH229" s="56">
        <f>BH228*(1-IS!BH37)</f>
        <v>2768.2241128933315</v>
      </c>
      <c r="BI229" s="236">
        <f>BI228*(1-IS!BI37)</f>
        <v>2967.6848736497263</v>
      </c>
      <c r="BJ229" s="605">
        <f>BJ228*(1-IS!BJ37)</f>
        <v>5735.9089865430578</v>
      </c>
      <c r="BK229" s="56">
        <f>BK228*(1-IS!BK37)</f>
        <v>3221.3141186143012</v>
      </c>
      <c r="BL229" s="236">
        <f>BL228*(1-IS!BL37)</f>
        <v>3456.7648051405299</v>
      </c>
      <c r="BM229" s="605">
        <f>BM228*(1-IS!BM37)</f>
        <v>6678.0789237548324</v>
      </c>
    </row>
    <row r="230" spans="1:65">
      <c r="A230" s="31" t="s">
        <v>427</v>
      </c>
      <c r="B230" s="132">
        <f t="shared" ref="B230:Q230" si="943">B229/AVERAGE(A225:B225)</f>
        <v>0.11301729355120314</v>
      </c>
      <c r="C230" s="132">
        <f t="shared" si="943"/>
        <v>0.11625222918286157</v>
      </c>
      <c r="D230" s="132">
        <f t="shared" si="943"/>
        <v>7.4409898659317311E-2</v>
      </c>
      <c r="E230" s="132">
        <f t="shared" si="943"/>
        <v>8.1151790184267047E-2</v>
      </c>
      <c r="F230" s="132">
        <f t="shared" si="943"/>
        <v>9.0523663705345828E-2</v>
      </c>
      <c r="G230" s="132">
        <f t="shared" si="943"/>
        <v>0.1383252034360605</v>
      </c>
      <c r="H230" s="132">
        <f t="shared" si="943"/>
        <v>0.16610772078362382</v>
      </c>
      <c r="I230" s="132">
        <f t="shared" si="943"/>
        <v>0.22248110579422312</v>
      </c>
      <c r="J230" s="132">
        <f t="shared" si="943"/>
        <v>0.19021509740259743</v>
      </c>
      <c r="K230" s="132">
        <f t="shared" si="943"/>
        <v>0.17289769696925769</v>
      </c>
      <c r="L230" s="132">
        <f t="shared" si="943"/>
        <v>0.1677679816797244</v>
      </c>
      <c r="M230" s="132">
        <f t="shared" si="943"/>
        <v>0.17857483998803525</v>
      </c>
      <c r="N230" s="132">
        <f t="shared" si="943"/>
        <v>0.20012293206762918</v>
      </c>
      <c r="O230" s="132">
        <f t="shared" si="943"/>
        <v>0.20528918076960165</v>
      </c>
      <c r="P230" s="132">
        <f t="shared" si="943"/>
        <v>0.17496614294898929</v>
      </c>
      <c r="Q230" s="132">
        <f t="shared" si="943"/>
        <v>0.15218123173752002</v>
      </c>
      <c r="R230" s="345">
        <f>R229*2/AVERAGE(Q225,R225)</f>
        <v>2.7465109873984678E-2</v>
      </c>
      <c r="S230" s="646">
        <f>S229*2/AVERAGE(R225,S225)</f>
        <v>0.1128899207502239</v>
      </c>
      <c r="T230" s="670">
        <f>T229/AVERAGE(Q225,T225)</f>
        <v>7.4872505278231458E-2</v>
      </c>
      <c r="U230" s="345">
        <f>U229*2/AVERAGE(T225,U225)</f>
        <v>5.5225392957383122E-2</v>
      </c>
      <c r="V230" s="646">
        <f>V229*2/AVERAGE(U225,V225)</f>
        <v>0.12260246992909736</v>
      </c>
      <c r="W230" s="670">
        <f>W229/AVERAGE(T225,W225)</f>
        <v>8.9873141465332915E-2</v>
      </c>
      <c r="X230" s="132"/>
      <c r="Y230" s="646"/>
      <c r="Z230" s="670">
        <f>Z229/AVERAGE(Z225)</f>
        <v>1.5938348988760054E-2</v>
      </c>
      <c r="AA230" s="345">
        <f>AA229*2/AVERAGE(Z225,AA225)</f>
        <v>4.5088062622309195E-2</v>
      </c>
      <c r="AB230" s="646">
        <f>AB229*2/AVERAGE(AA225,AB225)</f>
        <v>0.16749712033928885</v>
      </c>
      <c r="AC230" s="670">
        <f>AC229/AVERAGE(Z225,AC225)</f>
        <v>0.10495274389307199</v>
      </c>
      <c r="AD230" s="345">
        <f>AD229*2/AVERAGE(AC225,AD225)</f>
        <v>-3.3558423923070672E-2</v>
      </c>
      <c r="AE230" s="646">
        <f>AE229*2/AVERAGE(AD225,AE225)</f>
        <v>0.28044049989938169</v>
      </c>
      <c r="AF230" s="670">
        <f>AF229/AVERAGE(AC225,AF225)</f>
        <v>0.154977546094832</v>
      </c>
      <c r="AG230" s="345">
        <f>AG229*2/AVERAGE(AF225,AG225)</f>
        <v>-1.3481905162823771</v>
      </c>
      <c r="AH230" s="646">
        <f>AH229*2/AVERAGE(AG225,AH225)</f>
        <v>-0.23912030510335822</v>
      </c>
      <c r="AI230" s="670">
        <f>AI229/AVERAGE(AF225,AI225)</f>
        <v>-0.8013937588649539</v>
      </c>
      <c r="AJ230" s="345">
        <f>AJ229*2/AVERAGE(AI225,AJ225)</f>
        <v>0.17254997331603941</v>
      </c>
      <c r="AK230" s="646">
        <f>AK229*2/AVERAGE(AJ225,AK225)</f>
        <v>7.8065666590991553E-2</v>
      </c>
      <c r="AL230" s="670">
        <f>AL229/AVERAGE(AI225,AL225)</f>
        <v>3.9546079779917469E-2</v>
      </c>
      <c r="AM230" s="345">
        <f>AM229*2/AVERAGE(AL225,AM225)</f>
        <v>0.15699793230382775</v>
      </c>
      <c r="AN230" s="646">
        <f>AN229*2/AVERAGE(AM225,AN225)</f>
        <v>0.44859532576866978</v>
      </c>
      <c r="AO230" s="670">
        <f>AO229/AVERAGE(AL225,AO225)</f>
        <v>0.18874416678728534</v>
      </c>
      <c r="AP230" s="345">
        <f>AP229*2/AVERAGE(AO225,AP225)</f>
        <v>0.45938721787996445</v>
      </c>
      <c r="AQ230" s="646">
        <f>AQ229*2/AVERAGE(AP225,AQ225)</f>
        <v>0.98101096549879652</v>
      </c>
      <c r="AR230" s="670">
        <f>AR229/AVERAGE(AO225,AR225)</f>
        <v>0.67629208482236802</v>
      </c>
      <c r="AS230" s="345">
        <f>AS229*2/AVERAGE(AR225,AS225)</f>
        <v>0.92214912549360717</v>
      </c>
      <c r="AT230" s="646">
        <f>AT229*2/AVERAGE(AS225,AT225)</f>
        <v>1.0088899581420459</v>
      </c>
      <c r="AU230" s="670">
        <f>AU229/AVERAGE(AR225,AU225)</f>
        <v>0.94840552880550399</v>
      </c>
      <c r="AV230" s="345">
        <f>AV229*2/AVERAGE(AU225,AV225)</f>
        <v>1.270761653004667</v>
      </c>
      <c r="AW230" s="646">
        <f>AW229*2/AVERAGE(AV225,AW225)</f>
        <v>1.0042826777049043</v>
      </c>
      <c r="AX230" s="670">
        <f>AX229/AVERAGE(AU225,AX225)</f>
        <v>1.1082792393723553</v>
      </c>
      <c r="AY230" s="345">
        <f>AY229*2/AVERAGE(AX225,AY225)</f>
        <v>1.495997400205817</v>
      </c>
      <c r="AZ230" s="482">
        <f>AZ229*2/AVERAGE(AY225,AZ225)</f>
        <v>1.5590067873738656</v>
      </c>
      <c r="BA230" s="582">
        <f>BA229/AVERAGE(AX225,BA225)</f>
        <v>1.5366527858746366</v>
      </c>
      <c r="BB230" s="205">
        <f>BB229*2/AVERAGE(BA225,BB225)</f>
        <v>3.5103846367200386</v>
      </c>
      <c r="BC230" s="482">
        <f>BC229*2/AVERAGE(BB225,BC225)</f>
        <v>5.0693814263017911</v>
      </c>
      <c r="BD230" s="582">
        <f>BD229/AVERAGE(BA225,BD225)</f>
        <v>2.2238099925756409</v>
      </c>
      <c r="BE230" s="205">
        <f>BE229*2/AVERAGE(BD225,BE225)</f>
        <v>4.3195368897261099</v>
      </c>
      <c r="BF230" s="482">
        <f>BF229*2/AVERAGE(BE225,BF225)</f>
        <v>8.1853235199486374</v>
      </c>
      <c r="BG230" s="582">
        <f>BG229/AVERAGE(BD225,BG225)</f>
        <v>4.4533358618699124</v>
      </c>
      <c r="BH230" s="205">
        <f>BH229*2/AVERAGE(BG225,BH225)</f>
        <v>19.201109896664018</v>
      </c>
      <c r="BI230" s="482">
        <f>BI229*2/AVERAGE(BH225,BI225)</f>
        <v>-47.560045042299329</v>
      </c>
      <c r="BJ230" s="582">
        <f>BJ229/AVERAGE(BG225,BJ225)</f>
        <v>27.50205060812225</v>
      </c>
      <c r="BK230" s="205">
        <f>BK229*2/AVERAGE(BJ225,BK225)</f>
        <v>-12.639499192681916</v>
      </c>
      <c r="BL230" s="482">
        <f>BL229*2/AVERAGE(BK225,BL225)</f>
        <v>-7.3924185969287599</v>
      </c>
      <c r="BM230" s="582">
        <f>BM229/AVERAGE(BJ225,BM225)</f>
        <v>-10.598921449266623</v>
      </c>
    </row>
    <row r="231" spans="1:65">
      <c r="A231" s="25" t="s">
        <v>354</v>
      </c>
      <c r="B231" s="58">
        <f t="shared" ref="B231:Q231" si="944">B229/AVERAGE(A226:B226)</f>
        <v>0.14949700683645636</v>
      </c>
      <c r="C231" s="58">
        <f t="shared" si="944"/>
        <v>0.15145027254043425</v>
      </c>
      <c r="D231" s="58">
        <f t="shared" si="944"/>
        <v>9.6344949354149237E-2</v>
      </c>
      <c r="E231" s="58">
        <f t="shared" si="944"/>
        <v>0.10636383841163334</v>
      </c>
      <c r="F231" s="58">
        <f t="shared" si="944"/>
        <v>0.11713383440726584</v>
      </c>
      <c r="G231" s="58">
        <f t="shared" si="944"/>
        <v>0.17635015468099977</v>
      </c>
      <c r="H231" s="58">
        <f t="shared" si="944"/>
        <v>0.21457347242007874</v>
      </c>
      <c r="I231" s="58">
        <f t="shared" si="944"/>
        <v>0.30317319044591773</v>
      </c>
      <c r="J231" s="58">
        <f t="shared" si="944"/>
        <v>0.25311020089396985</v>
      </c>
      <c r="K231" s="58">
        <f t="shared" si="944"/>
        <v>0.22171587023116573</v>
      </c>
      <c r="L231" s="58">
        <f t="shared" si="944"/>
        <v>0.21810078214924733</v>
      </c>
      <c r="M231" s="58">
        <f t="shared" si="944"/>
        <v>0.22632895023323019</v>
      </c>
      <c r="N231" s="58">
        <f t="shared" si="944"/>
        <v>0.24679778355442072</v>
      </c>
      <c r="O231" s="58">
        <f t="shared" si="944"/>
        <v>0.26278657921321685</v>
      </c>
      <c r="P231" s="58">
        <f t="shared" si="944"/>
        <v>0.2300090182541904</v>
      </c>
      <c r="Q231" s="58">
        <f t="shared" si="944"/>
        <v>0.19352118489508344</v>
      </c>
      <c r="R231" s="87">
        <f>R229*2/AVERAGE(Q226,R226)</f>
        <v>3.3789939119228549E-2</v>
      </c>
      <c r="S231" s="644">
        <f>S229*2/AVERAGE(R226,S226)</f>
        <v>0.13756234324822156</v>
      </c>
      <c r="T231" s="668">
        <f>T229/AVERAGE(Q226,T226)</f>
        <v>9.1664273337679888E-2</v>
      </c>
      <c r="U231" s="87">
        <f>U229*2/AVERAGE(T226,U226)</f>
        <v>6.6701861823813047E-2</v>
      </c>
      <c r="V231" s="644">
        <f>V229*2/AVERAGE(U226,V226)</f>
        <v>0.14714835073410754</v>
      </c>
      <c r="W231" s="668">
        <f>W229/AVERAGE(T226,W226)</f>
        <v>0.10826794967333903</v>
      </c>
      <c r="X231" s="58"/>
      <c r="Y231" s="644"/>
      <c r="Z231" s="668">
        <f>Z229/AVERAGE(Z226)</f>
        <v>2.5058626465661638E-2</v>
      </c>
      <c r="AA231" s="87">
        <f>AA229*2/AVERAGE(Z226,AA226)</f>
        <v>6.5625431794106015E-2</v>
      </c>
      <c r="AB231" s="644">
        <f>AB229*2/AVERAGE(AA226,AB226)</f>
        <v>0.23250255214761317</v>
      </c>
      <c r="AC231" s="668">
        <f>AC229/AVERAGE(Z226,AC226)</f>
        <v>0.15832553138238212</v>
      </c>
      <c r="AD231" s="87">
        <f>AD229*2/AVERAGE(AC226,AD226)</f>
        <v>-4.7104647067354503E-2</v>
      </c>
      <c r="AE231" s="644">
        <f>AE229*2/AVERAGE(AD226,AE226)</f>
        <v>0.42979442949665531</v>
      </c>
      <c r="AF231" s="668">
        <f>AF229/AVERAGE(AC226,AF226)</f>
        <v>0.24699828473413382</v>
      </c>
      <c r="AG231" s="87">
        <f>AG229*2/AVERAGE(AF226,AG226)</f>
        <v>-2.3019241919491686</v>
      </c>
      <c r="AH231" s="644">
        <f>AH229*2/AVERAGE(AG226,AH226)</f>
        <v>-0.37269311975258468</v>
      </c>
      <c r="AI231" s="668">
        <f>AI229/AVERAGE(AF226,AI226)</f>
        <v>-1.3536371088591974</v>
      </c>
      <c r="AJ231" s="87">
        <f>AJ229*2/AVERAGE(AI226,AJ226)</f>
        <v>0.2776866979478772</v>
      </c>
      <c r="AK231" s="644">
        <f>AK229*2/AVERAGE(AJ226,AK226)</f>
        <v>0.12746247283280213</v>
      </c>
      <c r="AL231" s="668">
        <f>AL229/AVERAGE(AI226,AL226)</f>
        <v>6.1894510226049512E-2</v>
      </c>
      <c r="AM231" s="87">
        <f>AM229*2/AVERAGE(AL226,AM226)</f>
        <v>0.25685376003847338</v>
      </c>
      <c r="AN231" s="644">
        <f>AN229*2/AVERAGE(AM226,AN226)</f>
        <v>0.77757533824518665</v>
      </c>
      <c r="AO231" s="668">
        <f>AO229/AVERAGE(AL226,AO226)</f>
        <v>0.31510880271135006</v>
      </c>
      <c r="AP231" s="87">
        <f>AP229*2/AVERAGE(AO226,AP226)</f>
        <v>0.87945400439901666</v>
      </c>
      <c r="AQ231" s="644">
        <f>AQ229*2/AVERAGE(AP226,AQ226)</f>
        <v>2.2726146220570014</v>
      </c>
      <c r="AR231" s="668">
        <f>AR229/AVERAGE(AO226,AR226)</f>
        <v>1.376853024363242</v>
      </c>
      <c r="AS231" s="87">
        <f>AS229*2/AVERAGE(AR226,AS226)</f>
        <v>2.2806322274402868</v>
      </c>
      <c r="AT231" s="644">
        <f>AT229*2/AVERAGE(AS226,AT226)</f>
        <v>2.1689160307514301</v>
      </c>
      <c r="AU231" s="668">
        <f>AU229/AVERAGE(AR226,AU226)</f>
        <v>2.1073816608852569</v>
      </c>
      <c r="AV231" s="87">
        <f>AV229*2/AVERAGE(AU226,AV226)</f>
        <v>2.4145605003567714</v>
      </c>
      <c r="AW231" s="644">
        <f>AW229*2/AVERAGE(AV226,AW226)</f>
        <v>1.7404193507833103</v>
      </c>
      <c r="AX231" s="668">
        <f>AX229/AVERAGE(AU226,AX226)</f>
        <v>1.9802625574880321</v>
      </c>
      <c r="AY231" s="87">
        <f>AY229*2/AVERAGE(AX226,AY226)</f>
        <v>2.5261271536361312</v>
      </c>
      <c r="AZ231" s="247">
        <f>AZ229*2/AVERAGE(AY226,AZ226)</f>
        <v>2.7825498389837398</v>
      </c>
      <c r="BA231" s="583">
        <f>BA229/AVERAGE(AX226,BA226)</f>
        <v>2.6810968443473273</v>
      </c>
      <c r="BB231" s="245">
        <f>BB229*2/AVERAGE(BA226,BB226)</f>
        <v>27.691190449006136</v>
      </c>
      <c r="BC231" s="247">
        <f>BC229*2/AVERAGE(BB226,BC226)</f>
        <v>-24.661615318994301</v>
      </c>
      <c r="BD231" s="583">
        <f>BD229/AVERAGE(BA226,BD226)</f>
        <v>4.8421983432736315</v>
      </c>
      <c r="BE231" s="245">
        <f>BE229*2/AVERAGE(BD226,BE226)</f>
        <v>70.222896122511671</v>
      </c>
      <c r="BF231" s="247">
        <f>BF229*2/AVERAGE(BE226,BF226)</f>
        <v>-12.335177601187691</v>
      </c>
      <c r="BG231" s="583">
        <f>BG229/AVERAGE(BD226,BG226)</f>
        <v>68.81203200339985</v>
      </c>
      <c r="BH231" s="245">
        <f>BH229*2/AVERAGE(BG226,BH226)</f>
        <v>-7.4851260079546416</v>
      </c>
      <c r="BI231" s="247">
        <f>BI229*2/AVERAGE(BH226,BI226)</f>
        <v>-5.1486668610498203</v>
      </c>
      <c r="BJ231" s="583">
        <f>BJ229/AVERAGE(BG226,BJ226)</f>
        <v>-6.9998165600708067</v>
      </c>
      <c r="BK231" s="245">
        <f>BK229*2/AVERAGE(BJ226,BK226)</f>
        <v>-4.1897229077920883</v>
      </c>
      <c r="BL231" s="247">
        <f>BL229*2/AVERAGE(BK226,BL226)</f>
        <v>-3.5215276299211675</v>
      </c>
      <c r="BM231" s="583">
        <f>BM229/AVERAGE(BJ226,BM226)</f>
        <v>-4.0276180492678719</v>
      </c>
    </row>
    <row r="232" spans="1:65">
      <c r="B232" s="58"/>
      <c r="C232" s="58"/>
      <c r="D232" s="58"/>
      <c r="E232" s="58"/>
      <c r="F232" s="58"/>
      <c r="G232" s="58"/>
      <c r="H232" s="58"/>
      <c r="I232" s="58"/>
      <c r="J232" s="58"/>
      <c r="K232" s="58"/>
      <c r="L232" s="58"/>
      <c r="M232" s="58"/>
      <c r="N232" s="58"/>
      <c r="O232" s="58"/>
      <c r="P232" s="58"/>
      <c r="Q232" s="58"/>
      <c r="R232" s="87"/>
      <c r="S232" s="644"/>
      <c r="T232" s="668"/>
      <c r="U232" s="87"/>
      <c r="V232" s="644"/>
      <c r="W232" s="668"/>
      <c r="X232" s="58"/>
      <c r="Y232" s="644"/>
      <c r="Z232" s="668"/>
      <c r="AA232" s="87"/>
      <c r="AB232" s="644"/>
      <c r="AC232" s="668"/>
      <c r="AD232" s="87"/>
      <c r="AE232" s="644"/>
      <c r="AF232" s="668"/>
      <c r="AG232" s="87"/>
      <c r="AH232" s="644"/>
      <c r="AI232" s="668"/>
      <c r="AJ232" s="87"/>
      <c r="AK232" s="644"/>
      <c r="AL232" s="668"/>
      <c r="AM232" s="87"/>
      <c r="AN232" s="644"/>
      <c r="AO232" s="668"/>
      <c r="AP232" s="87"/>
      <c r="AQ232" s="214"/>
      <c r="AR232" s="560"/>
      <c r="AS232" s="54"/>
      <c r="AT232" s="214"/>
      <c r="AU232" s="560"/>
      <c r="AV232" s="54"/>
      <c r="AW232" s="214"/>
      <c r="AX232" s="560"/>
      <c r="AY232" s="54"/>
      <c r="AZ232" s="214"/>
      <c r="BA232" s="560"/>
      <c r="BB232" s="54"/>
      <c r="BC232" s="214"/>
      <c r="BD232" s="560"/>
      <c r="BE232" s="54"/>
      <c r="BF232" s="214"/>
      <c r="BG232" s="560"/>
      <c r="BH232" s="54"/>
      <c r="BI232" s="214"/>
      <c r="BJ232" s="560"/>
      <c r="BK232" s="54"/>
      <c r="BL232" s="214"/>
      <c r="BM232" s="560"/>
    </row>
    <row r="233" spans="1:65">
      <c r="A233" s="25" t="s">
        <v>428</v>
      </c>
      <c r="B233" s="58">
        <f>B229/IS!B5</f>
        <v>6.6029544288271139E-2</v>
      </c>
      <c r="C233" s="58">
        <f>C229/IS!C5</f>
        <v>6.3435358307272607E-2</v>
      </c>
      <c r="D233" s="58">
        <f>D229/IS!D5</f>
        <v>4.3902868680298655E-2</v>
      </c>
      <c r="E233" s="58">
        <f>E229/IS!E5</f>
        <v>4.6850962659083492E-2</v>
      </c>
      <c r="F233" s="58">
        <f>F229/IS!F5</f>
        <v>5.0855819814958875E-2</v>
      </c>
      <c r="G233" s="58">
        <f>G229/IS!G5</f>
        <v>7.4999334133069973E-2</v>
      </c>
      <c r="H233" s="58">
        <f>H229/IS!H5</f>
        <v>7.4311348771621183E-2</v>
      </c>
      <c r="I233" s="58">
        <f>I229/IS!I5</f>
        <v>8.2124757678038993E-2</v>
      </c>
      <c r="J233" s="58">
        <f>J229/IS!J5</f>
        <v>7.5695086317421514E-2</v>
      </c>
      <c r="K233" s="58">
        <f>K229/IS!K5</f>
        <v>7.7374627249746447E-2</v>
      </c>
      <c r="L233" s="58">
        <f>L229/IS!L5</f>
        <v>6.9980524292596255E-2</v>
      </c>
      <c r="M233" s="58">
        <f>M229/IS!M5</f>
        <v>8.2818694079757407E-2</v>
      </c>
      <c r="N233" s="58">
        <f>N229/IS!N5</f>
        <v>9.5381713629415527E-2</v>
      </c>
      <c r="O233" s="58">
        <f>O229/IS!O5</f>
        <v>8.8954231602745487E-2</v>
      </c>
      <c r="P233" s="58">
        <f>P229/IS!P5</f>
        <v>9.2209328004673269E-2</v>
      </c>
      <c r="Q233" s="58">
        <f>Q229/IS!Q5</f>
        <v>8.4341268240930481E-2</v>
      </c>
      <c r="R233" s="87">
        <f>R229/IS!R5</f>
        <v>1.9042938178539678E-2</v>
      </c>
      <c r="S233" s="644">
        <f>S229/IS!S5</f>
        <v>6.6381933111306399E-2</v>
      </c>
      <c r="T233" s="668">
        <f>T229/IS!T5</f>
        <v>4.507397609708521E-2</v>
      </c>
      <c r="U233" s="87">
        <f>U229/IS!U5</f>
        <v>3.6071472981923661E-2</v>
      </c>
      <c r="V233" s="644">
        <f>V229/IS!V5</f>
        <v>6.9119471496805404E-2</v>
      </c>
      <c r="W233" s="668">
        <f>W229/IS!W5</f>
        <v>5.4019177805869421E-2</v>
      </c>
      <c r="X233" s="58"/>
      <c r="Y233" s="644"/>
      <c r="Z233" s="668">
        <f>Z229/IS!Z5</f>
        <v>4.9490374849891321E-3</v>
      </c>
      <c r="AA233" s="87">
        <f>AA229/IS!AA5</f>
        <v>1.3169364881693648E-2</v>
      </c>
      <c r="AB233" s="644">
        <f>AB229/IS!AB5</f>
        <v>3.8697322744389084E-2</v>
      </c>
      <c r="AC233" s="668">
        <f>AC229/IS!AC5</f>
        <v>2.6758874737189624E-2</v>
      </c>
      <c r="AD233" s="87">
        <f>AD229/IS!AD5</f>
        <v>-8.3120195253491725E-3</v>
      </c>
      <c r="AE233" s="644">
        <f>AE229/IS!AE5</f>
        <v>5.0930931839204739E-2</v>
      </c>
      <c r="AF233" s="668">
        <f>AF229/IS!AF5</f>
        <v>2.7449582840680112E-2</v>
      </c>
      <c r="AG233" s="87">
        <f>AG229/IS!AG5</f>
        <v>-0.30134882426523912</v>
      </c>
      <c r="AH233" s="644">
        <f>AH229/IS!AH5</f>
        <v>-6.081902120344828E-2</v>
      </c>
      <c r="AI233" s="668">
        <f>AI229/IS!AI5</f>
        <v>-0.17770187942635396</v>
      </c>
      <c r="AJ233" s="87">
        <f>AJ229/IS!AJ5</f>
        <v>4.5926946695224763E-2</v>
      </c>
      <c r="AK233" s="644">
        <f>AK229/IS!AK5</f>
        <v>1.8127748540119674E-2</v>
      </c>
      <c r="AL233" s="668">
        <f>AL229/IS!AL5</f>
        <v>1.0505161231387596E-2</v>
      </c>
      <c r="AM233" s="87">
        <f>AM229/IS!AM5</f>
        <v>3.9885401603562867E-2</v>
      </c>
      <c r="AN233" s="644">
        <f>AN229/IS!AN5</f>
        <v>7.7910247388172399E-2</v>
      </c>
      <c r="AO233" s="668">
        <f>AO229/IS!AO5</f>
        <v>3.9404118659121627E-2</v>
      </c>
      <c r="AP233" s="87">
        <f>AP229/IS!AP5</f>
        <v>7.4658685265528033E-2</v>
      </c>
      <c r="AQ233" s="644">
        <f>AQ229/IS!AQ5</f>
        <v>0.10840524884738149</v>
      </c>
      <c r="AR233" s="668">
        <f>AR229/IS!AR5</f>
        <v>9.3374742712673625E-2</v>
      </c>
      <c r="AS233" s="87">
        <f>AS229/IS!AS5</f>
        <v>9.9997165924493148E-2</v>
      </c>
      <c r="AT233" s="644">
        <f>AT229/IS!AT5</f>
        <v>0.10035668267676155</v>
      </c>
      <c r="AU233" s="668">
        <f>AU229/IS!AU5</f>
        <v>0.10024467896075656</v>
      </c>
      <c r="AV233" s="87">
        <f>AV229/IS!AV5</f>
        <v>0.14942709069779953</v>
      </c>
      <c r="AW233" s="644">
        <f>AW229/IS!AW5</f>
        <v>0.10990332157395973</v>
      </c>
      <c r="AX233" s="668">
        <f>AX229/IS!AX5</f>
        <v>0.12779549731632972</v>
      </c>
      <c r="AY233" s="87">
        <f>AY229/IS!AY5</f>
        <v>0.16685563697658637</v>
      </c>
      <c r="AZ233" s="247">
        <f>AZ229/IS!AZ5</f>
        <v>0.14745177497453962</v>
      </c>
      <c r="BA233" s="583">
        <f>BA229/IS!BA5</f>
        <v>0.15671742366230526</v>
      </c>
      <c r="BB233" s="245">
        <f>BB229/IS!BB5</f>
        <v>0.16000044819976467</v>
      </c>
      <c r="BC233" s="247">
        <f>BC229/IS!BC5</f>
        <v>0.15703410849373159</v>
      </c>
      <c r="BD233" s="583">
        <f>BD229/IS!BD5</f>
        <v>0.15847004835285561</v>
      </c>
      <c r="BE233" s="245">
        <f>BE229/IS!BE5</f>
        <v>0.1670625383035215</v>
      </c>
      <c r="BF233" s="247">
        <f>BF229/IS!BF5</f>
        <v>0.16448700647581838</v>
      </c>
      <c r="BG233" s="583">
        <f>BG229/IS!BG5</f>
        <v>0.16572182556546244</v>
      </c>
      <c r="BH233" s="245">
        <f>BH229/IS!BH5</f>
        <v>0.17443035443031324</v>
      </c>
      <c r="BI233" s="247">
        <f>BI229/IS!BI5</f>
        <v>0.17227427446330257</v>
      </c>
      <c r="BJ233" s="583">
        <f>BJ229/IS!BJ5</f>
        <v>0.17330813209580215</v>
      </c>
      <c r="BK233" s="245">
        <f>BK229/IS!BK5</f>
        <v>0.18105223430256839</v>
      </c>
      <c r="BL233" s="247">
        <f>BL229/IS!BL5</f>
        <v>0.1793178340537431</v>
      </c>
      <c r="BM233" s="583">
        <f>BM229/IS!BM5</f>
        <v>0.18015029129582671</v>
      </c>
    </row>
    <row r="234" spans="1:65">
      <c r="A234" s="25" t="s">
        <v>429</v>
      </c>
      <c r="B234" s="81">
        <f>IS!B5/AVERAGE(BS!A225:B225)</f>
        <v>1.7116170461179219</v>
      </c>
      <c r="C234" s="81">
        <f>IS!C5/AVERAGE(BS!B225:C225)</f>
        <v>1.8326093252244424</v>
      </c>
      <c r="D234" s="81">
        <f>IS!D5/AVERAGE(BS!C225:D225)</f>
        <v>1.6948755490483163</v>
      </c>
      <c r="E234" s="81">
        <f>IS!E5/AVERAGE(BS!D225:E225)</f>
        <v>1.7321264191469776</v>
      </c>
      <c r="F234" s="81">
        <f>IS!F5/AVERAGE(BS!E225:F225)</f>
        <v>1.7800059862316671</v>
      </c>
      <c r="G234" s="81">
        <f>IS!G5/AVERAGE(BS!F225:G225)</f>
        <v>1.8443524203912609</v>
      </c>
      <c r="H234" s="81">
        <f>IS!H5/AVERAGE(BS!G225:H225)</f>
        <v>2.2352941176470589</v>
      </c>
      <c r="I234" s="81">
        <f>IS!I5/AVERAGE(BS!H225:I225)</f>
        <v>2.7090625541500608</v>
      </c>
      <c r="J234" s="81">
        <f>IS!J5/AVERAGE(BS!I225:J225)</f>
        <v>2.5129120879120879</v>
      </c>
      <c r="K234" s="81">
        <f>IS!K5/AVERAGE(BS!J225:K225)</f>
        <v>2.2345528904609262</v>
      </c>
      <c r="L234" s="81">
        <f>IS!L5/AVERAGE(BS!K225:L225)</f>
        <v>2.3973524544953118</v>
      </c>
      <c r="M234" s="81">
        <f>IS!M5/AVERAGE(BS!L225:M225)</f>
        <v>2.1562141491395792</v>
      </c>
      <c r="N234" s="81">
        <f>IS!N5/AVERAGE(BS!M225:N225)</f>
        <v>2.0981268259151058</v>
      </c>
      <c r="O234" s="81">
        <f>IS!O5/AVERAGE(BS!N225:O225)</f>
        <v>2.3078068021135669</v>
      </c>
      <c r="P234" s="81">
        <f>IS!P5/AVERAGE(BS!O225:P225)</f>
        <v>1.8974885376035038</v>
      </c>
      <c r="Q234" s="81">
        <f>IS!Q5/AVERAGE(BS!P225:Q225)</f>
        <v>1.8043507634103499</v>
      </c>
      <c r="R234" s="81">
        <f>IS!R5*2/AVERAGE(BS!Q225,R225)</f>
        <v>1.4422727005928273</v>
      </c>
      <c r="S234" s="636">
        <f>IS!S5*2/AVERAGE(BS!R225,S225)</f>
        <v>1.7006121313299944</v>
      </c>
      <c r="T234" s="659">
        <f>IS!T5/AVERAGE(BS!Q225,T225)</f>
        <v>1.6611027417896957</v>
      </c>
      <c r="U234" s="81">
        <f>IS!U5*2/AVERAGE(BS!T225,U225)</f>
        <v>1.5309991079393399</v>
      </c>
      <c r="V234" s="636">
        <f>IS!V5*2/AVERAGE(BS!U225,V225)</f>
        <v>1.7737761483717922</v>
      </c>
      <c r="W234" s="659">
        <f>IS!W5/AVERAGE(BS!T225,W225)</f>
        <v>1.6637265711135611</v>
      </c>
      <c r="X234" s="81"/>
      <c r="Y234" s="636"/>
      <c r="Z234" s="659">
        <f>IS!Z5/AVERAGE(BS!Z225)</f>
        <v>3.2204946996466433</v>
      </c>
      <c r="AA234" s="81">
        <f>IS!AA5*2/AVERAGE(BS!Z225,AA225)</f>
        <v>3.4237082066869302</v>
      </c>
      <c r="AB234" s="636">
        <f>IS!AB5*2/AVERAGE(BS!AA225,AB225)</f>
        <v>4.3283904017255326</v>
      </c>
      <c r="AC234" s="659">
        <f>IS!AC5/AVERAGE(BS!Z225,AC225)</f>
        <v>3.9221658206429781</v>
      </c>
      <c r="AD234" s="81">
        <f>IS!AD5*2/AVERAGE(BS!AC225,AD225)</f>
        <v>4.0373369938229242</v>
      </c>
      <c r="AE234" s="636">
        <f>IS!AE5*2/AVERAGE(BS!AD225,AE225)</f>
        <v>5.506290377422645</v>
      </c>
      <c r="AF234" s="659">
        <f>IS!AF5/AVERAGE(BS!AC225,AF225)</f>
        <v>5.6458980449479261</v>
      </c>
      <c r="AG234" s="81">
        <f>IS!AG5*2/AVERAGE(BS!AF225,AG225)</f>
        <v>4.4738535800482699</v>
      </c>
      <c r="AH234" s="636">
        <f>IS!AH5*2/AVERAGE(BS!AG225,AH225)</f>
        <v>3.9316697370624687</v>
      </c>
      <c r="AI234" s="659">
        <f>IS!AI5/AVERAGE(BS!AF225,AI225)</f>
        <v>4.5097652396922472</v>
      </c>
      <c r="AJ234" s="81">
        <f>IS!AJ5*2/AVERAGE(BS!AI225,AJ225)</f>
        <v>3.7570530098831987</v>
      </c>
      <c r="AK234" s="636">
        <f>IS!AK5*2/AVERAGE(BS!AJ225,AK225)</f>
        <v>4.3064182194616976</v>
      </c>
      <c r="AL234" s="659">
        <f>IS!AL5/AVERAGE(BS!AI225,AL225)</f>
        <v>3.7644429160935351</v>
      </c>
      <c r="AM234" s="81">
        <f>IS!AM5*2/AVERAGE(BS!AL225,AM225)</f>
        <v>3.9362254356692623</v>
      </c>
      <c r="AN234" s="636">
        <f>IS!AN5*2/AVERAGE(BS!AM225,AN225)</f>
        <v>5.7578475336322867</v>
      </c>
      <c r="AO234" s="659">
        <f>IS!AO5/AVERAGE(BS!AL225,AO225)</f>
        <v>4.7899603698811095</v>
      </c>
      <c r="AP234" s="81">
        <f>IS!AP5*2/AVERAGE(BS!AO225,AP225)</f>
        <v>6.1531651173085438</v>
      </c>
      <c r="AQ234" s="636">
        <f>IS!AQ5*2/AVERAGE(BS!AP225,AQ225)</f>
        <v>9.0494784701791922</v>
      </c>
      <c r="AR234" s="659">
        <f>IS!AR5/AVERAGE(BS!AO225,AR225)</f>
        <v>7.2427732079905995</v>
      </c>
      <c r="AS234" s="81">
        <f>IS!AS5*2/AVERAGE(BS!AR225,AS225)</f>
        <v>9.2217526063679909</v>
      </c>
      <c r="AT234" s="636">
        <f>IS!AT5*2/AVERAGE(BS!AS225,AT225)</f>
        <v>10.053042121684868</v>
      </c>
      <c r="AU234" s="659">
        <f>IS!AU5/AVERAGE(BS!AR225,AU225)</f>
        <v>9.4609064404982774</v>
      </c>
      <c r="AV234" s="81">
        <f>IS!AV5*2/AVERAGE(BS!AU225,AV225)</f>
        <v>8.5042253521126767</v>
      </c>
      <c r="AW234" s="636">
        <f>IS!AW5*2/AVERAGE(BS!AV225,AW225)</f>
        <v>9.1378737541528245</v>
      </c>
      <c r="AX234" s="659">
        <f>IS!AX5/AVERAGE(BS!AU225,AX225)</f>
        <v>8.6722870730652826</v>
      </c>
      <c r="AY234" s="81">
        <f>IS!AY5*2/AVERAGE(BS!AX225,AY225)</f>
        <v>8.9658187599364076</v>
      </c>
      <c r="AZ234" s="235">
        <f>IS!AZ5*2/AVERAGE(BS!AY225,AZ225)</f>
        <v>10.572994374893474</v>
      </c>
      <c r="BA234" s="611">
        <f>IS!BA5/AVERAGE(BS!AX225,BA225)</f>
        <v>9.805245326045025</v>
      </c>
      <c r="BB234" s="173">
        <f>IS!BB5*2/AVERAGE(BS!BA225,BB225)</f>
        <v>21.939842520548652</v>
      </c>
      <c r="BC234" s="235">
        <f>IS!BC5*2/AVERAGE(BS!BB225,BC225)</f>
        <v>32.28204034733097</v>
      </c>
      <c r="BD234" s="611">
        <f>IS!BD5/AVERAGE(BS!BA225,BD225)</f>
        <v>14.032998763425745</v>
      </c>
      <c r="BE234" s="173">
        <f>IS!BE5*2/AVERAGE(BS!BD225,BE225)</f>
        <v>25.855807852496028</v>
      </c>
      <c r="BF234" s="235">
        <f>IS!BF5*2/AVERAGE(BS!BE225,BF225)</f>
        <v>49.762736250853841</v>
      </c>
      <c r="BG234" s="611">
        <f>IS!BG5/AVERAGE(BS!BD225,BG225)</f>
        <v>26.872355808745194</v>
      </c>
      <c r="BH234" s="173">
        <f>IS!BH5*2/AVERAGE(BS!BG225,BH225)</f>
        <v>110.07894789513293</v>
      </c>
      <c r="BI234" s="235">
        <f>IS!BI5*2/AVERAGE(BS!BH225,BI225)</f>
        <v>-276.0716606728792</v>
      </c>
      <c r="BJ234" s="611">
        <f>IS!BJ5/AVERAGE(BS!BG225,BJ225)</f>
        <v>158.68874862097948</v>
      </c>
      <c r="BK234" s="173">
        <f>IS!BK5*2/AVERAGE(BS!BJ225,BK225)</f>
        <v>-69.811340585608079</v>
      </c>
      <c r="BL234" s="235">
        <f>IS!BL5*2/AVERAGE(BS!BK225,BL225)</f>
        <v>-41.225228020059561</v>
      </c>
      <c r="BM234" s="611">
        <f>IS!BM5/AVERAGE(BS!BJ225,BM225)</f>
        <v>-58.833773584423582</v>
      </c>
    </row>
    <row r="235" spans="1:65">
      <c r="A235" s="31" t="s">
        <v>427</v>
      </c>
      <c r="B235" s="132">
        <f>B233*B234</f>
        <v>0.11301729355120314</v>
      </c>
      <c r="C235" s="132">
        <f t="shared" ref="C235:BM235" si="945">C233*C234</f>
        <v>0.11625222918286159</v>
      </c>
      <c r="D235" s="132">
        <f t="shared" si="945"/>
        <v>7.4409898659317311E-2</v>
      </c>
      <c r="E235" s="132">
        <f t="shared" si="945"/>
        <v>8.1151790184267047E-2</v>
      </c>
      <c r="F235" s="132">
        <f t="shared" si="945"/>
        <v>9.0523663705345828E-2</v>
      </c>
      <c r="G235" s="132">
        <f t="shared" si="945"/>
        <v>0.1383252034360605</v>
      </c>
      <c r="H235" s="132">
        <f t="shared" si="945"/>
        <v>0.16610772078362382</v>
      </c>
      <c r="I235" s="132">
        <f t="shared" si="945"/>
        <v>0.22248110579422314</v>
      </c>
      <c r="J235" s="132">
        <f t="shared" si="945"/>
        <v>0.1902150974025974</v>
      </c>
      <c r="K235" s="132">
        <f t="shared" si="945"/>
        <v>0.17289769696925766</v>
      </c>
      <c r="L235" s="132">
        <f t="shared" si="945"/>
        <v>0.16776798167972443</v>
      </c>
      <c r="M235" s="132">
        <f t="shared" si="945"/>
        <v>0.17857483998803522</v>
      </c>
      <c r="N235" s="132">
        <f t="shared" si="945"/>
        <v>0.20012293206762918</v>
      </c>
      <c r="O235" s="132">
        <f t="shared" si="945"/>
        <v>0.20528918076960165</v>
      </c>
      <c r="P235" s="132">
        <f t="shared" si="945"/>
        <v>0.17496614294898929</v>
      </c>
      <c r="Q235" s="132">
        <f t="shared" si="945"/>
        <v>0.15218123173752002</v>
      </c>
      <c r="R235" s="345">
        <f t="shared" ref="R235:S235" si="946">R233*R234</f>
        <v>2.7465109873984678E-2</v>
      </c>
      <c r="S235" s="646">
        <f t="shared" si="946"/>
        <v>0.1128899207502239</v>
      </c>
      <c r="T235" s="670">
        <f t="shared" si="945"/>
        <v>7.4872505278231458E-2</v>
      </c>
      <c r="U235" s="345">
        <f t="shared" si="945"/>
        <v>5.5225392957383129E-2</v>
      </c>
      <c r="V235" s="646">
        <f t="shared" si="945"/>
        <v>0.12260246992909736</v>
      </c>
      <c r="W235" s="670">
        <f t="shared" ref="W235:AN235" si="947">W233*W234</f>
        <v>8.9873141465332915E-2</v>
      </c>
      <c r="X235" s="132"/>
      <c r="Y235" s="646"/>
      <c r="Z235" s="670">
        <f t="shared" si="947"/>
        <v>1.5938348988760054E-2</v>
      </c>
      <c r="AA235" s="345">
        <f t="shared" si="947"/>
        <v>4.5088062622309195E-2</v>
      </c>
      <c r="AB235" s="646">
        <f t="shared" si="947"/>
        <v>0.16749712033928885</v>
      </c>
      <c r="AC235" s="670">
        <f t="shared" si="947"/>
        <v>0.10495274389307199</v>
      </c>
      <c r="AD235" s="345">
        <f t="shared" ref="AD235:AE235" si="948">AD233*AD234</f>
        <v>-3.3558423923070679E-2</v>
      </c>
      <c r="AE235" s="646">
        <f t="shared" si="948"/>
        <v>0.28044049989938169</v>
      </c>
      <c r="AF235" s="670">
        <f t="shared" si="947"/>
        <v>0.154977546094832</v>
      </c>
      <c r="AG235" s="345">
        <f t="shared" si="947"/>
        <v>-1.3481905162823771</v>
      </c>
      <c r="AH235" s="646">
        <f t="shared" si="947"/>
        <v>-0.23912030510335822</v>
      </c>
      <c r="AI235" s="670">
        <f t="shared" si="947"/>
        <v>-0.80139375886495401</v>
      </c>
      <c r="AJ235" s="345">
        <f t="shared" ref="AJ235:AK235" si="949">AJ233*AJ234</f>
        <v>0.17254997331603941</v>
      </c>
      <c r="AK235" s="646">
        <f t="shared" si="949"/>
        <v>7.8065666590991553E-2</v>
      </c>
      <c r="AL235" s="670">
        <f t="shared" si="947"/>
        <v>3.9546079779917469E-2</v>
      </c>
      <c r="AM235" s="345">
        <f t="shared" si="947"/>
        <v>0.15699793230382775</v>
      </c>
      <c r="AN235" s="646">
        <f t="shared" si="947"/>
        <v>0.44859532576866978</v>
      </c>
      <c r="AO235" s="670">
        <f t="shared" si="945"/>
        <v>0.18874416678728537</v>
      </c>
      <c r="AP235" s="345">
        <f t="shared" ref="AP235:AR235" si="950">AP233*AP234</f>
        <v>0.45938721787996445</v>
      </c>
      <c r="AQ235" s="646">
        <f t="shared" si="950"/>
        <v>0.98101096549879652</v>
      </c>
      <c r="AR235" s="670">
        <f t="shared" si="950"/>
        <v>0.67629208482236802</v>
      </c>
      <c r="AS235" s="345">
        <f t="shared" ref="AS235:AU235" si="951">AS233*AS234</f>
        <v>0.92214912549360717</v>
      </c>
      <c r="AT235" s="646">
        <f t="shared" si="951"/>
        <v>1.0088899581420461</v>
      </c>
      <c r="AU235" s="670">
        <f t="shared" si="951"/>
        <v>0.94840552880550388</v>
      </c>
      <c r="AV235" s="345">
        <f t="shared" ref="AV235:AW235" si="952">AV233*AV234</f>
        <v>1.270761653004667</v>
      </c>
      <c r="AW235" s="646">
        <f t="shared" si="952"/>
        <v>1.0042826777049045</v>
      </c>
      <c r="AX235" s="670">
        <f t="shared" si="945"/>
        <v>1.1082792393723553</v>
      </c>
      <c r="AY235" s="345">
        <f t="shared" si="945"/>
        <v>1.495997400205817</v>
      </c>
      <c r="AZ235" s="482">
        <f t="shared" si="945"/>
        <v>1.5590067873738658</v>
      </c>
      <c r="BA235" s="582">
        <f t="shared" si="945"/>
        <v>1.5366527858746366</v>
      </c>
      <c r="BB235" s="205">
        <f t="shared" si="945"/>
        <v>3.5103846367200386</v>
      </c>
      <c r="BC235" s="482">
        <f t="shared" si="945"/>
        <v>5.069381426301792</v>
      </c>
      <c r="BD235" s="582">
        <f t="shared" si="945"/>
        <v>2.2238099925756409</v>
      </c>
      <c r="BE235" s="205">
        <f t="shared" si="945"/>
        <v>4.3195368897261099</v>
      </c>
      <c r="BF235" s="482">
        <f t="shared" si="945"/>
        <v>8.1853235199486374</v>
      </c>
      <c r="BG235" s="582">
        <f t="shared" si="945"/>
        <v>4.4533358618699124</v>
      </c>
      <c r="BH235" s="205">
        <f t="shared" si="945"/>
        <v>19.201109896664018</v>
      </c>
      <c r="BI235" s="482">
        <f t="shared" si="945"/>
        <v>-47.560045042299329</v>
      </c>
      <c r="BJ235" s="582">
        <f t="shared" si="945"/>
        <v>27.502050608122254</v>
      </c>
      <c r="BK235" s="205">
        <f t="shared" si="945"/>
        <v>-12.639499192681916</v>
      </c>
      <c r="BL235" s="482">
        <f t="shared" si="945"/>
        <v>-7.3924185969287608</v>
      </c>
      <c r="BM235" s="582">
        <f t="shared" si="945"/>
        <v>-10.598921449266623</v>
      </c>
    </row>
    <row r="236" spans="1:65" ht="11.4">
      <c r="B236" s="40"/>
      <c r="C236" s="40"/>
      <c r="D236" s="40"/>
      <c r="E236" s="40"/>
      <c r="F236" s="40"/>
      <c r="G236" s="40"/>
      <c r="H236" s="40"/>
      <c r="I236" s="40"/>
      <c r="J236" s="40"/>
      <c r="K236" s="40"/>
      <c r="L236" s="40"/>
      <c r="M236" s="40"/>
      <c r="N236" s="40"/>
      <c r="O236" s="40"/>
      <c r="P236" s="40"/>
      <c r="Q236" s="40"/>
      <c r="R236" s="108"/>
      <c r="S236" s="676"/>
      <c r="T236" s="653"/>
      <c r="U236" s="108"/>
      <c r="V236" s="676"/>
      <c r="W236" s="653"/>
      <c r="X236" s="40"/>
      <c r="Y236" s="630"/>
      <c r="Z236" s="653"/>
      <c r="AA236" s="108"/>
      <c r="AB236" s="676"/>
      <c r="AC236" s="679"/>
      <c r="AD236" s="108"/>
      <c r="AE236" s="676"/>
      <c r="AF236" s="679"/>
      <c r="AG236" s="108"/>
      <c r="AH236" s="676"/>
      <c r="AI236" s="679"/>
      <c r="AJ236" s="108"/>
      <c r="AK236" s="676"/>
      <c r="AL236" s="679"/>
      <c r="AM236" s="108"/>
      <c r="AN236" s="676"/>
      <c r="AO236" s="679"/>
      <c r="AP236" s="108"/>
      <c r="AQ236" s="676"/>
      <c r="AR236" s="679"/>
      <c r="AS236" s="108"/>
      <c r="AT236" s="676"/>
      <c r="AU236" s="679"/>
      <c r="AV236" s="108"/>
      <c r="AW236" s="676"/>
      <c r="AX236" s="679"/>
      <c r="AY236" s="108"/>
      <c r="AZ236" s="688"/>
      <c r="BA236" s="685"/>
      <c r="BB236" s="19"/>
      <c r="BC236" s="688"/>
      <c r="BD236" s="685"/>
      <c r="BE236" s="19"/>
      <c r="BF236" s="688"/>
      <c r="BG236" s="685"/>
      <c r="BH236" s="19"/>
      <c r="BI236" s="688"/>
      <c r="BJ236" s="685"/>
      <c r="BK236" s="19"/>
      <c r="BL236" s="688"/>
      <c r="BM236" s="685"/>
    </row>
    <row r="237" spans="1:65">
      <c r="A237" s="25" t="s">
        <v>350</v>
      </c>
      <c r="B237" s="40">
        <f t="shared" ref="B237:BM238" si="953">B49</f>
        <v>2040</v>
      </c>
      <c r="C237" s="40">
        <f t="shared" si="953"/>
        <v>2068</v>
      </c>
      <c r="D237" s="40">
        <f t="shared" si="953"/>
        <v>2035</v>
      </c>
      <c r="E237" s="40">
        <f t="shared" si="953"/>
        <v>2140</v>
      </c>
      <c r="F237" s="40">
        <f t="shared" si="953"/>
        <v>1442</v>
      </c>
      <c r="G237" s="40">
        <f t="shared" si="953"/>
        <v>1499</v>
      </c>
      <c r="H237" s="40">
        <f t="shared" si="953"/>
        <v>2718</v>
      </c>
      <c r="I237" s="40">
        <f t="shared" si="953"/>
        <v>3174</v>
      </c>
      <c r="J237" s="40">
        <f t="shared" si="953"/>
        <v>2216</v>
      </c>
      <c r="K237" s="40">
        <f t="shared" si="953"/>
        <v>3782</v>
      </c>
      <c r="L237" s="40">
        <f t="shared" si="953"/>
        <v>3975</v>
      </c>
      <c r="M237" s="40">
        <f t="shared" si="953"/>
        <v>4518</v>
      </c>
      <c r="N237" s="40">
        <f t="shared" si="953"/>
        <v>5979</v>
      </c>
      <c r="O237" s="40">
        <f t="shared" si="953"/>
        <v>5605</v>
      </c>
      <c r="P237" s="40">
        <f t="shared" si="953"/>
        <v>6382</v>
      </c>
      <c r="Q237" s="40">
        <f t="shared" si="953"/>
        <v>5014</v>
      </c>
      <c r="R237" s="40">
        <f t="shared" ref="R237:S237" si="954">R49</f>
        <v>3840</v>
      </c>
      <c r="S237" s="630">
        <f t="shared" si="954"/>
        <v>1862</v>
      </c>
      <c r="T237" s="653">
        <f t="shared" si="953"/>
        <v>1862</v>
      </c>
      <c r="U237" s="40">
        <f t="shared" si="953"/>
        <v>3241</v>
      </c>
      <c r="V237" s="630">
        <f t="shared" si="953"/>
        <v>6167</v>
      </c>
      <c r="W237" s="653">
        <f t="shared" si="953"/>
        <v>6167</v>
      </c>
      <c r="X237" s="40"/>
      <c r="Y237" s="630"/>
      <c r="Z237" s="653">
        <f t="shared" si="953"/>
        <v>930</v>
      </c>
      <c r="AA237" s="40">
        <f t="shared" ref="AA237:AB237" si="955">AA49</f>
        <v>751</v>
      </c>
      <c r="AB237" s="630">
        <f t="shared" si="955"/>
        <v>-1074</v>
      </c>
      <c r="AC237" s="653">
        <f t="shared" si="953"/>
        <v>-1074</v>
      </c>
      <c r="AD237" s="40">
        <f t="shared" si="953"/>
        <v>-2623</v>
      </c>
      <c r="AE237" s="630">
        <f t="shared" si="953"/>
        <v>-3376</v>
      </c>
      <c r="AF237" s="653">
        <f t="shared" si="953"/>
        <v>-3376</v>
      </c>
      <c r="AG237" s="40">
        <f t="shared" ref="AG237:AH237" si="956">AG49</f>
        <v>-8148</v>
      </c>
      <c r="AH237" s="630">
        <f t="shared" si="956"/>
        <v>-4897</v>
      </c>
      <c r="AI237" s="653">
        <f t="shared" si="953"/>
        <v>-4897</v>
      </c>
      <c r="AJ237" s="40">
        <f t="shared" si="953"/>
        <v>-4614</v>
      </c>
      <c r="AK237" s="630">
        <f t="shared" si="953"/>
        <v>-4662</v>
      </c>
      <c r="AL237" s="653">
        <f>AL49</f>
        <v>-4662</v>
      </c>
      <c r="AM237" s="40">
        <f t="shared" ref="AM237:AN237" si="957">AM49</f>
        <v>-6291</v>
      </c>
      <c r="AN237" s="630">
        <f t="shared" si="957"/>
        <v>-6050</v>
      </c>
      <c r="AO237" s="653">
        <f t="shared" si="953"/>
        <v>-6050</v>
      </c>
      <c r="AP237" s="40">
        <f t="shared" ref="AP237:AR237" si="958">AP49</f>
        <v>-5004</v>
      </c>
      <c r="AQ237" s="630">
        <f t="shared" si="958"/>
        <v>-3681</v>
      </c>
      <c r="AR237" s="653">
        <f t="shared" si="958"/>
        <v>-3681</v>
      </c>
      <c r="AS237" s="40">
        <f t="shared" ref="AS237:AU237" si="959">AS49</f>
        <v>-2292</v>
      </c>
      <c r="AT237" s="630">
        <f t="shared" si="959"/>
        <v>-912</v>
      </c>
      <c r="AU237" s="653">
        <f t="shared" si="959"/>
        <v>-912</v>
      </c>
      <c r="AV237" s="40">
        <f t="shared" ref="AV237:AW237" si="960">AV49</f>
        <v>2408</v>
      </c>
      <c r="AW237" s="630">
        <f t="shared" si="960"/>
        <v>2726</v>
      </c>
      <c r="AX237" s="653">
        <f t="shared" si="953"/>
        <v>2726</v>
      </c>
      <c r="AY237" s="40">
        <f t="shared" si="953"/>
        <v>2853</v>
      </c>
      <c r="AZ237" s="236">
        <f t="shared" si="953"/>
        <v>3077.6241020299876</v>
      </c>
      <c r="BA237" s="605">
        <f t="shared" si="953"/>
        <v>3077.6241020299876</v>
      </c>
      <c r="BB237" s="56">
        <f t="shared" si="953"/>
        <v>3010.0477786439174</v>
      </c>
      <c r="BC237" s="236">
        <f t="shared" si="953"/>
        <v>3138.8790906027771</v>
      </c>
      <c r="BD237" s="605">
        <f t="shared" si="953"/>
        <v>3138.8790906027771</v>
      </c>
      <c r="BE237" s="56">
        <f t="shared" si="953"/>
        <v>3420.3672167130644</v>
      </c>
      <c r="BF237" s="236">
        <f t="shared" si="953"/>
        <v>3831.9758972633122</v>
      </c>
      <c r="BG237" s="605">
        <f t="shared" si="953"/>
        <v>3831.9758972633122</v>
      </c>
      <c r="BH237" s="56">
        <f t="shared" si="953"/>
        <v>5796.2897658162892</v>
      </c>
      <c r="BI237" s="236">
        <f t="shared" si="953"/>
        <v>7913.7679605624262</v>
      </c>
      <c r="BJ237" s="605">
        <f t="shared" si="953"/>
        <v>7913.7679605624262</v>
      </c>
      <c r="BK237" s="56">
        <f t="shared" si="953"/>
        <v>10266.827236812387</v>
      </c>
      <c r="BL237" s="236">
        <f t="shared" si="953"/>
        <v>12788.83392255414</v>
      </c>
      <c r="BM237" s="605">
        <f t="shared" si="953"/>
        <v>12788.83392255414</v>
      </c>
    </row>
    <row r="238" spans="1:65">
      <c r="A238" s="25" t="s">
        <v>323</v>
      </c>
      <c r="B238" s="40">
        <f t="shared" ref="B238:BM238" si="961">B50</f>
        <v>1</v>
      </c>
      <c r="C238" s="40">
        <f t="shared" si="961"/>
        <v>2</v>
      </c>
      <c r="D238" s="40">
        <f t="shared" si="961"/>
        <v>2</v>
      </c>
      <c r="E238" s="40">
        <f t="shared" si="961"/>
        <v>3</v>
      </c>
      <c r="F238" s="40">
        <f t="shared" si="961"/>
        <v>4</v>
      </c>
      <c r="G238" s="40">
        <f t="shared" si="961"/>
        <v>6</v>
      </c>
      <c r="H238" s="40">
        <f t="shared" si="961"/>
        <v>7</v>
      </c>
      <c r="I238" s="40">
        <f t="shared" si="961"/>
        <v>12</v>
      </c>
      <c r="J238" s="40">
        <f t="shared" si="961"/>
        <v>9</v>
      </c>
      <c r="K238" s="40">
        <f t="shared" si="961"/>
        <v>0</v>
      </c>
      <c r="L238" s="40">
        <f t="shared" si="961"/>
        <v>4</v>
      </c>
      <c r="M238" s="40">
        <f t="shared" si="961"/>
        <v>1</v>
      </c>
      <c r="N238" s="40">
        <f t="shared" si="961"/>
        <v>17</v>
      </c>
      <c r="O238" s="40">
        <f t="shared" si="961"/>
        <v>698</v>
      </c>
      <c r="P238" s="40">
        <f t="shared" si="961"/>
        <v>5</v>
      </c>
      <c r="Q238" s="40">
        <f t="shared" si="961"/>
        <v>2</v>
      </c>
      <c r="R238" s="40">
        <f t="shared" ref="R238:S238" si="962">R50</f>
        <v>2</v>
      </c>
      <c r="S238" s="630">
        <f t="shared" si="962"/>
        <v>2</v>
      </c>
      <c r="T238" s="653">
        <f t="shared" si="961"/>
        <v>2</v>
      </c>
      <c r="U238" s="40">
        <f t="shared" si="961"/>
        <v>2</v>
      </c>
      <c r="V238" s="630">
        <f t="shared" si="961"/>
        <v>3</v>
      </c>
      <c r="W238" s="653">
        <f t="shared" si="961"/>
        <v>3</v>
      </c>
      <c r="X238" s="40"/>
      <c r="Y238" s="630"/>
      <c r="Z238" s="653">
        <f t="shared" si="961"/>
        <v>3</v>
      </c>
      <c r="AA238" s="40">
        <f t="shared" ref="AA238:AB238" si="963">AA50</f>
        <v>19</v>
      </c>
      <c r="AB238" s="630">
        <f t="shared" si="963"/>
        <v>22</v>
      </c>
      <c r="AC238" s="653">
        <f t="shared" si="961"/>
        <v>22</v>
      </c>
      <c r="AD238" s="40">
        <f t="shared" si="961"/>
        <v>24</v>
      </c>
      <c r="AE238" s="630">
        <f t="shared" si="961"/>
        <v>22</v>
      </c>
      <c r="AF238" s="653">
        <f t="shared" si="961"/>
        <v>22</v>
      </c>
      <c r="AG238" s="40">
        <f t="shared" ref="AG238:AH238" si="964">AG50</f>
        <v>24</v>
      </c>
      <c r="AH238" s="630">
        <f t="shared" si="964"/>
        <v>22</v>
      </c>
      <c r="AI238" s="653">
        <f t="shared" si="961"/>
        <v>22</v>
      </c>
      <c r="AJ238" s="40">
        <f t="shared" si="961"/>
        <v>24</v>
      </c>
      <c r="AK238" s="630">
        <f t="shared" si="961"/>
        <v>26</v>
      </c>
      <c r="AL238" s="653">
        <f>AL50</f>
        <v>26</v>
      </c>
      <c r="AM238" s="40">
        <f t="shared" ref="AM238:AN238" si="965">AM50</f>
        <v>30</v>
      </c>
      <c r="AN238" s="630">
        <f t="shared" si="965"/>
        <v>34</v>
      </c>
      <c r="AO238" s="653">
        <f t="shared" si="961"/>
        <v>34</v>
      </c>
      <c r="AP238" s="40">
        <f t="shared" ref="AP238:AR238" si="966">AP50</f>
        <v>38</v>
      </c>
      <c r="AQ238" s="630">
        <f t="shared" si="966"/>
        <v>52</v>
      </c>
      <c r="AR238" s="653">
        <f t="shared" si="966"/>
        <v>52</v>
      </c>
      <c r="AS238" s="40">
        <f t="shared" ref="AS238:AU238" si="967">AS50</f>
        <v>55</v>
      </c>
      <c r="AT238" s="630">
        <f t="shared" si="967"/>
        <v>31</v>
      </c>
      <c r="AU238" s="653">
        <f t="shared" si="967"/>
        <v>31</v>
      </c>
      <c r="AV238" s="40">
        <f t="shared" ref="AV238:AW238" si="968">AV50</f>
        <v>26</v>
      </c>
      <c r="AW238" s="630">
        <f t="shared" si="968"/>
        <v>27</v>
      </c>
      <c r="AX238" s="653">
        <f t="shared" si="953"/>
        <v>27</v>
      </c>
      <c r="AY238" s="40">
        <f t="shared" si="953"/>
        <v>29</v>
      </c>
      <c r="AZ238" s="236">
        <f t="shared" si="953"/>
        <v>62</v>
      </c>
      <c r="BA238" s="605">
        <f t="shared" si="961"/>
        <v>62</v>
      </c>
      <c r="BB238" s="56">
        <f t="shared" si="953"/>
        <v>78.5</v>
      </c>
      <c r="BC238" s="236">
        <f t="shared" si="953"/>
        <v>95</v>
      </c>
      <c r="BD238" s="605">
        <f t="shared" si="961"/>
        <v>95</v>
      </c>
      <c r="BE238" s="56">
        <f t="shared" si="953"/>
        <v>111.5</v>
      </c>
      <c r="BF238" s="236">
        <f t="shared" si="953"/>
        <v>128</v>
      </c>
      <c r="BG238" s="605">
        <f t="shared" si="961"/>
        <v>128</v>
      </c>
      <c r="BH238" s="56">
        <f t="shared" si="953"/>
        <v>144.5</v>
      </c>
      <c r="BI238" s="236">
        <f t="shared" si="953"/>
        <v>161</v>
      </c>
      <c r="BJ238" s="605">
        <f t="shared" si="961"/>
        <v>161</v>
      </c>
      <c r="BK238" s="56">
        <f t="shared" si="953"/>
        <v>177.5</v>
      </c>
      <c r="BL238" s="236">
        <f t="shared" si="953"/>
        <v>194</v>
      </c>
      <c r="BM238" s="605">
        <f t="shared" si="961"/>
        <v>194</v>
      </c>
    </row>
    <row r="239" spans="1:65">
      <c r="A239" s="25" t="s">
        <v>357</v>
      </c>
      <c r="B239" s="40">
        <f t="shared" ref="B239:BM239" si="969">-B60</f>
        <v>690</v>
      </c>
      <c r="C239" s="40">
        <f t="shared" si="969"/>
        <v>501</v>
      </c>
      <c r="D239" s="40">
        <f t="shared" si="969"/>
        <v>595</v>
      </c>
      <c r="E239" s="40">
        <f t="shared" si="969"/>
        <v>323</v>
      </c>
      <c r="F239" s="40">
        <f t="shared" si="969"/>
        <v>149</v>
      </c>
      <c r="G239" s="40">
        <f t="shared" si="969"/>
        <v>-335</v>
      </c>
      <c r="H239" s="40">
        <f t="shared" si="969"/>
        <v>-826</v>
      </c>
      <c r="I239" s="40">
        <f t="shared" si="969"/>
        <v>-887</v>
      </c>
      <c r="J239" s="40">
        <f t="shared" si="969"/>
        <v>-1458</v>
      </c>
      <c r="K239" s="40">
        <f t="shared" si="969"/>
        <v>-1275</v>
      </c>
      <c r="L239" s="40">
        <f t="shared" si="969"/>
        <v>-1533</v>
      </c>
      <c r="M239" s="40">
        <f t="shared" si="969"/>
        <v>-223</v>
      </c>
      <c r="N239" s="40">
        <f t="shared" si="969"/>
        <v>-1317</v>
      </c>
      <c r="O239" s="40">
        <f t="shared" si="969"/>
        <v>-1939</v>
      </c>
      <c r="P239" s="40">
        <f t="shared" si="969"/>
        <v>-666</v>
      </c>
      <c r="Q239" s="40">
        <f t="shared" si="969"/>
        <v>111</v>
      </c>
      <c r="R239" s="40">
        <f t="shared" ref="R239:S239" si="970">-R60</f>
        <v>712</v>
      </c>
      <c r="S239" s="630">
        <f t="shared" si="970"/>
        <v>225</v>
      </c>
      <c r="T239" s="653">
        <f t="shared" si="969"/>
        <v>225</v>
      </c>
      <c r="U239" s="40">
        <f t="shared" si="969"/>
        <v>931</v>
      </c>
      <c r="V239" s="630">
        <f t="shared" si="969"/>
        <v>305</v>
      </c>
      <c r="W239" s="653">
        <f t="shared" si="969"/>
        <v>305</v>
      </c>
      <c r="X239" s="40"/>
      <c r="Y239" s="630"/>
      <c r="Z239" s="653">
        <f t="shared" si="969"/>
        <v>305</v>
      </c>
      <c r="AA239" s="40">
        <f t="shared" ref="AA239:AB239" si="971">-AA60</f>
        <v>-165</v>
      </c>
      <c r="AB239" s="630">
        <f t="shared" si="971"/>
        <v>-611</v>
      </c>
      <c r="AC239" s="653">
        <f t="shared" si="969"/>
        <v>-611</v>
      </c>
      <c r="AD239" s="40">
        <f t="shared" si="969"/>
        <v>1937</v>
      </c>
      <c r="AE239" s="630">
        <f t="shared" si="969"/>
        <v>993</v>
      </c>
      <c r="AF239" s="653">
        <f t="shared" si="969"/>
        <v>993</v>
      </c>
      <c r="AG239" s="40">
        <f t="shared" ref="AG239:AH239" si="972">-AG60</f>
        <v>4069</v>
      </c>
      <c r="AH239" s="630">
        <f t="shared" si="972"/>
        <v>3576</v>
      </c>
      <c r="AI239" s="653">
        <f t="shared" si="969"/>
        <v>3576</v>
      </c>
      <c r="AJ239" s="40">
        <f t="shared" si="969"/>
        <v>4972</v>
      </c>
      <c r="AK239" s="630">
        <f t="shared" si="969"/>
        <v>5157</v>
      </c>
      <c r="AL239" s="653">
        <f>-AL60</f>
        <v>5157</v>
      </c>
      <c r="AM239" s="40">
        <f t="shared" ref="AM239:AN239" si="973">-AM60</f>
        <v>5142</v>
      </c>
      <c r="AN239" s="630">
        <f t="shared" si="973"/>
        <v>3251</v>
      </c>
      <c r="AO239" s="653">
        <f t="shared" si="969"/>
        <v>3251</v>
      </c>
      <c r="AP239" s="40">
        <f t="shared" ref="AP239:AR239" si="974">-AP60</f>
        <v>2845</v>
      </c>
      <c r="AQ239" s="630">
        <f t="shared" si="974"/>
        <v>1952</v>
      </c>
      <c r="AR239" s="653">
        <f t="shared" si="974"/>
        <v>1952</v>
      </c>
      <c r="AS239" s="40">
        <f t="shared" ref="AS239:AU239" si="975">-AS60</f>
        <v>822</v>
      </c>
      <c r="AT239" s="630">
        <f t="shared" si="975"/>
        <v>-475</v>
      </c>
      <c r="AU239" s="653">
        <f t="shared" si="975"/>
        <v>-475</v>
      </c>
      <c r="AV239" s="40">
        <f t="shared" ref="AV239:AW239" si="976">-AV60</f>
        <v>-1084</v>
      </c>
      <c r="AW239" s="630">
        <f t="shared" si="976"/>
        <v>-1895</v>
      </c>
      <c r="AX239" s="653">
        <f t="shared" si="969"/>
        <v>-1895</v>
      </c>
      <c r="AY239" s="40">
        <f t="shared" si="969"/>
        <v>-2136</v>
      </c>
      <c r="AZ239" s="236">
        <f t="shared" si="969"/>
        <v>-2626.0189816936108</v>
      </c>
      <c r="BA239" s="605">
        <f t="shared" si="969"/>
        <v>-2626.0189816936108</v>
      </c>
      <c r="BB239" s="56">
        <f t="shared" si="969"/>
        <v>-4744.1785276494047</v>
      </c>
      <c r="BC239" s="236">
        <f t="shared" si="969"/>
        <v>-3514.3133866163571</v>
      </c>
      <c r="BD239" s="605">
        <f t="shared" si="969"/>
        <v>-3514.3133866163571</v>
      </c>
      <c r="BE239" s="56">
        <f t="shared" si="969"/>
        <v>-4847.1754827074801</v>
      </c>
      <c r="BF239" s="236">
        <f t="shared" si="969"/>
        <v>-5340.2755349535819</v>
      </c>
      <c r="BG239" s="605">
        <f t="shared" si="969"/>
        <v>-5340.2755349535819</v>
      </c>
      <c r="BH239" s="56">
        <f t="shared" si="969"/>
        <v>-8060.3101074831939</v>
      </c>
      <c r="BI239" s="236">
        <f t="shared" si="969"/>
        <v>-10426.34240973395</v>
      </c>
      <c r="BJ239" s="605">
        <f t="shared" si="969"/>
        <v>-10426.34240973395</v>
      </c>
      <c r="BK239" s="56">
        <f t="shared" si="969"/>
        <v>-13478.696380937472</v>
      </c>
      <c r="BL239" s="236">
        <f t="shared" si="969"/>
        <v>-16330.402584305833</v>
      </c>
      <c r="BM239" s="605">
        <f t="shared" si="969"/>
        <v>-16330.402584305833</v>
      </c>
    </row>
    <row r="240" spans="1:65">
      <c r="A240" s="68" t="s">
        <v>719</v>
      </c>
      <c r="B240" s="46">
        <f>SUM(B237:B239)</f>
        <v>2731</v>
      </c>
      <c r="C240" s="46">
        <f t="shared" ref="C240:AO240" si="977">SUM(C237:C239)</f>
        <v>2571</v>
      </c>
      <c r="D240" s="46">
        <f t="shared" si="977"/>
        <v>2632</v>
      </c>
      <c r="E240" s="46">
        <f t="shared" si="977"/>
        <v>2466</v>
      </c>
      <c r="F240" s="46">
        <f t="shared" si="977"/>
        <v>1595</v>
      </c>
      <c r="G240" s="46">
        <f t="shared" si="977"/>
        <v>1170</v>
      </c>
      <c r="H240" s="46">
        <f t="shared" si="977"/>
        <v>1899</v>
      </c>
      <c r="I240" s="46">
        <f t="shared" si="977"/>
        <v>2299</v>
      </c>
      <c r="J240" s="46">
        <f t="shared" si="977"/>
        <v>767</v>
      </c>
      <c r="K240" s="46">
        <f t="shared" si="977"/>
        <v>2507</v>
      </c>
      <c r="L240" s="46">
        <f t="shared" si="977"/>
        <v>2446</v>
      </c>
      <c r="M240" s="46">
        <f t="shared" si="977"/>
        <v>4296</v>
      </c>
      <c r="N240" s="46">
        <f t="shared" si="977"/>
        <v>4679</v>
      </c>
      <c r="O240" s="46">
        <f t="shared" si="977"/>
        <v>4364</v>
      </c>
      <c r="P240" s="46">
        <f t="shared" si="977"/>
        <v>5721</v>
      </c>
      <c r="Q240" s="46">
        <f t="shared" si="977"/>
        <v>5127</v>
      </c>
      <c r="R240" s="46">
        <f t="shared" ref="R240:S240" si="978">SUM(R237:R239)</f>
        <v>4554</v>
      </c>
      <c r="S240" s="643">
        <f t="shared" si="978"/>
        <v>2089</v>
      </c>
      <c r="T240" s="667">
        <f t="shared" si="977"/>
        <v>2089</v>
      </c>
      <c r="U240" s="46">
        <f t="shared" si="977"/>
        <v>4174</v>
      </c>
      <c r="V240" s="643">
        <f t="shared" si="977"/>
        <v>6475</v>
      </c>
      <c r="W240" s="667">
        <f>SUM(W237:W239)</f>
        <v>6475</v>
      </c>
      <c r="X240" s="46"/>
      <c r="Y240" s="643"/>
      <c r="Z240" s="667">
        <f>SUM(Z237:Z239)</f>
        <v>1238</v>
      </c>
      <c r="AA240" s="46">
        <f t="shared" ref="AA240:AB240" si="979">SUM(AA237:AA239)</f>
        <v>605</v>
      </c>
      <c r="AB240" s="643">
        <f t="shared" si="979"/>
        <v>-1663</v>
      </c>
      <c r="AC240" s="667">
        <f t="shared" si="977"/>
        <v>-1663</v>
      </c>
      <c r="AD240" s="46">
        <f t="shared" si="977"/>
        <v>-662</v>
      </c>
      <c r="AE240" s="643">
        <f t="shared" si="977"/>
        <v>-2361</v>
      </c>
      <c r="AF240" s="667">
        <f t="shared" si="977"/>
        <v>-2361</v>
      </c>
      <c r="AG240" s="46">
        <f t="shared" ref="AG240:AH240" si="980">SUM(AG237:AG239)</f>
        <v>-4055</v>
      </c>
      <c r="AH240" s="643">
        <f t="shared" si="980"/>
        <v>-1299</v>
      </c>
      <c r="AI240" s="667">
        <f t="shared" si="977"/>
        <v>-1299</v>
      </c>
      <c r="AJ240" s="46">
        <f t="shared" si="977"/>
        <v>382</v>
      </c>
      <c r="AK240" s="643">
        <f t="shared" si="977"/>
        <v>521</v>
      </c>
      <c r="AL240" s="667">
        <f>SUM(AL237:AL239)</f>
        <v>521</v>
      </c>
      <c r="AM240" s="46">
        <f t="shared" ref="AM240:AN240" si="981">SUM(AM237:AM239)</f>
        <v>-1119</v>
      </c>
      <c r="AN240" s="643">
        <f t="shared" si="981"/>
        <v>-2765</v>
      </c>
      <c r="AO240" s="667">
        <f t="shared" si="977"/>
        <v>-2765</v>
      </c>
      <c r="AP240" s="46">
        <f t="shared" ref="AP240:AR240" si="982">SUM(AP237:AP239)</f>
        <v>-2121</v>
      </c>
      <c r="AQ240" s="643">
        <f t="shared" si="982"/>
        <v>-1677</v>
      </c>
      <c r="AR240" s="667">
        <f t="shared" si="982"/>
        <v>-1677</v>
      </c>
      <c r="AS240" s="46">
        <f t="shared" ref="AS240:AU240" si="983">SUM(AS237:AS239)</f>
        <v>-1415</v>
      </c>
      <c r="AT240" s="643">
        <f t="shared" si="983"/>
        <v>-1356</v>
      </c>
      <c r="AU240" s="667">
        <f t="shared" si="983"/>
        <v>-1356</v>
      </c>
      <c r="AV240" s="46">
        <f t="shared" ref="AV240:AW240" si="984">SUM(AV237:AV239)</f>
        <v>1350</v>
      </c>
      <c r="AW240" s="643">
        <f t="shared" si="984"/>
        <v>858</v>
      </c>
      <c r="AX240" s="667">
        <f t="shared" ref="AX240:AY240" si="985">SUM(AX237:AX239)</f>
        <v>858</v>
      </c>
      <c r="AY240" s="46">
        <f t="shared" si="985"/>
        <v>746</v>
      </c>
      <c r="AZ240" s="250">
        <f t="shared" ref="AZ240" si="986">SUM(AZ237:AZ239)</f>
        <v>513.60512033637679</v>
      </c>
      <c r="BA240" s="615">
        <f t="shared" ref="BA240:BM240" si="987">SUM(BA237:BA239)</f>
        <v>513.60512033637679</v>
      </c>
      <c r="BB240" s="249">
        <f>SUM(BB237:BB239)</f>
        <v>-1655.6307490054874</v>
      </c>
      <c r="BC240" s="250">
        <f t="shared" ref="BC240" si="988">SUM(BC237:BC239)</f>
        <v>-280.43429601358002</v>
      </c>
      <c r="BD240" s="615">
        <f t="shared" si="987"/>
        <v>-280.43429601358002</v>
      </c>
      <c r="BE240" s="249">
        <f>SUM(BE237:BE239)</f>
        <v>-1315.3082659944157</v>
      </c>
      <c r="BF240" s="250">
        <f t="shared" ref="BF240" si="989">SUM(BF237:BF239)</f>
        <v>-1380.2996376902697</v>
      </c>
      <c r="BG240" s="615">
        <f t="shared" si="987"/>
        <v>-1380.2996376902697</v>
      </c>
      <c r="BH240" s="249">
        <f>SUM(BH237:BH239)</f>
        <v>-2119.5203416669046</v>
      </c>
      <c r="BI240" s="250">
        <f t="shared" ref="BI240" si="990">SUM(BI237:BI239)</f>
        <v>-2351.5744491715241</v>
      </c>
      <c r="BJ240" s="615">
        <f t="shared" si="987"/>
        <v>-2351.5744491715241</v>
      </c>
      <c r="BK240" s="249">
        <f>SUM(BK237:BK239)</f>
        <v>-3034.3691441250849</v>
      </c>
      <c r="BL240" s="250">
        <f t="shared" ref="BL240" si="991">SUM(BL237:BL239)</f>
        <v>-3347.5686617516931</v>
      </c>
      <c r="BM240" s="615">
        <f t="shared" si="987"/>
        <v>-3347.5686617516931</v>
      </c>
    </row>
    <row r="241" spans="1:65">
      <c r="A241" s="25" t="s">
        <v>197</v>
      </c>
      <c r="B241" s="40">
        <f t="shared" ref="B241:BM241" si="992">B125</f>
        <v>836</v>
      </c>
      <c r="C241" s="40">
        <f t="shared" si="992"/>
        <v>769</v>
      </c>
      <c r="D241" s="40">
        <f t="shared" si="992"/>
        <v>786</v>
      </c>
      <c r="E241" s="40">
        <f t="shared" si="992"/>
        <v>759</v>
      </c>
      <c r="F241" s="40">
        <f t="shared" si="992"/>
        <v>759</v>
      </c>
      <c r="G241" s="40">
        <f t="shared" si="992"/>
        <v>751</v>
      </c>
      <c r="H241" s="40">
        <f t="shared" si="992"/>
        <v>735</v>
      </c>
      <c r="I241" s="40">
        <f t="shared" si="992"/>
        <v>801</v>
      </c>
      <c r="J241" s="40">
        <f t="shared" si="992"/>
        <v>1008</v>
      </c>
      <c r="K241" s="40">
        <f t="shared" si="992"/>
        <v>984</v>
      </c>
      <c r="L241" s="40">
        <f t="shared" si="992"/>
        <v>1108</v>
      </c>
      <c r="M241" s="40">
        <f t="shared" si="992"/>
        <v>1099</v>
      </c>
      <c r="N241" s="40">
        <f t="shared" si="992"/>
        <v>1102</v>
      </c>
      <c r="O241" s="40">
        <f t="shared" si="992"/>
        <v>1838</v>
      </c>
      <c r="P241" s="40">
        <f t="shared" si="992"/>
        <v>1659</v>
      </c>
      <c r="Q241" s="40">
        <f t="shared" si="992"/>
        <v>1503</v>
      </c>
      <c r="R241" s="40">
        <f t="shared" ref="R241:S241" si="993">R125</f>
        <v>1686</v>
      </c>
      <c r="S241" s="630">
        <f t="shared" si="993"/>
        <v>1537</v>
      </c>
      <c r="T241" s="653">
        <f t="shared" si="992"/>
        <v>1537</v>
      </c>
      <c r="U241" s="40">
        <f t="shared" si="992"/>
        <v>1549</v>
      </c>
      <c r="V241" s="630">
        <f t="shared" si="992"/>
        <v>1545</v>
      </c>
      <c r="W241" s="653">
        <f t="shared" si="992"/>
        <v>1545</v>
      </c>
      <c r="X241" s="40"/>
      <c r="Y241" s="630"/>
      <c r="Z241" s="653">
        <f t="shared" si="992"/>
        <v>1545</v>
      </c>
      <c r="AA241" s="40">
        <f t="shared" ref="AA241:AB241" si="994">AA125</f>
        <v>1029</v>
      </c>
      <c r="AB241" s="630">
        <f t="shared" si="994"/>
        <v>1045</v>
      </c>
      <c r="AC241" s="653">
        <f t="shared" si="992"/>
        <v>1045</v>
      </c>
      <c r="AD241" s="40">
        <f t="shared" si="992"/>
        <v>1050</v>
      </c>
      <c r="AE241" s="630">
        <f t="shared" si="992"/>
        <v>994</v>
      </c>
      <c r="AF241" s="653">
        <f t="shared" si="992"/>
        <v>994</v>
      </c>
      <c r="AG241" s="40">
        <f t="shared" ref="AG241:AH241" si="995">AG125</f>
        <v>1066</v>
      </c>
      <c r="AH241" s="630">
        <f t="shared" si="995"/>
        <v>1074</v>
      </c>
      <c r="AI241" s="653">
        <f t="shared" si="992"/>
        <v>1074</v>
      </c>
      <c r="AJ241" s="40">
        <f t="shared" si="992"/>
        <v>1033</v>
      </c>
      <c r="AK241" s="630">
        <f t="shared" si="992"/>
        <v>1026</v>
      </c>
      <c r="AL241" s="653">
        <f>AL125</f>
        <v>1026</v>
      </c>
      <c r="AM241" s="40">
        <f t="shared" ref="AM241:AN241" si="996">AM125</f>
        <v>1071</v>
      </c>
      <c r="AN241" s="630">
        <f t="shared" si="996"/>
        <v>1099</v>
      </c>
      <c r="AO241" s="653">
        <f t="shared" si="992"/>
        <v>1099</v>
      </c>
      <c r="AP241" s="40">
        <f t="shared" ref="AP241:AR241" si="997">AP125</f>
        <v>1059</v>
      </c>
      <c r="AQ241" s="630">
        <f t="shared" si="997"/>
        <v>1066</v>
      </c>
      <c r="AR241" s="653">
        <f t="shared" si="997"/>
        <v>1066</v>
      </c>
      <c r="AS241" s="40">
        <f t="shared" ref="AS241:AU241" si="998">AS125</f>
        <v>1048</v>
      </c>
      <c r="AT241" s="630">
        <f t="shared" si="998"/>
        <v>1009</v>
      </c>
      <c r="AU241" s="653">
        <f t="shared" si="998"/>
        <v>1009</v>
      </c>
      <c r="AV241" s="40">
        <f t="shared" ref="AV241:AW241" si="999">AV125</f>
        <v>1009</v>
      </c>
      <c r="AW241" s="630">
        <f t="shared" si="999"/>
        <v>1028</v>
      </c>
      <c r="AX241" s="653">
        <f t="shared" si="992"/>
        <v>1028</v>
      </c>
      <c r="AY241" s="40">
        <f t="shared" si="992"/>
        <v>1024</v>
      </c>
      <c r="AZ241" s="236">
        <f t="shared" si="992"/>
        <v>1028</v>
      </c>
      <c r="BA241" s="605">
        <f t="shared" si="992"/>
        <v>1028</v>
      </c>
      <c r="BB241" s="56">
        <f t="shared" si="992"/>
        <v>1028</v>
      </c>
      <c r="BC241" s="236">
        <f t="shared" si="992"/>
        <v>1028</v>
      </c>
      <c r="BD241" s="605">
        <f t="shared" si="992"/>
        <v>1028</v>
      </c>
      <c r="BE241" s="56">
        <f t="shared" si="992"/>
        <v>1028</v>
      </c>
      <c r="BF241" s="236">
        <f t="shared" si="992"/>
        <v>1028</v>
      </c>
      <c r="BG241" s="605">
        <f t="shared" si="992"/>
        <v>1028</v>
      </c>
      <c r="BH241" s="56">
        <f t="shared" si="992"/>
        <v>1028</v>
      </c>
      <c r="BI241" s="236">
        <f t="shared" si="992"/>
        <v>1028</v>
      </c>
      <c r="BJ241" s="605">
        <f t="shared" si="992"/>
        <v>1028</v>
      </c>
      <c r="BK241" s="56">
        <f t="shared" si="992"/>
        <v>1028</v>
      </c>
      <c r="BL241" s="236">
        <f t="shared" si="992"/>
        <v>1028</v>
      </c>
      <c r="BM241" s="605">
        <f t="shared" si="992"/>
        <v>1028</v>
      </c>
    </row>
    <row r="242" spans="1:65">
      <c r="A242" s="25" t="s">
        <v>352</v>
      </c>
      <c r="B242" s="51">
        <f>B240-B241</f>
        <v>1895</v>
      </c>
      <c r="C242" s="51">
        <f t="shared" ref="C242:BM242" si="1000">C240-C241</f>
        <v>1802</v>
      </c>
      <c r="D242" s="51">
        <f t="shared" si="1000"/>
        <v>1846</v>
      </c>
      <c r="E242" s="51">
        <f t="shared" si="1000"/>
        <v>1707</v>
      </c>
      <c r="F242" s="51">
        <f t="shared" si="1000"/>
        <v>836</v>
      </c>
      <c r="G242" s="51">
        <f t="shared" si="1000"/>
        <v>419</v>
      </c>
      <c r="H242" s="51">
        <f t="shared" si="1000"/>
        <v>1164</v>
      </c>
      <c r="I242" s="51">
        <f t="shared" si="1000"/>
        <v>1498</v>
      </c>
      <c r="J242" s="51">
        <f t="shared" si="1000"/>
        <v>-241</v>
      </c>
      <c r="K242" s="51">
        <f t="shared" si="1000"/>
        <v>1523</v>
      </c>
      <c r="L242" s="51">
        <f t="shared" si="1000"/>
        <v>1338</v>
      </c>
      <c r="M242" s="51">
        <f t="shared" si="1000"/>
        <v>3197</v>
      </c>
      <c r="N242" s="51">
        <f t="shared" si="1000"/>
        <v>3577</v>
      </c>
      <c r="O242" s="51">
        <f t="shared" si="1000"/>
        <v>2526</v>
      </c>
      <c r="P242" s="51">
        <f t="shared" si="1000"/>
        <v>4062</v>
      </c>
      <c r="Q242" s="51">
        <f t="shared" si="1000"/>
        <v>3624</v>
      </c>
      <c r="R242" s="51">
        <f t="shared" ref="R242:S242" si="1001">R240-R241</f>
        <v>2868</v>
      </c>
      <c r="S242" s="629">
        <f t="shared" si="1001"/>
        <v>552</v>
      </c>
      <c r="T242" s="652">
        <f t="shared" si="1000"/>
        <v>552</v>
      </c>
      <c r="U242" s="51">
        <f t="shared" si="1000"/>
        <v>2625</v>
      </c>
      <c r="V242" s="629">
        <f t="shared" si="1000"/>
        <v>4930</v>
      </c>
      <c r="W242" s="652">
        <f>W240-W241</f>
        <v>4930</v>
      </c>
      <c r="X242" s="51"/>
      <c r="Y242" s="629"/>
      <c r="Z242" s="652">
        <f>Z240-Z241</f>
        <v>-307</v>
      </c>
      <c r="AA242" s="51">
        <f t="shared" ref="AA242:AB242" si="1002">AA240-AA241</f>
        <v>-424</v>
      </c>
      <c r="AB242" s="629">
        <f t="shared" si="1002"/>
        <v>-2708</v>
      </c>
      <c r="AC242" s="652">
        <f t="shared" si="1000"/>
        <v>-2708</v>
      </c>
      <c r="AD242" s="51">
        <f t="shared" si="1000"/>
        <v>-1712</v>
      </c>
      <c r="AE242" s="629">
        <f t="shared" si="1000"/>
        <v>-3355</v>
      </c>
      <c r="AF242" s="652">
        <f t="shared" si="1000"/>
        <v>-3355</v>
      </c>
      <c r="AG242" s="51">
        <f t="shared" ref="AG242:AH242" si="1003">AG240-AG241</f>
        <v>-5121</v>
      </c>
      <c r="AH242" s="629">
        <f t="shared" si="1003"/>
        <v>-2373</v>
      </c>
      <c r="AI242" s="652">
        <f t="shared" si="1000"/>
        <v>-2373</v>
      </c>
      <c r="AJ242" s="51">
        <f t="shared" si="1000"/>
        <v>-651</v>
      </c>
      <c r="AK242" s="629">
        <f t="shared" si="1000"/>
        <v>-505</v>
      </c>
      <c r="AL242" s="652">
        <f>AL240-AL241</f>
        <v>-505</v>
      </c>
      <c r="AM242" s="51">
        <f t="shared" ref="AM242:AN242" si="1004">AM240-AM241</f>
        <v>-2190</v>
      </c>
      <c r="AN242" s="629">
        <f t="shared" si="1004"/>
        <v>-3864</v>
      </c>
      <c r="AO242" s="652">
        <f t="shared" si="1000"/>
        <v>-3864</v>
      </c>
      <c r="AP242" s="51">
        <f t="shared" ref="AP242:AR242" si="1005">AP240-AP241</f>
        <v>-3180</v>
      </c>
      <c r="AQ242" s="629">
        <f t="shared" si="1005"/>
        <v>-2743</v>
      </c>
      <c r="AR242" s="652">
        <f t="shared" si="1005"/>
        <v>-2743</v>
      </c>
      <c r="AS242" s="51">
        <f t="shared" ref="AS242:AU242" si="1006">AS240-AS241</f>
        <v>-2463</v>
      </c>
      <c r="AT242" s="629">
        <f t="shared" si="1006"/>
        <v>-2365</v>
      </c>
      <c r="AU242" s="652">
        <f t="shared" si="1006"/>
        <v>-2365</v>
      </c>
      <c r="AV242" s="51">
        <f t="shared" ref="AV242:AW242" si="1007">AV240-AV241</f>
        <v>341</v>
      </c>
      <c r="AW242" s="629">
        <f t="shared" si="1007"/>
        <v>-170</v>
      </c>
      <c r="AX242" s="652">
        <f t="shared" si="1000"/>
        <v>-170</v>
      </c>
      <c r="AY242" s="51">
        <f t="shared" si="1000"/>
        <v>-278</v>
      </c>
      <c r="AZ242" s="237">
        <f t="shared" si="1000"/>
        <v>-514.39487966362321</v>
      </c>
      <c r="BA242" s="576">
        <f t="shared" si="1000"/>
        <v>-514.39487966362321</v>
      </c>
      <c r="BB242" s="48">
        <f t="shared" si="1000"/>
        <v>-2683.6307490054874</v>
      </c>
      <c r="BC242" s="237">
        <f t="shared" si="1000"/>
        <v>-1308.43429601358</v>
      </c>
      <c r="BD242" s="576">
        <f t="shared" si="1000"/>
        <v>-1308.43429601358</v>
      </c>
      <c r="BE242" s="48">
        <f t="shared" si="1000"/>
        <v>-2343.3082659944157</v>
      </c>
      <c r="BF242" s="237">
        <f t="shared" si="1000"/>
        <v>-2408.2996376902697</v>
      </c>
      <c r="BG242" s="576">
        <f t="shared" si="1000"/>
        <v>-2408.2996376902697</v>
      </c>
      <c r="BH242" s="48">
        <f t="shared" si="1000"/>
        <v>-3147.5203416669046</v>
      </c>
      <c r="BI242" s="237">
        <f t="shared" si="1000"/>
        <v>-3379.5744491715241</v>
      </c>
      <c r="BJ242" s="576">
        <f t="shared" si="1000"/>
        <v>-3379.5744491715241</v>
      </c>
      <c r="BK242" s="48">
        <f t="shared" si="1000"/>
        <v>-4062.3691441250849</v>
      </c>
      <c r="BL242" s="237">
        <f t="shared" si="1000"/>
        <v>-4375.5686617516931</v>
      </c>
      <c r="BM242" s="576">
        <f t="shared" si="1000"/>
        <v>-4375.5686617516931</v>
      </c>
    </row>
    <row r="243" spans="1:65" ht="11.4">
      <c r="B243" s="40"/>
      <c r="C243" s="40"/>
      <c r="D243" s="40"/>
      <c r="E243" s="40"/>
      <c r="F243" s="40"/>
      <c r="G243" s="40"/>
      <c r="H243" s="40"/>
      <c r="I243" s="40"/>
      <c r="J243" s="40"/>
      <c r="K243" s="40"/>
      <c r="L243" s="40"/>
      <c r="M243" s="40"/>
      <c r="N243" s="40"/>
      <c r="O243" s="40"/>
      <c r="P243" s="40"/>
      <c r="Q243" s="40"/>
      <c r="R243" s="40"/>
      <c r="S243" s="630"/>
      <c r="T243" s="653"/>
      <c r="U243" s="40"/>
      <c r="V243" s="630"/>
      <c r="W243" s="653"/>
      <c r="X243" s="40"/>
      <c r="Y243" s="630"/>
      <c r="Z243" s="653"/>
      <c r="AA243" s="108"/>
      <c r="AB243" s="676"/>
      <c r="AC243" s="679"/>
      <c r="AD243" s="108"/>
      <c r="AE243" s="676"/>
      <c r="AF243" s="679"/>
      <c r="AG243" s="108"/>
      <c r="AH243" s="676"/>
      <c r="AI243" s="679"/>
      <c r="AJ243" s="108"/>
      <c r="AK243" s="676"/>
      <c r="AL243" s="679"/>
      <c r="AM243" s="108"/>
      <c r="AN243" s="676"/>
      <c r="AO243" s="679"/>
      <c r="AP243" s="108"/>
      <c r="AQ243" s="688"/>
      <c r="AR243" s="685"/>
      <c r="AS243" s="19"/>
      <c r="AT243" s="688"/>
      <c r="AU243" s="685"/>
      <c r="AV243" s="19"/>
      <c r="AW243" s="688"/>
      <c r="AX243" s="685"/>
      <c r="AY243" s="19"/>
      <c r="AZ243" s="688"/>
      <c r="BA243" s="685"/>
      <c r="BB243" s="19"/>
      <c r="BC243" s="688"/>
      <c r="BD243" s="685"/>
      <c r="BE243" s="19"/>
      <c r="BF243" s="688"/>
      <c r="BG243" s="685"/>
      <c r="BH243" s="19"/>
      <c r="BI243" s="688"/>
      <c r="BJ243" s="685"/>
      <c r="BK243" s="19"/>
      <c r="BL243" s="688"/>
      <c r="BM243" s="685"/>
    </row>
    <row r="244" spans="1:65">
      <c r="A244" s="310" t="s">
        <v>740</v>
      </c>
      <c r="B244" s="335"/>
      <c r="C244" s="335"/>
      <c r="D244" s="335"/>
      <c r="E244" s="335"/>
      <c r="F244" s="335"/>
      <c r="G244" s="335"/>
      <c r="H244" s="335"/>
      <c r="I244" s="335"/>
      <c r="J244" s="335"/>
      <c r="K244" s="335"/>
      <c r="L244" s="335"/>
      <c r="M244" s="335"/>
      <c r="N244" s="335"/>
      <c r="O244" s="335"/>
      <c r="P244" s="335"/>
      <c r="Q244" s="335"/>
      <c r="R244" s="530"/>
      <c r="S244" s="696"/>
      <c r="T244" s="711"/>
      <c r="U244" s="530"/>
      <c r="V244" s="696"/>
      <c r="W244" s="711"/>
      <c r="X244" s="530"/>
      <c r="Y244" s="696"/>
      <c r="Z244" s="711"/>
      <c r="AA244" s="530"/>
      <c r="AB244" s="696"/>
      <c r="AC244" s="711"/>
      <c r="AD244" s="530"/>
      <c r="AE244" s="696"/>
      <c r="AF244" s="711"/>
      <c r="AG244" s="530"/>
      <c r="AH244" s="696"/>
      <c r="AI244" s="711"/>
      <c r="AJ244" s="530"/>
      <c r="AK244" s="696"/>
      <c r="AL244" s="711"/>
      <c r="AM244" s="530"/>
      <c r="AN244" s="696"/>
      <c r="AO244" s="711"/>
      <c r="AP244" s="530"/>
      <c r="AQ244" s="696"/>
      <c r="AR244" s="711"/>
      <c r="AS244" s="530"/>
      <c r="AT244" s="696"/>
      <c r="AU244" s="711"/>
      <c r="AV244" s="530"/>
      <c r="AW244" s="696"/>
      <c r="AX244" s="711"/>
      <c r="AY244" s="530"/>
      <c r="AZ244" s="707"/>
      <c r="BA244" s="701"/>
      <c r="BB244" s="531"/>
      <c r="BC244" s="707"/>
      <c r="BD244" s="701"/>
      <c r="BE244" s="531"/>
      <c r="BF244" s="707"/>
      <c r="BG244" s="701"/>
      <c r="BH244" s="531"/>
      <c r="BI244" s="707"/>
      <c r="BJ244" s="701"/>
      <c r="BK244" s="531"/>
      <c r="BL244" s="707"/>
      <c r="BM244" s="701"/>
    </row>
    <row r="245" spans="1:65" ht="11.4">
      <c r="B245" s="40"/>
      <c r="C245" s="40"/>
      <c r="D245" s="40"/>
      <c r="E245" s="40"/>
      <c r="F245" s="40"/>
      <c r="G245" s="40"/>
      <c r="H245" s="40"/>
      <c r="I245" s="40"/>
      <c r="J245" s="40"/>
      <c r="K245" s="40"/>
      <c r="L245" s="40"/>
      <c r="M245" s="40"/>
      <c r="N245" s="40"/>
      <c r="O245" s="40"/>
      <c r="P245" s="40"/>
      <c r="Q245" s="40"/>
      <c r="R245" s="40"/>
      <c r="S245" s="630"/>
      <c r="T245" s="653"/>
      <c r="U245" s="40"/>
      <c r="V245" s="630"/>
      <c r="W245" s="653"/>
      <c r="X245" s="40"/>
      <c r="Y245" s="630"/>
      <c r="Z245" s="653"/>
      <c r="AA245" s="108"/>
      <c r="AB245" s="676"/>
      <c r="AC245" s="679"/>
      <c r="AD245" s="108"/>
      <c r="AE245" s="676"/>
      <c r="AF245" s="679"/>
      <c r="AG245" s="108"/>
      <c r="AH245" s="676"/>
      <c r="AI245" s="679"/>
      <c r="AJ245" s="108"/>
      <c r="AK245" s="676"/>
      <c r="AL245" s="679"/>
      <c r="AM245" s="108"/>
      <c r="AN245" s="676"/>
      <c r="AO245" s="679"/>
      <c r="AP245" s="108"/>
      <c r="AQ245" s="688"/>
      <c r="AR245" s="685"/>
      <c r="AS245" s="19"/>
      <c r="AT245" s="688"/>
      <c r="AU245" s="685"/>
      <c r="AV245" s="19"/>
      <c r="AW245" s="688"/>
      <c r="AX245" s="685"/>
      <c r="AY245" s="19"/>
      <c r="AZ245" s="688"/>
      <c r="BA245" s="685"/>
      <c r="BB245" s="19"/>
      <c r="BC245" s="688"/>
      <c r="BD245" s="685"/>
      <c r="BE245" s="19"/>
      <c r="BF245" s="688"/>
      <c r="BG245" s="685"/>
      <c r="BH245" s="19"/>
      <c r="BI245" s="688"/>
      <c r="BJ245" s="685"/>
      <c r="BK245" s="19"/>
      <c r="BL245" s="688"/>
      <c r="BM245" s="685"/>
    </row>
    <row r="246" spans="1:65" ht="11.4">
      <c r="A246" s="25" t="s">
        <v>741</v>
      </c>
      <c r="B246" s="40"/>
      <c r="C246" s="40"/>
      <c r="D246" s="40"/>
      <c r="E246" s="40"/>
      <c r="F246" s="40"/>
      <c r="G246" s="40"/>
      <c r="H246" s="40"/>
      <c r="I246" s="40"/>
      <c r="J246" s="40"/>
      <c r="K246" s="40"/>
      <c r="L246" s="40"/>
      <c r="M246" s="40"/>
      <c r="N246" s="40"/>
      <c r="O246" s="40"/>
      <c r="P246" s="40"/>
      <c r="Q246" s="40"/>
      <c r="R246" s="40"/>
      <c r="S246" s="630"/>
      <c r="T246" s="653"/>
      <c r="U246" s="40"/>
      <c r="V246" s="630"/>
      <c r="W246" s="653"/>
      <c r="X246" s="40"/>
      <c r="Y246" s="630"/>
      <c r="Z246" s="653">
        <v>838</v>
      </c>
      <c r="AA246" s="40">
        <v>863</v>
      </c>
      <c r="AB246" s="630">
        <f>AC246</f>
        <v>1023</v>
      </c>
      <c r="AC246" s="653">
        <v>1023</v>
      </c>
      <c r="AD246" s="40">
        <v>924</v>
      </c>
      <c r="AE246" s="630">
        <f>AF246</f>
        <v>825</v>
      </c>
      <c r="AF246" s="653">
        <v>825</v>
      </c>
      <c r="AG246" s="40">
        <v>971</v>
      </c>
      <c r="AH246" s="630">
        <f>AI246</f>
        <v>991</v>
      </c>
      <c r="AI246" s="653">
        <f>940+51</f>
        <v>991</v>
      </c>
      <c r="AJ246" s="40">
        <f>767+69</f>
        <v>836</v>
      </c>
      <c r="AK246" s="630">
        <f>AL246</f>
        <v>820</v>
      </c>
      <c r="AL246" s="653">
        <f>795+25</f>
        <v>820</v>
      </c>
      <c r="AM246" s="40">
        <f>1006+37</f>
        <v>1043</v>
      </c>
      <c r="AN246" s="630">
        <f>AO246</f>
        <v>847</v>
      </c>
      <c r="AO246" s="653">
        <v>847</v>
      </c>
      <c r="AP246" s="40">
        <v>744</v>
      </c>
      <c r="AQ246" s="630">
        <f>AR246</f>
        <v>739</v>
      </c>
      <c r="AR246" s="653">
        <v>739</v>
      </c>
      <c r="AS246" s="40">
        <v>742</v>
      </c>
      <c r="AT246" s="630">
        <f>AU246</f>
        <v>714</v>
      </c>
      <c r="AU246" s="653">
        <v>714</v>
      </c>
      <c r="AV246" s="40">
        <v>815</v>
      </c>
      <c r="AW246" s="630">
        <f>AX246</f>
        <v>889</v>
      </c>
      <c r="AX246" s="653">
        <v>889</v>
      </c>
      <c r="AY246" s="40">
        <v>709</v>
      </c>
      <c r="AZ246" s="688"/>
      <c r="BA246" s="685"/>
      <c r="BB246" s="19"/>
      <c r="BC246" s="688"/>
      <c r="BD246" s="685"/>
      <c r="BE246" s="19"/>
      <c r="BF246" s="688"/>
      <c r="BG246" s="685"/>
      <c r="BH246" s="19"/>
      <c r="BI246" s="688"/>
      <c r="BJ246" s="685"/>
      <c r="BK246" s="19"/>
      <c r="BL246" s="688"/>
      <c r="BM246" s="685"/>
    </row>
    <row r="247" spans="1:65" ht="11.4">
      <c r="A247" s="25" t="s">
        <v>742</v>
      </c>
      <c r="B247" s="40"/>
      <c r="C247" s="40"/>
      <c r="D247" s="40"/>
      <c r="E247" s="40"/>
      <c r="F247" s="40"/>
      <c r="G247" s="40"/>
      <c r="H247" s="40"/>
      <c r="I247" s="40"/>
      <c r="J247" s="40"/>
      <c r="K247" s="40"/>
      <c r="L247" s="40"/>
      <c r="M247" s="40"/>
      <c r="N247" s="40"/>
      <c r="O247" s="40"/>
      <c r="P247" s="40"/>
      <c r="Q247" s="40"/>
      <c r="R247" s="40"/>
      <c r="S247" s="630"/>
      <c r="T247" s="653"/>
      <c r="U247" s="40"/>
      <c r="V247" s="630"/>
      <c r="W247" s="653"/>
      <c r="X247" s="40"/>
      <c r="Y247" s="630"/>
      <c r="Z247" s="653">
        <v>589</v>
      </c>
      <c r="AA247" s="40">
        <v>1233</v>
      </c>
      <c r="AB247" s="630">
        <f>AC247</f>
        <v>1222</v>
      </c>
      <c r="AC247" s="653">
        <v>1222</v>
      </c>
      <c r="AD247" s="40">
        <v>1446</v>
      </c>
      <c r="AE247" s="630">
        <f>AF247</f>
        <v>1095</v>
      </c>
      <c r="AF247" s="653">
        <v>1095</v>
      </c>
      <c r="AG247" s="40">
        <v>1051</v>
      </c>
      <c r="AH247" s="630">
        <f>AI247</f>
        <v>669</v>
      </c>
      <c r="AI247" s="653">
        <v>669</v>
      </c>
      <c r="AJ247" s="40">
        <v>142</v>
      </c>
      <c r="AK247" s="630">
        <f>AL247</f>
        <v>49</v>
      </c>
      <c r="AL247" s="653">
        <v>49</v>
      </c>
      <c r="AM247" s="40">
        <v>223</v>
      </c>
      <c r="AN247" s="630">
        <f>AO247</f>
        <v>34</v>
      </c>
      <c r="AO247" s="653">
        <v>34</v>
      </c>
      <c r="AP247" s="40">
        <v>735</v>
      </c>
      <c r="AQ247" s="630">
        <f>AR247</f>
        <v>1077</v>
      </c>
      <c r="AR247" s="653">
        <v>1077</v>
      </c>
      <c r="AS247" s="40">
        <v>1510</v>
      </c>
      <c r="AT247" s="630">
        <f>AU247</f>
        <v>1900</v>
      </c>
      <c r="AU247" s="653">
        <v>1900</v>
      </c>
      <c r="AV247" s="40">
        <v>3454</v>
      </c>
      <c r="AW247" s="630">
        <f>AX247</f>
        <v>2424</v>
      </c>
      <c r="AX247" s="653">
        <v>2424</v>
      </c>
      <c r="AY247" s="40">
        <v>3771</v>
      </c>
      <c r="AZ247" s="688"/>
      <c r="BA247" s="685"/>
      <c r="BB247" s="19"/>
      <c r="BC247" s="688"/>
      <c r="BD247" s="685"/>
      <c r="BE247" s="19"/>
      <c r="BF247" s="688"/>
      <c r="BG247" s="685"/>
      <c r="BH247" s="19"/>
      <c r="BI247" s="688"/>
      <c r="BJ247" s="685"/>
      <c r="BK247" s="19"/>
      <c r="BL247" s="688"/>
      <c r="BM247" s="685"/>
    </row>
    <row r="248" spans="1:65" ht="11.4">
      <c r="A248" s="25" t="s">
        <v>743</v>
      </c>
      <c r="B248" s="40"/>
      <c r="C248" s="40"/>
      <c r="D248" s="40"/>
      <c r="E248" s="40"/>
      <c r="F248" s="40"/>
      <c r="G248" s="40"/>
      <c r="H248" s="40"/>
      <c r="I248" s="40"/>
      <c r="J248" s="40"/>
      <c r="K248" s="40"/>
      <c r="L248" s="40"/>
      <c r="M248" s="40"/>
      <c r="N248" s="40"/>
      <c r="O248" s="40"/>
      <c r="P248" s="40"/>
      <c r="Q248" s="40"/>
      <c r="R248" s="40"/>
      <c r="S248" s="630"/>
      <c r="T248" s="653"/>
      <c r="U248" s="40"/>
      <c r="V248" s="630"/>
      <c r="W248" s="653"/>
      <c r="X248" s="40"/>
      <c r="Y248" s="630"/>
      <c r="Z248" s="653">
        <v>1526</v>
      </c>
      <c r="AA248" s="40">
        <v>2283</v>
      </c>
      <c r="AB248" s="630">
        <f>AC248</f>
        <v>2729</v>
      </c>
      <c r="AC248" s="653">
        <v>2729</v>
      </c>
      <c r="AD248" s="40">
        <v>1838</v>
      </c>
      <c r="AE248" s="630">
        <f>AF248</f>
        <v>2523</v>
      </c>
      <c r="AF248" s="653">
        <v>2523</v>
      </c>
      <c r="AG248" s="40">
        <v>2217</v>
      </c>
      <c r="AH248" s="630">
        <f>AI248</f>
        <v>1843</v>
      </c>
      <c r="AI248" s="653">
        <v>1843</v>
      </c>
      <c r="AJ248" s="40">
        <v>2006</v>
      </c>
      <c r="AK248" s="630">
        <f>AL248</f>
        <v>1777</v>
      </c>
      <c r="AL248" s="653">
        <v>1777</v>
      </c>
      <c r="AM248" s="40">
        <v>1518</v>
      </c>
      <c r="AN248" s="630">
        <f>AO248</f>
        <v>1726</v>
      </c>
      <c r="AO248" s="653">
        <v>1726</v>
      </c>
      <c r="AP248" s="40">
        <v>1382</v>
      </c>
      <c r="AQ248" s="630">
        <f>AR248</f>
        <v>1968</v>
      </c>
      <c r="AR248" s="653">
        <v>1968</v>
      </c>
      <c r="AS248" s="40">
        <v>2067</v>
      </c>
      <c r="AT248" s="630">
        <f>AU248</f>
        <v>2961</v>
      </c>
      <c r="AU248" s="653">
        <v>2961</v>
      </c>
      <c r="AV248" s="40">
        <v>1775</v>
      </c>
      <c r="AW248" s="630">
        <f>AX248</f>
        <v>2931</v>
      </c>
      <c r="AX248" s="653">
        <v>2931</v>
      </c>
      <c r="AY248" s="40">
        <v>2004</v>
      </c>
      <c r="AZ248" s="688"/>
      <c r="BA248" s="685"/>
      <c r="BB248" s="19"/>
      <c r="BC248" s="688"/>
      <c r="BD248" s="685"/>
      <c r="BE248" s="19"/>
      <c r="BF248" s="688"/>
      <c r="BG248" s="685"/>
      <c r="BH248" s="19"/>
      <c r="BI248" s="688"/>
      <c r="BJ248" s="685"/>
      <c r="BK248" s="19"/>
      <c r="BL248" s="688"/>
      <c r="BM248" s="685"/>
    </row>
    <row r="249" spans="1:65" ht="12">
      <c r="A249" s="31" t="s">
        <v>752</v>
      </c>
      <c r="B249" s="337"/>
      <c r="C249" s="337"/>
      <c r="D249" s="337"/>
      <c r="E249" s="337"/>
      <c r="F249" s="337"/>
      <c r="G249" s="337"/>
      <c r="H249" s="337"/>
      <c r="I249" s="337"/>
      <c r="J249" s="337"/>
      <c r="K249" s="337"/>
      <c r="L249" s="337"/>
      <c r="M249" s="337"/>
      <c r="N249" s="337"/>
      <c r="O249" s="337"/>
      <c r="P249" s="337"/>
      <c r="Q249" s="337"/>
      <c r="R249" s="337"/>
      <c r="S249" s="712"/>
      <c r="T249" s="714"/>
      <c r="U249" s="337"/>
      <c r="V249" s="712"/>
      <c r="W249" s="714"/>
      <c r="X249" s="337"/>
      <c r="Y249" s="712"/>
      <c r="Z249" s="652">
        <f t="shared" ref="Z249:AO249" si="1008">Z246+Z247+Z248</f>
        <v>2953</v>
      </c>
      <c r="AA249" s="51">
        <f t="shared" si="1008"/>
        <v>4379</v>
      </c>
      <c r="AB249" s="629">
        <f t="shared" si="1008"/>
        <v>4974</v>
      </c>
      <c r="AC249" s="652">
        <f t="shared" si="1008"/>
        <v>4974</v>
      </c>
      <c r="AD249" s="51">
        <f t="shared" ref="AD249:AE249" si="1009">AD246+AD247+AD248</f>
        <v>4208</v>
      </c>
      <c r="AE249" s="629">
        <f t="shared" si="1009"/>
        <v>4443</v>
      </c>
      <c r="AF249" s="652">
        <f t="shared" si="1008"/>
        <v>4443</v>
      </c>
      <c r="AG249" s="51">
        <f t="shared" si="1008"/>
        <v>4239</v>
      </c>
      <c r="AH249" s="629">
        <f t="shared" si="1008"/>
        <v>3503</v>
      </c>
      <c r="AI249" s="652">
        <f t="shared" si="1008"/>
        <v>3503</v>
      </c>
      <c r="AJ249" s="51">
        <f t="shared" ref="AJ249:AK249" si="1010">AJ246+AJ247+AJ248</f>
        <v>2984</v>
      </c>
      <c r="AK249" s="629">
        <f t="shared" si="1010"/>
        <v>2646</v>
      </c>
      <c r="AL249" s="652">
        <f t="shared" si="1008"/>
        <v>2646</v>
      </c>
      <c r="AM249" s="51">
        <f t="shared" si="1008"/>
        <v>2784</v>
      </c>
      <c r="AN249" s="629">
        <f t="shared" si="1008"/>
        <v>2607</v>
      </c>
      <c r="AO249" s="652">
        <f t="shared" si="1008"/>
        <v>2607</v>
      </c>
      <c r="AP249" s="51">
        <f t="shared" ref="AP249:AR249" si="1011">AP246+AP247+AP248</f>
        <v>2861</v>
      </c>
      <c r="AQ249" s="629">
        <f t="shared" si="1011"/>
        <v>3784</v>
      </c>
      <c r="AR249" s="652">
        <f t="shared" si="1011"/>
        <v>3784</v>
      </c>
      <c r="AS249" s="51">
        <f t="shared" ref="AS249:AU249" si="1012">AS246+AS247+AS248</f>
        <v>4319</v>
      </c>
      <c r="AT249" s="629">
        <f t="shared" si="1012"/>
        <v>5575</v>
      </c>
      <c r="AU249" s="652">
        <f t="shared" si="1012"/>
        <v>5575</v>
      </c>
      <c r="AV249" s="51">
        <f t="shared" ref="AV249:AW249" si="1013">AV246+AV247+AV248</f>
        <v>6044</v>
      </c>
      <c r="AW249" s="629">
        <f t="shared" si="1013"/>
        <v>6244</v>
      </c>
      <c r="AX249" s="652">
        <f t="shared" ref="AX249:AY249" si="1014">AX246+AX247+AX248</f>
        <v>6244</v>
      </c>
      <c r="AY249" s="51">
        <f t="shared" si="1014"/>
        <v>6484</v>
      </c>
      <c r="AZ249" s="688"/>
      <c r="BA249" s="685"/>
      <c r="BB249" s="19"/>
      <c r="BC249" s="688"/>
      <c r="BD249" s="685"/>
      <c r="BE249" s="19"/>
      <c r="BF249" s="688"/>
      <c r="BG249" s="685"/>
      <c r="BH249" s="19"/>
      <c r="BI249" s="688"/>
      <c r="BJ249" s="685"/>
      <c r="BK249" s="19"/>
      <c r="BL249" s="688"/>
      <c r="BM249" s="685"/>
    </row>
    <row r="250" spans="1:65" ht="11.4">
      <c r="A250" s="25" t="s">
        <v>744</v>
      </c>
      <c r="B250" s="40"/>
      <c r="C250" s="40"/>
      <c r="D250" s="40"/>
      <c r="E250" s="40"/>
      <c r="F250" s="40"/>
      <c r="G250" s="40"/>
      <c r="H250" s="40"/>
      <c r="I250" s="40"/>
      <c r="J250" s="40"/>
      <c r="K250" s="40"/>
      <c r="L250" s="40"/>
      <c r="M250" s="40"/>
      <c r="N250" s="40"/>
      <c r="O250" s="40"/>
      <c r="P250" s="40"/>
      <c r="Q250" s="40"/>
      <c r="R250" s="40"/>
      <c r="S250" s="630"/>
      <c r="T250" s="653"/>
      <c r="U250" s="40"/>
      <c r="V250" s="630"/>
      <c r="W250" s="653"/>
      <c r="X250" s="40"/>
      <c r="Y250" s="630"/>
      <c r="Z250" s="653">
        <v>-20</v>
      </c>
      <c r="AA250" s="40">
        <v>-21</v>
      </c>
      <c r="AB250" s="630">
        <f>AC250</f>
        <v>-22</v>
      </c>
      <c r="AC250" s="653">
        <v>-22</v>
      </c>
      <c r="AD250" s="40">
        <v>-26</v>
      </c>
      <c r="AE250" s="630">
        <f>AF250</f>
        <v>-8</v>
      </c>
      <c r="AF250" s="653">
        <v>-8</v>
      </c>
      <c r="AG250" s="40">
        <v>-8</v>
      </c>
      <c r="AH250" s="630">
        <f>AI250</f>
        <v>-7</v>
      </c>
      <c r="AI250" s="653">
        <f>-7</f>
        <v>-7</v>
      </c>
      <c r="AJ250" s="40">
        <v>-6</v>
      </c>
      <c r="AK250" s="630">
        <f>AL250</f>
        <v>-7</v>
      </c>
      <c r="AL250" s="653">
        <v>-7</v>
      </c>
      <c r="AM250" s="40">
        <v>-2</v>
      </c>
      <c r="AN250" s="630">
        <f>AO250</f>
        <v>-2</v>
      </c>
      <c r="AO250" s="653">
        <v>-2</v>
      </c>
      <c r="AP250" s="40">
        <v>-6</v>
      </c>
      <c r="AQ250" s="630">
        <f>AR250</f>
        <v>-53</v>
      </c>
      <c r="AR250" s="653">
        <v>-53</v>
      </c>
      <c r="AS250" s="40">
        <v>-6</v>
      </c>
      <c r="AT250" s="630">
        <f>AU250</f>
        <v>-2</v>
      </c>
      <c r="AU250" s="653">
        <v>-2</v>
      </c>
      <c r="AV250" s="40">
        <v>-2</v>
      </c>
      <c r="AW250" s="630">
        <f>AX250</f>
        <v>-3</v>
      </c>
      <c r="AX250" s="653">
        <v>-3</v>
      </c>
      <c r="AY250" s="40">
        <v>-4</v>
      </c>
      <c r="AZ250" s="688"/>
      <c r="BA250" s="685"/>
      <c r="BB250" s="19"/>
      <c r="BC250" s="688"/>
      <c r="BD250" s="685"/>
      <c r="BE250" s="19"/>
      <c r="BF250" s="688"/>
      <c r="BG250" s="685"/>
      <c r="BH250" s="19"/>
      <c r="BI250" s="688"/>
      <c r="BJ250" s="685"/>
      <c r="BK250" s="19"/>
      <c r="BL250" s="688"/>
      <c r="BM250" s="685"/>
    </row>
    <row r="251" spans="1:65" ht="11.4">
      <c r="A251" s="31" t="s">
        <v>745</v>
      </c>
      <c r="B251" s="40"/>
      <c r="C251" s="40"/>
      <c r="D251" s="40"/>
      <c r="E251" s="40"/>
      <c r="F251" s="40"/>
      <c r="G251" s="40"/>
      <c r="H251" s="40"/>
      <c r="I251" s="40"/>
      <c r="J251" s="40"/>
      <c r="K251" s="40"/>
      <c r="L251" s="40"/>
      <c r="M251" s="40"/>
      <c r="N251" s="40"/>
      <c r="O251" s="40"/>
      <c r="P251" s="40"/>
      <c r="Q251" s="40"/>
      <c r="R251" s="40"/>
      <c r="S251" s="630"/>
      <c r="T251" s="653"/>
      <c r="U251" s="40"/>
      <c r="V251" s="630"/>
      <c r="W251" s="653"/>
      <c r="X251" s="40"/>
      <c r="Y251" s="630"/>
      <c r="Z251" s="652">
        <f t="shared" ref="Z251:AO251" si="1015">Z249+Z250</f>
        <v>2933</v>
      </c>
      <c r="AA251" s="51">
        <f t="shared" si="1015"/>
        <v>4358</v>
      </c>
      <c r="AB251" s="629">
        <f t="shared" si="1015"/>
        <v>4952</v>
      </c>
      <c r="AC251" s="652">
        <f t="shared" si="1015"/>
        <v>4952</v>
      </c>
      <c r="AD251" s="51">
        <f t="shared" ref="AD251:AE251" si="1016">AD249+AD250</f>
        <v>4182</v>
      </c>
      <c r="AE251" s="629">
        <f t="shared" si="1016"/>
        <v>4435</v>
      </c>
      <c r="AF251" s="652">
        <f t="shared" si="1015"/>
        <v>4435</v>
      </c>
      <c r="AG251" s="51">
        <f t="shared" si="1015"/>
        <v>4231</v>
      </c>
      <c r="AH251" s="629">
        <f t="shared" si="1015"/>
        <v>3496</v>
      </c>
      <c r="AI251" s="652">
        <f t="shared" si="1015"/>
        <v>3496</v>
      </c>
      <c r="AJ251" s="51">
        <f t="shared" ref="AJ251:AK251" si="1017">AJ249+AJ250</f>
        <v>2978</v>
      </c>
      <c r="AK251" s="629">
        <f t="shared" si="1017"/>
        <v>2639</v>
      </c>
      <c r="AL251" s="652">
        <f t="shared" si="1015"/>
        <v>2639</v>
      </c>
      <c r="AM251" s="51">
        <f t="shared" si="1015"/>
        <v>2782</v>
      </c>
      <c r="AN251" s="629">
        <f t="shared" si="1015"/>
        <v>2605</v>
      </c>
      <c r="AO251" s="652">
        <f t="shared" si="1015"/>
        <v>2605</v>
      </c>
      <c r="AP251" s="51">
        <f t="shared" ref="AP251:AR251" si="1018">AP249+AP250</f>
        <v>2855</v>
      </c>
      <c r="AQ251" s="629">
        <f t="shared" si="1018"/>
        <v>3731</v>
      </c>
      <c r="AR251" s="652">
        <f t="shared" si="1018"/>
        <v>3731</v>
      </c>
      <c r="AS251" s="51">
        <f t="shared" ref="AS251:AU251" si="1019">AS249+AS250</f>
        <v>4313</v>
      </c>
      <c r="AT251" s="629">
        <f t="shared" si="1019"/>
        <v>5573</v>
      </c>
      <c r="AU251" s="652">
        <f t="shared" si="1019"/>
        <v>5573</v>
      </c>
      <c r="AV251" s="51">
        <f t="shared" ref="AV251:AW251" si="1020">AV249+AV250</f>
        <v>6042</v>
      </c>
      <c r="AW251" s="629">
        <f t="shared" si="1020"/>
        <v>6241</v>
      </c>
      <c r="AX251" s="652">
        <f t="shared" ref="AX251:AY251" si="1021">AX249+AX250</f>
        <v>6241</v>
      </c>
      <c r="AY251" s="51">
        <f t="shared" si="1021"/>
        <v>6480</v>
      </c>
      <c r="AZ251" s="688"/>
      <c r="BA251" s="685"/>
      <c r="BB251" s="19"/>
      <c r="BC251" s="688"/>
      <c r="BD251" s="685"/>
      <c r="BE251" s="19"/>
      <c r="BF251" s="688"/>
      <c r="BG251" s="685"/>
      <c r="BH251" s="19"/>
      <c r="BI251" s="688"/>
      <c r="BJ251" s="685"/>
      <c r="BK251" s="19"/>
      <c r="BL251" s="688"/>
      <c r="BM251" s="685"/>
    </row>
    <row r="252" spans="1:65" ht="12">
      <c r="A252" s="31" t="s">
        <v>77</v>
      </c>
      <c r="B252" s="337"/>
      <c r="C252" s="337"/>
      <c r="D252" s="337"/>
      <c r="E252" s="337"/>
      <c r="F252" s="337"/>
      <c r="G252" s="337"/>
      <c r="H252" s="337"/>
      <c r="I252" s="337"/>
      <c r="J252" s="337"/>
      <c r="K252" s="337"/>
      <c r="L252" s="337"/>
      <c r="M252" s="337"/>
      <c r="N252" s="337"/>
      <c r="O252" s="337"/>
      <c r="P252" s="337"/>
      <c r="Q252" s="337"/>
      <c r="R252" s="337"/>
      <c r="S252" s="712"/>
      <c r="T252" s="714"/>
      <c r="U252" s="337"/>
      <c r="V252" s="712"/>
      <c r="W252" s="714"/>
      <c r="X252" s="337"/>
      <c r="Y252" s="712"/>
      <c r="Z252" s="652">
        <v>3</v>
      </c>
      <c r="AA252" s="51">
        <v>7</v>
      </c>
      <c r="AB252" s="629">
        <f>AC252</f>
        <v>6</v>
      </c>
      <c r="AC252" s="652">
        <v>6</v>
      </c>
      <c r="AD252" s="51">
        <v>0</v>
      </c>
      <c r="AE252" s="629">
        <f>AF252</f>
        <v>6</v>
      </c>
      <c r="AF252" s="652">
        <v>6</v>
      </c>
      <c r="AG252" s="51">
        <v>0</v>
      </c>
      <c r="AH252" s="629">
        <f>AI252</f>
        <v>0</v>
      </c>
      <c r="AI252" s="652">
        <v>0</v>
      </c>
      <c r="AJ252" s="51">
        <v>1</v>
      </c>
      <c r="AK252" s="629">
        <f>AL252</f>
        <v>8</v>
      </c>
      <c r="AL252" s="652">
        <v>8</v>
      </c>
      <c r="AM252" s="51">
        <v>1</v>
      </c>
      <c r="AN252" s="629">
        <f>AO252</f>
        <v>11</v>
      </c>
      <c r="AO252" s="652">
        <v>11</v>
      </c>
      <c r="AP252" s="51">
        <v>0</v>
      </c>
      <c r="AQ252" s="629">
        <f>AR252</f>
        <v>0</v>
      </c>
      <c r="AR252" s="652">
        <v>0</v>
      </c>
      <c r="AS252" s="51">
        <v>0</v>
      </c>
      <c r="AT252" s="629">
        <f>AU252</f>
        <v>0</v>
      </c>
      <c r="AU252" s="652">
        <v>0</v>
      </c>
      <c r="AV252" s="51">
        <v>0</v>
      </c>
      <c r="AW252" s="629">
        <f>AX252</f>
        <v>0</v>
      </c>
      <c r="AX252" s="652">
        <v>0</v>
      </c>
      <c r="AY252" s="51">
        <v>0</v>
      </c>
      <c r="AZ252" s="688"/>
      <c r="BA252" s="685"/>
      <c r="BB252" s="19"/>
      <c r="BC252" s="688"/>
      <c r="BD252" s="685"/>
      <c r="BE252" s="19"/>
      <c r="BF252" s="688"/>
      <c r="BG252" s="685"/>
      <c r="BH252" s="19"/>
      <c r="BI252" s="688"/>
      <c r="BJ252" s="685"/>
      <c r="BK252" s="19"/>
      <c r="BL252" s="688"/>
      <c r="BM252" s="685"/>
    </row>
    <row r="253" spans="1:65" ht="11.4">
      <c r="A253" s="25" t="s">
        <v>746</v>
      </c>
      <c r="B253" s="40"/>
      <c r="C253" s="40"/>
      <c r="D253" s="40"/>
      <c r="E253" s="40"/>
      <c r="F253" s="40"/>
      <c r="G253" s="40"/>
      <c r="H253" s="40"/>
      <c r="I253" s="40"/>
      <c r="J253" s="40"/>
      <c r="K253" s="40"/>
      <c r="L253" s="40"/>
      <c r="M253" s="40"/>
      <c r="N253" s="40"/>
      <c r="O253" s="40"/>
      <c r="P253" s="40"/>
      <c r="Q253" s="40"/>
      <c r="R253" s="40"/>
      <c r="S253" s="630"/>
      <c r="T253" s="653"/>
      <c r="U253" s="40"/>
      <c r="V253" s="630"/>
      <c r="W253" s="653"/>
      <c r="X253" s="40"/>
      <c r="Y253" s="630"/>
      <c r="Z253" s="653">
        <v>-39</v>
      </c>
      <c r="AA253" s="40">
        <v>-750</v>
      </c>
      <c r="AB253" s="630">
        <f>AC253</f>
        <v>-802</v>
      </c>
      <c r="AC253" s="653">
        <v>-802</v>
      </c>
      <c r="AD253" s="40">
        <v>-78</v>
      </c>
      <c r="AE253" s="630">
        <f>AF253</f>
        <v>-427</v>
      </c>
      <c r="AF253" s="653">
        <v>-427</v>
      </c>
      <c r="AG253" s="40">
        <v>-1434</v>
      </c>
      <c r="AH253" s="630">
        <f>AI253</f>
        <v>-1006</v>
      </c>
      <c r="AI253" s="653">
        <v>-1006</v>
      </c>
      <c r="AJ253" s="40">
        <v>-3</v>
      </c>
      <c r="AK253" s="630">
        <f>AL253</f>
        <v>-2</v>
      </c>
      <c r="AL253" s="653">
        <v>-2</v>
      </c>
      <c r="AM253" s="40">
        <v>-1</v>
      </c>
      <c r="AN253" s="630">
        <f>AO253</f>
        <v>-1</v>
      </c>
      <c r="AO253" s="653">
        <v>-1</v>
      </c>
      <c r="AP253" s="40">
        <v>-463</v>
      </c>
      <c r="AQ253" s="630">
        <f>AR253</f>
        <v>-478</v>
      </c>
      <c r="AR253" s="653">
        <v>-478</v>
      </c>
      <c r="AS253" s="40">
        <v>-4</v>
      </c>
      <c r="AT253" s="630">
        <f>AU253</f>
        <v>-800</v>
      </c>
      <c r="AU253" s="653">
        <f>-799-1</f>
        <v>-800</v>
      </c>
      <c r="AV253" s="40">
        <v>-1746</v>
      </c>
      <c r="AW253" s="630">
        <f>AX253</f>
        <v>-1031</v>
      </c>
      <c r="AX253" s="653">
        <v>-1031</v>
      </c>
      <c r="AY253" s="40">
        <v>-4</v>
      </c>
      <c r="AZ253" s="688"/>
      <c r="BA253" s="685"/>
      <c r="BB253" s="19"/>
      <c r="BC253" s="688"/>
      <c r="BD253" s="685"/>
      <c r="BE253" s="19"/>
      <c r="BF253" s="688"/>
      <c r="BG253" s="685"/>
      <c r="BH253" s="19"/>
      <c r="BI253" s="688"/>
      <c r="BJ253" s="685"/>
      <c r="BK253" s="19"/>
      <c r="BL253" s="688"/>
      <c r="BM253" s="685"/>
    </row>
    <row r="254" spans="1:65" ht="11.4">
      <c r="A254" s="25" t="s">
        <v>747</v>
      </c>
      <c r="B254" s="40"/>
      <c r="C254" s="40"/>
      <c r="D254" s="40"/>
      <c r="E254" s="40"/>
      <c r="F254" s="40"/>
      <c r="G254" s="40"/>
      <c r="H254" s="40"/>
      <c r="I254" s="40"/>
      <c r="J254" s="40"/>
      <c r="K254" s="40"/>
      <c r="L254" s="40"/>
      <c r="M254" s="40"/>
      <c r="N254" s="40"/>
      <c r="O254" s="40"/>
      <c r="P254" s="40"/>
      <c r="Q254" s="40"/>
      <c r="R254" s="40"/>
      <c r="S254" s="630"/>
      <c r="T254" s="653"/>
      <c r="U254" s="40"/>
      <c r="V254" s="630"/>
      <c r="W254" s="653"/>
      <c r="X254" s="40"/>
      <c r="Y254" s="630"/>
      <c r="Z254" s="653">
        <v>-3292</v>
      </c>
      <c r="AA254" s="40">
        <v>-3537</v>
      </c>
      <c r="AB254" s="630">
        <f>AC254</f>
        <v>-3609</v>
      </c>
      <c r="AC254" s="653">
        <v>-3609</v>
      </c>
      <c r="AD254" s="40">
        <v>-3980</v>
      </c>
      <c r="AE254" s="630">
        <f>AF254</f>
        <v>-2896</v>
      </c>
      <c r="AF254" s="653">
        <v>-2896</v>
      </c>
      <c r="AG254" s="40">
        <v>-4985</v>
      </c>
      <c r="AH254" s="630">
        <f>AI254</f>
        <v>-4274</v>
      </c>
      <c r="AI254" s="653">
        <v>-4274</v>
      </c>
      <c r="AJ254" s="40">
        <f>-6039-77</f>
        <v>-6116</v>
      </c>
      <c r="AK254" s="630">
        <f>AL254</f>
        <v>-6082</v>
      </c>
      <c r="AL254" s="653">
        <f>-6023-59</f>
        <v>-6082</v>
      </c>
      <c r="AM254" s="40">
        <f>-6119-40</f>
        <v>-6159</v>
      </c>
      <c r="AN254" s="630">
        <f>AO254</f>
        <v>-4105</v>
      </c>
      <c r="AO254" s="653">
        <v>-4105</v>
      </c>
      <c r="AP254" s="40">
        <v>-3504</v>
      </c>
      <c r="AQ254" s="630">
        <f>AR254</f>
        <v>-3568</v>
      </c>
      <c r="AR254" s="653">
        <v>-3568</v>
      </c>
      <c r="AS254" s="40">
        <v>-3542</v>
      </c>
      <c r="AT254" s="630">
        <f>AU254</f>
        <v>-2776</v>
      </c>
      <c r="AU254" s="653">
        <v>-2776</v>
      </c>
      <c r="AV254" s="40">
        <v>-1745</v>
      </c>
      <c r="AW254" s="630">
        <f>AX254</f>
        <v>-1768</v>
      </c>
      <c r="AX254" s="653">
        <v>-1768</v>
      </c>
      <c r="AY254" s="40">
        <v>-2647</v>
      </c>
      <c r="AZ254" s="688"/>
      <c r="BA254" s="685"/>
      <c r="BB254" s="19"/>
      <c r="BC254" s="688"/>
      <c r="BD254" s="685"/>
      <c r="BE254" s="19"/>
      <c r="BF254" s="688"/>
      <c r="BG254" s="685"/>
      <c r="BH254" s="19"/>
      <c r="BI254" s="688"/>
      <c r="BJ254" s="685"/>
      <c r="BK254" s="19"/>
      <c r="BL254" s="688"/>
      <c r="BM254" s="685"/>
    </row>
    <row r="255" spans="1:65">
      <c r="A255" s="25" t="s">
        <v>748</v>
      </c>
      <c r="B255" s="40"/>
      <c r="C255" s="40"/>
      <c r="D255" s="40"/>
      <c r="E255" s="40"/>
      <c r="F255" s="40"/>
      <c r="G255" s="40"/>
      <c r="H255" s="40"/>
      <c r="I255" s="40"/>
      <c r="J255" s="40"/>
      <c r="K255" s="40"/>
      <c r="L255" s="40"/>
      <c r="M255" s="40"/>
      <c r="N255" s="40"/>
      <c r="O255" s="40"/>
      <c r="P255" s="40"/>
      <c r="Q255" s="40"/>
      <c r="R255" s="40"/>
      <c r="S255" s="630"/>
      <c r="T255" s="653"/>
      <c r="U255" s="40"/>
      <c r="V255" s="630"/>
      <c r="W255" s="653"/>
      <c r="X255" s="40"/>
      <c r="Y255" s="630"/>
      <c r="Z255" s="653">
        <v>-137</v>
      </c>
      <c r="AA255" s="40">
        <v>-133</v>
      </c>
      <c r="AB255" s="630">
        <f>AC255</f>
        <v>-229</v>
      </c>
      <c r="AC255" s="653">
        <v>-229</v>
      </c>
      <c r="AD255" s="40">
        <v>-2445</v>
      </c>
      <c r="AE255" s="630">
        <f>AF255</f>
        <v>-2354</v>
      </c>
      <c r="AF255" s="653">
        <v>-2354</v>
      </c>
      <c r="AG255" s="40">
        <v>-2337</v>
      </c>
      <c r="AH255" s="630">
        <f>AI255</f>
        <v>-2043</v>
      </c>
      <c r="AI255" s="653">
        <v>-2043</v>
      </c>
      <c r="AJ255" s="40">
        <f>-1866-23</f>
        <v>-1889</v>
      </c>
      <c r="AK255" s="630">
        <f>AL255</f>
        <v>-1757</v>
      </c>
      <c r="AL255" s="653">
        <f>-1744-13</f>
        <v>-1757</v>
      </c>
      <c r="AM255" s="40">
        <f>-1854-13</f>
        <v>-1867</v>
      </c>
      <c r="AN255" s="630">
        <f>AO255</f>
        <v>-1847</v>
      </c>
      <c r="AO255" s="653">
        <v>-1847</v>
      </c>
      <c r="AP255" s="40">
        <v>-1684</v>
      </c>
      <c r="AQ255" s="630">
        <f>AR255</f>
        <v>-1660</v>
      </c>
      <c r="AR255" s="653">
        <v>-1660</v>
      </c>
      <c r="AS255" s="40">
        <v>-1598</v>
      </c>
      <c r="AT255" s="630">
        <f>AU255</f>
        <v>-1555</v>
      </c>
      <c r="AU255" s="653">
        <v>-1555</v>
      </c>
      <c r="AV255" s="40">
        <f>-1416-1</f>
        <v>-1417</v>
      </c>
      <c r="AW255" s="630">
        <f>AX255</f>
        <v>-1470</v>
      </c>
      <c r="AX255" s="653">
        <v>-1470</v>
      </c>
      <c r="AY255" s="40">
        <v>-1656</v>
      </c>
      <c r="AZ255" s="236">
        <f>BA255</f>
        <v>-1415</v>
      </c>
      <c r="BA255" s="605">
        <f>AX255-BS!BA171-BA173</f>
        <v>-1415</v>
      </c>
      <c r="BB255" s="56">
        <f>BA255-BS!BB171-BB173</f>
        <v>-1387.5</v>
      </c>
      <c r="BC255" s="236">
        <f>BD255</f>
        <v>-1360</v>
      </c>
      <c r="BD255" s="605">
        <f>BA255-BS!BD171-BD173</f>
        <v>-1360</v>
      </c>
      <c r="BE255" s="56">
        <f>BD255-BS!BE171-BE173</f>
        <v>-1332.5</v>
      </c>
      <c r="BF255" s="236">
        <f>BG255</f>
        <v>-1305</v>
      </c>
      <c r="BG255" s="605">
        <f>BD255-BS!BG171-BG173</f>
        <v>-1305</v>
      </c>
      <c r="BH255" s="56">
        <f>BG255-BS!BH171-BH173</f>
        <v>-1277.5</v>
      </c>
      <c r="BI255" s="236">
        <f>BJ255</f>
        <v>-1250</v>
      </c>
      <c r="BJ255" s="605">
        <f>BG255-BS!BJ171-BJ173</f>
        <v>-1250</v>
      </c>
      <c r="BK255" s="56">
        <f>BJ255-BS!BK171-BK173</f>
        <v>-1222.5</v>
      </c>
      <c r="BL255" s="236">
        <f>BM255</f>
        <v>-1195</v>
      </c>
      <c r="BM255" s="605">
        <f>BJ255-BS!BM171-BM173</f>
        <v>-1195</v>
      </c>
    </row>
    <row r="256" spans="1:65" ht="11.4">
      <c r="A256" s="31" t="s">
        <v>749</v>
      </c>
      <c r="B256" s="40"/>
      <c r="C256" s="40"/>
      <c r="D256" s="40"/>
      <c r="E256" s="40"/>
      <c r="F256" s="40"/>
      <c r="G256" s="40"/>
      <c r="H256" s="40"/>
      <c r="I256" s="40"/>
      <c r="J256" s="40"/>
      <c r="K256" s="40"/>
      <c r="L256" s="40"/>
      <c r="M256" s="40"/>
      <c r="N256" s="40"/>
      <c r="O256" s="40"/>
      <c r="P256" s="40"/>
      <c r="Q256" s="40"/>
      <c r="R256" s="40"/>
      <c r="S256" s="630"/>
      <c r="T256" s="653"/>
      <c r="U256" s="40"/>
      <c r="V256" s="630"/>
      <c r="W256" s="653"/>
      <c r="X256" s="40"/>
      <c r="Y256" s="630"/>
      <c r="Z256" s="652">
        <f t="shared" ref="Z256:AO256" si="1022">SUM(Z252:Z255)</f>
        <v>-3465</v>
      </c>
      <c r="AA256" s="51">
        <f t="shared" ref="AA256:AB256" si="1023">SUM(AA252:AA255)</f>
        <v>-4413</v>
      </c>
      <c r="AB256" s="629">
        <f t="shared" si="1023"/>
        <v>-4634</v>
      </c>
      <c r="AC256" s="652">
        <f t="shared" si="1022"/>
        <v>-4634</v>
      </c>
      <c r="AD256" s="51">
        <f t="shared" ref="AD256:AE256" si="1024">SUM(AD252:AD255)</f>
        <v>-6503</v>
      </c>
      <c r="AE256" s="629">
        <f t="shared" si="1024"/>
        <v>-5671</v>
      </c>
      <c r="AF256" s="652">
        <f t="shared" si="1022"/>
        <v>-5671</v>
      </c>
      <c r="AG256" s="51">
        <f t="shared" ref="AG256" si="1025">SUM(AG252:AG255)</f>
        <v>-8756</v>
      </c>
      <c r="AH256" s="629">
        <f t="shared" ref="AH256" si="1026">SUM(AH252:AH255)</f>
        <v>-7323</v>
      </c>
      <c r="AI256" s="652">
        <f t="shared" si="1022"/>
        <v>-7323</v>
      </c>
      <c r="AJ256" s="51">
        <f t="shared" ref="AJ256" si="1027">SUM(AJ252:AJ255)</f>
        <v>-8007</v>
      </c>
      <c r="AK256" s="629">
        <f t="shared" ref="AK256" si="1028">SUM(AK252:AK255)</f>
        <v>-7833</v>
      </c>
      <c r="AL256" s="652">
        <f t="shared" si="1022"/>
        <v>-7833</v>
      </c>
      <c r="AM256" s="51">
        <f t="shared" ref="AM256" si="1029">SUM(AM252:AM255)</f>
        <v>-8026</v>
      </c>
      <c r="AN256" s="629">
        <f t="shared" si="1022"/>
        <v>-5942</v>
      </c>
      <c r="AO256" s="652">
        <f t="shared" si="1022"/>
        <v>-5942</v>
      </c>
      <c r="AP256" s="51">
        <f t="shared" ref="AP256" si="1030">SUM(AP252:AP255)</f>
        <v>-5651</v>
      </c>
      <c r="AQ256" s="629">
        <f t="shared" ref="AQ256:AR256" si="1031">SUM(AQ252:AQ255)</f>
        <v>-5706</v>
      </c>
      <c r="AR256" s="652">
        <f t="shared" si="1031"/>
        <v>-5706</v>
      </c>
      <c r="AS256" s="51">
        <f t="shared" ref="AS256:AU256" si="1032">SUM(AS252:AS255)</f>
        <v>-5144</v>
      </c>
      <c r="AT256" s="629">
        <f t="shared" si="1032"/>
        <v>-5131</v>
      </c>
      <c r="AU256" s="652">
        <f t="shared" si="1032"/>
        <v>-5131</v>
      </c>
      <c r="AV256" s="51">
        <f t="shared" ref="AV256:AW256" si="1033">SUM(AV252:AV255)</f>
        <v>-4908</v>
      </c>
      <c r="AW256" s="629">
        <f t="shared" si="1033"/>
        <v>-4269</v>
      </c>
      <c r="AX256" s="652">
        <f t="shared" ref="AX256:AY256" si="1034">SUM(AX252:AX255)</f>
        <v>-4269</v>
      </c>
      <c r="AY256" s="51">
        <f t="shared" si="1034"/>
        <v>-4307</v>
      </c>
      <c r="AZ256" s="688"/>
      <c r="BA256" s="685"/>
      <c r="BB256" s="19"/>
      <c r="BC256" s="688"/>
      <c r="BD256" s="685"/>
      <c r="BE256" s="19"/>
      <c r="BF256" s="688"/>
      <c r="BG256" s="685"/>
      <c r="BH256" s="19"/>
      <c r="BI256" s="688"/>
      <c r="BJ256" s="685"/>
      <c r="BK256" s="19"/>
      <c r="BL256" s="688"/>
      <c r="BM256" s="685"/>
    </row>
    <row r="257" spans="1:65" ht="11.4">
      <c r="A257" s="31" t="s">
        <v>750</v>
      </c>
      <c r="B257" s="40"/>
      <c r="C257" s="40"/>
      <c r="D257" s="40"/>
      <c r="E257" s="40"/>
      <c r="F257" s="40"/>
      <c r="G257" s="40"/>
      <c r="H257" s="40"/>
      <c r="I257" s="40"/>
      <c r="J257" s="40"/>
      <c r="K257" s="40"/>
      <c r="L257" s="40"/>
      <c r="M257" s="40"/>
      <c r="N257" s="40"/>
      <c r="O257" s="40"/>
      <c r="P257" s="40"/>
      <c r="Q257" s="40"/>
      <c r="R257" s="40"/>
      <c r="S257" s="630"/>
      <c r="T257" s="653"/>
      <c r="U257" s="40"/>
      <c r="V257" s="630"/>
      <c r="W257" s="653"/>
      <c r="X257" s="40"/>
      <c r="Y257" s="630"/>
      <c r="Z257" s="653">
        <f t="shared" ref="Z257:AO257" si="1035">Z251+Z256</f>
        <v>-532</v>
      </c>
      <c r="AA257" s="40">
        <f t="shared" si="1035"/>
        <v>-55</v>
      </c>
      <c r="AB257" s="630">
        <f>AC257</f>
        <v>318</v>
      </c>
      <c r="AC257" s="653">
        <f t="shared" si="1035"/>
        <v>318</v>
      </c>
      <c r="AD257" s="40">
        <f t="shared" ref="AD257" si="1036">AD251+AD256</f>
        <v>-2321</v>
      </c>
      <c r="AE257" s="630">
        <f>AF257</f>
        <v>-1236</v>
      </c>
      <c r="AF257" s="653">
        <f t="shared" si="1035"/>
        <v>-1236</v>
      </c>
      <c r="AG257" s="40">
        <f t="shared" si="1035"/>
        <v>-4525</v>
      </c>
      <c r="AH257" s="630">
        <f>AI257</f>
        <v>-3827</v>
      </c>
      <c r="AI257" s="653">
        <f t="shared" si="1035"/>
        <v>-3827</v>
      </c>
      <c r="AJ257" s="40">
        <f t="shared" ref="AJ257" si="1037">AJ251+AJ256</f>
        <v>-5029</v>
      </c>
      <c r="AK257" s="630">
        <f>AL257</f>
        <v>-5194</v>
      </c>
      <c r="AL257" s="653">
        <f t="shared" si="1035"/>
        <v>-5194</v>
      </c>
      <c r="AM257" s="40">
        <f t="shared" si="1035"/>
        <v>-5244</v>
      </c>
      <c r="AN257" s="630">
        <f>AO257</f>
        <v>-3337</v>
      </c>
      <c r="AO257" s="653">
        <f t="shared" si="1035"/>
        <v>-3337</v>
      </c>
      <c r="AP257" s="40">
        <f t="shared" ref="AP257" si="1038">AP251+AP256</f>
        <v>-2796</v>
      </c>
      <c r="AQ257" s="630">
        <f>AR257</f>
        <v>-1975</v>
      </c>
      <c r="AR257" s="653">
        <f t="shared" ref="AR257:AS257" si="1039">AR251+AR256</f>
        <v>-1975</v>
      </c>
      <c r="AS257" s="40">
        <f t="shared" si="1039"/>
        <v>-831</v>
      </c>
      <c r="AT257" s="630">
        <f>AU257</f>
        <v>442</v>
      </c>
      <c r="AU257" s="653">
        <f t="shared" ref="AU257:AV257" si="1040">AU251+AU256</f>
        <v>442</v>
      </c>
      <c r="AV257" s="40">
        <f t="shared" si="1040"/>
        <v>1134</v>
      </c>
      <c r="AW257" s="630">
        <f>AX257</f>
        <v>1972</v>
      </c>
      <c r="AX257" s="653">
        <f t="shared" ref="AX257:AY257" si="1041">AX251+AX256</f>
        <v>1972</v>
      </c>
      <c r="AY257" s="40">
        <f t="shared" si="1041"/>
        <v>2173</v>
      </c>
      <c r="AZ257" s="688"/>
      <c r="BA257" s="685"/>
      <c r="BB257" s="19"/>
      <c r="BC257" s="688"/>
      <c r="BD257" s="685"/>
      <c r="BE257" s="19"/>
      <c r="BF257" s="688"/>
      <c r="BG257" s="685"/>
      <c r="BH257" s="19"/>
      <c r="BI257" s="688"/>
      <c r="BJ257" s="685"/>
      <c r="BK257" s="19"/>
      <c r="BL257" s="688"/>
      <c r="BM257" s="685"/>
    </row>
    <row r="258" spans="1:65" ht="11.4">
      <c r="A258" s="25" t="s">
        <v>105</v>
      </c>
      <c r="B258" s="40"/>
      <c r="C258" s="40"/>
      <c r="D258" s="40"/>
      <c r="E258" s="40"/>
      <c r="F258" s="40"/>
      <c r="G258" s="40"/>
      <c r="H258" s="40"/>
      <c r="I258" s="40"/>
      <c r="J258" s="40"/>
      <c r="K258" s="40"/>
      <c r="L258" s="40"/>
      <c r="M258" s="40"/>
      <c r="N258" s="40"/>
      <c r="O258" s="40"/>
      <c r="P258" s="40"/>
      <c r="Q258" s="40"/>
      <c r="R258" s="40"/>
      <c r="S258" s="630"/>
      <c r="T258" s="653"/>
      <c r="U258" s="40"/>
      <c r="V258" s="630"/>
      <c r="W258" s="653"/>
      <c r="X258" s="40"/>
      <c r="Y258" s="630"/>
      <c r="Z258" s="653">
        <v>227</v>
      </c>
      <c r="AA258" s="40">
        <v>220</v>
      </c>
      <c r="AB258" s="630">
        <f>AC258</f>
        <v>293</v>
      </c>
      <c r="AC258" s="653">
        <v>293</v>
      </c>
      <c r="AD258" s="40">
        <v>384</v>
      </c>
      <c r="AE258" s="630">
        <f>AF258</f>
        <v>243</v>
      </c>
      <c r="AF258" s="653">
        <v>243</v>
      </c>
      <c r="AG258" s="40">
        <v>456</v>
      </c>
      <c r="AH258" s="630">
        <f>AI258</f>
        <v>251</v>
      </c>
      <c r="AI258" s="653">
        <v>251</v>
      </c>
      <c r="AJ258" s="40">
        <v>57</v>
      </c>
      <c r="AK258" s="630">
        <f>AL258</f>
        <v>37</v>
      </c>
      <c r="AL258" s="653">
        <v>37</v>
      </c>
      <c r="AM258" s="40">
        <v>102</v>
      </c>
      <c r="AN258" s="630">
        <f>AO258</f>
        <v>86</v>
      </c>
      <c r="AO258" s="653">
        <v>86</v>
      </c>
      <c r="AP258" s="40">
        <v>-49</v>
      </c>
      <c r="AQ258" s="630">
        <f>AR258</f>
        <v>23</v>
      </c>
      <c r="AR258" s="653">
        <v>23</v>
      </c>
      <c r="AS258" s="40">
        <v>9</v>
      </c>
      <c r="AT258" s="630">
        <f>AU258</f>
        <v>33</v>
      </c>
      <c r="AU258" s="653">
        <v>33</v>
      </c>
      <c r="AV258" s="40">
        <v>-50</v>
      </c>
      <c r="AW258" s="630">
        <f>AX258</f>
        <v>-77</v>
      </c>
      <c r="AX258" s="653">
        <v>-77</v>
      </c>
      <c r="AY258" s="40">
        <v>-37</v>
      </c>
      <c r="AZ258" s="688"/>
      <c r="BA258" s="685"/>
      <c r="BB258" s="19"/>
      <c r="BC258" s="688"/>
      <c r="BD258" s="685"/>
      <c r="BE258" s="19"/>
      <c r="BF258" s="688"/>
      <c r="BG258" s="685"/>
      <c r="BH258" s="19"/>
      <c r="BI258" s="688"/>
      <c r="BJ258" s="685"/>
      <c r="BK258" s="19"/>
      <c r="BL258" s="688"/>
      <c r="BM258" s="685"/>
    </row>
    <row r="259" spans="1:65" ht="11.4">
      <c r="A259" s="68" t="s">
        <v>751</v>
      </c>
      <c r="B259" s="336"/>
      <c r="C259" s="336"/>
      <c r="D259" s="336"/>
      <c r="E259" s="336"/>
      <c r="F259" s="336"/>
      <c r="G259" s="336"/>
      <c r="H259" s="336"/>
      <c r="I259" s="336"/>
      <c r="J259" s="336"/>
      <c r="K259" s="336"/>
      <c r="L259" s="336"/>
      <c r="M259" s="336"/>
      <c r="N259" s="336"/>
      <c r="O259" s="336"/>
      <c r="P259" s="336"/>
      <c r="Q259" s="336"/>
      <c r="R259" s="336"/>
      <c r="S259" s="713"/>
      <c r="T259" s="715"/>
      <c r="U259" s="336"/>
      <c r="V259" s="713"/>
      <c r="W259" s="715"/>
      <c r="X259" s="336"/>
      <c r="Y259" s="713"/>
      <c r="Z259" s="667">
        <f t="shared" ref="Z259:AO259" si="1042">Z257+Z258</f>
        <v>-305</v>
      </c>
      <c r="AA259" s="46">
        <f t="shared" si="1042"/>
        <v>165</v>
      </c>
      <c r="AB259" s="643">
        <f t="shared" si="1042"/>
        <v>611</v>
      </c>
      <c r="AC259" s="667">
        <f t="shared" si="1042"/>
        <v>611</v>
      </c>
      <c r="AD259" s="46">
        <f t="shared" ref="AD259:AE259" si="1043">AD257+AD258</f>
        <v>-1937</v>
      </c>
      <c r="AE259" s="643">
        <f t="shared" si="1043"/>
        <v>-993</v>
      </c>
      <c r="AF259" s="667">
        <f t="shared" si="1042"/>
        <v>-993</v>
      </c>
      <c r="AG259" s="46">
        <f t="shared" si="1042"/>
        <v>-4069</v>
      </c>
      <c r="AH259" s="643">
        <f t="shared" si="1042"/>
        <v>-3576</v>
      </c>
      <c r="AI259" s="667">
        <f t="shared" si="1042"/>
        <v>-3576</v>
      </c>
      <c r="AJ259" s="46">
        <f t="shared" ref="AJ259:AK259" si="1044">AJ257+AJ258</f>
        <v>-4972</v>
      </c>
      <c r="AK259" s="643">
        <f t="shared" si="1044"/>
        <v>-5157</v>
      </c>
      <c r="AL259" s="667">
        <f t="shared" si="1042"/>
        <v>-5157</v>
      </c>
      <c r="AM259" s="46">
        <f t="shared" si="1042"/>
        <v>-5142</v>
      </c>
      <c r="AN259" s="643">
        <f t="shared" ref="AN259" si="1045">AN257+AN258</f>
        <v>-3251</v>
      </c>
      <c r="AO259" s="667">
        <f t="shared" si="1042"/>
        <v>-3251</v>
      </c>
      <c r="AP259" s="46">
        <f t="shared" ref="AP259:AR259" si="1046">AP257+AP258</f>
        <v>-2845</v>
      </c>
      <c r="AQ259" s="643">
        <f t="shared" si="1046"/>
        <v>-1952</v>
      </c>
      <c r="AR259" s="667">
        <f t="shared" si="1046"/>
        <v>-1952</v>
      </c>
      <c r="AS259" s="46">
        <f t="shared" ref="AS259:AU259" si="1047">AS257+AS258</f>
        <v>-822</v>
      </c>
      <c r="AT259" s="643">
        <f t="shared" si="1047"/>
        <v>475</v>
      </c>
      <c r="AU259" s="667">
        <f t="shared" si="1047"/>
        <v>475</v>
      </c>
      <c r="AV259" s="46">
        <f t="shared" ref="AV259:AW259" si="1048">AV257+AV258</f>
        <v>1084</v>
      </c>
      <c r="AW259" s="643">
        <f t="shared" si="1048"/>
        <v>1895</v>
      </c>
      <c r="AX259" s="667">
        <f t="shared" ref="AX259:AY259" si="1049">AX257+AX258</f>
        <v>1895</v>
      </c>
      <c r="AY259" s="46">
        <f t="shared" si="1049"/>
        <v>2136</v>
      </c>
      <c r="AZ259" s="250">
        <f t="shared" ref="AZ259:BM259" si="1050">AZ60</f>
        <v>2626.0189816936108</v>
      </c>
      <c r="BA259" s="615">
        <f t="shared" si="1050"/>
        <v>2626.0189816936108</v>
      </c>
      <c r="BB259" s="249">
        <f t="shared" si="1050"/>
        <v>4744.1785276494047</v>
      </c>
      <c r="BC259" s="250">
        <f t="shared" si="1050"/>
        <v>3514.3133866163571</v>
      </c>
      <c r="BD259" s="615">
        <f t="shared" si="1050"/>
        <v>3514.3133866163571</v>
      </c>
      <c r="BE259" s="249">
        <f t="shared" si="1050"/>
        <v>4847.1754827074801</v>
      </c>
      <c r="BF259" s="250">
        <f t="shared" si="1050"/>
        <v>5340.2755349535819</v>
      </c>
      <c r="BG259" s="615">
        <f t="shared" si="1050"/>
        <v>5340.2755349535819</v>
      </c>
      <c r="BH259" s="249">
        <f t="shared" si="1050"/>
        <v>8060.3101074831939</v>
      </c>
      <c r="BI259" s="250">
        <f t="shared" si="1050"/>
        <v>10426.34240973395</v>
      </c>
      <c r="BJ259" s="615">
        <f t="shared" si="1050"/>
        <v>10426.34240973395</v>
      </c>
      <c r="BK259" s="249">
        <f t="shared" si="1050"/>
        <v>13478.696380937472</v>
      </c>
      <c r="BL259" s="250">
        <f t="shared" si="1050"/>
        <v>16330.402584305833</v>
      </c>
      <c r="BM259" s="615">
        <f t="shared" si="1050"/>
        <v>16330.402584305833</v>
      </c>
    </row>
    <row r="260" spans="1:65">
      <c r="A260" s="31" t="s">
        <v>795</v>
      </c>
      <c r="B260" s="40"/>
      <c r="C260" s="40"/>
      <c r="D260" s="40"/>
      <c r="E260" s="40"/>
      <c r="F260" s="40"/>
      <c r="G260" s="40"/>
      <c r="H260" s="40"/>
      <c r="I260" s="40"/>
      <c r="J260" s="40"/>
      <c r="K260" s="40"/>
      <c r="L260" s="40"/>
      <c r="M260" s="40"/>
      <c r="N260" s="40"/>
      <c r="O260" s="40"/>
      <c r="P260" s="40"/>
      <c r="Q260" s="40"/>
      <c r="R260" s="40"/>
      <c r="S260" s="630"/>
      <c r="T260" s="653"/>
      <c r="U260" s="40"/>
      <c r="V260" s="630"/>
      <c r="W260" s="653"/>
      <c r="X260" s="40"/>
      <c r="Y260" s="630"/>
      <c r="Z260" s="652">
        <f t="shared" ref="Z260:BM260" si="1051">Z259-Z255</f>
        <v>-168</v>
      </c>
      <c r="AA260" s="51">
        <f t="shared" ref="AA260" si="1052">AA259-AA255</f>
        <v>298</v>
      </c>
      <c r="AB260" s="629">
        <f t="shared" ref="AB260" si="1053">AB259-AB255</f>
        <v>840</v>
      </c>
      <c r="AC260" s="652">
        <f t="shared" si="1051"/>
        <v>840</v>
      </c>
      <c r="AD260" s="51">
        <f t="shared" ref="AD260" si="1054">AD259-AD255</f>
        <v>508</v>
      </c>
      <c r="AE260" s="629">
        <f t="shared" ref="AE260" si="1055">AE259-AE255</f>
        <v>1361</v>
      </c>
      <c r="AF260" s="652">
        <f t="shared" si="1051"/>
        <v>1361</v>
      </c>
      <c r="AG260" s="51">
        <f t="shared" ref="AG260:AP260" si="1056">AG259-AG255</f>
        <v>-1732</v>
      </c>
      <c r="AH260" s="629">
        <f t="shared" si="1056"/>
        <v>-1533</v>
      </c>
      <c r="AI260" s="652">
        <f t="shared" si="1056"/>
        <v>-1533</v>
      </c>
      <c r="AJ260" s="51">
        <f t="shared" si="1056"/>
        <v>-3083</v>
      </c>
      <c r="AK260" s="629">
        <f t="shared" si="1056"/>
        <v>-3400</v>
      </c>
      <c r="AL260" s="652">
        <f t="shared" si="1056"/>
        <v>-3400</v>
      </c>
      <c r="AM260" s="51">
        <f t="shared" si="1056"/>
        <v>-3275</v>
      </c>
      <c r="AN260" s="629">
        <f t="shared" si="1056"/>
        <v>-1404</v>
      </c>
      <c r="AO260" s="652">
        <f t="shared" si="1056"/>
        <v>-1404</v>
      </c>
      <c r="AP260" s="51">
        <f t="shared" si="1056"/>
        <v>-1161</v>
      </c>
      <c r="AQ260" s="629">
        <f t="shared" ref="AQ260:AR260" si="1057">AQ259-AQ255</f>
        <v>-292</v>
      </c>
      <c r="AR260" s="652">
        <f t="shared" si="1057"/>
        <v>-292</v>
      </c>
      <c r="AS260" s="51">
        <f t="shared" ref="AS260:AU260" si="1058">AS259-AS255</f>
        <v>776</v>
      </c>
      <c r="AT260" s="629">
        <f t="shared" si="1058"/>
        <v>2030</v>
      </c>
      <c r="AU260" s="652">
        <f t="shared" si="1058"/>
        <v>2030</v>
      </c>
      <c r="AV260" s="51">
        <f t="shared" ref="AV260:AW260" si="1059">AV259-AV255</f>
        <v>2501</v>
      </c>
      <c r="AW260" s="629">
        <f t="shared" si="1059"/>
        <v>3365</v>
      </c>
      <c r="AX260" s="652">
        <f t="shared" si="1051"/>
        <v>3365</v>
      </c>
      <c r="AY260" s="51">
        <f t="shared" si="1051"/>
        <v>3792</v>
      </c>
      <c r="AZ260" s="237">
        <f t="shared" si="1051"/>
        <v>4041.0189816936108</v>
      </c>
      <c r="BA260" s="576">
        <f t="shared" si="1051"/>
        <v>4041.0189816936108</v>
      </c>
      <c r="BB260" s="48">
        <f t="shared" si="1051"/>
        <v>6131.6785276494047</v>
      </c>
      <c r="BC260" s="237">
        <f t="shared" si="1051"/>
        <v>4874.3133866163571</v>
      </c>
      <c r="BD260" s="576">
        <f t="shared" si="1051"/>
        <v>4874.3133866163571</v>
      </c>
      <c r="BE260" s="48">
        <f t="shared" si="1051"/>
        <v>6179.6754827074801</v>
      </c>
      <c r="BF260" s="237">
        <f t="shared" si="1051"/>
        <v>6645.2755349535819</v>
      </c>
      <c r="BG260" s="576">
        <f t="shared" si="1051"/>
        <v>6645.2755349535819</v>
      </c>
      <c r="BH260" s="48">
        <f t="shared" si="1051"/>
        <v>9337.8101074831939</v>
      </c>
      <c r="BI260" s="237">
        <f t="shared" si="1051"/>
        <v>11676.34240973395</v>
      </c>
      <c r="BJ260" s="576">
        <f t="shared" si="1051"/>
        <v>11676.34240973395</v>
      </c>
      <c r="BK260" s="48">
        <f t="shared" si="1051"/>
        <v>14701.196380937472</v>
      </c>
      <c r="BL260" s="237">
        <f t="shared" si="1051"/>
        <v>17525.402584305833</v>
      </c>
      <c r="BM260" s="576">
        <f t="shared" si="1051"/>
        <v>17525.402584305833</v>
      </c>
    </row>
    <row r="261" spans="1:65" ht="11.4">
      <c r="B261" s="40"/>
      <c r="C261" s="40"/>
      <c r="D261" s="40"/>
      <c r="E261" s="40"/>
      <c r="F261" s="40"/>
      <c r="G261" s="40"/>
      <c r="H261" s="40"/>
      <c r="I261" s="40"/>
      <c r="J261" s="40"/>
      <c r="K261" s="40"/>
      <c r="L261" s="40"/>
      <c r="M261" s="40"/>
      <c r="N261" s="40"/>
      <c r="O261" s="40"/>
      <c r="P261" s="40"/>
      <c r="Q261" s="40"/>
      <c r="R261" s="40"/>
      <c r="S261" s="630"/>
      <c r="T261" s="653"/>
      <c r="U261" s="40"/>
      <c r="V261" s="630"/>
      <c r="W261" s="653"/>
      <c r="X261" s="40"/>
      <c r="Y261" s="630"/>
      <c r="Z261" s="653"/>
      <c r="AA261" s="108"/>
      <c r="AB261" s="676"/>
      <c r="AC261" s="679"/>
      <c r="AD261" s="108"/>
      <c r="AE261" s="676"/>
      <c r="AF261" s="679"/>
      <c r="AG261" s="108"/>
      <c r="AH261" s="676"/>
      <c r="AI261" s="679"/>
      <c r="AJ261" s="108"/>
      <c r="AK261" s="676"/>
      <c r="AL261" s="679"/>
      <c r="AM261" s="108"/>
      <c r="AN261" s="676"/>
      <c r="AO261" s="679"/>
      <c r="AP261" s="108"/>
      <c r="AQ261" s="688"/>
      <c r="AR261" s="685"/>
      <c r="AS261" s="19"/>
      <c r="AT261" s="688"/>
      <c r="AU261" s="685"/>
      <c r="AV261" s="19"/>
      <c r="AW261" s="688"/>
      <c r="AX261" s="685"/>
      <c r="AY261" s="19"/>
      <c r="AZ261" s="688"/>
      <c r="BA261" s="685"/>
      <c r="BB261" s="19"/>
      <c r="BC261" s="688"/>
      <c r="BD261" s="685"/>
      <c r="BE261" s="19"/>
      <c r="BF261" s="688"/>
      <c r="BG261" s="685"/>
      <c r="BH261" s="19"/>
      <c r="BI261" s="688"/>
      <c r="BJ261" s="685"/>
      <c r="BK261" s="19"/>
      <c r="BL261" s="688"/>
      <c r="BM261" s="685"/>
    </row>
    <row r="262" spans="1:65" ht="11.4">
      <c r="A262" s="25" t="s">
        <v>821</v>
      </c>
      <c r="B262" s="40"/>
      <c r="C262" s="40"/>
      <c r="D262" s="40"/>
      <c r="E262" s="40"/>
      <c r="F262" s="40"/>
      <c r="G262" s="40"/>
      <c r="H262" s="40"/>
      <c r="I262" s="40"/>
      <c r="J262" s="40"/>
      <c r="K262" s="40"/>
      <c r="L262" s="40"/>
      <c r="M262" s="40"/>
      <c r="N262" s="40"/>
      <c r="O262" s="40"/>
      <c r="P262" s="40"/>
      <c r="Q262" s="40"/>
      <c r="R262" s="40"/>
      <c r="S262" s="630"/>
      <c r="T262" s="653"/>
      <c r="U262" s="40"/>
      <c r="V262" s="630"/>
      <c r="W262" s="653"/>
      <c r="X262" s="40"/>
      <c r="Y262" s="630"/>
      <c r="Z262" s="653"/>
      <c r="AA262" s="81"/>
      <c r="AB262" s="636"/>
      <c r="AC262" s="659"/>
      <c r="AD262" s="81"/>
      <c r="AE262" s="636"/>
      <c r="AF262" s="659"/>
      <c r="AG262" s="81"/>
      <c r="AH262" s="636"/>
      <c r="AI262" s="659"/>
      <c r="AJ262" s="81"/>
      <c r="AK262" s="636"/>
      <c r="AL262" s="659"/>
      <c r="AM262" s="81"/>
      <c r="AN262" s="636"/>
      <c r="AO262" s="659"/>
      <c r="AP262" s="81"/>
      <c r="AQ262" s="688"/>
      <c r="AR262" s="685"/>
      <c r="AS262" s="19"/>
      <c r="AT262" s="688"/>
      <c r="AU262" s="685"/>
      <c r="AV262" s="19"/>
      <c r="AW262" s="688"/>
      <c r="AX262" s="685"/>
      <c r="AY262" s="19"/>
      <c r="AZ262" s="688"/>
      <c r="BA262" s="685"/>
      <c r="BB262" s="19"/>
      <c r="BC262" s="688"/>
      <c r="BD262" s="685"/>
      <c r="BE262" s="19"/>
      <c r="BF262" s="688"/>
      <c r="BG262" s="685"/>
      <c r="BH262" s="19"/>
      <c r="BI262" s="688"/>
      <c r="BJ262" s="685"/>
      <c r="BK262" s="19"/>
      <c r="BL262" s="688"/>
      <c r="BM262" s="685"/>
    </row>
    <row r="263" spans="1:65">
      <c r="A263" s="25" t="s">
        <v>663</v>
      </c>
      <c r="B263" s="40">
        <f t="shared" ref="B263:W263" si="1060">B210-B211</f>
        <v>0</v>
      </c>
      <c r="C263" s="40">
        <f t="shared" si="1060"/>
        <v>0</v>
      </c>
      <c r="D263" s="40">
        <f t="shared" si="1060"/>
        <v>0</v>
      </c>
      <c r="E263" s="40">
        <f t="shared" si="1060"/>
        <v>0</v>
      </c>
      <c r="F263" s="40">
        <f t="shared" si="1060"/>
        <v>-53</v>
      </c>
      <c r="G263" s="40">
        <f t="shared" si="1060"/>
        <v>-314</v>
      </c>
      <c r="H263" s="40">
        <f t="shared" si="1060"/>
        <v>741</v>
      </c>
      <c r="I263" s="40">
        <f t="shared" si="1060"/>
        <v>253</v>
      </c>
      <c r="J263" s="40">
        <f t="shared" si="1060"/>
        <v>-2715</v>
      </c>
      <c r="K263" s="40">
        <f t="shared" si="1060"/>
        <v>1853</v>
      </c>
      <c r="L263" s="40">
        <f t="shared" si="1060"/>
        <v>-377</v>
      </c>
      <c r="M263" s="40">
        <f t="shared" si="1060"/>
        <v>-35</v>
      </c>
      <c r="N263" s="40">
        <f t="shared" si="1060"/>
        <v>750</v>
      </c>
      <c r="O263" s="40">
        <f t="shared" si="1060"/>
        <v>-42</v>
      </c>
      <c r="P263" s="40">
        <f t="shared" si="1060"/>
        <v>-1270</v>
      </c>
      <c r="Q263" s="40">
        <f t="shared" si="1060"/>
        <v>-1281</v>
      </c>
      <c r="R263" s="81">
        <f t="shared" si="1060"/>
        <v>-2332</v>
      </c>
      <c r="S263" s="636">
        <f t="shared" si="1060"/>
        <v>-2243</v>
      </c>
      <c r="T263" s="653">
        <f t="shared" si="1060"/>
        <v>-4575</v>
      </c>
      <c r="U263" s="81">
        <f t="shared" si="1060"/>
        <v>1528</v>
      </c>
      <c r="V263" s="636">
        <f t="shared" si="1060"/>
        <v>1388</v>
      </c>
      <c r="W263" s="653">
        <f t="shared" si="1060"/>
        <v>2916</v>
      </c>
      <c r="X263" s="40"/>
      <c r="Y263" s="630"/>
      <c r="Z263" s="653"/>
      <c r="AA263" s="81">
        <f t="shared" ref="AA263:AB263" si="1061">AA210-AA211</f>
        <v>-777</v>
      </c>
      <c r="AB263" s="636">
        <f t="shared" si="1061"/>
        <v>-1217</v>
      </c>
      <c r="AC263" s="659">
        <f t="shared" ref="AC263:BM263" si="1062">AC210-AC211</f>
        <v>-1994</v>
      </c>
      <c r="AD263" s="81">
        <f t="shared" ref="AD263:AE263" si="1063">AD210-AD211</f>
        <v>-882</v>
      </c>
      <c r="AE263" s="636">
        <f t="shared" si="1063"/>
        <v>929</v>
      </c>
      <c r="AF263" s="659">
        <f t="shared" si="1062"/>
        <v>47</v>
      </c>
      <c r="AG263" s="81">
        <f t="shared" si="1062"/>
        <v>-2023</v>
      </c>
      <c r="AH263" s="636">
        <f t="shared" si="1062"/>
        <v>3195</v>
      </c>
      <c r="AI263" s="659">
        <f>AI210-AI211</f>
        <v>1172</v>
      </c>
      <c r="AJ263" s="81">
        <f t="shared" ref="AJ263:AK263" si="1064">AJ210-AJ211</f>
        <v>257</v>
      </c>
      <c r="AK263" s="636">
        <f t="shared" si="1064"/>
        <v>-742</v>
      </c>
      <c r="AL263" s="659">
        <f t="shared" si="1062"/>
        <v>-485</v>
      </c>
      <c r="AM263" s="81">
        <f t="shared" si="1062"/>
        <v>-1818</v>
      </c>
      <c r="AN263" s="636">
        <f t="shared" ref="AN263" si="1065">AN210-AN211</f>
        <v>-156</v>
      </c>
      <c r="AO263" s="659">
        <f t="shared" si="1062"/>
        <v>-1974</v>
      </c>
      <c r="AP263" s="81">
        <f t="shared" ref="AP263:AT263" si="1066">AP210-AP211</f>
        <v>770</v>
      </c>
      <c r="AQ263" s="636">
        <f t="shared" si="1066"/>
        <v>40</v>
      </c>
      <c r="AR263" s="659">
        <f t="shared" si="1062"/>
        <v>810</v>
      </c>
      <c r="AS263" s="81">
        <f t="shared" si="1066"/>
        <v>-116</v>
      </c>
      <c r="AT263" s="636">
        <f t="shared" si="1066"/>
        <v>-401</v>
      </c>
      <c r="AU263" s="659">
        <f t="shared" si="1062"/>
        <v>-517</v>
      </c>
      <c r="AV263" s="81">
        <f t="shared" si="1062"/>
        <v>2132</v>
      </c>
      <c r="AW263" s="636">
        <f t="shared" si="1062"/>
        <v>-364</v>
      </c>
      <c r="AX263" s="659">
        <f t="shared" si="1062"/>
        <v>1768</v>
      </c>
      <c r="AY263" s="81">
        <f t="shared" ref="AY263" si="1067">AY210-AY211</f>
        <v>-448</v>
      </c>
      <c r="AZ263" s="235">
        <f t="shared" si="1062"/>
        <v>440</v>
      </c>
      <c r="BA263" s="611">
        <f t="shared" si="1062"/>
        <v>-8</v>
      </c>
      <c r="BB263" s="173">
        <f t="shared" si="1062"/>
        <v>-4</v>
      </c>
      <c r="BC263" s="235">
        <f t="shared" si="1062"/>
        <v>-4</v>
      </c>
      <c r="BD263" s="611">
        <f t="shared" si="1062"/>
        <v>-8</v>
      </c>
      <c r="BE263" s="173">
        <f t="shared" si="1062"/>
        <v>-4</v>
      </c>
      <c r="BF263" s="235">
        <f t="shared" si="1062"/>
        <v>-4</v>
      </c>
      <c r="BG263" s="611">
        <f t="shared" si="1062"/>
        <v>-8</v>
      </c>
      <c r="BH263" s="173">
        <f t="shared" si="1062"/>
        <v>-4</v>
      </c>
      <c r="BI263" s="235">
        <f t="shared" si="1062"/>
        <v>-4</v>
      </c>
      <c r="BJ263" s="611">
        <f t="shared" si="1062"/>
        <v>-8</v>
      </c>
      <c r="BK263" s="173">
        <f t="shared" si="1062"/>
        <v>-4</v>
      </c>
      <c r="BL263" s="235">
        <f t="shared" si="1062"/>
        <v>-4</v>
      </c>
      <c r="BM263" s="611">
        <f t="shared" si="1062"/>
        <v>-8</v>
      </c>
    </row>
    <row r="264" spans="1:65" customFormat="1"/>
  </sheetData>
  <pageMargins left="0.7" right="0.7" top="0.75" bottom="0.75" header="0.3" footer="0.3"/>
  <pageSetup scale="62" fitToHeight="0" orientation="portrait" r:id="rId1"/>
  <rowBreaks count="1" manualBreakCount="1">
    <brk id="73" max="16383" man="1"/>
  </rowBreak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3">
    <tabColor theme="3" tint="0.39997558519241921"/>
    <pageSetUpPr fitToPage="1"/>
  </sheetPr>
  <dimension ref="A1:BV238"/>
  <sheetViews>
    <sheetView showGridLines="0" zoomScaleNormal="100" workbookViewId="0">
      <pane xSplit="1" ySplit="2" topLeftCell="Z3" activePane="bottomRight" state="frozen"/>
      <selection sqref="A1:XFD1048576"/>
      <selection pane="topRight" sqref="A1:XFD1048576"/>
      <selection pane="bottomLeft" sqref="A1:XFD1048576"/>
      <selection pane="bottomRight" sqref="A1:XFD1048576"/>
    </sheetView>
  </sheetViews>
  <sheetFormatPr defaultColWidth="9.140625" defaultRowHeight="10.199999999999999" outlineLevelRow="1" outlineLevelCol="1"/>
  <cols>
    <col min="1" max="1" width="49" style="25" customWidth="1"/>
    <col min="2" max="25" width="9.140625" style="25" hidden="1" customWidth="1" outlineLevel="1"/>
    <col min="26" max="26" width="9.140625" style="25" customWidth="1" collapsed="1"/>
    <col min="27" max="28" width="9.140625" style="25" hidden="1" customWidth="1" outlineLevel="1"/>
    <col min="29" max="29" width="9.140625" style="25" collapsed="1"/>
    <col min="30" max="31" width="9.140625" style="25" hidden="1" customWidth="1" outlineLevel="1"/>
    <col min="32" max="32" width="9.140625" style="25" collapsed="1"/>
    <col min="33" max="34" width="9.140625" style="25" hidden="1" customWidth="1" outlineLevel="1"/>
    <col min="35" max="35" width="9.140625" style="25" collapsed="1"/>
    <col min="36" max="37" width="9.140625" style="25" hidden="1" customWidth="1" outlineLevel="1"/>
    <col min="38" max="38" width="9.140625" style="25" collapsed="1"/>
    <col min="39" max="40" width="9.140625" style="25" hidden="1" customWidth="1" outlineLevel="1"/>
    <col min="41" max="41" width="9.140625" style="25" collapsed="1"/>
    <col min="42" max="43" width="9.140625" style="25" hidden="1" customWidth="1" outlineLevel="1"/>
    <col min="44" max="44" width="9.140625" style="25" collapsed="1"/>
    <col min="45" max="46" width="9.140625" style="25" hidden="1" customWidth="1" outlineLevel="1"/>
    <col min="47" max="47" width="9.140625" style="25" collapsed="1"/>
    <col min="48" max="49" width="9.140625" style="25" hidden="1" customWidth="1" outlineLevel="1"/>
    <col min="50" max="50" width="9.140625" style="25" collapsed="1"/>
    <col min="51" max="52" width="9.140625" style="25" hidden="1" customWidth="1" outlineLevel="1"/>
    <col min="53" max="53" width="9.140625" style="25" collapsed="1"/>
    <col min="54" max="55" width="9.140625" style="25" hidden="1" customWidth="1" outlineLevel="1"/>
    <col min="56" max="56" width="9.140625" style="25" collapsed="1"/>
    <col min="57" max="58" width="9.140625" style="25" hidden="1" customWidth="1" outlineLevel="1"/>
    <col min="59" max="59" width="9.140625" style="25" collapsed="1"/>
    <col min="60" max="61" width="9.140625" style="25" hidden="1" customWidth="1" outlineLevel="1"/>
    <col min="62" max="62" width="9.140625" style="25" collapsed="1"/>
    <col min="63" max="64" width="9.140625" style="25" hidden="1" customWidth="1" outlineLevel="1"/>
    <col min="65" max="65" width="9.140625" style="25" collapsed="1"/>
    <col min="66" max="16384" width="9.140625" style="25"/>
  </cols>
  <sheetData>
    <row r="1" spans="1:74">
      <c r="A1" s="305" t="s">
        <v>8</v>
      </c>
      <c r="B1" s="306">
        <v>2000</v>
      </c>
      <c r="C1" s="306">
        <f>B1+1</f>
        <v>2001</v>
      </c>
      <c r="D1" s="306">
        <f t="shared" ref="D1:J1" si="0">C1+1</f>
        <v>2002</v>
      </c>
      <c r="E1" s="306">
        <f t="shared" si="0"/>
        <v>2003</v>
      </c>
      <c r="F1" s="306">
        <f t="shared" si="0"/>
        <v>2004</v>
      </c>
      <c r="G1" s="306">
        <f t="shared" si="0"/>
        <v>2005</v>
      </c>
      <c r="H1" s="306">
        <f t="shared" si="0"/>
        <v>2006</v>
      </c>
      <c r="I1" s="306">
        <f t="shared" si="0"/>
        <v>2007</v>
      </c>
      <c r="J1" s="306">
        <f t="shared" si="0"/>
        <v>2008</v>
      </c>
      <c r="K1" s="306">
        <v>2009</v>
      </c>
      <c r="L1" s="306">
        <f>K1+1</f>
        <v>2010</v>
      </c>
      <c r="M1" s="306">
        <f>L1+1</f>
        <v>2011</v>
      </c>
      <c r="N1" s="306">
        <f>M1+1</f>
        <v>2012</v>
      </c>
      <c r="O1" s="306">
        <f>N1+1</f>
        <v>2013</v>
      </c>
      <c r="P1" s="306">
        <v>2014</v>
      </c>
      <c r="Q1" s="306">
        <f>P1+1</f>
        <v>2015</v>
      </c>
      <c r="R1" s="313" t="s">
        <v>616</v>
      </c>
      <c r="S1" s="314" t="s">
        <v>617</v>
      </c>
      <c r="T1" s="548">
        <f>Q1+1</f>
        <v>2016</v>
      </c>
      <c r="U1" s="313" t="s">
        <v>618</v>
      </c>
      <c r="V1" s="314" t="s">
        <v>683</v>
      </c>
      <c r="W1" s="548">
        <f>T1+1</f>
        <v>2017</v>
      </c>
      <c r="X1" s="313" t="s">
        <v>618</v>
      </c>
      <c r="Y1" s="314" t="s">
        <v>683</v>
      </c>
      <c r="Z1" s="548">
        <v>2017</v>
      </c>
      <c r="AA1" s="313" t="s">
        <v>697</v>
      </c>
      <c r="AB1" s="314" t="s">
        <v>755</v>
      </c>
      <c r="AC1" s="548">
        <f>W1+1</f>
        <v>2018</v>
      </c>
      <c r="AD1" s="313" t="s">
        <v>757</v>
      </c>
      <c r="AE1" s="314" t="s">
        <v>793</v>
      </c>
      <c r="AF1" s="548">
        <f>AC1+1</f>
        <v>2019</v>
      </c>
      <c r="AG1" s="313" t="s">
        <v>794</v>
      </c>
      <c r="AH1" s="314" t="s">
        <v>798</v>
      </c>
      <c r="AI1" s="548">
        <f>AF1+1</f>
        <v>2020</v>
      </c>
      <c r="AJ1" s="313" t="s">
        <v>801</v>
      </c>
      <c r="AK1" s="314" t="s">
        <v>802</v>
      </c>
      <c r="AL1" s="548">
        <f>AI1+1</f>
        <v>2021</v>
      </c>
      <c r="AM1" s="313" t="s">
        <v>822</v>
      </c>
      <c r="AN1" s="314" t="s">
        <v>823</v>
      </c>
      <c r="AO1" s="548">
        <f>AL1+1</f>
        <v>2022</v>
      </c>
      <c r="AP1" s="313" t="s">
        <v>929</v>
      </c>
      <c r="AQ1" s="314" t="s">
        <v>930</v>
      </c>
      <c r="AR1" s="548">
        <f>AO1+1</f>
        <v>2023</v>
      </c>
      <c r="AS1" s="313" t="s">
        <v>989</v>
      </c>
      <c r="AT1" s="314" t="s">
        <v>990</v>
      </c>
      <c r="AU1" s="548">
        <f>AR1+1</f>
        <v>2024</v>
      </c>
      <c r="AV1" s="313" t="s">
        <v>1035</v>
      </c>
      <c r="AW1" s="314" t="s">
        <v>1036</v>
      </c>
      <c r="AX1" s="548">
        <f>AU1+1</f>
        <v>2025</v>
      </c>
      <c r="AY1" s="313" t="s">
        <v>1044</v>
      </c>
      <c r="AZ1" s="538" t="s">
        <v>844</v>
      </c>
      <c r="BA1" s="572">
        <f>AX1+1</f>
        <v>2026</v>
      </c>
      <c r="BB1" s="537" t="s">
        <v>845</v>
      </c>
      <c r="BC1" s="538" t="s">
        <v>846</v>
      </c>
      <c r="BD1" s="572">
        <f>BA1+1</f>
        <v>2027</v>
      </c>
      <c r="BE1" s="537" t="s">
        <v>847</v>
      </c>
      <c r="BF1" s="538" t="s">
        <v>848</v>
      </c>
      <c r="BG1" s="572">
        <f>BD1+1</f>
        <v>2028</v>
      </c>
      <c r="BH1" s="537" t="s">
        <v>849</v>
      </c>
      <c r="BI1" s="538" t="s">
        <v>850</v>
      </c>
      <c r="BJ1" s="572">
        <f>BG1+1</f>
        <v>2029</v>
      </c>
      <c r="BK1" s="537" t="s">
        <v>851</v>
      </c>
      <c r="BL1" s="538" t="s">
        <v>852</v>
      </c>
      <c r="BM1" s="572">
        <f>BJ1+1</f>
        <v>2030</v>
      </c>
    </row>
    <row r="2" spans="1:74">
      <c r="A2" s="305" t="s">
        <v>0</v>
      </c>
      <c r="B2" s="308" t="s">
        <v>571</v>
      </c>
      <c r="C2" s="308" t="s">
        <v>571</v>
      </c>
      <c r="D2" s="308" t="s">
        <v>571</v>
      </c>
      <c r="E2" s="308" t="s">
        <v>571</v>
      </c>
      <c r="F2" s="308" t="s">
        <v>571</v>
      </c>
      <c r="G2" s="308" t="s">
        <v>571</v>
      </c>
      <c r="H2" s="308" t="s">
        <v>571</v>
      </c>
      <c r="I2" s="308" t="s">
        <v>571</v>
      </c>
      <c r="J2" s="308" t="s">
        <v>571</v>
      </c>
      <c r="K2" s="308" t="s">
        <v>571</v>
      </c>
      <c r="L2" s="308" t="s">
        <v>571</v>
      </c>
      <c r="M2" s="308" t="s">
        <v>571</v>
      </c>
      <c r="N2" s="308" t="s">
        <v>571</v>
      </c>
      <c r="O2" s="308" t="s">
        <v>571</v>
      </c>
      <c r="P2" s="308" t="s">
        <v>571</v>
      </c>
      <c r="Q2" s="308" t="s">
        <v>571</v>
      </c>
      <c r="R2" s="308" t="s">
        <v>571</v>
      </c>
      <c r="S2" s="562" t="s">
        <v>571</v>
      </c>
      <c r="T2" s="568" t="s">
        <v>571</v>
      </c>
      <c r="U2" s="308" t="s">
        <v>571</v>
      </c>
      <c r="V2" s="562" t="s">
        <v>571</v>
      </c>
      <c r="W2" s="568" t="s">
        <v>571</v>
      </c>
      <c r="X2" s="308" t="s">
        <v>574</v>
      </c>
      <c r="Y2" s="562" t="s">
        <v>574</v>
      </c>
      <c r="Z2" s="549" t="s">
        <v>574</v>
      </c>
      <c r="AA2" s="309" t="s">
        <v>574</v>
      </c>
      <c r="AB2" s="315" t="s">
        <v>574</v>
      </c>
      <c r="AC2" s="549" t="s">
        <v>574</v>
      </c>
      <c r="AD2" s="309" t="s">
        <v>574</v>
      </c>
      <c r="AE2" s="315" t="s">
        <v>574</v>
      </c>
      <c r="AF2" s="549" t="s">
        <v>574</v>
      </c>
      <c r="AG2" s="309" t="s">
        <v>574</v>
      </c>
      <c r="AH2" s="315" t="s">
        <v>574</v>
      </c>
      <c r="AI2" s="549" t="s">
        <v>574</v>
      </c>
      <c r="AJ2" s="309" t="s">
        <v>574</v>
      </c>
      <c r="AK2" s="315" t="s">
        <v>574</v>
      </c>
      <c r="AL2" s="549" t="s">
        <v>574</v>
      </c>
      <c r="AM2" s="309" t="s">
        <v>574</v>
      </c>
      <c r="AN2" s="315" t="s">
        <v>574</v>
      </c>
      <c r="AO2" s="549" t="s">
        <v>574</v>
      </c>
      <c r="AP2" s="309" t="s">
        <v>574</v>
      </c>
      <c r="AQ2" s="315" t="s">
        <v>574</v>
      </c>
      <c r="AR2" s="549" t="s">
        <v>574</v>
      </c>
      <c r="AS2" s="309" t="s">
        <v>574</v>
      </c>
      <c r="AT2" s="315" t="s">
        <v>574</v>
      </c>
      <c r="AU2" s="549" t="s">
        <v>574</v>
      </c>
      <c r="AV2" s="309" t="s">
        <v>574</v>
      </c>
      <c r="AW2" s="315" t="s">
        <v>574</v>
      </c>
      <c r="AX2" s="549" t="s">
        <v>574</v>
      </c>
      <c r="AY2" s="309" t="s">
        <v>574</v>
      </c>
      <c r="AZ2" s="212" t="s">
        <v>574</v>
      </c>
      <c r="BA2" s="573" t="s">
        <v>574</v>
      </c>
      <c r="BB2" s="195" t="s">
        <v>574</v>
      </c>
      <c r="BC2" s="212" t="s">
        <v>574</v>
      </c>
      <c r="BD2" s="573" t="s">
        <v>574</v>
      </c>
      <c r="BE2" s="195" t="s">
        <v>574</v>
      </c>
      <c r="BF2" s="212" t="s">
        <v>574</v>
      </c>
      <c r="BG2" s="573" t="s">
        <v>574</v>
      </c>
      <c r="BH2" s="195" t="s">
        <v>574</v>
      </c>
      <c r="BI2" s="212" t="s">
        <v>574</v>
      </c>
      <c r="BJ2" s="573" t="s">
        <v>574</v>
      </c>
      <c r="BK2" s="195" t="s">
        <v>574</v>
      </c>
      <c r="BL2" s="212" t="s">
        <v>574</v>
      </c>
      <c r="BM2" s="573" t="s">
        <v>574</v>
      </c>
    </row>
    <row r="3" spans="1:74">
      <c r="B3" s="40"/>
      <c r="C3" s="40"/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O3" s="40"/>
      <c r="P3" s="40"/>
      <c r="Q3" s="40"/>
      <c r="R3" s="40"/>
      <c r="S3" s="630"/>
      <c r="T3" s="671"/>
      <c r="U3" s="40"/>
      <c r="V3" s="630"/>
      <c r="W3" s="671"/>
      <c r="X3" s="50"/>
      <c r="Y3" s="647"/>
      <c r="Z3" s="671"/>
      <c r="AA3" s="40"/>
      <c r="AB3" s="630"/>
      <c r="AC3" s="653"/>
      <c r="AD3" s="40"/>
      <c r="AE3" s="630"/>
      <c r="AF3" s="653"/>
      <c r="AG3" s="40"/>
      <c r="AH3" s="630"/>
      <c r="AI3" s="653"/>
      <c r="AJ3" s="40"/>
      <c r="AK3" s="630"/>
      <c r="AL3" s="653"/>
      <c r="AM3" s="40"/>
      <c r="AN3" s="630"/>
      <c r="AO3" s="653"/>
      <c r="AP3" s="40"/>
      <c r="AQ3" s="539"/>
      <c r="AR3" s="550"/>
      <c r="AS3"/>
      <c r="AT3" s="539"/>
      <c r="AU3" s="550"/>
      <c r="AV3"/>
      <c r="AW3" s="539"/>
      <c r="AX3" s="550"/>
      <c r="AY3"/>
      <c r="AZ3" s="539"/>
      <c r="BA3" s="550"/>
      <c r="BB3"/>
      <c r="BC3" s="539"/>
      <c r="BD3" s="550"/>
      <c r="BE3"/>
      <c r="BF3" s="539"/>
      <c r="BG3" s="550"/>
      <c r="BH3"/>
      <c r="BI3" s="539"/>
      <c r="BJ3" s="550"/>
      <c r="BK3"/>
      <c r="BL3" s="539"/>
      <c r="BM3" s="550"/>
    </row>
    <row r="4" spans="1:74">
      <c r="A4" s="31" t="s">
        <v>269</v>
      </c>
      <c r="B4" s="51">
        <f>Divisional!B6</f>
        <v>3150</v>
      </c>
      <c r="C4" s="51">
        <f>Divisional!C6</f>
        <v>3443</v>
      </c>
      <c r="D4" s="51">
        <f>Divisional!D6</f>
        <v>2739</v>
      </c>
      <c r="E4" s="51">
        <f>Divisional!E6</f>
        <v>2694</v>
      </c>
      <c r="F4" s="51">
        <f>Divisional!F6</f>
        <v>3040</v>
      </c>
      <c r="G4" s="51">
        <f>Divisional!G6</f>
        <v>3406</v>
      </c>
      <c r="H4" s="51">
        <f>Divisional!H6</f>
        <v>3907</v>
      </c>
      <c r="I4" s="51">
        <f>Divisional!I6</f>
        <v>4038</v>
      </c>
      <c r="J4" s="51">
        <f>Divisional!J6</f>
        <v>4502</v>
      </c>
      <c r="K4" s="51">
        <f>Divisional!K6</f>
        <v>4481</v>
      </c>
      <c r="L4" s="51">
        <f>Divisional!L6</f>
        <v>4919</v>
      </c>
      <c r="M4" s="51">
        <f>Divisional!M6</f>
        <v>5572</v>
      </c>
      <c r="N4" s="51">
        <f>Divisional!N6</f>
        <v>6437</v>
      </c>
      <c r="O4" s="51">
        <f>Divisional!O6</f>
        <v>6655</v>
      </c>
      <c r="P4" s="51">
        <f>Divisional!P6</f>
        <v>6837</v>
      </c>
      <c r="Q4" s="51">
        <f>Divisional!Q6</f>
        <v>6933</v>
      </c>
      <c r="R4" s="51">
        <f>Divisional!R6</f>
        <v>3171</v>
      </c>
      <c r="S4" s="629">
        <f>Divisional!S6</f>
        <v>3896</v>
      </c>
      <c r="T4" s="652">
        <f>Divisional!T6</f>
        <v>7067</v>
      </c>
      <c r="U4" s="51">
        <f>Divisional!U6</f>
        <v>3676</v>
      </c>
      <c r="V4" s="629">
        <f>Divisional!V6</f>
        <v>4347</v>
      </c>
      <c r="W4" s="652">
        <f>Divisional!W6</f>
        <v>8023</v>
      </c>
      <c r="X4" s="51">
        <f>Divisional!X6</f>
        <v>2858</v>
      </c>
      <c r="Y4" s="629">
        <f>Divisional!Y6</f>
        <v>3740</v>
      </c>
      <c r="Z4" s="652">
        <f>Divisional!Z6</f>
        <v>6598</v>
      </c>
      <c r="AA4" s="51">
        <f>Divisional!AA6</f>
        <v>3600</v>
      </c>
      <c r="AB4" s="629">
        <f>Divisional!AB6</f>
        <v>3778</v>
      </c>
      <c r="AC4" s="652">
        <f>Divisional!AC6</f>
        <v>7378</v>
      </c>
      <c r="AD4" s="51">
        <f>Divisional!AD6</f>
        <v>4018</v>
      </c>
      <c r="AE4" s="629">
        <f>Divisional!AE6</f>
        <v>4089</v>
      </c>
      <c r="AF4" s="652">
        <f>Divisional!AF6</f>
        <v>8107</v>
      </c>
      <c r="AG4" s="51">
        <f>Divisional!AG6</f>
        <v>2516</v>
      </c>
      <c r="AH4" s="629">
        <f>Divisional!AH6</f>
        <v>2552</v>
      </c>
      <c r="AI4" s="652">
        <f>Divisional!AI6</f>
        <v>5068</v>
      </c>
      <c r="AJ4" s="51">
        <f>Divisional!AJ6</f>
        <v>2168</v>
      </c>
      <c r="AK4" s="629">
        <f>Divisional!AK6</f>
        <v>2368</v>
      </c>
      <c r="AL4" s="652">
        <f>Divisional!AL6</f>
        <v>4536</v>
      </c>
      <c r="AM4" s="51">
        <f>Divisional!AM6</f>
        <v>2339</v>
      </c>
      <c r="AN4" s="629">
        <f>Divisional!AN6</f>
        <v>3347</v>
      </c>
      <c r="AO4" s="652">
        <f>Divisional!AO6</f>
        <v>5686</v>
      </c>
      <c r="AP4" s="51">
        <f>Divisional!AP6</f>
        <v>3257</v>
      </c>
      <c r="AQ4" s="629">
        <f>Divisional!AQ6</f>
        <v>4091</v>
      </c>
      <c r="AR4" s="652">
        <f>Divisional!AR6</f>
        <v>7348</v>
      </c>
      <c r="AS4" s="51">
        <f>Divisional!AS6</f>
        <v>4119</v>
      </c>
      <c r="AT4" s="629">
        <f>Divisional!AT6</f>
        <v>4921</v>
      </c>
      <c r="AU4" s="652">
        <f>Divisional!AU6</f>
        <v>9040</v>
      </c>
      <c r="AV4" s="51">
        <f>Divisional!AV6</f>
        <v>4786</v>
      </c>
      <c r="AW4" s="629">
        <f t="shared" ref="AW4:BL4" si="1">AW80</f>
        <v>5596</v>
      </c>
      <c r="AX4" s="652">
        <f>Divisional!AX6</f>
        <v>10382</v>
      </c>
      <c r="AY4" s="51">
        <f>Divisional!AY6</f>
        <v>6186</v>
      </c>
      <c r="AZ4" s="237">
        <f t="shared" ref="AZ4" si="2">AZ80</f>
        <v>6422.3807416776781</v>
      </c>
      <c r="BA4" s="576">
        <f t="shared" si="1"/>
        <v>12608.38074167768</v>
      </c>
      <c r="BB4" s="48">
        <f t="shared" si="1"/>
        <v>7144.2040314168735</v>
      </c>
      <c r="BC4" s="237">
        <f t="shared" si="1"/>
        <v>7033.7320864970361</v>
      </c>
      <c r="BD4" s="576">
        <f t="shared" si="1"/>
        <v>14177.936117913907</v>
      </c>
      <c r="BE4" s="48">
        <f t="shared" si="1"/>
        <v>7578.9998100369367</v>
      </c>
      <c r="BF4" s="237">
        <f t="shared" si="1"/>
        <v>7664.5941613497134</v>
      </c>
      <c r="BG4" s="576">
        <f t="shared" si="1"/>
        <v>15243.59397138665</v>
      </c>
      <c r="BH4" s="48">
        <f t="shared" si="1"/>
        <v>8316.2973044463834</v>
      </c>
      <c r="BI4" s="237">
        <f t="shared" si="1"/>
        <v>8341.5164581104546</v>
      </c>
      <c r="BJ4" s="576">
        <f t="shared" si="1"/>
        <v>16657.813762556834</v>
      </c>
      <c r="BK4" s="48">
        <f t="shared" si="1"/>
        <v>9067.8072674829709</v>
      </c>
      <c r="BL4" s="237">
        <f t="shared" si="1"/>
        <v>8976.8432550854741</v>
      </c>
      <c r="BM4" s="576">
        <f>BM80</f>
        <v>18044.650522568445</v>
      </c>
      <c r="BN4" s="74">
        <f>(AU4/AL4)^(1/3)-1</f>
        <v>0.25843791603435728</v>
      </c>
    </row>
    <row r="5" spans="1:74">
      <c r="A5" s="25" t="s">
        <v>2</v>
      </c>
      <c r="B5" s="51"/>
      <c r="C5" s="51"/>
      <c r="D5" s="51"/>
      <c r="E5" s="51"/>
      <c r="F5" s="51"/>
      <c r="G5" s="51"/>
      <c r="H5" s="51"/>
      <c r="I5" s="51"/>
      <c r="J5" s="51"/>
      <c r="K5" s="51"/>
      <c r="L5" s="51"/>
      <c r="M5" s="51"/>
      <c r="N5" s="51"/>
      <c r="O5" s="51"/>
      <c r="P5" s="40">
        <f t="shared" ref="P5:AH5" si="3">P6-P4</f>
        <v>-5162</v>
      </c>
      <c r="Q5" s="40">
        <f t="shared" si="3"/>
        <v>-5407</v>
      </c>
      <c r="R5" s="40">
        <f>R6-R4</f>
        <v>-2772</v>
      </c>
      <c r="S5" s="630">
        <f>S6-S4</f>
        <v>-3110</v>
      </c>
      <c r="T5" s="653">
        <f t="shared" si="3"/>
        <v>-5882</v>
      </c>
      <c r="U5" s="40">
        <f t="shared" si="3"/>
        <v>-3133</v>
      </c>
      <c r="V5" s="630">
        <f t="shared" si="3"/>
        <v>-3698</v>
      </c>
      <c r="W5" s="653">
        <f t="shared" si="3"/>
        <v>-6831</v>
      </c>
      <c r="X5" s="40">
        <f t="shared" si="3"/>
        <v>-2721</v>
      </c>
      <c r="Y5" s="630">
        <f t="shared" si="3"/>
        <v>-3404</v>
      </c>
      <c r="Z5" s="653">
        <f t="shared" si="3"/>
        <v>-6125</v>
      </c>
      <c r="AA5" s="40">
        <f t="shared" ref="AA5:AB5" si="4">AA6-AA4</f>
        <v>-3425</v>
      </c>
      <c r="AB5" s="630">
        <f t="shared" si="4"/>
        <v>-3460</v>
      </c>
      <c r="AC5" s="653">
        <f t="shared" si="3"/>
        <v>-6885</v>
      </c>
      <c r="AD5" s="40">
        <f t="shared" ref="AD5:AE5" si="5">AD6-AD4</f>
        <v>-3742</v>
      </c>
      <c r="AE5" s="630">
        <f t="shared" si="5"/>
        <v>-3743</v>
      </c>
      <c r="AF5" s="653">
        <f t="shared" si="3"/>
        <v>-7485</v>
      </c>
      <c r="AG5" s="40">
        <f t="shared" si="3"/>
        <v>-4068</v>
      </c>
      <c r="AH5" s="630">
        <f t="shared" si="3"/>
        <v>-2987</v>
      </c>
      <c r="AI5" s="653">
        <f t="shared" ref="AI5:AO5" si="6">AI6-AI4</f>
        <v>-7055</v>
      </c>
      <c r="AJ5" s="40">
        <f t="shared" si="6"/>
        <v>-1788</v>
      </c>
      <c r="AK5" s="630">
        <f t="shared" si="6"/>
        <v>-2274</v>
      </c>
      <c r="AL5" s="653">
        <f t="shared" si="6"/>
        <v>-4062</v>
      </c>
      <c r="AM5" s="40">
        <f t="shared" ref="AM5:AN5" si="7">AM6-AM4</f>
        <v>-2083</v>
      </c>
      <c r="AN5" s="630">
        <f t="shared" si="7"/>
        <v>-2750</v>
      </c>
      <c r="AO5" s="653">
        <f t="shared" si="6"/>
        <v>-4833</v>
      </c>
      <c r="AP5" s="40">
        <f t="shared" ref="AP5:AR5" si="8">AP6-AP4</f>
        <v>-2567</v>
      </c>
      <c r="AQ5" s="630">
        <f t="shared" si="8"/>
        <v>-3387</v>
      </c>
      <c r="AR5" s="653">
        <f t="shared" si="8"/>
        <v>-5954</v>
      </c>
      <c r="AS5" s="40">
        <f t="shared" ref="AS5:AU5" si="9">AS6-AS4</f>
        <v>-3127</v>
      </c>
      <c r="AT5" s="630">
        <f t="shared" si="9"/>
        <v>-3923</v>
      </c>
      <c r="AU5" s="653">
        <f t="shared" si="9"/>
        <v>-7050</v>
      </c>
      <c r="AV5" s="40">
        <f t="shared" ref="AV5" si="10">AV6-AV4</f>
        <v>-3309</v>
      </c>
      <c r="AW5" s="630">
        <f t="shared" ref="AW5:AY5" si="11">AW6-AW4</f>
        <v>-4398</v>
      </c>
      <c r="AX5" s="653">
        <f t="shared" si="11"/>
        <v>-7707</v>
      </c>
      <c r="AY5" s="40">
        <f t="shared" si="11"/>
        <v>-4329</v>
      </c>
      <c r="AZ5" s="236">
        <f>AZ6-AZ4</f>
        <v>-4815.6305407646196</v>
      </c>
      <c r="BA5" s="605">
        <f t="shared" ref="BA5:BM5" si="12">BA6-BA4</f>
        <v>-9144.6305407646214</v>
      </c>
      <c r="BB5" s="56">
        <f>BB6-BB4</f>
        <v>-5173.9073089478397</v>
      </c>
      <c r="BC5" s="236">
        <f>BC6-BC4</f>
        <v>-5145.577154440678</v>
      </c>
      <c r="BD5" s="605">
        <f t="shared" si="12"/>
        <v>-10319.484463388515</v>
      </c>
      <c r="BE5" s="56">
        <f>BE6-BE4</f>
        <v>-5391.2997802686859</v>
      </c>
      <c r="BF5" s="236">
        <f>BF6-BF4</f>
        <v>-5501.6531706381538</v>
      </c>
      <c r="BG5" s="605">
        <f t="shared" si="12"/>
        <v>-10892.95295090684</v>
      </c>
      <c r="BH5" s="56">
        <f>BH6-BH4</f>
        <v>-5842.8228957730116</v>
      </c>
      <c r="BI5" s="236">
        <f>BI6-BI4</f>
        <v>-5902.1825235859906</v>
      </c>
      <c r="BJ5" s="605">
        <f t="shared" si="12"/>
        <v>-11745.005419358999</v>
      </c>
      <c r="BK5" s="56">
        <f>BK6-BK4</f>
        <v>-6304.2531787096123</v>
      </c>
      <c r="BL5" s="236">
        <f>BL6-BL4</f>
        <v>-6272.6255886859662</v>
      </c>
      <c r="BM5" s="605">
        <f t="shared" si="12"/>
        <v>-12576.878767395578</v>
      </c>
    </row>
    <row r="6" spans="1:74">
      <c r="A6" s="31" t="s">
        <v>270</v>
      </c>
      <c r="B6" s="51"/>
      <c r="C6" s="51"/>
      <c r="D6" s="51"/>
      <c r="E6" s="51"/>
      <c r="F6" s="51"/>
      <c r="G6" s="51"/>
      <c r="H6" s="51"/>
      <c r="I6" s="51"/>
      <c r="J6" s="51"/>
      <c r="K6" s="51"/>
      <c r="L6" s="51"/>
      <c r="M6" s="51"/>
      <c r="N6" s="51"/>
      <c r="O6" s="51"/>
      <c r="P6" s="51">
        <v>1675</v>
      </c>
      <c r="Q6" s="51">
        <v>1526</v>
      </c>
      <c r="R6" s="51">
        <f>Divisional!R31</f>
        <v>399</v>
      </c>
      <c r="S6" s="629">
        <f>Divisional!S31</f>
        <v>786</v>
      </c>
      <c r="T6" s="652">
        <v>1185</v>
      </c>
      <c r="U6" s="51">
        <f>Divisional!U31</f>
        <v>543</v>
      </c>
      <c r="V6" s="629">
        <f>Divisional!V31</f>
        <v>649</v>
      </c>
      <c r="W6" s="652">
        <v>1192</v>
      </c>
      <c r="X6" s="51">
        <f>Divisional!X31</f>
        <v>137</v>
      </c>
      <c r="Y6" s="629">
        <f>Divisional!Y31</f>
        <v>336</v>
      </c>
      <c r="Z6" s="652">
        <f>Divisional!Z31</f>
        <v>473</v>
      </c>
      <c r="AA6" s="51">
        <f>Divisional!AA31</f>
        <v>175</v>
      </c>
      <c r="AB6" s="629">
        <f>Divisional!AB31</f>
        <v>318</v>
      </c>
      <c r="AC6" s="652">
        <f>Divisional!AC31</f>
        <v>493</v>
      </c>
      <c r="AD6" s="51">
        <f>Divisional!AD31</f>
        <v>276</v>
      </c>
      <c r="AE6" s="629">
        <f>Divisional!AE31</f>
        <v>346</v>
      </c>
      <c r="AF6" s="652">
        <f>Divisional!AF31</f>
        <v>622</v>
      </c>
      <c r="AG6" s="51">
        <f>Divisional!AG31</f>
        <v>-1552</v>
      </c>
      <c r="AH6" s="629">
        <f>Divisional!AH31</f>
        <v>-435</v>
      </c>
      <c r="AI6" s="652">
        <f>Divisional!AI31</f>
        <v>-1987</v>
      </c>
      <c r="AJ6" s="51">
        <f>Divisional!AJ31</f>
        <v>380</v>
      </c>
      <c r="AK6" s="629">
        <f>Divisional!AK31</f>
        <v>94</v>
      </c>
      <c r="AL6" s="652">
        <f>Divisional!AL31</f>
        <v>474</v>
      </c>
      <c r="AM6" s="51">
        <f>Divisional!AM31</f>
        <v>256</v>
      </c>
      <c r="AN6" s="629">
        <f>Divisional!AN31</f>
        <v>597</v>
      </c>
      <c r="AO6" s="652">
        <f>Divisional!AO31</f>
        <v>853</v>
      </c>
      <c r="AP6" s="51">
        <f>Divisional!AP31</f>
        <v>690</v>
      </c>
      <c r="AQ6" s="629">
        <f>Divisional!AQ31</f>
        <v>704</v>
      </c>
      <c r="AR6" s="652">
        <f>Divisional!AR31</f>
        <v>1394</v>
      </c>
      <c r="AS6" s="51">
        <f>Divisional!AS31</f>
        <v>992</v>
      </c>
      <c r="AT6" s="629">
        <f>Divisional!AT31</f>
        <v>998</v>
      </c>
      <c r="AU6" s="652">
        <f>Divisional!AU31</f>
        <v>1990</v>
      </c>
      <c r="AV6" s="51">
        <f>Divisional!AV31</f>
        <v>1477</v>
      </c>
      <c r="AW6" s="629">
        <f>Divisional!AW31</f>
        <v>1198</v>
      </c>
      <c r="AX6" s="652">
        <f>Divisional!AX31</f>
        <v>2675</v>
      </c>
      <c r="AY6" s="51">
        <f>Divisional!AY31</f>
        <v>1857</v>
      </c>
      <c r="AZ6" s="237">
        <f>AZ91</f>
        <v>1606.750200913059</v>
      </c>
      <c r="BA6" s="576">
        <f t="shared" ref="BA6:BM6" si="13">BA91</f>
        <v>3463.7502009130585</v>
      </c>
      <c r="BB6" s="48">
        <f t="shared" si="13"/>
        <v>1970.2967224690337</v>
      </c>
      <c r="BC6" s="237">
        <f>BC91</f>
        <v>1888.1549320563586</v>
      </c>
      <c r="BD6" s="576">
        <f t="shared" si="13"/>
        <v>3858.4516545253919</v>
      </c>
      <c r="BE6" s="48">
        <f t="shared" si="13"/>
        <v>2187.7000297682507</v>
      </c>
      <c r="BF6" s="237">
        <f>BF91</f>
        <v>2162.9409907115596</v>
      </c>
      <c r="BG6" s="576">
        <f t="shared" si="13"/>
        <v>4350.6410204798103</v>
      </c>
      <c r="BH6" s="48">
        <f t="shared" si="13"/>
        <v>2473.4744086733717</v>
      </c>
      <c r="BI6" s="237">
        <f>BI91</f>
        <v>2439.333934524464</v>
      </c>
      <c r="BJ6" s="576">
        <f t="shared" si="13"/>
        <v>4912.8083431978357</v>
      </c>
      <c r="BK6" s="48">
        <f t="shared" si="13"/>
        <v>2763.5540887733587</v>
      </c>
      <c r="BL6" s="237">
        <f>BL91</f>
        <v>2704.2176663995078</v>
      </c>
      <c r="BM6" s="576">
        <f t="shared" si="13"/>
        <v>5467.7717551728665</v>
      </c>
      <c r="BV6" s="105"/>
    </row>
    <row r="7" spans="1:74">
      <c r="A7" s="154" t="s">
        <v>44</v>
      </c>
      <c r="B7" s="51"/>
      <c r="C7" s="51"/>
      <c r="D7" s="51"/>
      <c r="E7" s="51"/>
      <c r="F7" s="51"/>
      <c r="G7" s="51"/>
      <c r="H7" s="51"/>
      <c r="I7" s="51"/>
      <c r="J7" s="51"/>
      <c r="K7" s="51"/>
      <c r="L7" s="51"/>
      <c r="M7" s="51"/>
      <c r="N7" s="51"/>
      <c r="O7" s="51"/>
      <c r="P7" s="132">
        <f t="shared" ref="P7:AH7" si="14">P6/P4</f>
        <v>0.24499049290624542</v>
      </c>
      <c r="Q7" s="132">
        <f t="shared" si="14"/>
        <v>0.22010673590076446</v>
      </c>
      <c r="R7" s="345">
        <f>R6/R4</f>
        <v>0.12582781456953643</v>
      </c>
      <c r="S7" s="646">
        <f>S6/S4</f>
        <v>0.20174537987679672</v>
      </c>
      <c r="T7" s="670">
        <f t="shared" si="14"/>
        <v>0.16768076977501062</v>
      </c>
      <c r="U7" s="345">
        <f t="shared" si="14"/>
        <v>0.14771490750816105</v>
      </c>
      <c r="V7" s="646">
        <f t="shared" si="14"/>
        <v>0.14929836668967103</v>
      </c>
      <c r="W7" s="670">
        <f t="shared" si="14"/>
        <v>0.14857285304748846</v>
      </c>
      <c r="X7" s="345">
        <f t="shared" si="14"/>
        <v>4.7935619314205737E-2</v>
      </c>
      <c r="Y7" s="646">
        <f t="shared" si="14"/>
        <v>8.9839572192513373E-2</v>
      </c>
      <c r="Z7" s="670">
        <f t="shared" si="14"/>
        <v>7.1688390421339801E-2</v>
      </c>
      <c r="AA7" s="345">
        <f t="shared" ref="AA7:AB7" si="15">AA6/AA4</f>
        <v>4.8611111111111112E-2</v>
      </c>
      <c r="AB7" s="646">
        <f t="shared" si="15"/>
        <v>8.4171519322392807E-2</v>
      </c>
      <c r="AC7" s="670">
        <f t="shared" si="14"/>
        <v>6.6820276497695855E-2</v>
      </c>
      <c r="AD7" s="345">
        <f t="shared" ref="AD7:AE7" si="16">AD6/AD4</f>
        <v>6.8690890990542555E-2</v>
      </c>
      <c r="AE7" s="646">
        <f t="shared" si="16"/>
        <v>8.4617265835167529E-2</v>
      </c>
      <c r="AF7" s="670">
        <f t="shared" si="14"/>
        <v>7.6723818921919332E-2</v>
      </c>
      <c r="AG7" s="345">
        <f t="shared" si="14"/>
        <v>-0.61685214626391094</v>
      </c>
      <c r="AH7" s="646">
        <f t="shared" si="14"/>
        <v>-0.17045454545454544</v>
      </c>
      <c r="AI7" s="670">
        <f t="shared" ref="AI7:AO7" si="17">AI6/AI4</f>
        <v>-0.39206787687450673</v>
      </c>
      <c r="AJ7" s="345">
        <f t="shared" si="17"/>
        <v>0.17527675276752769</v>
      </c>
      <c r="AK7" s="646">
        <f t="shared" si="17"/>
        <v>3.9695945945945943E-2</v>
      </c>
      <c r="AL7" s="670">
        <f t="shared" si="17"/>
        <v>0.10449735449735449</v>
      </c>
      <c r="AM7" s="345">
        <f t="shared" ref="AM7:AN7" si="18">AM6/AM4</f>
        <v>0.10944848225737494</v>
      </c>
      <c r="AN7" s="646">
        <f t="shared" si="18"/>
        <v>0.17836868837765163</v>
      </c>
      <c r="AO7" s="670">
        <f t="shared" si="17"/>
        <v>0.15001758705592683</v>
      </c>
      <c r="AP7" s="345">
        <f t="shared" ref="AP7:AR7" si="19">AP6/AP4</f>
        <v>0.21185139699109609</v>
      </c>
      <c r="AQ7" s="646">
        <f t="shared" si="19"/>
        <v>0.17208506477633831</v>
      </c>
      <c r="AR7" s="670">
        <f t="shared" si="19"/>
        <v>0.18971148611867175</v>
      </c>
      <c r="AS7" s="345">
        <f t="shared" ref="AS7:AU7" si="20">AS6/AS4</f>
        <v>0.24083515416363194</v>
      </c>
      <c r="AT7" s="646">
        <f t="shared" si="20"/>
        <v>0.20280430806746597</v>
      </c>
      <c r="AU7" s="670">
        <f t="shared" si="20"/>
        <v>0.22013274336283187</v>
      </c>
      <c r="AV7" s="345">
        <f t="shared" ref="AV7" si="21">AV6/AV4</f>
        <v>0.30860844128708737</v>
      </c>
      <c r="AW7" s="646">
        <f t="shared" ref="AW7:AY7" si="22">AW6/AW4</f>
        <v>0.21408148677626876</v>
      </c>
      <c r="AX7" s="670">
        <f t="shared" si="22"/>
        <v>0.25765748410710848</v>
      </c>
      <c r="AY7" s="345">
        <f t="shared" si="22"/>
        <v>0.30019398642095052</v>
      </c>
      <c r="AZ7" s="482">
        <f>AZ6/AZ4</f>
        <v>0.25017984226412243</v>
      </c>
      <c r="BA7" s="582">
        <f t="shared" ref="BA7:BM7" si="23">BA6/BA4</f>
        <v>0.2747180840965126</v>
      </c>
      <c r="BB7" s="205">
        <f>BB6/BB4</f>
        <v>0.27578953705753484</v>
      </c>
      <c r="BC7" s="482">
        <f>BC6/BC4</f>
        <v>0.26844282790940138</v>
      </c>
      <c r="BD7" s="582">
        <f t="shared" si="23"/>
        <v>0.27214480460595497</v>
      </c>
      <c r="BE7" s="205">
        <f>BE6/BE4</f>
        <v>0.28865286774002291</v>
      </c>
      <c r="BF7" s="482">
        <f>BF6/BF4</f>
        <v>0.28219902387247492</v>
      </c>
      <c r="BG7" s="582">
        <f t="shared" si="23"/>
        <v>0.28540782630699063</v>
      </c>
      <c r="BH7" s="205">
        <f>BH6/BH4</f>
        <v>0.2974249618698584</v>
      </c>
      <c r="BI7" s="482">
        <f>BI6/BI4</f>
        <v>0.29243291034362223</v>
      </c>
      <c r="BJ7" s="582">
        <f t="shared" si="23"/>
        <v>0.29492515724006757</v>
      </c>
      <c r="BK7" s="205">
        <f>BK6/BK4</f>
        <v>0.30476541982574162</v>
      </c>
      <c r="BL7" s="482">
        <f>BL6/BL4</f>
        <v>0.30124372115638098</v>
      </c>
      <c r="BM7" s="582">
        <f t="shared" si="23"/>
        <v>0.30301344702322297</v>
      </c>
    </row>
    <row r="8" spans="1:74">
      <c r="A8" s="25" t="s">
        <v>6</v>
      </c>
      <c r="B8" s="51"/>
      <c r="C8" s="51"/>
      <c r="D8" s="51"/>
      <c r="E8" s="51"/>
      <c r="F8" s="51"/>
      <c r="G8" s="51"/>
      <c r="H8" s="51"/>
      <c r="I8" s="51"/>
      <c r="J8" s="51"/>
      <c r="K8" s="51"/>
      <c r="L8" s="51"/>
      <c r="M8" s="51"/>
      <c r="N8" s="51"/>
      <c r="O8" s="51"/>
      <c r="P8" s="40">
        <v>-283</v>
      </c>
      <c r="Q8" s="40">
        <v>-296</v>
      </c>
      <c r="R8" s="40">
        <v>-154</v>
      </c>
      <c r="S8" s="630">
        <f>T8-R8</f>
        <v>-188</v>
      </c>
      <c r="T8" s="653">
        <v>-342</v>
      </c>
      <c r="U8" s="40">
        <v>-150</v>
      </c>
      <c r="V8" s="630">
        <f>W8-U8</f>
        <v>-220</v>
      </c>
      <c r="W8" s="653">
        <v>-370</v>
      </c>
      <c r="X8" s="40">
        <v>-155</v>
      </c>
      <c r="Y8" s="630">
        <f>Z8-X8</f>
        <v>-207</v>
      </c>
      <c r="Z8" s="653">
        <v>-362</v>
      </c>
      <c r="AA8" s="40">
        <v>-148</v>
      </c>
      <c r="AB8" s="630">
        <f>AC8-AA8</f>
        <v>-188</v>
      </c>
      <c r="AC8" s="653">
        <v>-336</v>
      </c>
      <c r="AD8" s="40">
        <v>-178</v>
      </c>
      <c r="AE8" s="630">
        <f>AF8-AD8</f>
        <v>-121</v>
      </c>
      <c r="AF8" s="653">
        <v>-299</v>
      </c>
      <c r="AG8" s="40">
        <v>-172</v>
      </c>
      <c r="AH8" s="630">
        <f>AI8-AG8</f>
        <v>-138</v>
      </c>
      <c r="AI8" s="653">
        <v>-310</v>
      </c>
      <c r="AJ8" s="40">
        <v>-145</v>
      </c>
      <c r="AK8" s="630">
        <f>AL8-AJ8</f>
        <v>-152</v>
      </c>
      <c r="AL8" s="653">
        <v>-297</v>
      </c>
      <c r="AM8" s="40">
        <v>-183</v>
      </c>
      <c r="AN8" s="630">
        <f>AO8-AM8</f>
        <v>-188</v>
      </c>
      <c r="AO8" s="653">
        <v>-371</v>
      </c>
      <c r="AP8" s="40">
        <v>-171</v>
      </c>
      <c r="AQ8" s="630">
        <f>AR8-AP8</f>
        <v>-183</v>
      </c>
      <c r="AR8" s="653">
        <v>-354</v>
      </c>
      <c r="AS8" s="40">
        <v>-193</v>
      </c>
      <c r="AT8" s="630">
        <f>AU8-AS8</f>
        <v>-203</v>
      </c>
      <c r="AU8" s="653">
        <v>-396</v>
      </c>
      <c r="AV8" s="40">
        <v>-213</v>
      </c>
      <c r="AW8" s="630">
        <f>AX8-AV8</f>
        <v>-219</v>
      </c>
      <c r="AX8" s="653">
        <v>-432</v>
      </c>
      <c r="AY8" s="40">
        <v>-199</v>
      </c>
      <c r="AZ8" s="236">
        <f>BA8-AY8</f>
        <v>-242.29332595871881</v>
      </c>
      <c r="BA8" s="605">
        <f>-BA4*BA9</f>
        <v>-441.29332595871881</v>
      </c>
      <c r="BB8" s="56">
        <f t="shared" ref="BB8:BM8" si="24">-BB4*BB9</f>
        <v>-232.18663102104838</v>
      </c>
      <c r="BC8" s="236">
        <f>BD8-BB8</f>
        <v>-228.59629281115363</v>
      </c>
      <c r="BD8" s="605">
        <f t="shared" si="24"/>
        <v>-460.78292383220202</v>
      </c>
      <c r="BE8" s="56">
        <f t="shared" si="24"/>
        <v>-227.36999430110808</v>
      </c>
      <c r="BF8" s="236">
        <f>BG8-BE8</f>
        <v>-229.93782484049143</v>
      </c>
      <c r="BG8" s="605">
        <f t="shared" si="24"/>
        <v>-457.30781914159951</v>
      </c>
      <c r="BH8" s="56">
        <f t="shared" si="24"/>
        <v>-228.69817587227556</v>
      </c>
      <c r="BI8" s="236">
        <f>BJ8-BH8</f>
        <v>-229.3917025980374</v>
      </c>
      <c r="BJ8" s="605">
        <f t="shared" si="24"/>
        <v>-458.08987847031295</v>
      </c>
      <c r="BK8" s="56">
        <f t="shared" si="24"/>
        <v>-226.6951816870743</v>
      </c>
      <c r="BL8" s="236">
        <f>BM8-BK8</f>
        <v>-224.42108137713683</v>
      </c>
      <c r="BM8" s="605">
        <f t="shared" si="24"/>
        <v>-451.11626306421113</v>
      </c>
      <c r="BN8"/>
    </row>
    <row r="9" spans="1:74">
      <c r="A9" s="93" t="s">
        <v>273</v>
      </c>
      <c r="B9" s="51"/>
      <c r="C9" s="51"/>
      <c r="D9" s="51"/>
      <c r="E9" s="51"/>
      <c r="F9" s="51"/>
      <c r="G9" s="51"/>
      <c r="H9" s="51"/>
      <c r="I9" s="51"/>
      <c r="J9" s="51"/>
      <c r="K9" s="51"/>
      <c r="L9" s="51"/>
      <c r="M9" s="51"/>
      <c r="N9" s="51"/>
      <c r="O9" s="51"/>
      <c r="P9" s="58">
        <f t="shared" ref="P9:AQ9" si="25">-P8/P4</f>
        <v>4.1392423577592513E-2</v>
      </c>
      <c r="Q9" s="58">
        <f t="shared" si="25"/>
        <v>4.2694360305783934E-2</v>
      </c>
      <c r="R9" s="87">
        <f t="shared" si="25"/>
        <v>4.856512141280353E-2</v>
      </c>
      <c r="S9" s="644">
        <f t="shared" si="25"/>
        <v>4.8254620123203286E-2</v>
      </c>
      <c r="T9" s="668">
        <f t="shared" si="25"/>
        <v>4.8393943681901794E-2</v>
      </c>
      <c r="U9" s="87">
        <f t="shared" ref="U9:V9" si="26">-U8/U4</f>
        <v>4.0805223068552776E-2</v>
      </c>
      <c r="V9" s="644">
        <f t="shared" si="26"/>
        <v>5.0609615827007133E-2</v>
      </c>
      <c r="W9" s="668">
        <f t="shared" si="25"/>
        <v>4.6117412439237192E-2</v>
      </c>
      <c r="X9" s="87">
        <f t="shared" si="25"/>
        <v>5.423372988103569E-2</v>
      </c>
      <c r="Y9" s="644">
        <f t="shared" si="25"/>
        <v>5.5347593582887704E-2</v>
      </c>
      <c r="Z9" s="668">
        <f t="shared" si="25"/>
        <v>5.4865110639587752E-2</v>
      </c>
      <c r="AA9" s="87">
        <f t="shared" ref="AA9:AB9" si="27">-AA8/AA4</f>
        <v>4.1111111111111112E-2</v>
      </c>
      <c r="AB9" s="644">
        <f t="shared" si="27"/>
        <v>4.9761778718898891E-2</v>
      </c>
      <c r="AC9" s="668">
        <f t="shared" si="25"/>
        <v>4.5540796963946868E-2</v>
      </c>
      <c r="AD9" s="87">
        <f t="shared" si="25"/>
        <v>4.4300647088103537E-2</v>
      </c>
      <c r="AE9" s="644">
        <f t="shared" si="25"/>
        <v>2.959158718513084E-2</v>
      </c>
      <c r="AF9" s="668">
        <f t="shared" si="25"/>
        <v>3.6881707166646106E-2</v>
      </c>
      <c r="AG9" s="87">
        <f t="shared" ref="AG9:AH9" si="28">-AG8/AG4</f>
        <v>6.8362480127186015E-2</v>
      </c>
      <c r="AH9" s="644">
        <f t="shared" si="28"/>
        <v>5.4075235109717866E-2</v>
      </c>
      <c r="AI9" s="668">
        <f t="shared" si="25"/>
        <v>6.1168113654301498E-2</v>
      </c>
      <c r="AJ9" s="87">
        <f t="shared" si="25"/>
        <v>6.6881918819188188E-2</v>
      </c>
      <c r="AK9" s="644">
        <f t="shared" si="25"/>
        <v>6.4189189189189186E-2</v>
      </c>
      <c r="AL9" s="668">
        <f t="shared" si="25"/>
        <v>6.5476190476190479E-2</v>
      </c>
      <c r="AM9" s="87">
        <f t="shared" ref="AM9:AN9" si="29">-AM8/AM4</f>
        <v>7.8238563488670365E-2</v>
      </c>
      <c r="AN9" s="644">
        <f t="shared" si="29"/>
        <v>5.6169704212727815E-2</v>
      </c>
      <c r="AO9" s="668">
        <f t="shared" si="25"/>
        <v>6.5247977488568421E-2</v>
      </c>
      <c r="AP9" s="87">
        <f t="shared" si="25"/>
        <v>5.2502302732575994E-2</v>
      </c>
      <c r="AQ9" s="644">
        <f t="shared" si="25"/>
        <v>4.4732339281349301E-2</v>
      </c>
      <c r="AR9" s="668">
        <f t="shared" ref="AR9:AT9" si="30">-AR8/AR4</f>
        <v>4.8176374523679913E-2</v>
      </c>
      <c r="AS9" s="87">
        <f t="shared" si="30"/>
        <v>4.6856033017722745E-2</v>
      </c>
      <c r="AT9" s="644">
        <f t="shared" si="30"/>
        <v>4.1251778093883355E-2</v>
      </c>
      <c r="AU9" s="668">
        <f t="shared" ref="AU9:AV9" si="31">-AU8/AU4</f>
        <v>4.3805309734513277E-2</v>
      </c>
      <c r="AV9" s="87">
        <f t="shared" si="31"/>
        <v>4.450480568324279E-2</v>
      </c>
      <c r="AW9" s="644">
        <f t="shared" ref="AW9:AY9" si="32">-AW8/AW4</f>
        <v>3.913509649749821E-2</v>
      </c>
      <c r="AX9" s="668">
        <f t="shared" si="32"/>
        <v>4.1610479676362937E-2</v>
      </c>
      <c r="AY9" s="87">
        <f t="shared" si="32"/>
        <v>3.216941480763013E-2</v>
      </c>
      <c r="AZ9" s="603">
        <f t="shared" ref="AZ9" si="33">-AZ8/AZ4</f>
        <v>3.7726403292531366E-2</v>
      </c>
      <c r="BA9" s="585">
        <v>3.5000000000000003E-2</v>
      </c>
      <c r="BB9" s="245">
        <f>BD9</f>
        <v>3.2500000000000001E-2</v>
      </c>
      <c r="BC9" s="603">
        <f t="shared" ref="BC9" si="34">-BC8/BC4</f>
        <v>3.2499999999999994E-2</v>
      </c>
      <c r="BD9" s="585">
        <v>3.2500000000000001E-2</v>
      </c>
      <c r="BE9" s="245">
        <f>BG9</f>
        <v>0.03</v>
      </c>
      <c r="BF9" s="603">
        <f t="shared" ref="BF9" si="35">-BF8/BF4</f>
        <v>3.0000000000000002E-2</v>
      </c>
      <c r="BG9" s="585">
        <v>0.03</v>
      </c>
      <c r="BH9" s="245">
        <f>BJ9</f>
        <v>2.75E-2</v>
      </c>
      <c r="BI9" s="603">
        <f t="shared" ref="BI9" si="36">-BI8/BI4</f>
        <v>2.7499999999999986E-2</v>
      </c>
      <c r="BJ9" s="585">
        <v>2.75E-2</v>
      </c>
      <c r="BK9" s="245">
        <f>BM9</f>
        <v>2.5000000000000001E-2</v>
      </c>
      <c r="BL9" s="603">
        <f t="shared" ref="BL9" si="37">-BL8/BL4</f>
        <v>2.4999999999999998E-2</v>
      </c>
      <c r="BM9" s="585">
        <v>2.5000000000000001E-2</v>
      </c>
    </row>
    <row r="10" spans="1:74">
      <c r="A10" s="25" t="s">
        <v>271</v>
      </c>
      <c r="B10" s="51"/>
      <c r="C10" s="51"/>
      <c r="D10" s="51"/>
      <c r="E10" s="51"/>
      <c r="F10" s="51"/>
      <c r="G10" s="51"/>
      <c r="H10" s="51"/>
      <c r="I10" s="51"/>
      <c r="J10" s="51"/>
      <c r="K10" s="51"/>
      <c r="L10" s="51"/>
      <c r="M10" s="51"/>
      <c r="N10" s="51"/>
      <c r="O10" s="51"/>
      <c r="P10" s="40">
        <v>-82</v>
      </c>
      <c r="Q10" s="40">
        <v>-7</v>
      </c>
      <c r="R10" s="40">
        <v>-2</v>
      </c>
      <c r="S10" s="630">
        <f t="shared" ref="S10:S11" si="38">T10-R10</f>
        <v>-9</v>
      </c>
      <c r="T10" s="653">
        <v>-11</v>
      </c>
      <c r="U10" s="40">
        <v>-6</v>
      </c>
      <c r="V10" s="630">
        <f t="shared" ref="V10:V11" si="39">W10-U10</f>
        <v>6</v>
      </c>
      <c r="W10" s="653"/>
      <c r="X10" s="40">
        <v>0</v>
      </c>
      <c r="Y10" s="630">
        <f t="shared" ref="Y10:Y11" si="40">Z10-X10</f>
        <v>-11</v>
      </c>
      <c r="Z10" s="653">
        <v>-11</v>
      </c>
      <c r="AA10" s="40">
        <v>-9</v>
      </c>
      <c r="AB10" s="630">
        <f t="shared" ref="AB10:AB11" si="41">AC10-AA10</f>
        <v>1</v>
      </c>
      <c r="AC10" s="653">
        <v>-8</v>
      </c>
      <c r="AD10" s="40">
        <v>-7</v>
      </c>
      <c r="AE10" s="630">
        <f t="shared" ref="AE10:AE11" si="42">AF10-AD10</f>
        <v>0</v>
      </c>
      <c r="AF10" s="653">
        <v>-7</v>
      </c>
      <c r="AG10" s="40">
        <v>0</v>
      </c>
      <c r="AH10" s="630">
        <f t="shared" ref="AH10:AH11" si="43">AI10-AG10</f>
        <v>0</v>
      </c>
      <c r="AI10" s="653">
        <v>0</v>
      </c>
      <c r="AJ10" s="40">
        <v>0</v>
      </c>
      <c r="AK10" s="630">
        <f t="shared" ref="AK10:AK11" si="44">AL10-AJ10</f>
        <v>0</v>
      </c>
      <c r="AL10" s="653">
        <v>0</v>
      </c>
      <c r="AM10" s="40">
        <v>0</v>
      </c>
      <c r="AN10" s="630">
        <f t="shared" ref="AN10:AN11" si="45">AO10-AM10</f>
        <v>0</v>
      </c>
      <c r="AO10" s="653">
        <v>0</v>
      </c>
      <c r="AP10" s="40">
        <v>0</v>
      </c>
      <c r="AQ10" s="630">
        <f t="shared" ref="AQ10:AQ11" si="46">AR10-AP10</f>
        <v>0</v>
      </c>
      <c r="AR10" s="653">
        <v>0</v>
      </c>
      <c r="AS10" s="40">
        <v>0</v>
      </c>
      <c r="AT10" s="630">
        <f t="shared" ref="AT10:AT11" si="47">AU10-AS10</f>
        <v>0</v>
      </c>
      <c r="AU10" s="653">
        <v>0</v>
      </c>
      <c r="AV10" s="40">
        <v>0</v>
      </c>
      <c r="AW10" s="630">
        <f>AX10-AV10</f>
        <v>0</v>
      </c>
      <c r="AX10" s="653">
        <v>0</v>
      </c>
      <c r="AY10" s="40">
        <v>0</v>
      </c>
      <c r="AZ10" s="236">
        <f>BA10-AY10</f>
        <v>0</v>
      </c>
      <c r="BA10" s="580">
        <v>0</v>
      </c>
      <c r="BB10" s="56">
        <f>BD10/2</f>
        <v>0</v>
      </c>
      <c r="BC10" s="236">
        <f>BD10-BB10</f>
        <v>0</v>
      </c>
      <c r="BD10" s="605">
        <f>+BA10</f>
        <v>0</v>
      </c>
      <c r="BE10" s="56">
        <f>BG10/2</f>
        <v>0</v>
      </c>
      <c r="BF10" s="236">
        <f>BG10-BE10</f>
        <v>0</v>
      </c>
      <c r="BG10" s="605">
        <f>+BD10</f>
        <v>0</v>
      </c>
      <c r="BH10" s="56">
        <f>BJ10/2</f>
        <v>0</v>
      </c>
      <c r="BI10" s="236">
        <f>BJ10-BH10</f>
        <v>0</v>
      </c>
      <c r="BJ10" s="605">
        <f>+BG10</f>
        <v>0</v>
      </c>
      <c r="BK10" s="56">
        <f>BM10/2</f>
        <v>0</v>
      </c>
      <c r="BL10" s="236">
        <f>BM10-BK10</f>
        <v>0</v>
      </c>
      <c r="BM10" s="605">
        <f t="shared" ref="BM10" si="48">+BJ10</f>
        <v>0</v>
      </c>
    </row>
    <row r="11" spans="1:74" ht="11.4">
      <c r="A11" s="25" t="s">
        <v>4</v>
      </c>
      <c r="B11" s="51"/>
      <c r="C11" s="51"/>
      <c r="D11" s="51"/>
      <c r="E11" s="51"/>
      <c r="F11" s="51"/>
      <c r="G11" s="51"/>
      <c r="H11" s="51"/>
      <c r="I11" s="51"/>
      <c r="J11" s="51"/>
      <c r="K11" s="51"/>
      <c r="L11" s="51"/>
      <c r="M11" s="51"/>
      <c r="N11" s="51"/>
      <c r="O11" s="51"/>
      <c r="P11" s="40">
        <v>-461</v>
      </c>
      <c r="Q11" s="40">
        <v>-515</v>
      </c>
      <c r="R11" s="40">
        <v>-250</v>
      </c>
      <c r="S11" s="630">
        <f t="shared" si="38"/>
        <v>-318</v>
      </c>
      <c r="T11" s="653">
        <v>-568</v>
      </c>
      <c r="U11" s="40">
        <v>-263</v>
      </c>
      <c r="V11" s="630">
        <f t="shared" si="39"/>
        <v>-152</v>
      </c>
      <c r="W11" s="653">
        <v>-415</v>
      </c>
      <c r="X11" s="40">
        <v>-280</v>
      </c>
      <c r="Y11" s="630">
        <f t="shared" si="40"/>
        <v>-174</v>
      </c>
      <c r="Z11" s="653">
        <v>-454</v>
      </c>
      <c r="AA11" s="40">
        <v>-152</v>
      </c>
      <c r="AB11" s="630">
        <f t="shared" si="41"/>
        <v>-180</v>
      </c>
      <c r="AC11" s="653">
        <v>-332</v>
      </c>
      <c r="AD11" s="40">
        <v>-157</v>
      </c>
      <c r="AE11" s="630">
        <f t="shared" si="42"/>
        <v>-217</v>
      </c>
      <c r="AF11" s="653">
        <v>-374</v>
      </c>
      <c r="AG11" s="40">
        <v>-180</v>
      </c>
      <c r="AH11" s="630">
        <f t="shared" si="43"/>
        <v>-227</v>
      </c>
      <c r="AI11" s="653">
        <v>-407</v>
      </c>
      <c r="AJ11" s="40">
        <v>-237</v>
      </c>
      <c r="AK11" s="630">
        <f t="shared" si="44"/>
        <v>-197</v>
      </c>
      <c r="AL11" s="653">
        <v>-434</v>
      </c>
      <c r="AM11" s="40">
        <v>-202</v>
      </c>
      <c r="AN11" s="630">
        <f t="shared" si="45"/>
        <v>-250</v>
      </c>
      <c r="AO11" s="653">
        <v>-452</v>
      </c>
      <c r="AP11" s="40">
        <v>-195</v>
      </c>
      <c r="AQ11" s="630">
        <f t="shared" si="46"/>
        <v>-148</v>
      </c>
      <c r="AR11" s="653">
        <v>-343</v>
      </c>
      <c r="AS11" s="40">
        <v>-135</v>
      </c>
      <c r="AT11" s="630">
        <f t="shared" si="47"/>
        <v>-117</v>
      </c>
      <c r="AU11" s="653">
        <v>-252</v>
      </c>
      <c r="AV11" s="40">
        <v>-138</v>
      </c>
      <c r="AW11" s="630">
        <f>AX11-AV11</f>
        <v>-129</v>
      </c>
      <c r="AX11" s="653">
        <v>-267</v>
      </c>
      <c r="AY11" s="40">
        <v>-128</v>
      </c>
      <c r="AZ11" s="236">
        <f>BA11-AY11</f>
        <v>-155.68856668774777</v>
      </c>
      <c r="BA11" s="605">
        <f t="shared" ref="BA11:BM11" si="49">-BA4*BA12</f>
        <v>-283.68856668774777</v>
      </c>
      <c r="BB11" s="56">
        <f t="shared" si="49"/>
        <v>-142.88408062833747</v>
      </c>
      <c r="BC11" s="236">
        <f>BD11-BB11</f>
        <v>-140.67464172994067</v>
      </c>
      <c r="BD11" s="605">
        <f t="shared" si="49"/>
        <v>-283.55872235827815</v>
      </c>
      <c r="BE11" s="56">
        <f t="shared" si="49"/>
        <v>-189.47499525092343</v>
      </c>
      <c r="BF11" s="236">
        <f>BG11-BE11</f>
        <v>-191.61485403374286</v>
      </c>
      <c r="BG11" s="605">
        <f t="shared" si="49"/>
        <v>-381.08984928466629</v>
      </c>
      <c r="BH11" s="56">
        <f t="shared" si="49"/>
        <v>-207.90743261115961</v>
      </c>
      <c r="BI11" s="236">
        <f>BJ11-BH11</f>
        <v>-208.53791145276125</v>
      </c>
      <c r="BJ11" s="605">
        <f t="shared" si="49"/>
        <v>-416.44534406392086</v>
      </c>
      <c r="BK11" s="56">
        <f t="shared" si="49"/>
        <v>-226.6951816870743</v>
      </c>
      <c r="BL11" s="236">
        <f>BM11-BK11</f>
        <v>-224.42108137713683</v>
      </c>
      <c r="BM11" s="605">
        <f t="shared" si="49"/>
        <v>-451.11626306421113</v>
      </c>
      <c r="BN11" s="431"/>
    </row>
    <row r="12" spans="1:74">
      <c r="A12" s="93" t="s">
        <v>273</v>
      </c>
      <c r="B12" s="51"/>
      <c r="C12" s="51"/>
      <c r="D12" s="51"/>
      <c r="E12" s="51"/>
      <c r="F12" s="51"/>
      <c r="G12" s="51"/>
      <c r="H12" s="51"/>
      <c r="I12" s="51"/>
      <c r="J12" s="51"/>
      <c r="K12" s="51"/>
      <c r="L12" s="51"/>
      <c r="M12" s="51"/>
      <c r="N12" s="51"/>
      <c r="O12" s="51"/>
      <c r="P12" s="58">
        <f t="shared" ref="P12:AQ12" si="50">-P11/P4</f>
        <v>6.7427234167032321E-2</v>
      </c>
      <c r="Q12" s="58">
        <f t="shared" si="50"/>
        <v>7.4282417423914615E-2</v>
      </c>
      <c r="R12" s="87">
        <f t="shared" si="50"/>
        <v>7.8839482812992745E-2</v>
      </c>
      <c r="S12" s="644">
        <f t="shared" si="50"/>
        <v>8.1622176591375772E-2</v>
      </c>
      <c r="T12" s="668">
        <f t="shared" si="50"/>
        <v>8.0373567284562047E-2</v>
      </c>
      <c r="U12" s="87">
        <f t="shared" ref="U12:V12" si="51">-U11/U4</f>
        <v>7.1545157780195864E-2</v>
      </c>
      <c r="V12" s="644">
        <f t="shared" si="51"/>
        <v>3.4966643662295835E-2</v>
      </c>
      <c r="W12" s="668">
        <f t="shared" si="50"/>
        <v>5.1726286925090362E-2</v>
      </c>
      <c r="X12" s="87">
        <f t="shared" si="50"/>
        <v>9.7970608817354796E-2</v>
      </c>
      <c r="Y12" s="644">
        <f t="shared" si="50"/>
        <v>4.6524064171122995E-2</v>
      </c>
      <c r="Z12" s="668">
        <f t="shared" si="50"/>
        <v>6.8808729918157022E-2</v>
      </c>
      <c r="AA12" s="87">
        <f t="shared" ref="AA12:AB12" si="52">-AA11/AA4</f>
        <v>4.2222222222222223E-2</v>
      </c>
      <c r="AB12" s="644">
        <f t="shared" si="52"/>
        <v>4.7644256220222343E-2</v>
      </c>
      <c r="AC12" s="668">
        <f t="shared" si="50"/>
        <v>4.4998644619137974E-2</v>
      </c>
      <c r="AD12" s="87">
        <f t="shared" si="50"/>
        <v>3.9074166251866597E-2</v>
      </c>
      <c r="AE12" s="644">
        <f t="shared" si="50"/>
        <v>5.306921007581316E-2</v>
      </c>
      <c r="AF12" s="668">
        <f t="shared" si="50"/>
        <v>4.6132971506105833E-2</v>
      </c>
      <c r="AG12" s="87">
        <f t="shared" ref="AG12:AH12" si="53">-AG11/AG4</f>
        <v>7.1542130365659776E-2</v>
      </c>
      <c r="AH12" s="644">
        <f t="shared" si="53"/>
        <v>8.8949843260188094E-2</v>
      </c>
      <c r="AI12" s="668">
        <f t="shared" si="50"/>
        <v>8.0307813733228095E-2</v>
      </c>
      <c r="AJ12" s="87">
        <f t="shared" si="50"/>
        <v>0.10931734317343174</v>
      </c>
      <c r="AK12" s="644">
        <f t="shared" si="50"/>
        <v>8.3192567567567571E-2</v>
      </c>
      <c r="AL12" s="668">
        <f t="shared" si="50"/>
        <v>9.5679012345679007E-2</v>
      </c>
      <c r="AM12" s="87">
        <f t="shared" ref="AM12:AN12" si="54">-AM11/AM4</f>
        <v>8.6361693031209913E-2</v>
      </c>
      <c r="AN12" s="644">
        <f t="shared" si="54"/>
        <v>7.4693755602031675E-2</v>
      </c>
      <c r="AO12" s="668">
        <f t="shared" si="50"/>
        <v>7.9493492789307063E-2</v>
      </c>
      <c r="AP12" s="87">
        <f t="shared" si="50"/>
        <v>5.9871046975744552E-2</v>
      </c>
      <c r="AQ12" s="644">
        <f t="shared" si="50"/>
        <v>3.6176973845025669E-2</v>
      </c>
      <c r="AR12" s="668">
        <f t="shared" ref="AR12:AT12" si="55">-AR11/AR4</f>
        <v>4.6679368535655963E-2</v>
      </c>
      <c r="AS12" s="87">
        <f t="shared" si="55"/>
        <v>3.2774945375091041E-2</v>
      </c>
      <c r="AT12" s="644">
        <f t="shared" si="55"/>
        <v>2.3775655354602722E-2</v>
      </c>
      <c r="AU12" s="668">
        <f t="shared" ref="AU12:AV12" si="56">-AU11/AU4</f>
        <v>2.7876106194690265E-2</v>
      </c>
      <c r="AV12" s="87">
        <f t="shared" si="56"/>
        <v>2.8834099456748852E-2</v>
      </c>
      <c r="AW12" s="644">
        <f t="shared" ref="AW12:AY12" si="57">-AW11/AW4</f>
        <v>2.3052180128663332E-2</v>
      </c>
      <c r="AX12" s="668">
        <f t="shared" si="57"/>
        <v>2.5717588133307649E-2</v>
      </c>
      <c r="AY12" s="87">
        <f t="shared" si="57"/>
        <v>2.0691884901390237E-2</v>
      </c>
      <c r="AZ12" s="603">
        <f t="shared" ref="AZ12" si="58">-AZ11/AZ4</f>
        <v>2.4241566009535309E-2</v>
      </c>
      <c r="BA12" s="585">
        <v>2.2499999999999999E-2</v>
      </c>
      <c r="BB12" s="245">
        <f>BD12</f>
        <v>0.02</v>
      </c>
      <c r="BC12" s="603">
        <f t="shared" ref="BC12" si="59">-BC11/BC4</f>
        <v>1.9999999999999993E-2</v>
      </c>
      <c r="BD12" s="585">
        <v>0.02</v>
      </c>
      <c r="BE12" s="245">
        <f>BG12</f>
        <v>2.5000000000000001E-2</v>
      </c>
      <c r="BF12" s="603">
        <f t="shared" ref="BF12" si="60">-BF11/BF4</f>
        <v>2.5000000000000001E-2</v>
      </c>
      <c r="BG12" s="585">
        <v>2.5000000000000001E-2</v>
      </c>
      <c r="BH12" s="245">
        <f>BJ12</f>
        <v>2.5000000000000001E-2</v>
      </c>
      <c r="BI12" s="603">
        <f t="shared" ref="BI12" si="61">-BI11/BI4</f>
        <v>2.4999999999999988E-2</v>
      </c>
      <c r="BJ12" s="583">
        <f>BG12</f>
        <v>2.5000000000000001E-2</v>
      </c>
      <c r="BK12" s="245">
        <f>BM12</f>
        <v>2.5000000000000001E-2</v>
      </c>
      <c r="BL12" s="603">
        <f t="shared" ref="BL12" si="62">-BL11/BL4</f>
        <v>2.4999999999999998E-2</v>
      </c>
      <c r="BM12" s="583">
        <f>BJ12</f>
        <v>2.5000000000000001E-2</v>
      </c>
    </row>
    <row r="13" spans="1:74">
      <c r="A13" s="25" t="s">
        <v>272</v>
      </c>
      <c r="B13" s="51"/>
      <c r="C13" s="51"/>
      <c r="D13" s="51"/>
      <c r="E13" s="51"/>
      <c r="F13" s="51"/>
      <c r="G13" s="51"/>
      <c r="H13" s="51"/>
      <c r="I13" s="51"/>
      <c r="J13" s="51"/>
      <c r="K13" s="51"/>
      <c r="L13" s="51"/>
      <c r="M13" s="51"/>
      <c r="N13" s="51"/>
      <c r="O13" s="51"/>
      <c r="P13" s="40">
        <v>93</v>
      </c>
      <c r="Q13" s="40">
        <v>104</v>
      </c>
      <c r="R13" s="40">
        <v>38</v>
      </c>
      <c r="S13" s="630">
        <f>T13-R13</f>
        <v>65</v>
      </c>
      <c r="T13" s="653">
        <v>103</v>
      </c>
      <c r="U13" s="40">
        <v>49</v>
      </c>
      <c r="V13" s="630">
        <f>W13-U13</f>
        <v>64</v>
      </c>
      <c r="W13" s="653">
        <v>113</v>
      </c>
      <c r="X13" s="40">
        <v>48</v>
      </c>
      <c r="Y13" s="630">
        <f>Z13-X13</f>
        <v>-37</v>
      </c>
      <c r="Z13" s="653">
        <v>11</v>
      </c>
      <c r="AA13" s="40">
        <v>22</v>
      </c>
      <c r="AB13" s="630">
        <f>AC13-AA13</f>
        <v>-1</v>
      </c>
      <c r="AC13" s="653">
        <v>21</v>
      </c>
      <c r="AD13" s="40">
        <v>45</v>
      </c>
      <c r="AE13" s="630">
        <f>AF13-AD13</f>
        <v>57</v>
      </c>
      <c r="AF13" s="653">
        <v>102</v>
      </c>
      <c r="AG13" s="40">
        <v>88</v>
      </c>
      <c r="AH13" s="630">
        <f>AI13-AG13</f>
        <v>81</v>
      </c>
      <c r="AI13" s="653">
        <v>169</v>
      </c>
      <c r="AJ13" s="40">
        <v>41</v>
      </c>
      <c r="AK13" s="630">
        <f>AL13-AJ13</f>
        <v>44</v>
      </c>
      <c r="AL13" s="653">
        <v>85</v>
      </c>
      <c r="AM13" s="40">
        <v>50</v>
      </c>
      <c r="AN13" s="630">
        <f>AO13-AM13</f>
        <v>63</v>
      </c>
      <c r="AO13" s="653">
        <v>113</v>
      </c>
      <c r="AP13" s="40">
        <v>81</v>
      </c>
      <c r="AQ13" s="630">
        <f>AR13-AP13</f>
        <v>72</v>
      </c>
      <c r="AR13" s="653">
        <v>153</v>
      </c>
      <c r="AS13" s="40">
        <v>76</v>
      </c>
      <c r="AT13" s="630">
        <f>AU13-AS13</f>
        <v>87</v>
      </c>
      <c r="AU13" s="653">
        <v>163</v>
      </c>
      <c r="AV13" s="40">
        <v>67</v>
      </c>
      <c r="AW13" s="630">
        <f>AX13-AV13</f>
        <v>87</v>
      </c>
      <c r="AX13" s="653">
        <v>154</v>
      </c>
      <c r="AY13" s="40">
        <v>37</v>
      </c>
      <c r="AZ13" s="236">
        <f>BA13-AY13</f>
        <v>113</v>
      </c>
      <c r="BA13" s="580">
        <v>150</v>
      </c>
      <c r="BB13" s="56">
        <f>BD13/2</f>
        <v>75</v>
      </c>
      <c r="BC13" s="236">
        <f>BD13-BB13</f>
        <v>75</v>
      </c>
      <c r="BD13" s="605">
        <f>+BA13</f>
        <v>150</v>
      </c>
      <c r="BE13" s="56">
        <f>BG13/2</f>
        <v>75</v>
      </c>
      <c r="BF13" s="236">
        <f>BG13-BE13</f>
        <v>75</v>
      </c>
      <c r="BG13" s="605">
        <f>+BD13</f>
        <v>150</v>
      </c>
      <c r="BH13" s="56">
        <f>BJ13/2</f>
        <v>75</v>
      </c>
      <c r="BI13" s="236">
        <f>BJ13-BH13</f>
        <v>75</v>
      </c>
      <c r="BJ13" s="605">
        <f>+BG13</f>
        <v>150</v>
      </c>
      <c r="BK13" s="56">
        <f>BM13/2</f>
        <v>75</v>
      </c>
      <c r="BL13" s="236">
        <f>BM13-BK13</f>
        <v>75</v>
      </c>
      <c r="BM13" s="605">
        <f t="shared" ref="BM13" si="63">+BJ13</f>
        <v>150</v>
      </c>
      <c r="BP13" s="31"/>
      <c r="BV13" s="31"/>
    </row>
    <row r="14" spans="1:74" ht="11.4">
      <c r="A14" s="37" t="s">
        <v>274</v>
      </c>
      <c r="B14" s="84">
        <f>Divisional!B53</f>
        <v>332</v>
      </c>
      <c r="C14" s="84">
        <f>Divisional!C53</f>
        <v>347</v>
      </c>
      <c r="D14" s="84">
        <f>Divisional!D53</f>
        <v>150</v>
      </c>
      <c r="E14" s="84">
        <f>Divisional!E53</f>
        <v>131</v>
      </c>
      <c r="F14" s="84">
        <f>Divisional!F53</f>
        <v>194</v>
      </c>
      <c r="G14" s="84">
        <f>Divisional!G53</f>
        <v>454</v>
      </c>
      <c r="H14" s="84">
        <f>Divisional!H53</f>
        <v>519</v>
      </c>
      <c r="I14" s="84">
        <f>Divisional!I53</f>
        <v>564</v>
      </c>
      <c r="J14" s="84">
        <f>Divisional!J53</f>
        <v>566</v>
      </c>
      <c r="K14" s="84">
        <f>Divisional!K53</f>
        <v>493</v>
      </c>
      <c r="L14" s="84">
        <f>Divisional!L53</f>
        <v>392</v>
      </c>
      <c r="M14" s="84">
        <f>Divisional!M53</f>
        <v>499</v>
      </c>
      <c r="N14" s="84">
        <f>Divisional!N53</f>
        <v>743</v>
      </c>
      <c r="O14" s="84">
        <f>Divisional!O53</f>
        <v>844</v>
      </c>
      <c r="P14" s="84">
        <f t="shared" ref="P14:BM14" si="64">P6+P8+P10+P11+P13</f>
        <v>942</v>
      </c>
      <c r="Q14" s="84">
        <f t="shared" si="64"/>
        <v>812</v>
      </c>
      <c r="R14" s="84">
        <f t="shared" ref="R14:S14" si="65">R6+R8+R10+R11+R13</f>
        <v>31</v>
      </c>
      <c r="S14" s="632">
        <f t="shared" si="65"/>
        <v>336</v>
      </c>
      <c r="T14" s="655">
        <f t="shared" si="64"/>
        <v>367</v>
      </c>
      <c r="U14" s="84">
        <f t="shared" si="64"/>
        <v>173</v>
      </c>
      <c r="V14" s="632">
        <f t="shared" si="64"/>
        <v>347</v>
      </c>
      <c r="W14" s="655">
        <f t="shared" si="64"/>
        <v>520</v>
      </c>
      <c r="X14" s="84">
        <f t="shared" ref="X14:Y14" si="66">X6+X8+X10+X11+X13</f>
        <v>-250</v>
      </c>
      <c r="Y14" s="632">
        <f t="shared" si="66"/>
        <v>-93</v>
      </c>
      <c r="Z14" s="655">
        <f t="shared" si="64"/>
        <v>-343</v>
      </c>
      <c r="AA14" s="84">
        <f t="shared" si="64"/>
        <v>-112</v>
      </c>
      <c r="AB14" s="632">
        <f t="shared" si="64"/>
        <v>-50</v>
      </c>
      <c r="AC14" s="655">
        <f t="shared" si="64"/>
        <v>-162</v>
      </c>
      <c r="AD14" s="84">
        <f t="shared" ref="AD14:AE14" si="67">AD6+AD8+AD10+AD11+AD13</f>
        <v>-21</v>
      </c>
      <c r="AE14" s="632">
        <f t="shared" si="67"/>
        <v>65</v>
      </c>
      <c r="AF14" s="655">
        <f t="shared" si="64"/>
        <v>44</v>
      </c>
      <c r="AG14" s="84">
        <f t="shared" si="64"/>
        <v>-1816</v>
      </c>
      <c r="AH14" s="632">
        <f t="shared" si="64"/>
        <v>-719</v>
      </c>
      <c r="AI14" s="655">
        <f t="shared" si="64"/>
        <v>-2535</v>
      </c>
      <c r="AJ14" s="84">
        <f t="shared" ref="AJ14:AK14" si="68">AJ6+AJ8+AJ10+AJ11+AJ13</f>
        <v>39</v>
      </c>
      <c r="AK14" s="632">
        <f t="shared" si="68"/>
        <v>-211</v>
      </c>
      <c r="AL14" s="655">
        <f>AL6+AL8+AL10+AL11+AL13</f>
        <v>-172</v>
      </c>
      <c r="AM14" s="84">
        <f t="shared" si="64"/>
        <v>-79</v>
      </c>
      <c r="AN14" s="632">
        <f t="shared" si="64"/>
        <v>222</v>
      </c>
      <c r="AO14" s="655">
        <f t="shared" si="64"/>
        <v>143</v>
      </c>
      <c r="AP14" s="84">
        <f t="shared" si="64"/>
        <v>405</v>
      </c>
      <c r="AQ14" s="632">
        <f t="shared" ref="AQ14:AS14" si="69">AQ6+AQ8+AQ10+AQ11+AQ13</f>
        <v>445</v>
      </c>
      <c r="AR14" s="655">
        <f t="shared" si="69"/>
        <v>850</v>
      </c>
      <c r="AS14" s="84">
        <f t="shared" si="69"/>
        <v>740</v>
      </c>
      <c r="AT14" s="632">
        <f t="shared" ref="AT14:AV14" si="70">AT6+AT8+AT10+AT11+AT13</f>
        <v>765</v>
      </c>
      <c r="AU14" s="655">
        <f t="shared" si="70"/>
        <v>1505</v>
      </c>
      <c r="AV14" s="84">
        <f t="shared" si="70"/>
        <v>1193</v>
      </c>
      <c r="AW14" s="632">
        <f t="shared" si="64"/>
        <v>937</v>
      </c>
      <c r="AX14" s="655">
        <f t="shared" si="64"/>
        <v>2130</v>
      </c>
      <c r="AY14" s="84">
        <f t="shared" si="64"/>
        <v>1567</v>
      </c>
      <c r="AZ14" s="244">
        <f t="shared" si="64"/>
        <v>1321.7683082665922</v>
      </c>
      <c r="BA14" s="581">
        <f t="shared" si="64"/>
        <v>2888.7683082665917</v>
      </c>
      <c r="BB14" s="181">
        <f t="shared" si="64"/>
        <v>1670.2260108196479</v>
      </c>
      <c r="BC14" s="244">
        <f t="shared" si="64"/>
        <v>1593.8839975152641</v>
      </c>
      <c r="BD14" s="581">
        <f t="shared" si="64"/>
        <v>3264.110008334912</v>
      </c>
      <c r="BE14" s="181">
        <f t="shared" si="64"/>
        <v>1845.8550402162191</v>
      </c>
      <c r="BF14" s="244">
        <f t="shared" si="64"/>
        <v>1816.3883118373253</v>
      </c>
      <c r="BG14" s="581">
        <f t="shared" si="64"/>
        <v>3662.2433520535446</v>
      </c>
      <c r="BH14" s="181">
        <f t="shared" si="64"/>
        <v>2111.8688001899368</v>
      </c>
      <c r="BI14" s="244">
        <f t="shared" si="64"/>
        <v>2076.4043204736654</v>
      </c>
      <c r="BJ14" s="581">
        <f t="shared" si="64"/>
        <v>4188.2731206636017</v>
      </c>
      <c r="BK14" s="181">
        <f t="shared" si="64"/>
        <v>2385.1637253992103</v>
      </c>
      <c r="BL14" s="244">
        <f t="shared" si="64"/>
        <v>2330.3755036452339</v>
      </c>
      <c r="BM14" s="581">
        <f t="shared" si="64"/>
        <v>4715.5392290444443</v>
      </c>
      <c r="BN14" s="115"/>
      <c r="BV14" s="39"/>
    </row>
    <row r="15" spans="1:74">
      <c r="A15" s="67" t="s">
        <v>242</v>
      </c>
      <c r="B15" s="132">
        <f t="shared" ref="B15:Y15" si="71">B14/B4</f>
        <v>0.10539682539682539</v>
      </c>
      <c r="C15" s="132">
        <f t="shared" si="71"/>
        <v>0.10078419982573338</v>
      </c>
      <c r="D15" s="132">
        <f t="shared" si="71"/>
        <v>5.4764512595837894E-2</v>
      </c>
      <c r="E15" s="132">
        <f t="shared" si="71"/>
        <v>4.8626577579806977E-2</v>
      </c>
      <c r="F15" s="132">
        <f t="shared" si="71"/>
        <v>6.3815789473684215E-2</v>
      </c>
      <c r="G15" s="132">
        <f t="shared" si="71"/>
        <v>0.13329418672930124</v>
      </c>
      <c r="H15" s="132">
        <f t="shared" si="71"/>
        <v>0.13283849500895828</v>
      </c>
      <c r="I15" s="132">
        <f t="shared" si="71"/>
        <v>0.13967310549777118</v>
      </c>
      <c r="J15" s="132">
        <f t="shared" si="71"/>
        <v>0.12572190137716571</v>
      </c>
      <c r="K15" s="132">
        <f t="shared" si="71"/>
        <v>0.11002008480249945</v>
      </c>
      <c r="L15" s="132">
        <f t="shared" si="71"/>
        <v>7.9690994104492777E-2</v>
      </c>
      <c r="M15" s="132">
        <f t="shared" si="71"/>
        <v>8.9554917444364682E-2</v>
      </c>
      <c r="N15" s="132">
        <f t="shared" si="71"/>
        <v>0.1154264408886127</v>
      </c>
      <c r="O15" s="132">
        <f t="shared" si="71"/>
        <v>0.12682193839218633</v>
      </c>
      <c r="P15" s="132">
        <f t="shared" si="71"/>
        <v>0.13777972795085563</v>
      </c>
      <c r="Q15" s="132">
        <f t="shared" si="71"/>
        <v>0.1171210154334343</v>
      </c>
      <c r="R15" s="345">
        <f t="shared" si="71"/>
        <v>9.7760958688111015E-3</v>
      </c>
      <c r="S15" s="646">
        <f t="shared" si="71"/>
        <v>8.6242299794661192E-2</v>
      </c>
      <c r="T15" s="670">
        <f t="shared" si="71"/>
        <v>5.1931512664496957E-2</v>
      </c>
      <c r="U15" s="345">
        <f t="shared" si="71"/>
        <v>4.7062023939064203E-2</v>
      </c>
      <c r="V15" s="646">
        <f t="shared" si="71"/>
        <v>7.9825166781688522E-2</v>
      </c>
      <c r="W15" s="670">
        <f t="shared" si="71"/>
        <v>6.4813660725414432E-2</v>
      </c>
      <c r="X15" s="345">
        <f t="shared" si="71"/>
        <v>-8.7473757872638211E-2</v>
      </c>
      <c r="Y15" s="646">
        <f t="shared" si="71"/>
        <v>-2.4866310160427809E-2</v>
      </c>
      <c r="Z15" s="670">
        <f>Z14/Z4</f>
        <v>-5.1985450136404973E-2</v>
      </c>
      <c r="AA15" s="345">
        <f t="shared" ref="AA15:AB15" si="72">AA14/AA4</f>
        <v>-3.111111111111111E-2</v>
      </c>
      <c r="AB15" s="646">
        <f t="shared" si="72"/>
        <v>-1.3234515616728428E-2</v>
      </c>
      <c r="AC15" s="670">
        <f t="shared" ref="AC15:BM15" si="73">AC14/AC4</f>
        <v>-2.1957169964760097E-2</v>
      </c>
      <c r="AD15" s="345">
        <f t="shared" si="73"/>
        <v>-5.2264808362369342E-3</v>
      </c>
      <c r="AE15" s="646">
        <f t="shared" si="73"/>
        <v>1.5896307165566153E-2</v>
      </c>
      <c r="AF15" s="670">
        <f t="shared" si="73"/>
        <v>5.4274084124830389E-3</v>
      </c>
      <c r="AG15" s="345">
        <f t="shared" si="73"/>
        <v>-0.72178060413354528</v>
      </c>
      <c r="AH15" s="646">
        <f t="shared" si="73"/>
        <v>-0.28173981191222569</v>
      </c>
      <c r="AI15" s="670">
        <f t="shared" si="73"/>
        <v>-0.50019731649565902</v>
      </c>
      <c r="AJ15" s="345">
        <f t="shared" si="73"/>
        <v>1.7988929889298892E-2</v>
      </c>
      <c r="AK15" s="646">
        <f t="shared" si="73"/>
        <v>-8.9104729729729729E-2</v>
      </c>
      <c r="AL15" s="670">
        <f>AL14/AL4</f>
        <v>-3.7918871252204583E-2</v>
      </c>
      <c r="AM15" s="345">
        <f t="shared" ref="AM15:AN15" si="74">AM14/AM4</f>
        <v>-3.37751175716118E-2</v>
      </c>
      <c r="AN15" s="646">
        <f t="shared" si="74"/>
        <v>6.6328054974604117E-2</v>
      </c>
      <c r="AO15" s="670">
        <f t="shared" si="73"/>
        <v>2.5149489975378123E-2</v>
      </c>
      <c r="AP15" s="345">
        <f t="shared" si="73"/>
        <v>0.12434755910346945</v>
      </c>
      <c r="AQ15" s="646">
        <f t="shared" si="73"/>
        <v>0.10877536054754339</v>
      </c>
      <c r="AR15" s="670">
        <f t="shared" ref="AR15:AT15" si="75">AR14/AR4</f>
        <v>0.11567773543821448</v>
      </c>
      <c r="AS15" s="345">
        <f t="shared" si="75"/>
        <v>0.17965525613012867</v>
      </c>
      <c r="AT15" s="646">
        <f t="shared" si="75"/>
        <v>0.15545620808778704</v>
      </c>
      <c r="AU15" s="670">
        <f t="shared" ref="AU15:AV15" si="76">AU14/AU4</f>
        <v>0.16648230088495575</v>
      </c>
      <c r="AV15" s="345">
        <f t="shared" si="76"/>
        <v>0.24926870037609694</v>
      </c>
      <c r="AW15" s="646">
        <f t="shared" si="73"/>
        <v>0.16744102930664762</v>
      </c>
      <c r="AX15" s="670">
        <f t="shared" si="73"/>
        <v>0.20516278173762281</v>
      </c>
      <c r="AY15" s="345">
        <f t="shared" si="73"/>
        <v>0.25331393469123831</v>
      </c>
      <c r="AZ15" s="482">
        <f t="shared" si="73"/>
        <v>0.20580659438158985</v>
      </c>
      <c r="BA15" s="582">
        <f t="shared" si="73"/>
        <v>0.22911493295230315</v>
      </c>
      <c r="BB15" s="205">
        <f t="shared" si="73"/>
        <v>0.23378755750462527</v>
      </c>
      <c r="BC15" s="482">
        <f t="shared" si="73"/>
        <v>0.22660573048767568</v>
      </c>
      <c r="BD15" s="582">
        <f t="shared" si="73"/>
        <v>0.23022462375258479</v>
      </c>
      <c r="BE15" s="205">
        <f t="shared" si="73"/>
        <v>0.24354863260080004</v>
      </c>
      <c r="BF15" s="482">
        <f t="shared" si="73"/>
        <v>0.23698427778431316</v>
      </c>
      <c r="BG15" s="582">
        <f t="shared" si="73"/>
        <v>0.24024802542811396</v>
      </c>
      <c r="BH15" s="205">
        <f t="shared" si="73"/>
        <v>0.25394339847143355</v>
      </c>
      <c r="BI15" s="482">
        <f t="shared" si="73"/>
        <v>0.24892408123882295</v>
      </c>
      <c r="BJ15" s="582">
        <f t="shared" si="73"/>
        <v>0.25142994034895111</v>
      </c>
      <c r="BK15" s="205">
        <f t="shared" si="73"/>
        <v>0.26303643814225891</v>
      </c>
      <c r="BL15" s="482">
        <f t="shared" si="73"/>
        <v>0.25959855123069597</v>
      </c>
      <c r="BM15" s="582">
        <f t="shared" si="73"/>
        <v>0.26132615996894587</v>
      </c>
    </row>
    <row r="16" spans="1:74" s="170" customFormat="1">
      <c r="A16" s="1143"/>
      <c r="B16" s="269"/>
      <c r="C16" s="269"/>
      <c r="D16" s="269"/>
      <c r="E16" s="269"/>
      <c r="F16" s="269"/>
      <c r="G16" s="269"/>
      <c r="H16" s="269"/>
      <c r="I16" s="269"/>
      <c r="J16" s="269"/>
      <c r="K16" s="269"/>
      <c r="L16" s="269"/>
      <c r="M16" s="269"/>
      <c r="N16" s="269"/>
      <c r="O16" s="269"/>
      <c r="P16" s="269"/>
      <c r="Q16" s="269"/>
      <c r="R16" s="515"/>
      <c r="S16" s="735"/>
      <c r="T16" s="739"/>
      <c r="U16" s="515"/>
      <c r="V16" s="735"/>
      <c r="W16" s="739"/>
      <c r="X16" s="515"/>
      <c r="Y16" s="735"/>
      <c r="Z16" s="739"/>
      <c r="AA16" s="515"/>
      <c r="AB16" s="735"/>
      <c r="AC16" s="739"/>
      <c r="AD16" s="515"/>
      <c r="AE16" s="735"/>
      <c r="AF16" s="739"/>
      <c r="AG16" s="515"/>
      <c r="AH16" s="735"/>
      <c r="AI16" s="739"/>
      <c r="AJ16" s="515"/>
      <c r="AK16" s="735"/>
      <c r="AL16" s="739"/>
      <c r="AM16" s="515"/>
      <c r="AN16" s="735"/>
      <c r="AO16" s="739"/>
      <c r="AP16" s="515"/>
      <c r="AQ16" s="735"/>
      <c r="AR16" s="739"/>
      <c r="AS16" s="515"/>
      <c r="AT16" s="735"/>
      <c r="AU16" s="739"/>
      <c r="AV16" s="515"/>
      <c r="AW16" s="735"/>
      <c r="AX16" s="739"/>
      <c r="AY16" s="515"/>
      <c r="AZ16" s="1144"/>
      <c r="BA16" s="1145"/>
      <c r="BB16" s="1146"/>
      <c r="BC16" s="1144"/>
      <c r="BD16" s="1145"/>
      <c r="BE16" s="1146"/>
      <c r="BF16" s="1144"/>
      <c r="BG16" s="1145"/>
      <c r="BH16" s="1146"/>
      <c r="BI16" s="1144"/>
      <c r="BJ16" s="1145"/>
      <c r="BK16" s="1146"/>
      <c r="BL16" s="1144"/>
      <c r="BM16" s="1145"/>
    </row>
    <row r="17" spans="1:65" s="172" customFormat="1">
      <c r="A17" s="1150" t="s">
        <v>1063</v>
      </c>
      <c r="B17" s="1067"/>
      <c r="C17" s="1067"/>
      <c r="D17" s="1067"/>
      <c r="E17" s="1067"/>
      <c r="F17" s="1067"/>
      <c r="G17" s="1067"/>
      <c r="H17" s="1067"/>
      <c r="I17" s="1067"/>
      <c r="J17" s="1067"/>
      <c r="K17" s="1067"/>
      <c r="L17" s="1067"/>
      <c r="M17" s="1067"/>
      <c r="N17" s="1067"/>
      <c r="O17" s="1067"/>
      <c r="P17" s="1067"/>
      <c r="Q17" s="1067"/>
      <c r="R17" s="953"/>
      <c r="S17" s="874"/>
      <c r="T17" s="898"/>
      <c r="U17" s="953"/>
      <c r="V17" s="874"/>
      <c r="W17" s="898"/>
      <c r="X17" s="953"/>
      <c r="Y17" s="874"/>
      <c r="Z17" s="898"/>
      <c r="AA17" s="953"/>
      <c r="AB17" s="874"/>
      <c r="AC17" s="898"/>
      <c r="AD17" s="953"/>
      <c r="AE17" s="874"/>
      <c r="AF17" s="898"/>
      <c r="AG17" s="953"/>
      <c r="AH17" s="874"/>
      <c r="AI17" s="898"/>
      <c r="AJ17" s="953"/>
      <c r="AK17" s="874"/>
      <c r="AL17" s="898">
        <f>BS!AL88</f>
        <v>214</v>
      </c>
      <c r="AM17" s="953">
        <f>BS!AM88</f>
        <v>241</v>
      </c>
      <c r="AN17" s="874">
        <f>BS!AN88</f>
        <v>119</v>
      </c>
      <c r="AO17" s="898">
        <f>BS!AO88</f>
        <v>360</v>
      </c>
      <c r="AP17" s="953">
        <f>BS!AP88</f>
        <v>23</v>
      </c>
      <c r="AQ17" s="874">
        <f>BS!AQ88</f>
        <v>-127</v>
      </c>
      <c r="AR17" s="898">
        <f>BS!AR88</f>
        <v>-104</v>
      </c>
      <c r="AS17" s="953">
        <f>BS!AS88</f>
        <v>258</v>
      </c>
      <c r="AT17" s="874">
        <f>BS!AT88</f>
        <v>53</v>
      </c>
      <c r="AU17" s="898">
        <f>BS!AU88</f>
        <v>311</v>
      </c>
      <c r="AV17" s="953">
        <f>BS!AV88</f>
        <v>126</v>
      </c>
      <c r="AW17" s="874">
        <f>BS!AW88</f>
        <v>153</v>
      </c>
      <c r="AX17" s="898">
        <f>BS!AX88</f>
        <v>279</v>
      </c>
      <c r="AY17" s="953">
        <f>BS!AY88</f>
        <v>356</v>
      </c>
      <c r="AZ17" s="1151">
        <f>BS!AZ88</f>
        <v>144</v>
      </c>
      <c r="BA17" s="1152">
        <f>BS!BA88</f>
        <v>500</v>
      </c>
      <c r="BB17" s="1153">
        <f>BS!BB88</f>
        <v>150</v>
      </c>
      <c r="BC17" s="1151">
        <f>BS!BC88</f>
        <v>150</v>
      </c>
      <c r="BD17" s="1152">
        <f>BS!BD88</f>
        <v>300</v>
      </c>
      <c r="BE17" s="1153">
        <f>BS!BE88</f>
        <v>50</v>
      </c>
      <c r="BF17" s="1151">
        <f>BS!BF88</f>
        <v>50</v>
      </c>
      <c r="BG17" s="1152">
        <f>BS!BG88</f>
        <v>100</v>
      </c>
      <c r="BH17" s="1153">
        <f>BS!BH88</f>
        <v>0</v>
      </c>
      <c r="BI17" s="1151">
        <f>BS!BI88</f>
        <v>0</v>
      </c>
      <c r="BJ17" s="1152">
        <f>BS!BJ88</f>
        <v>0</v>
      </c>
      <c r="BK17" s="1153">
        <f>BS!BK88</f>
        <v>0</v>
      </c>
      <c r="BL17" s="1151">
        <f>BS!BL88</f>
        <v>0</v>
      </c>
      <c r="BM17" s="1152">
        <f>BS!BM88</f>
        <v>0</v>
      </c>
    </row>
    <row r="18" spans="1:65" s="170" customFormat="1">
      <c r="A18" s="520" t="s">
        <v>1058</v>
      </c>
      <c r="B18" s="269"/>
      <c r="C18" s="269"/>
      <c r="D18" s="269"/>
      <c r="E18" s="269"/>
      <c r="F18" s="269"/>
      <c r="G18" s="269"/>
      <c r="H18" s="269"/>
      <c r="I18" s="269"/>
      <c r="J18" s="269"/>
      <c r="K18" s="269"/>
      <c r="L18" s="269"/>
      <c r="M18" s="269"/>
      <c r="N18" s="269"/>
      <c r="O18" s="269"/>
      <c r="P18" s="269"/>
      <c r="Q18" s="269"/>
      <c r="R18" s="515"/>
      <c r="S18" s="735"/>
      <c r="T18" s="739"/>
      <c r="U18" s="515"/>
      <c r="V18" s="735"/>
      <c r="W18" s="739"/>
      <c r="X18" s="515"/>
      <c r="Y18" s="735"/>
      <c r="Z18" s="739"/>
      <c r="AA18" s="515"/>
      <c r="AB18" s="735"/>
      <c r="AC18" s="739"/>
      <c r="AD18" s="515"/>
      <c r="AE18" s="735"/>
      <c r="AF18" s="739"/>
      <c r="AG18" s="515"/>
      <c r="AH18" s="735"/>
      <c r="AI18" s="739"/>
      <c r="AJ18" s="515"/>
      <c r="AK18" s="735"/>
      <c r="AL18" s="739"/>
      <c r="AM18" s="515"/>
      <c r="AN18" s="735"/>
      <c r="AO18" s="739"/>
      <c r="AP18" s="515"/>
      <c r="AQ18" s="735"/>
      <c r="AR18" s="739"/>
      <c r="AS18" s="515">
        <v>431</v>
      </c>
      <c r="AT18" s="735">
        <f>AU18-AS18</f>
        <v>186</v>
      </c>
      <c r="AU18" s="739">
        <v>617</v>
      </c>
      <c r="AV18" s="515">
        <v>402</v>
      </c>
      <c r="AW18" s="735">
        <f>AX18-AV18</f>
        <v>151</v>
      </c>
      <c r="AX18" s="739">
        <v>553</v>
      </c>
      <c r="AY18" s="515">
        <v>574</v>
      </c>
      <c r="AZ18" s="721">
        <f>BA18-AY18</f>
        <v>226</v>
      </c>
      <c r="BA18" s="1145">
        <f>BA20-BA19</f>
        <v>800</v>
      </c>
      <c r="BB18" s="1146"/>
      <c r="BC18" s="1144"/>
      <c r="BD18" s="1145">
        <f>BD20-BD19</f>
        <v>375</v>
      </c>
      <c r="BE18" s="1146"/>
      <c r="BF18" s="1144"/>
      <c r="BG18" s="1145">
        <f>BG20-BG19</f>
        <v>100</v>
      </c>
      <c r="BH18" s="1146"/>
      <c r="BI18" s="1144"/>
      <c r="BJ18" s="1145">
        <f>BJ20-BJ19</f>
        <v>0</v>
      </c>
      <c r="BK18" s="1146"/>
      <c r="BL18" s="1144"/>
      <c r="BM18" s="1145">
        <f>BM20-BM19</f>
        <v>0</v>
      </c>
    </row>
    <row r="19" spans="1:65" s="170" customFormat="1">
      <c r="A19" s="520" t="s">
        <v>1059</v>
      </c>
      <c r="B19" s="269"/>
      <c r="C19" s="269"/>
      <c r="D19" s="269"/>
      <c r="E19" s="269"/>
      <c r="F19" s="269"/>
      <c r="G19" s="269"/>
      <c r="H19" s="269"/>
      <c r="I19" s="269"/>
      <c r="J19" s="269"/>
      <c r="K19" s="269"/>
      <c r="L19" s="269"/>
      <c r="M19" s="269"/>
      <c r="N19" s="269"/>
      <c r="O19" s="269"/>
      <c r="P19" s="269"/>
      <c r="Q19" s="269"/>
      <c r="R19" s="515"/>
      <c r="S19" s="735"/>
      <c r="T19" s="739"/>
      <c r="U19" s="515"/>
      <c r="V19" s="735"/>
      <c r="W19" s="739"/>
      <c r="X19" s="515"/>
      <c r="Y19" s="735"/>
      <c r="Z19" s="739"/>
      <c r="AA19" s="515"/>
      <c r="AB19" s="735"/>
      <c r="AC19" s="739"/>
      <c r="AD19" s="515"/>
      <c r="AE19" s="735"/>
      <c r="AF19" s="739"/>
      <c r="AG19" s="515"/>
      <c r="AH19" s="735"/>
      <c r="AI19" s="739"/>
      <c r="AJ19" s="515"/>
      <c r="AK19" s="735"/>
      <c r="AL19" s="739"/>
      <c r="AM19" s="515"/>
      <c r="AN19" s="735"/>
      <c r="AO19" s="739"/>
      <c r="AP19" s="515"/>
      <c r="AQ19" s="735"/>
      <c r="AR19" s="739"/>
      <c r="AS19" s="515">
        <v>-208</v>
      </c>
      <c r="AT19" s="735">
        <f t="shared" ref="AT19:AT22" si="77">AU19-AS19</f>
        <v>-174</v>
      </c>
      <c r="AU19" s="739">
        <v>-382</v>
      </c>
      <c r="AV19" s="515">
        <v>-114</v>
      </c>
      <c r="AW19" s="735">
        <f t="shared" ref="AW19:AW22" si="78">AX19-AV19</f>
        <v>-47</v>
      </c>
      <c r="AX19" s="739">
        <v>-161</v>
      </c>
      <c r="AY19" s="515">
        <v>-77</v>
      </c>
      <c r="AZ19" s="721">
        <f t="shared" ref="AZ19:AZ22" si="79">BA19-AY19</f>
        <v>-98</v>
      </c>
      <c r="BA19" s="1154">
        <v>-175</v>
      </c>
      <c r="BB19" s="1146"/>
      <c r="BC19" s="1144"/>
      <c r="BD19" s="1154">
        <v>-75</v>
      </c>
      <c r="BE19" s="1146"/>
      <c r="BF19" s="1144"/>
      <c r="BG19" s="1154">
        <v>0</v>
      </c>
      <c r="BH19" s="1146"/>
      <c r="BI19" s="1144"/>
      <c r="BJ19" s="1154">
        <v>0</v>
      </c>
      <c r="BK19" s="1146"/>
      <c r="BL19" s="1144"/>
      <c r="BM19" s="1154">
        <v>0</v>
      </c>
    </row>
    <row r="20" spans="1:65" s="172" customFormat="1">
      <c r="A20" s="1150" t="s">
        <v>1060</v>
      </c>
      <c r="B20" s="1067"/>
      <c r="C20" s="1067"/>
      <c r="D20" s="1067"/>
      <c r="E20" s="1067"/>
      <c r="F20" s="1067"/>
      <c r="G20" s="1067"/>
      <c r="H20" s="1067"/>
      <c r="I20" s="1067"/>
      <c r="J20" s="1067"/>
      <c r="K20" s="1067"/>
      <c r="L20" s="1067"/>
      <c r="M20" s="1067"/>
      <c r="N20" s="1067"/>
      <c r="O20" s="1067"/>
      <c r="P20" s="1067"/>
      <c r="Q20" s="1067"/>
      <c r="R20" s="953"/>
      <c r="S20" s="874"/>
      <c r="T20" s="898"/>
      <c r="U20" s="953"/>
      <c r="V20" s="874"/>
      <c r="W20" s="898"/>
      <c r="X20" s="953"/>
      <c r="Y20" s="874"/>
      <c r="Z20" s="898"/>
      <c r="AA20" s="953"/>
      <c r="AB20" s="874"/>
      <c r="AC20" s="898"/>
      <c r="AD20" s="953"/>
      <c r="AE20" s="874"/>
      <c r="AF20" s="898"/>
      <c r="AG20" s="953"/>
      <c r="AH20" s="874"/>
      <c r="AI20" s="898"/>
      <c r="AJ20" s="953">
        <f>AJ21+AJ22</f>
        <v>115</v>
      </c>
      <c r="AK20" s="874">
        <f>AL20-AJ20</f>
        <v>19</v>
      </c>
      <c r="AL20" s="898">
        <f>AL21+AL22</f>
        <v>134</v>
      </c>
      <c r="AM20" s="953">
        <f>AM21+AM22</f>
        <v>270</v>
      </c>
      <c r="AN20" s="874">
        <f>AO20-AM20</f>
        <v>100</v>
      </c>
      <c r="AO20" s="898">
        <f>AO21+AO22</f>
        <v>370</v>
      </c>
      <c r="AP20" s="953">
        <f>AP21+AP22</f>
        <v>105</v>
      </c>
      <c r="AQ20" s="874">
        <f>AR20-AP20</f>
        <v>-159</v>
      </c>
      <c r="AR20" s="898">
        <f>AR21+AR22</f>
        <v>-54</v>
      </c>
      <c r="AS20" s="953">
        <f>AS18+AS19</f>
        <v>223</v>
      </c>
      <c r="AT20" s="874">
        <f t="shared" si="77"/>
        <v>12</v>
      </c>
      <c r="AU20" s="898">
        <f>AU18+AU19</f>
        <v>235</v>
      </c>
      <c r="AV20" s="953">
        <f>AV18+AV19</f>
        <v>288</v>
      </c>
      <c r="AW20" s="874">
        <f t="shared" si="78"/>
        <v>104</v>
      </c>
      <c r="AX20" s="898">
        <f>AX18+AX19</f>
        <v>392</v>
      </c>
      <c r="AY20" s="953">
        <f>AY18+AY19</f>
        <v>497</v>
      </c>
      <c r="AZ20" s="813">
        <f t="shared" si="79"/>
        <v>128</v>
      </c>
      <c r="BA20" s="1152">
        <f>BA21+BA22</f>
        <v>625</v>
      </c>
      <c r="BB20" s="1153"/>
      <c r="BC20" s="1151"/>
      <c r="BD20" s="1152">
        <f>BD21+BD22</f>
        <v>300</v>
      </c>
      <c r="BE20" s="1153"/>
      <c r="BF20" s="1151"/>
      <c r="BG20" s="1152">
        <f>BG21+BG22</f>
        <v>100</v>
      </c>
      <c r="BH20" s="1153"/>
      <c r="BI20" s="1151"/>
      <c r="BJ20" s="1152">
        <f>BJ21+BJ22</f>
        <v>0</v>
      </c>
      <c r="BK20" s="1153"/>
      <c r="BL20" s="1151"/>
      <c r="BM20" s="1152">
        <f>BM21+BM22</f>
        <v>0</v>
      </c>
    </row>
    <row r="21" spans="1:65" s="170" customFormat="1">
      <c r="A21" s="1143" t="s">
        <v>1061</v>
      </c>
      <c r="B21" s="269"/>
      <c r="C21" s="269"/>
      <c r="D21" s="269"/>
      <c r="E21" s="269"/>
      <c r="F21" s="269"/>
      <c r="G21" s="269"/>
      <c r="H21" s="269"/>
      <c r="I21" s="269"/>
      <c r="J21" s="269"/>
      <c r="K21" s="269"/>
      <c r="L21" s="269"/>
      <c r="M21" s="269"/>
      <c r="N21" s="269"/>
      <c r="O21" s="269"/>
      <c r="P21" s="269"/>
      <c r="Q21" s="269"/>
      <c r="R21" s="515"/>
      <c r="S21" s="735"/>
      <c r="T21" s="739"/>
      <c r="U21" s="515"/>
      <c r="V21" s="735"/>
      <c r="W21" s="739"/>
      <c r="X21" s="515"/>
      <c r="Y21" s="735"/>
      <c r="Z21" s="739"/>
      <c r="AA21" s="515"/>
      <c r="AB21" s="735"/>
      <c r="AC21" s="739"/>
      <c r="AD21" s="515"/>
      <c r="AE21" s="735"/>
      <c r="AF21" s="739"/>
      <c r="AG21" s="515"/>
      <c r="AH21" s="735"/>
      <c r="AI21" s="739"/>
      <c r="AJ21" s="515">
        <v>166</v>
      </c>
      <c r="AK21" s="735">
        <f>AL21-AJ21</f>
        <v>90</v>
      </c>
      <c r="AL21" s="739">
        <v>256</v>
      </c>
      <c r="AM21" s="515">
        <v>219</v>
      </c>
      <c r="AN21" s="735">
        <f>AO21-AM21</f>
        <v>100</v>
      </c>
      <c r="AO21" s="739">
        <v>319</v>
      </c>
      <c r="AP21" s="515">
        <v>70</v>
      </c>
      <c r="AQ21" s="735">
        <f>AR21-AP21</f>
        <v>-99</v>
      </c>
      <c r="AR21" s="739">
        <v>-29</v>
      </c>
      <c r="AS21" s="515">
        <v>216</v>
      </c>
      <c r="AT21" s="735">
        <f t="shared" si="77"/>
        <v>74</v>
      </c>
      <c r="AU21" s="739">
        <v>290</v>
      </c>
      <c r="AV21" s="515">
        <v>107</v>
      </c>
      <c r="AW21" s="735">
        <f t="shared" si="78"/>
        <v>119</v>
      </c>
      <c r="AX21" s="739">
        <v>226</v>
      </c>
      <c r="AY21" s="515">
        <v>372</v>
      </c>
      <c r="AZ21" s="721">
        <f t="shared" si="79"/>
        <v>128</v>
      </c>
      <c r="BA21" s="1145">
        <f>BA17</f>
        <v>500</v>
      </c>
      <c r="BB21" s="1146"/>
      <c r="BC21" s="1144"/>
      <c r="BD21" s="1145">
        <f>BD17</f>
        <v>300</v>
      </c>
      <c r="BE21" s="1146"/>
      <c r="BF21" s="1144"/>
      <c r="BG21" s="1145">
        <f>BG17</f>
        <v>100</v>
      </c>
      <c r="BH21" s="1146"/>
      <c r="BI21" s="1144"/>
      <c r="BJ21" s="1145">
        <f>BJ17</f>
        <v>0</v>
      </c>
      <c r="BK21" s="1146"/>
      <c r="BL21" s="1144"/>
      <c r="BM21" s="1145">
        <f>BM17</f>
        <v>0</v>
      </c>
    </row>
    <row r="22" spans="1:65" s="170" customFormat="1">
      <c r="A22" s="1143" t="s">
        <v>1062</v>
      </c>
      <c r="B22" s="269"/>
      <c r="C22" s="269"/>
      <c r="D22" s="269"/>
      <c r="E22" s="269"/>
      <c r="F22" s="269"/>
      <c r="G22" s="269"/>
      <c r="H22" s="269"/>
      <c r="I22" s="269"/>
      <c r="J22" s="269"/>
      <c r="K22" s="269"/>
      <c r="L22" s="269"/>
      <c r="M22" s="269"/>
      <c r="N22" s="269"/>
      <c r="O22" s="269"/>
      <c r="P22" s="269"/>
      <c r="Q22" s="269"/>
      <c r="R22" s="515"/>
      <c r="S22" s="735"/>
      <c r="T22" s="739"/>
      <c r="U22" s="515"/>
      <c r="V22" s="735"/>
      <c r="W22" s="739"/>
      <c r="X22" s="515"/>
      <c r="Y22" s="735"/>
      <c r="Z22" s="739"/>
      <c r="AA22" s="515"/>
      <c r="AB22" s="735"/>
      <c r="AC22" s="739"/>
      <c r="AD22" s="515"/>
      <c r="AE22" s="735"/>
      <c r="AF22" s="739"/>
      <c r="AG22" s="515"/>
      <c r="AH22" s="735"/>
      <c r="AI22" s="739"/>
      <c r="AJ22" s="515">
        <f>-29-22</f>
        <v>-51</v>
      </c>
      <c r="AK22" s="735">
        <f>AL22-AJ22</f>
        <v>-71</v>
      </c>
      <c r="AL22" s="739">
        <v>-122</v>
      </c>
      <c r="AM22" s="515">
        <v>51</v>
      </c>
      <c r="AN22" s="735">
        <f>AO22-AM22</f>
        <v>0</v>
      </c>
      <c r="AO22" s="739">
        <v>51</v>
      </c>
      <c r="AP22" s="515">
        <v>35</v>
      </c>
      <c r="AQ22" s="735">
        <f>AR22-AP22</f>
        <v>-60</v>
      </c>
      <c r="AR22" s="739">
        <v>-25</v>
      </c>
      <c r="AS22" s="515">
        <f>AS20-AS21</f>
        <v>7</v>
      </c>
      <c r="AT22" s="735">
        <f t="shared" si="77"/>
        <v>-62</v>
      </c>
      <c r="AU22" s="739">
        <f>AU20-AU21</f>
        <v>-55</v>
      </c>
      <c r="AV22" s="515">
        <f>AV20-AV21</f>
        <v>181</v>
      </c>
      <c r="AW22" s="735">
        <f t="shared" si="78"/>
        <v>-15</v>
      </c>
      <c r="AX22" s="739">
        <f>AX20-AX21</f>
        <v>166</v>
      </c>
      <c r="AY22" s="515">
        <f>AY20-AY21</f>
        <v>125</v>
      </c>
      <c r="AZ22" s="721">
        <f t="shared" si="79"/>
        <v>0</v>
      </c>
      <c r="BA22" s="1154">
        <v>125</v>
      </c>
      <c r="BB22" s="1146"/>
      <c r="BC22" s="1144"/>
      <c r="BD22" s="1154">
        <v>0</v>
      </c>
      <c r="BE22" s="1146"/>
      <c r="BF22" s="1144"/>
      <c r="BG22" s="1154">
        <v>0</v>
      </c>
      <c r="BH22" s="1146"/>
      <c r="BI22" s="1144"/>
      <c r="BJ22" s="1154">
        <v>0</v>
      </c>
      <c r="BK22" s="1146"/>
      <c r="BL22" s="1144"/>
      <c r="BM22" s="1154">
        <v>0</v>
      </c>
    </row>
    <row r="23" spans="1:65" s="1008" customFormat="1">
      <c r="A23" s="1155" t="s">
        <v>1064</v>
      </c>
      <c r="B23" s="132"/>
      <c r="C23" s="132"/>
      <c r="D23" s="132"/>
      <c r="E23" s="132"/>
      <c r="F23" s="132"/>
      <c r="G23" s="132"/>
      <c r="H23" s="132"/>
      <c r="I23" s="132"/>
      <c r="J23" s="132"/>
      <c r="K23" s="132"/>
      <c r="L23" s="132"/>
      <c r="M23" s="132"/>
      <c r="N23" s="132"/>
      <c r="O23" s="132"/>
      <c r="P23" s="132"/>
      <c r="Q23" s="132"/>
      <c r="R23" s="345"/>
      <c r="S23" s="646"/>
      <c r="T23" s="670"/>
      <c r="U23" s="345"/>
      <c r="V23" s="646"/>
      <c r="W23" s="670"/>
      <c r="X23" s="345"/>
      <c r="Y23" s="646"/>
      <c r="Z23" s="670"/>
      <c r="AA23" s="345"/>
      <c r="AB23" s="646"/>
      <c r="AC23" s="670"/>
      <c r="AD23" s="345"/>
      <c r="AE23" s="646"/>
      <c r="AF23" s="670"/>
      <c r="AG23" s="345"/>
      <c r="AH23" s="646"/>
      <c r="AI23" s="670"/>
      <c r="AJ23" s="345"/>
      <c r="AK23" s="646"/>
      <c r="AL23" s="670">
        <f t="shared" ref="AL23:AX23" si="80">(AL14-AL20)/(AL4-AL17)</f>
        <v>-7.0800555298472928E-2</v>
      </c>
      <c r="AM23" s="345">
        <f t="shared" si="80"/>
        <v>-0.16634890371782651</v>
      </c>
      <c r="AN23" s="646">
        <f t="shared" si="80"/>
        <v>3.7794299876084264E-2</v>
      </c>
      <c r="AO23" s="670">
        <f t="shared" si="80"/>
        <v>-4.2621104018024783E-2</v>
      </c>
      <c r="AP23" s="345">
        <f t="shared" si="80"/>
        <v>9.2764378478664186E-2</v>
      </c>
      <c r="AQ23" s="646">
        <f t="shared" si="80"/>
        <v>0.14319582740635373</v>
      </c>
      <c r="AR23" s="670">
        <f t="shared" si="80"/>
        <v>0.12130971551261406</v>
      </c>
      <c r="AS23" s="345">
        <f t="shared" si="80"/>
        <v>0.13390313390313391</v>
      </c>
      <c r="AT23" s="646">
        <f t="shared" si="80"/>
        <v>0.15468364831553</v>
      </c>
      <c r="AU23" s="670">
        <f t="shared" si="80"/>
        <v>0.14549203803413907</v>
      </c>
      <c r="AV23" s="345">
        <f t="shared" si="80"/>
        <v>0.194206008583691</v>
      </c>
      <c r="AW23" s="646">
        <f t="shared" si="80"/>
        <v>0.15304060260885541</v>
      </c>
      <c r="AX23" s="670">
        <f t="shared" si="80"/>
        <v>0.17202811046223893</v>
      </c>
      <c r="AY23" s="345">
        <f>(AY14-AY20)/(AY4-AY17)</f>
        <v>0.18353344768439109</v>
      </c>
      <c r="AZ23" s="958">
        <f t="shared" ref="AZ23:BA23" si="81">(AZ14-AZ20)/(AZ4-AZ17)</f>
        <v>0.19013952122113564</v>
      </c>
      <c r="BA23" s="582">
        <f t="shared" si="81"/>
        <v>0.18695879792370443</v>
      </c>
      <c r="BB23" s="205"/>
      <c r="BC23" s="482"/>
      <c r="BD23" s="582">
        <f t="shared" ref="BD23:BM23" si="82">(BD14-BD20)/(BD4-BD17)</f>
        <v>0.21358435311636734</v>
      </c>
      <c r="BE23" s="205">
        <f t="shared" si="82"/>
        <v>0.24516603623173203</v>
      </c>
      <c r="BF23" s="482">
        <f t="shared" si="82"/>
        <v>0.23854039668416999</v>
      </c>
      <c r="BG23" s="582">
        <f t="shared" si="82"/>
        <v>0.2352310395263035</v>
      </c>
      <c r="BH23" s="205">
        <f t="shared" si="82"/>
        <v>0.25394339847143355</v>
      </c>
      <c r="BI23" s="482">
        <f t="shared" si="82"/>
        <v>0.24892408123882295</v>
      </c>
      <c r="BJ23" s="582">
        <f t="shared" si="82"/>
        <v>0.25142994034895111</v>
      </c>
      <c r="BK23" s="205">
        <f t="shared" si="82"/>
        <v>0.26303643814225891</v>
      </c>
      <c r="BL23" s="482">
        <f t="shared" si="82"/>
        <v>0.25959855123069597</v>
      </c>
      <c r="BM23" s="582">
        <f t="shared" si="82"/>
        <v>0.26132615996894587</v>
      </c>
    </row>
    <row r="24" spans="1:65" s="170" customFormat="1">
      <c r="S24" s="809"/>
      <c r="T24" s="840"/>
      <c r="V24" s="809"/>
      <c r="W24" s="840"/>
      <c r="Y24" s="809"/>
      <c r="Z24" s="840"/>
      <c r="AB24" s="809"/>
      <c r="AC24" s="840"/>
      <c r="AE24" s="809"/>
      <c r="AF24" s="840"/>
      <c r="AH24" s="809"/>
      <c r="AI24" s="840"/>
      <c r="AK24" s="809"/>
      <c r="AL24" s="840"/>
      <c r="AN24" s="809"/>
      <c r="AO24" s="840"/>
      <c r="AQ24" s="1147"/>
      <c r="AR24" s="945"/>
      <c r="AS24" s="1148"/>
      <c r="AT24" s="1147"/>
      <c r="AU24" s="945"/>
      <c r="AV24" s="1148"/>
      <c r="AW24" s="1147"/>
      <c r="AX24" s="1149"/>
      <c r="AY24" s="1148"/>
      <c r="AZ24" s="1147"/>
      <c r="BA24" s="1149"/>
      <c r="BB24" s="265"/>
      <c r="BC24" s="1147"/>
      <c r="BD24" s="1149"/>
      <c r="BE24" s="265"/>
      <c r="BF24" s="1147"/>
      <c r="BG24" s="1149"/>
      <c r="BH24" s="265"/>
      <c r="BI24" s="1147"/>
      <c r="BJ24" s="945"/>
      <c r="BK24" s="265"/>
      <c r="BL24" s="1147"/>
      <c r="BM24" s="945"/>
    </row>
    <row r="25" spans="1:65" hidden="1" outlineLevel="1">
      <c r="A25" s="8" t="s">
        <v>575</v>
      </c>
      <c r="B25" s="11"/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>
        <f>+P1</f>
        <v>2014</v>
      </c>
      <c r="Q25" s="11">
        <f>+Q1</f>
        <v>2015</v>
      </c>
      <c r="R25" s="532" t="str">
        <f t="shared" ref="R25:AO25" si="83">R1</f>
        <v>1H16</v>
      </c>
      <c r="S25" s="716" t="str">
        <f t="shared" si="83"/>
        <v>2H16</v>
      </c>
      <c r="T25" s="744">
        <f t="shared" si="83"/>
        <v>2016</v>
      </c>
      <c r="U25" s="532" t="str">
        <f t="shared" si="83"/>
        <v>1H17</v>
      </c>
      <c r="V25" s="716" t="str">
        <f t="shared" si="83"/>
        <v>2H17</v>
      </c>
      <c r="W25" s="744">
        <f t="shared" si="83"/>
        <v>2017</v>
      </c>
      <c r="X25" s="532" t="str">
        <f t="shared" si="83"/>
        <v>1H17</v>
      </c>
      <c r="Y25" s="716" t="str">
        <f t="shared" si="83"/>
        <v>2H17</v>
      </c>
      <c r="Z25" s="744">
        <f t="shared" si="83"/>
        <v>2017</v>
      </c>
      <c r="AA25" s="532" t="str">
        <f t="shared" si="83"/>
        <v>1H18</v>
      </c>
      <c r="AB25" s="716" t="str">
        <f t="shared" si="83"/>
        <v>2H18</v>
      </c>
      <c r="AC25" s="744">
        <f t="shared" si="83"/>
        <v>2018</v>
      </c>
      <c r="AD25" s="532" t="str">
        <f t="shared" si="83"/>
        <v>1H19</v>
      </c>
      <c r="AE25" s="716" t="str">
        <f t="shared" si="83"/>
        <v>2H19</v>
      </c>
      <c r="AF25" s="744">
        <f t="shared" si="83"/>
        <v>2019</v>
      </c>
      <c r="AG25" s="532" t="str">
        <f t="shared" si="83"/>
        <v>1H20</v>
      </c>
      <c r="AH25" s="716" t="str">
        <f t="shared" si="83"/>
        <v>2H20</v>
      </c>
      <c r="AI25" s="744">
        <f t="shared" si="83"/>
        <v>2020</v>
      </c>
      <c r="AJ25" s="532" t="str">
        <f t="shared" si="83"/>
        <v>1H21</v>
      </c>
      <c r="AK25" s="716" t="str">
        <f t="shared" si="83"/>
        <v>2H21</v>
      </c>
      <c r="AL25" s="744">
        <f t="shared" si="83"/>
        <v>2021</v>
      </c>
      <c r="AM25" s="532" t="str">
        <f t="shared" si="83"/>
        <v>1H22</v>
      </c>
      <c r="AN25" s="716" t="str">
        <f t="shared" si="83"/>
        <v>2H22</v>
      </c>
      <c r="AO25" s="744">
        <f t="shared" si="83"/>
        <v>2022</v>
      </c>
      <c r="AP25" s="532" t="str">
        <f t="shared" ref="AP25:BM25" si="84">AP1</f>
        <v>1H23</v>
      </c>
      <c r="AQ25" s="716" t="str">
        <f t="shared" si="84"/>
        <v>2H23</v>
      </c>
      <c r="AR25" s="725">
        <f t="shared" si="84"/>
        <v>2023</v>
      </c>
      <c r="AS25" s="532" t="str">
        <f t="shared" si="84"/>
        <v>1H24</v>
      </c>
      <c r="AT25" s="716" t="str">
        <f t="shared" ref="AT25" si="85">AT1</f>
        <v>2H24</v>
      </c>
      <c r="AU25" s="725">
        <f t="shared" si="84"/>
        <v>2024</v>
      </c>
      <c r="AV25" s="532" t="str">
        <f t="shared" ref="AV25:AW25" si="86">AV1</f>
        <v>1H25</v>
      </c>
      <c r="AW25" s="716" t="str">
        <f t="shared" si="86"/>
        <v>2H25</v>
      </c>
      <c r="AX25" s="725">
        <f t="shared" si="84"/>
        <v>2025</v>
      </c>
      <c r="AY25" s="532" t="str">
        <f t="shared" si="84"/>
        <v>1H26</v>
      </c>
      <c r="AZ25" s="716" t="str">
        <f t="shared" ref="AZ25" si="87">AZ1</f>
        <v>2H26e</v>
      </c>
      <c r="BA25" s="725">
        <f t="shared" si="84"/>
        <v>2026</v>
      </c>
      <c r="BB25" s="532" t="str">
        <f t="shared" ref="BB25:BC25" si="88">BB1</f>
        <v>1H27e</v>
      </c>
      <c r="BC25" s="716" t="str">
        <f t="shared" si="88"/>
        <v>2H27e</v>
      </c>
      <c r="BD25" s="725">
        <f t="shared" si="84"/>
        <v>2027</v>
      </c>
      <c r="BE25" s="532" t="str">
        <f t="shared" ref="BE25:BF25" si="89">BE1</f>
        <v>1H28e</v>
      </c>
      <c r="BF25" s="716" t="str">
        <f t="shared" si="89"/>
        <v>2H28e</v>
      </c>
      <c r="BG25" s="725">
        <f t="shared" si="84"/>
        <v>2028</v>
      </c>
      <c r="BH25" s="532" t="str">
        <f t="shared" ref="BH25:BI25" si="90">BH1</f>
        <v>1H29e</v>
      </c>
      <c r="BI25" s="716" t="str">
        <f t="shared" si="90"/>
        <v>2H29e</v>
      </c>
      <c r="BJ25" s="725">
        <f t="shared" si="84"/>
        <v>2029</v>
      </c>
      <c r="BK25" s="532" t="str">
        <f t="shared" ref="BK25:BL25" si="91">BK1</f>
        <v>1H30e</v>
      </c>
      <c r="BL25" s="716" t="str">
        <f t="shared" si="91"/>
        <v>2H30e</v>
      </c>
      <c r="BM25" s="725">
        <f t="shared" si="84"/>
        <v>2030</v>
      </c>
    </row>
    <row r="26" spans="1:65" hidden="1" outlineLevel="1">
      <c r="A26" s="2" t="s">
        <v>283</v>
      </c>
      <c r="B26" s="10"/>
      <c r="C26" s="10"/>
      <c r="D26" s="27">
        <f t="shared" ref="D26:O26" si="92">D4-D31</f>
        <v>1489</v>
      </c>
      <c r="E26" s="27">
        <f t="shared" si="92"/>
        <v>1266.1799999999998</v>
      </c>
      <c r="F26" s="27">
        <f t="shared" si="92"/>
        <v>1246.4000000000001</v>
      </c>
      <c r="G26" s="27">
        <f t="shared" si="92"/>
        <v>1390</v>
      </c>
      <c r="H26" s="27">
        <f t="shared" si="92"/>
        <v>1597</v>
      </c>
      <c r="I26" s="27">
        <f t="shared" si="92"/>
        <v>1484</v>
      </c>
      <c r="J26" s="27">
        <f t="shared" si="92"/>
        <v>1776</v>
      </c>
      <c r="K26" s="27">
        <f t="shared" si="92"/>
        <v>1855</v>
      </c>
      <c r="L26" s="27">
        <f t="shared" si="92"/>
        <v>1892</v>
      </c>
      <c r="M26" s="27">
        <f t="shared" si="92"/>
        <v>2232</v>
      </c>
      <c r="N26" s="27">
        <f t="shared" si="92"/>
        <v>2934</v>
      </c>
      <c r="O26" s="27">
        <f t="shared" si="92"/>
        <v>3035</v>
      </c>
      <c r="P26" s="27">
        <f>SUM(P27:P30)</f>
        <v>3463</v>
      </c>
      <c r="Q26" s="27">
        <f>SUM(Q27:Q30)</f>
        <v>3258</v>
      </c>
      <c r="R26" s="27"/>
      <c r="S26" s="218"/>
      <c r="T26" s="553">
        <f>SUM(T27:T30)</f>
        <v>3357</v>
      </c>
      <c r="U26" s="27"/>
      <c r="V26" s="218"/>
      <c r="W26" s="553">
        <f>SUM(W27:W30)</f>
        <v>3818</v>
      </c>
      <c r="X26" s="27"/>
      <c r="Y26" s="218"/>
      <c r="Z26" s="553"/>
      <c r="AA26" s="27"/>
      <c r="AB26" s="218"/>
      <c r="AC26" s="578">
        <f t="shared" ref="AC26:BM26" si="93">SUM(AC27:AC30)</f>
        <v>0</v>
      </c>
      <c r="AD26" s="27"/>
      <c r="AE26" s="218"/>
      <c r="AF26" s="578">
        <f t="shared" si="93"/>
        <v>0</v>
      </c>
      <c r="AG26" s="27"/>
      <c r="AH26" s="218"/>
      <c r="AI26" s="578">
        <f t="shared" si="93"/>
        <v>0</v>
      </c>
      <c r="AJ26" s="27"/>
      <c r="AK26" s="218"/>
      <c r="AL26" s="578">
        <f t="shared" si="93"/>
        <v>0</v>
      </c>
      <c r="AM26" s="27"/>
      <c r="AN26" s="218"/>
      <c r="AO26" s="578">
        <f t="shared" si="93"/>
        <v>0</v>
      </c>
      <c r="AP26" s="2"/>
      <c r="AQ26" s="541"/>
      <c r="AR26" s="578">
        <f t="shared" si="93"/>
        <v>0</v>
      </c>
      <c r="AS26" s="2"/>
      <c r="AT26" s="541"/>
      <c r="AU26" s="578">
        <f t="shared" si="93"/>
        <v>0</v>
      </c>
      <c r="AV26" s="2"/>
      <c r="AW26" s="541"/>
      <c r="AX26" s="578">
        <f t="shared" si="93"/>
        <v>0</v>
      </c>
      <c r="AY26" s="2"/>
      <c r="AZ26" s="541"/>
      <c r="BA26" s="578">
        <f t="shared" si="93"/>
        <v>0</v>
      </c>
      <c r="BB26" s="2"/>
      <c r="BC26" s="541"/>
      <c r="BD26" s="578">
        <f t="shared" si="93"/>
        <v>0</v>
      </c>
      <c r="BE26" s="2"/>
      <c r="BF26" s="541"/>
      <c r="BG26" s="578">
        <f t="shared" si="93"/>
        <v>0</v>
      </c>
      <c r="BH26" s="2"/>
      <c r="BI26" s="541"/>
      <c r="BJ26" s="578">
        <f t="shared" si="93"/>
        <v>0</v>
      </c>
      <c r="BK26" s="2"/>
      <c r="BL26" s="541"/>
      <c r="BM26" s="578">
        <f t="shared" si="93"/>
        <v>0</v>
      </c>
    </row>
    <row r="27" spans="1:65" hidden="1" outlineLevel="1">
      <c r="A27" s="13" t="s">
        <v>289</v>
      </c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>
        <v>1766</v>
      </c>
      <c r="Q27" s="10">
        <v>1570</v>
      </c>
      <c r="R27" s="10"/>
      <c r="S27" s="216"/>
      <c r="T27" s="556">
        <v>1604</v>
      </c>
      <c r="U27" s="10"/>
      <c r="V27" s="216"/>
      <c r="W27" s="556">
        <v>1895</v>
      </c>
      <c r="X27" s="10"/>
      <c r="Y27" s="216"/>
      <c r="Z27" s="556"/>
      <c r="AA27" s="10"/>
      <c r="AB27" s="216"/>
      <c r="AC27" s="550">
        <f>'Civil OE'!Z5</f>
        <v>0</v>
      </c>
      <c r="AD27" s="10"/>
      <c r="AE27" s="216"/>
      <c r="AF27" s="550">
        <f>'Civil OE'!AC5</f>
        <v>0</v>
      </c>
      <c r="AG27" s="10"/>
      <c r="AH27" s="216"/>
      <c r="AI27" s="550">
        <f>'Civil OE'!AF5</f>
        <v>0</v>
      </c>
      <c r="AJ27" s="10"/>
      <c r="AK27" s="216"/>
      <c r="AL27" s="550">
        <f>'Civil OE'!AI5</f>
        <v>0</v>
      </c>
      <c r="AM27" s="10"/>
      <c r="AN27" s="216"/>
      <c r="AO27" s="550">
        <f>'Civil OE'!AL5</f>
        <v>0</v>
      </c>
      <c r="AP27"/>
      <c r="AQ27" s="539"/>
      <c r="AR27" s="550">
        <f>'Civil OE'!AO5</f>
        <v>0</v>
      </c>
      <c r="AS27"/>
      <c r="AT27" s="539"/>
      <c r="AU27" s="550">
        <f>'Civil OE'!AR5</f>
        <v>0</v>
      </c>
      <c r="AV27"/>
      <c r="AW27" s="539"/>
      <c r="AX27" s="550">
        <f>'Civil OE'!AU5</f>
        <v>0</v>
      </c>
      <c r="AY27"/>
      <c r="AZ27" s="539"/>
      <c r="BA27" s="550">
        <f>'Civil OE'!AX5</f>
        <v>0</v>
      </c>
      <c r="BB27"/>
      <c r="BC27" s="539"/>
      <c r="BD27" s="550">
        <f>'Civil OE'!BA5</f>
        <v>0</v>
      </c>
      <c r="BE27"/>
      <c r="BF27" s="539"/>
      <c r="BG27" s="550">
        <f>'Civil OE'!BD5</f>
        <v>0</v>
      </c>
      <c r="BH27"/>
      <c r="BI27" s="539"/>
      <c r="BJ27" s="550">
        <f>'Civil OE'!BG5</f>
        <v>0</v>
      </c>
      <c r="BK27"/>
      <c r="BL27" s="539"/>
      <c r="BM27" s="550">
        <f>'Civil OE'!BJ5</f>
        <v>0</v>
      </c>
    </row>
    <row r="28" spans="1:65" hidden="1" outlineLevel="1">
      <c r="A28" s="13" t="s">
        <v>284</v>
      </c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>
        <v>392</v>
      </c>
      <c r="Q28" s="10">
        <v>504</v>
      </c>
      <c r="R28" s="10"/>
      <c r="S28" s="216"/>
      <c r="T28" s="556">
        <v>742</v>
      </c>
      <c r="U28" s="10"/>
      <c r="V28" s="216"/>
      <c r="W28" s="556">
        <v>1103</v>
      </c>
      <c r="X28" s="10"/>
      <c r="Y28" s="216"/>
      <c r="Z28" s="556"/>
      <c r="AA28" s="10"/>
      <c r="AB28" s="216"/>
      <c r="AC28" s="550">
        <f>'Civil OE'!Z6</f>
        <v>0</v>
      </c>
      <c r="AD28" s="10"/>
      <c r="AE28" s="216"/>
      <c r="AF28" s="550">
        <f>'Civil OE'!AC6</f>
        <v>0</v>
      </c>
      <c r="AG28" s="10"/>
      <c r="AH28" s="216"/>
      <c r="AI28" s="550">
        <f>'Civil OE'!AF6</f>
        <v>0</v>
      </c>
      <c r="AJ28" s="10"/>
      <c r="AK28" s="216"/>
      <c r="AL28" s="550">
        <f>'Civil OE'!AI6</f>
        <v>0</v>
      </c>
      <c r="AM28" s="10"/>
      <c r="AN28" s="216"/>
      <c r="AO28" s="550">
        <f>'Civil OE'!AL6</f>
        <v>0</v>
      </c>
      <c r="AP28"/>
      <c r="AQ28" s="539"/>
      <c r="AR28" s="550">
        <f>'Civil OE'!AO6</f>
        <v>0</v>
      </c>
      <c r="AS28"/>
      <c r="AT28" s="539"/>
      <c r="AU28" s="550">
        <f>'Civil OE'!AR6</f>
        <v>0</v>
      </c>
      <c r="AV28"/>
      <c r="AW28" s="539"/>
      <c r="AX28" s="550">
        <f>'Civil OE'!AU6</f>
        <v>0</v>
      </c>
      <c r="AY28"/>
      <c r="AZ28" s="539"/>
      <c r="BA28" s="550">
        <f>'Civil OE'!AX6</f>
        <v>0</v>
      </c>
      <c r="BB28"/>
      <c r="BC28" s="539"/>
      <c r="BD28" s="550">
        <f>'Civil OE'!BA6</f>
        <v>0</v>
      </c>
      <c r="BE28"/>
      <c r="BF28" s="539"/>
      <c r="BG28" s="550">
        <f>'Civil OE'!BD6</f>
        <v>0</v>
      </c>
      <c r="BH28"/>
      <c r="BI28" s="539"/>
      <c r="BJ28" s="550">
        <f>'Civil OE'!BG6</f>
        <v>0</v>
      </c>
      <c r="BK28"/>
      <c r="BL28" s="539"/>
      <c r="BM28" s="550">
        <f>'Civil OE'!BJ6</f>
        <v>0</v>
      </c>
    </row>
    <row r="29" spans="1:65" hidden="1" outlineLevel="1">
      <c r="A29" s="13" t="s">
        <v>288</v>
      </c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>
        <v>974</v>
      </c>
      <c r="Q29" s="10">
        <v>903</v>
      </c>
      <c r="R29" s="10"/>
      <c r="S29" s="216"/>
      <c r="T29" s="556">
        <v>757</v>
      </c>
      <c r="U29" s="10"/>
      <c r="V29" s="216"/>
      <c r="W29" s="556">
        <v>598</v>
      </c>
      <c r="X29" s="10"/>
      <c r="Y29" s="216"/>
      <c r="Z29" s="556"/>
      <c r="AA29" s="10"/>
      <c r="AB29" s="216"/>
      <c r="AC29" s="550">
        <f>'Civil OE'!Z7</f>
        <v>0</v>
      </c>
      <c r="AD29" s="10"/>
      <c r="AE29" s="216"/>
      <c r="AF29" s="550">
        <f>'Civil OE'!AC7</f>
        <v>0</v>
      </c>
      <c r="AG29" s="10"/>
      <c r="AH29" s="216"/>
      <c r="AI29" s="550">
        <f>'Civil OE'!AF7</f>
        <v>0</v>
      </c>
      <c r="AJ29" s="10"/>
      <c r="AK29" s="216"/>
      <c r="AL29" s="550">
        <f>'Civil OE'!AI7</f>
        <v>0</v>
      </c>
      <c r="AM29" s="10"/>
      <c r="AN29" s="216"/>
      <c r="AO29" s="550">
        <f>'Civil OE'!AL7</f>
        <v>0</v>
      </c>
      <c r="AP29"/>
      <c r="AQ29" s="539"/>
      <c r="AR29" s="550">
        <f>'Civil OE'!AO7</f>
        <v>0</v>
      </c>
      <c r="AS29"/>
      <c r="AT29" s="539"/>
      <c r="AU29" s="550">
        <f>'Civil OE'!AR7</f>
        <v>0</v>
      </c>
      <c r="AV29"/>
      <c r="AW29" s="539"/>
      <c r="AX29" s="550">
        <f>'Civil OE'!AU7</f>
        <v>0</v>
      </c>
      <c r="AY29"/>
      <c r="AZ29" s="539"/>
      <c r="BA29" s="550">
        <f>'Civil OE'!AX7</f>
        <v>0</v>
      </c>
      <c r="BB29"/>
      <c r="BC29" s="539"/>
      <c r="BD29" s="550">
        <f>'Civil OE'!BA7</f>
        <v>0</v>
      </c>
      <c r="BE29"/>
      <c r="BF29" s="539"/>
      <c r="BG29" s="550">
        <f>'Civil OE'!BD7</f>
        <v>0</v>
      </c>
      <c r="BH29"/>
      <c r="BI29" s="539"/>
      <c r="BJ29" s="550">
        <f>'Civil OE'!BG7</f>
        <v>0</v>
      </c>
      <c r="BK29"/>
      <c r="BL29" s="539"/>
      <c r="BM29" s="550">
        <f>'Civil OE'!BJ7</f>
        <v>0</v>
      </c>
    </row>
    <row r="30" spans="1:65" hidden="1" outlineLevel="1">
      <c r="A30" s="13" t="s">
        <v>268</v>
      </c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>
        <v>331</v>
      </c>
      <c r="Q30" s="10">
        <v>281</v>
      </c>
      <c r="R30" s="10"/>
      <c r="S30" s="216"/>
      <c r="T30" s="556">
        <v>254</v>
      </c>
      <c r="U30" s="10"/>
      <c r="V30" s="216"/>
      <c r="W30" s="556">
        <v>222</v>
      </c>
      <c r="X30" s="10"/>
      <c r="Y30" s="216"/>
      <c r="Z30" s="556"/>
      <c r="AA30" s="10"/>
      <c r="AB30" s="216"/>
      <c r="AC30" s="550"/>
      <c r="AD30" s="10"/>
      <c r="AE30" s="216"/>
      <c r="AF30" s="550"/>
      <c r="AG30" s="10"/>
      <c r="AH30" s="216"/>
      <c r="AI30" s="550"/>
      <c r="AJ30" s="10"/>
      <c r="AK30" s="216"/>
      <c r="AL30" s="550"/>
      <c r="AM30" s="10"/>
      <c r="AN30" s="216"/>
      <c r="AO30" s="550"/>
      <c r="AP30"/>
      <c r="AQ30" s="539"/>
      <c r="AR30" s="550"/>
      <c r="AS30"/>
      <c r="AT30" s="539"/>
      <c r="AU30" s="550"/>
      <c r="AV30"/>
      <c r="AW30" s="539"/>
      <c r="AX30" s="550"/>
      <c r="AY30"/>
      <c r="AZ30" s="539"/>
      <c r="BA30" s="550"/>
      <c r="BB30"/>
      <c r="BC30" s="539"/>
      <c r="BD30" s="550"/>
      <c r="BE30"/>
      <c r="BF30" s="539"/>
      <c r="BG30" s="550"/>
      <c r="BH30"/>
      <c r="BI30" s="539"/>
      <c r="BJ30" s="550"/>
      <c r="BK30"/>
      <c r="BL30" s="539"/>
      <c r="BM30" s="550"/>
    </row>
    <row r="31" spans="1:65" hidden="1" outlineLevel="1">
      <c r="A31" s="2" t="s">
        <v>285</v>
      </c>
      <c r="B31" s="10"/>
      <c r="C31" s="10"/>
      <c r="D31" s="27">
        <v>1250</v>
      </c>
      <c r="E31" s="27">
        <f>E4*E40</f>
        <v>1427.8200000000002</v>
      </c>
      <c r="F31" s="27">
        <f>F4*F40</f>
        <v>1793.6</v>
      </c>
      <c r="G31" s="27">
        <v>2016</v>
      </c>
      <c r="H31" s="27">
        <v>2310</v>
      </c>
      <c r="I31" s="27">
        <v>2554</v>
      </c>
      <c r="J31" s="27">
        <v>2726</v>
      </c>
      <c r="K31" s="27">
        <v>2626</v>
      </c>
      <c r="L31" s="27">
        <v>3027</v>
      </c>
      <c r="M31" s="27">
        <v>3340</v>
      </c>
      <c r="N31" s="27">
        <v>3503</v>
      </c>
      <c r="O31" s="27">
        <v>3620</v>
      </c>
      <c r="P31" s="27">
        <f>P32+P35+P36</f>
        <v>3374</v>
      </c>
      <c r="Q31" s="27">
        <f>Q32+Q35+Q36</f>
        <v>3675</v>
      </c>
      <c r="R31" s="27"/>
      <c r="S31" s="218"/>
      <c r="T31" s="553">
        <f>T32+T35+T36</f>
        <v>3710</v>
      </c>
      <c r="U31" s="27"/>
      <c r="V31" s="218"/>
      <c r="W31" s="553">
        <f>W32+W35+W36</f>
        <v>4205</v>
      </c>
      <c r="X31" s="27"/>
      <c r="Y31" s="218"/>
      <c r="Z31" s="553"/>
      <c r="AA31" s="27"/>
      <c r="AB31" s="218"/>
      <c r="AC31" s="578"/>
      <c r="AD31" s="27"/>
      <c r="AE31" s="218"/>
      <c r="AF31" s="578"/>
      <c r="AG31" s="27"/>
      <c r="AH31" s="218"/>
      <c r="AI31" s="578"/>
      <c r="AJ31" s="27"/>
      <c r="AK31" s="218"/>
      <c r="AL31" s="578"/>
      <c r="AM31" s="27"/>
      <c r="AN31" s="218"/>
      <c r="AO31" s="578"/>
      <c r="AP31" s="2"/>
      <c r="AQ31" s="541"/>
      <c r="AR31" s="578"/>
      <c r="AS31" s="2"/>
      <c r="AT31" s="541"/>
      <c r="AU31" s="578"/>
      <c r="AV31" s="2"/>
      <c r="AW31" s="541"/>
      <c r="AX31" s="578"/>
      <c r="AY31" s="2"/>
      <c r="AZ31" s="541"/>
      <c r="BA31" s="578"/>
      <c r="BB31" s="2"/>
      <c r="BC31" s="541"/>
      <c r="BD31" s="578"/>
      <c r="BE31" s="2"/>
      <c r="BF31" s="541"/>
      <c r="BG31" s="578"/>
      <c r="BH31" s="2"/>
      <c r="BI31" s="541"/>
      <c r="BJ31" s="578"/>
      <c r="BK31" s="2"/>
      <c r="BL31" s="541"/>
      <c r="BM31" s="578"/>
    </row>
    <row r="32" spans="1:65" hidden="1" outlineLevel="1">
      <c r="A32" s="13" t="s">
        <v>286</v>
      </c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>
        <v>2029</v>
      </c>
      <c r="Q32" s="10">
        <v>2371</v>
      </c>
      <c r="R32" s="10"/>
      <c r="S32" s="216"/>
      <c r="T32" s="556">
        <v>2289</v>
      </c>
      <c r="U32" s="10"/>
      <c r="V32" s="216"/>
      <c r="W32" s="556">
        <v>2626</v>
      </c>
      <c r="X32" s="10"/>
      <c r="Y32" s="216"/>
      <c r="Z32" s="556"/>
      <c r="AA32" s="10"/>
      <c r="AB32" s="216"/>
      <c r="AC32" s="550"/>
      <c r="AD32" s="10"/>
      <c r="AE32" s="216"/>
      <c r="AF32" s="550"/>
      <c r="AG32" s="10"/>
      <c r="AH32" s="216"/>
      <c r="AI32" s="550"/>
      <c r="AJ32" s="10"/>
      <c r="AK32" s="216"/>
      <c r="AL32" s="550"/>
      <c r="AM32" s="10"/>
      <c r="AN32" s="216"/>
      <c r="AO32" s="550"/>
      <c r="AP32"/>
      <c r="AQ32" s="539"/>
      <c r="AR32" s="550"/>
      <c r="AS32"/>
      <c r="AT32" s="539"/>
      <c r="AU32" s="550"/>
      <c r="AV32"/>
      <c r="AW32" s="539"/>
      <c r="AX32" s="550"/>
      <c r="AY32"/>
      <c r="AZ32" s="539"/>
      <c r="BA32" s="550"/>
      <c r="BB32"/>
      <c r="BC32" s="539"/>
      <c r="BD32" s="550"/>
      <c r="BE32"/>
      <c r="BF32" s="539"/>
      <c r="BG32" s="550"/>
      <c r="BH32"/>
      <c r="BI32" s="539"/>
      <c r="BJ32" s="550"/>
      <c r="BK32"/>
      <c r="BL32" s="539"/>
      <c r="BM32" s="550"/>
    </row>
    <row r="33" spans="1:66" hidden="1" outlineLevel="1">
      <c r="A33" s="42" t="s">
        <v>288</v>
      </c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>
        <v>383</v>
      </c>
      <c r="Q33" s="10">
        <v>425</v>
      </c>
      <c r="R33" s="10"/>
      <c r="S33" s="216"/>
      <c r="T33" s="556">
        <v>452</v>
      </c>
      <c r="U33" s="10"/>
      <c r="V33" s="216"/>
      <c r="W33" s="556">
        <v>527</v>
      </c>
      <c r="X33" s="10"/>
      <c r="Y33" s="216"/>
      <c r="Z33" s="556"/>
      <c r="AA33" s="10"/>
      <c r="AB33" s="216"/>
      <c r="AC33" s="726"/>
      <c r="AD33" s="10"/>
      <c r="AE33" s="216"/>
      <c r="AF33" s="726"/>
      <c r="AG33" s="10"/>
      <c r="AH33" s="216"/>
      <c r="AI33" s="726"/>
      <c r="AJ33" s="10"/>
      <c r="AK33" s="216"/>
      <c r="AL33" s="726"/>
      <c r="AM33" s="10"/>
      <c r="AN33" s="216"/>
      <c r="AO33" s="726"/>
      <c r="AP33" s="207"/>
      <c r="AQ33" s="717"/>
      <c r="AR33" s="726"/>
      <c r="AS33" s="207"/>
      <c r="AT33" s="717"/>
      <c r="AU33" s="726"/>
      <c r="AV33" s="207"/>
      <c r="AW33" s="717"/>
      <c r="AX33" s="726"/>
      <c r="AY33" s="207"/>
      <c r="AZ33" s="717"/>
      <c r="BA33" s="726"/>
      <c r="BB33" s="207"/>
      <c r="BC33" s="717"/>
      <c r="BD33" s="726"/>
      <c r="BE33" s="207"/>
      <c r="BF33" s="717"/>
      <c r="BG33" s="726"/>
      <c r="BH33" s="207"/>
      <c r="BI33" s="717"/>
      <c r="BJ33" s="726"/>
      <c r="BK33" s="207"/>
      <c r="BL33" s="717"/>
      <c r="BM33" s="726"/>
    </row>
    <row r="34" spans="1:66" hidden="1" outlineLevel="1">
      <c r="A34" s="42" t="s">
        <v>287</v>
      </c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>
        <v>427</v>
      </c>
      <c r="Q34" s="10">
        <v>360</v>
      </c>
      <c r="R34" s="10"/>
      <c r="S34" s="216"/>
      <c r="T34" s="556">
        <v>342</v>
      </c>
      <c r="U34" s="10"/>
      <c r="V34" s="216"/>
      <c r="W34" s="556">
        <v>343</v>
      </c>
      <c r="X34" s="10"/>
      <c r="Y34" s="216"/>
      <c r="Z34" s="556"/>
      <c r="AA34" s="10"/>
      <c r="AB34" s="216"/>
      <c r="AC34" s="726"/>
      <c r="AD34" s="10"/>
      <c r="AE34" s="216"/>
      <c r="AF34" s="726"/>
      <c r="AG34" s="10"/>
      <c r="AH34" s="216"/>
      <c r="AI34" s="726"/>
      <c r="AJ34" s="10"/>
      <c r="AK34" s="216"/>
      <c r="AL34" s="726"/>
      <c r="AM34" s="10"/>
      <c r="AN34" s="216"/>
      <c r="AO34" s="726"/>
      <c r="AP34" s="207"/>
      <c r="AQ34" s="717"/>
      <c r="AR34" s="726"/>
      <c r="AS34" s="207"/>
      <c r="AT34" s="717"/>
      <c r="AU34" s="726"/>
      <c r="AV34" s="207"/>
      <c r="AW34" s="717"/>
      <c r="AX34" s="726"/>
      <c r="AY34" s="207"/>
      <c r="AZ34" s="717"/>
      <c r="BA34" s="726"/>
      <c r="BB34" s="207"/>
      <c r="BC34" s="717"/>
      <c r="BD34" s="726"/>
      <c r="BE34" s="207"/>
      <c r="BF34" s="717"/>
      <c r="BG34" s="726"/>
      <c r="BH34" s="207"/>
      <c r="BI34" s="717"/>
      <c r="BJ34" s="726"/>
      <c r="BK34" s="207"/>
      <c r="BL34" s="717"/>
      <c r="BM34" s="726"/>
    </row>
    <row r="35" spans="1:66" hidden="1" outlineLevel="1">
      <c r="A35" s="13" t="s">
        <v>573</v>
      </c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>
        <f>P33+P34</f>
        <v>810</v>
      </c>
      <c r="Q35" s="10">
        <f>Q33+Q34</f>
        <v>785</v>
      </c>
      <c r="R35" s="10"/>
      <c r="S35" s="216"/>
      <c r="T35" s="556">
        <f>T33+T34</f>
        <v>794</v>
      </c>
      <c r="U35" s="10"/>
      <c r="V35" s="216"/>
      <c r="W35" s="556">
        <f>W33+W34</f>
        <v>870</v>
      </c>
      <c r="X35" s="10"/>
      <c r="Y35" s="216"/>
      <c r="Z35" s="556"/>
      <c r="AA35" s="10"/>
      <c r="AB35" s="216"/>
      <c r="AC35" s="550"/>
      <c r="AD35" s="10"/>
      <c r="AE35" s="216"/>
      <c r="AF35" s="550"/>
      <c r="AG35" s="10"/>
      <c r="AH35" s="216"/>
      <c r="AI35" s="550"/>
      <c r="AJ35" s="10"/>
      <c r="AK35" s="216"/>
      <c r="AL35" s="550"/>
      <c r="AM35" s="10"/>
      <c r="AN35" s="216"/>
      <c r="AO35" s="550"/>
      <c r="AP35"/>
      <c r="AQ35" s="539"/>
      <c r="AR35" s="550"/>
      <c r="AS35"/>
      <c r="AT35" s="539"/>
      <c r="AU35" s="550"/>
      <c r="AV35"/>
      <c r="AW35" s="539"/>
      <c r="AX35" s="550"/>
      <c r="AY35"/>
      <c r="AZ35" s="539"/>
      <c r="BA35" s="550"/>
      <c r="BB35"/>
      <c r="BC35" s="539"/>
      <c r="BD35" s="550"/>
      <c r="BE35"/>
      <c r="BF35" s="539"/>
      <c r="BG35" s="550"/>
      <c r="BH35"/>
      <c r="BI35" s="539"/>
      <c r="BJ35" s="550"/>
      <c r="BK35"/>
      <c r="BL35" s="539"/>
      <c r="BM35" s="550"/>
    </row>
    <row r="36" spans="1:66" hidden="1" outlineLevel="1">
      <c r="A36" s="13" t="s">
        <v>268</v>
      </c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>
        <v>535</v>
      </c>
      <c r="Q36" s="10">
        <v>519</v>
      </c>
      <c r="R36" s="10"/>
      <c r="S36" s="216"/>
      <c r="T36" s="556">
        <v>627</v>
      </c>
      <c r="U36" s="10"/>
      <c r="V36" s="216"/>
      <c r="W36" s="556">
        <v>709</v>
      </c>
      <c r="X36" s="10"/>
      <c r="Y36" s="216"/>
      <c r="Z36" s="556"/>
      <c r="AA36" s="10"/>
      <c r="AB36" s="216"/>
      <c r="AC36" s="550"/>
      <c r="AD36" s="10"/>
      <c r="AE36" s="216"/>
      <c r="AF36" s="550"/>
      <c r="AG36" s="10"/>
      <c r="AH36" s="216"/>
      <c r="AI36" s="550"/>
      <c r="AJ36" s="10"/>
      <c r="AK36" s="216"/>
      <c r="AL36" s="550"/>
      <c r="AM36" s="10"/>
      <c r="AN36" s="216"/>
      <c r="AO36" s="550"/>
      <c r="AP36"/>
      <c r="AQ36" s="539"/>
      <c r="AR36" s="550"/>
      <c r="AS36"/>
      <c r="AT36" s="539"/>
      <c r="AU36" s="550"/>
      <c r="AV36"/>
      <c r="AW36" s="539"/>
      <c r="AX36" s="550"/>
      <c r="AY36"/>
      <c r="AZ36" s="539"/>
      <c r="BA36" s="550"/>
      <c r="BB36"/>
      <c r="BC36" s="539"/>
      <c r="BD36" s="550"/>
      <c r="BE36"/>
      <c r="BF36" s="539"/>
      <c r="BG36" s="550"/>
      <c r="BH36"/>
      <c r="BI36" s="539"/>
      <c r="BJ36" s="550"/>
      <c r="BK36"/>
      <c r="BL36" s="539"/>
      <c r="BM36" s="550"/>
    </row>
    <row r="37" spans="1:66" hidden="1" outlineLevel="1">
      <c r="A37" s="9" t="s">
        <v>563</v>
      </c>
      <c r="B37" s="22">
        <f>B4</f>
        <v>3150</v>
      </c>
      <c r="C37" s="22">
        <f>C4</f>
        <v>3443</v>
      </c>
      <c r="D37" s="22">
        <f t="shared" ref="D37:T37" si="94">D26+D31</f>
        <v>2739</v>
      </c>
      <c r="E37" s="22">
        <f t="shared" si="94"/>
        <v>2694</v>
      </c>
      <c r="F37" s="22">
        <f t="shared" si="94"/>
        <v>3040</v>
      </c>
      <c r="G37" s="22">
        <f t="shared" si="94"/>
        <v>3406</v>
      </c>
      <c r="H37" s="22">
        <f t="shared" si="94"/>
        <v>3907</v>
      </c>
      <c r="I37" s="22">
        <f t="shared" si="94"/>
        <v>4038</v>
      </c>
      <c r="J37" s="22">
        <f t="shared" si="94"/>
        <v>4502</v>
      </c>
      <c r="K37" s="22">
        <f t="shared" si="94"/>
        <v>4481</v>
      </c>
      <c r="L37" s="22">
        <f t="shared" si="94"/>
        <v>4919</v>
      </c>
      <c r="M37" s="22">
        <f t="shared" si="94"/>
        <v>5572</v>
      </c>
      <c r="N37" s="22">
        <f t="shared" si="94"/>
        <v>6437</v>
      </c>
      <c r="O37" s="22">
        <f t="shared" si="94"/>
        <v>6655</v>
      </c>
      <c r="P37" s="22">
        <f t="shared" si="94"/>
        <v>6837</v>
      </c>
      <c r="Q37" s="22">
        <f t="shared" si="94"/>
        <v>6933</v>
      </c>
      <c r="R37" s="22"/>
      <c r="S37" s="227"/>
      <c r="T37" s="557">
        <f t="shared" si="94"/>
        <v>7067</v>
      </c>
      <c r="U37" s="22"/>
      <c r="V37" s="227"/>
      <c r="W37" s="557">
        <f>W26+W31</f>
        <v>8023</v>
      </c>
      <c r="X37" s="22"/>
      <c r="Y37" s="227"/>
      <c r="Z37" s="557"/>
      <c r="AA37" s="22"/>
      <c r="AB37" s="227"/>
      <c r="AC37" s="727"/>
      <c r="AD37" s="22"/>
      <c r="AE37" s="227"/>
      <c r="AF37" s="727"/>
      <c r="AG37" s="22"/>
      <c r="AH37" s="227"/>
      <c r="AI37" s="727"/>
      <c r="AJ37" s="22"/>
      <c r="AK37" s="227"/>
      <c r="AL37" s="727"/>
      <c r="AM37" s="22"/>
      <c r="AN37" s="227"/>
      <c r="AO37" s="727"/>
      <c r="AP37" s="9"/>
      <c r="AQ37" s="718"/>
      <c r="AR37" s="727"/>
      <c r="AS37" s="9"/>
      <c r="AT37" s="718"/>
      <c r="AU37" s="727"/>
      <c r="AV37" s="9"/>
      <c r="AW37" s="718"/>
      <c r="AX37" s="727"/>
      <c r="AY37" s="9"/>
      <c r="AZ37" s="718"/>
      <c r="BA37" s="727"/>
      <c r="BB37" s="9"/>
      <c r="BC37" s="718"/>
      <c r="BD37" s="727"/>
      <c r="BE37" s="9"/>
      <c r="BF37" s="718"/>
      <c r="BG37" s="727"/>
      <c r="BH37" s="9"/>
      <c r="BI37" s="718"/>
      <c r="BJ37" s="727"/>
      <c r="BK37" s="9"/>
      <c r="BL37" s="718"/>
      <c r="BM37" s="727"/>
    </row>
    <row r="38" spans="1:66" hidden="1" outlineLevel="1">
      <c r="A38" s="2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86"/>
      <c r="Q38" s="186"/>
      <c r="R38" s="186"/>
      <c r="S38" s="217"/>
      <c r="T38" s="554"/>
      <c r="U38" s="186"/>
      <c r="V38" s="217"/>
      <c r="W38" s="554"/>
      <c r="X38" s="186"/>
      <c r="Y38" s="217"/>
      <c r="Z38" s="554"/>
      <c r="AA38" s="10"/>
      <c r="AB38" s="216"/>
      <c r="AC38" s="550"/>
      <c r="AD38" s="10"/>
      <c r="AE38" s="216"/>
      <c r="AF38" s="550"/>
      <c r="AG38" s="10"/>
      <c r="AH38" s="216"/>
      <c r="AI38" s="550"/>
      <c r="AJ38" s="10"/>
      <c r="AK38" s="216"/>
      <c r="AL38" s="550"/>
      <c r="AM38" s="10"/>
      <c r="AN38" s="216"/>
      <c r="AO38" s="550"/>
      <c r="AP38"/>
      <c r="AQ38" s="539"/>
      <c r="AR38" s="550"/>
      <c r="AS38"/>
      <c r="AT38" s="539"/>
      <c r="AU38" s="550"/>
      <c r="AV38"/>
      <c r="AW38" s="539"/>
      <c r="AX38" s="550"/>
      <c r="AY38"/>
      <c r="AZ38" s="539"/>
      <c r="BA38" s="550"/>
      <c r="BB38"/>
      <c r="BC38" s="539"/>
      <c r="BD38" s="550"/>
      <c r="BE38"/>
      <c r="BF38" s="539"/>
      <c r="BG38" s="550"/>
      <c r="BH38"/>
      <c r="BI38" s="539"/>
      <c r="BJ38" s="550"/>
      <c r="BK38"/>
      <c r="BL38" s="539"/>
      <c r="BM38" s="550"/>
    </row>
    <row r="39" spans="1:66" ht="11.4" hidden="1" outlineLevel="1">
      <c r="A39" t="s">
        <v>390</v>
      </c>
      <c r="B39" s="10"/>
      <c r="C39" s="10"/>
      <c r="D39" s="186">
        <f>D26/D37</f>
        <v>0.54362906170135084</v>
      </c>
      <c r="E39" s="186">
        <f>1-E40</f>
        <v>0.47</v>
      </c>
      <c r="F39" s="186">
        <f>1-F40</f>
        <v>0.41000000000000003</v>
      </c>
      <c r="G39" s="186">
        <f t="shared" ref="G39:W39" si="95">G26/G37</f>
        <v>0.40810334703464474</v>
      </c>
      <c r="H39" s="186">
        <f t="shared" si="95"/>
        <v>0.40875351932428972</v>
      </c>
      <c r="I39" s="186">
        <f t="shared" si="95"/>
        <v>0.36750866765725609</v>
      </c>
      <c r="J39" s="186">
        <f t="shared" si="95"/>
        <v>0.39449133718347401</v>
      </c>
      <c r="K39" s="186">
        <f t="shared" si="95"/>
        <v>0.41397009596072304</v>
      </c>
      <c r="L39" s="186">
        <f t="shared" si="95"/>
        <v>0.38463102256556209</v>
      </c>
      <c r="M39" s="186">
        <f t="shared" si="95"/>
        <v>0.40057430007178751</v>
      </c>
      <c r="N39" s="186">
        <f t="shared" si="95"/>
        <v>0.45580239241882864</v>
      </c>
      <c r="O39" s="186">
        <f t="shared" si="95"/>
        <v>0.45604808414725773</v>
      </c>
      <c r="P39" s="186">
        <f t="shared" si="95"/>
        <v>0.50650870264735992</v>
      </c>
      <c r="Q39" s="186">
        <f t="shared" si="95"/>
        <v>0.46992643877109475</v>
      </c>
      <c r="R39" s="186"/>
      <c r="S39" s="217"/>
      <c r="T39" s="554">
        <f t="shared" si="95"/>
        <v>0.47502476298287816</v>
      </c>
      <c r="U39" s="186"/>
      <c r="V39" s="217"/>
      <c r="W39" s="554">
        <f t="shared" si="95"/>
        <v>0.47588183971083137</v>
      </c>
      <c r="X39" s="186"/>
      <c r="Y39" s="217"/>
      <c r="Z39" s="554"/>
      <c r="AA39" s="186"/>
      <c r="AB39" s="217"/>
      <c r="AC39" s="609"/>
      <c r="AD39" s="186"/>
      <c r="AE39" s="217"/>
      <c r="AF39" s="609"/>
      <c r="AG39" s="186"/>
      <c r="AH39" s="217"/>
      <c r="AI39" s="609"/>
      <c r="AJ39" s="186"/>
      <c r="AK39" s="217"/>
      <c r="AL39" s="609"/>
      <c r="AM39" s="186"/>
      <c r="AN39" s="217"/>
      <c r="AO39" s="609"/>
      <c r="AP39" s="176"/>
      <c r="AQ39" s="590"/>
      <c r="AR39" s="609"/>
      <c r="AS39" s="176"/>
      <c r="AT39" s="590"/>
      <c r="AU39" s="609"/>
      <c r="AV39" s="176"/>
      <c r="AW39" s="590"/>
      <c r="AX39" s="609"/>
      <c r="AY39" s="176"/>
      <c r="AZ39" s="590"/>
      <c r="BA39" s="609"/>
      <c r="BB39" s="176"/>
      <c r="BC39" s="590"/>
      <c r="BD39" s="609"/>
      <c r="BE39" s="176"/>
      <c r="BF39" s="590"/>
      <c r="BG39" s="609"/>
      <c r="BH39" s="176"/>
      <c r="BI39" s="590"/>
      <c r="BJ39" s="609"/>
      <c r="BK39" s="176"/>
      <c r="BL39" s="590"/>
      <c r="BM39" s="609"/>
      <c r="BN39" s="115"/>
    </row>
    <row r="40" spans="1:66" hidden="1" outlineLevel="1">
      <c r="A40" t="s">
        <v>391</v>
      </c>
      <c r="B40" s="10"/>
      <c r="C40" s="10"/>
      <c r="D40" s="186">
        <f>D31/D37</f>
        <v>0.45637093829864916</v>
      </c>
      <c r="E40" s="186">
        <v>0.53</v>
      </c>
      <c r="F40" s="186">
        <v>0.59</v>
      </c>
      <c r="G40" s="186">
        <f t="shared" ref="G40:W40" si="96">G31/G37</f>
        <v>0.59189665296535521</v>
      </c>
      <c r="H40" s="186">
        <f t="shared" si="96"/>
        <v>0.59124648067571028</v>
      </c>
      <c r="I40" s="186">
        <f t="shared" si="96"/>
        <v>0.63249133234274391</v>
      </c>
      <c r="J40" s="186">
        <f t="shared" si="96"/>
        <v>0.60550866281652593</v>
      </c>
      <c r="K40" s="186">
        <f t="shared" si="96"/>
        <v>0.58602990403927691</v>
      </c>
      <c r="L40" s="186">
        <f t="shared" si="96"/>
        <v>0.61536897743443786</v>
      </c>
      <c r="M40" s="186">
        <f t="shared" si="96"/>
        <v>0.59942569992821249</v>
      </c>
      <c r="N40" s="186">
        <f t="shared" si="96"/>
        <v>0.54419760758117131</v>
      </c>
      <c r="O40" s="186">
        <f t="shared" si="96"/>
        <v>0.54395191585274227</v>
      </c>
      <c r="P40" s="186">
        <f t="shared" si="96"/>
        <v>0.49349129735264002</v>
      </c>
      <c r="Q40" s="186">
        <f t="shared" si="96"/>
        <v>0.53007356122890525</v>
      </c>
      <c r="R40" s="186"/>
      <c r="S40" s="217"/>
      <c r="T40" s="554">
        <f t="shared" si="96"/>
        <v>0.52497523701712179</v>
      </c>
      <c r="U40" s="186"/>
      <c r="V40" s="217"/>
      <c r="W40" s="554">
        <f t="shared" si="96"/>
        <v>0.52411816028916869</v>
      </c>
      <c r="X40" s="186"/>
      <c r="Y40" s="217"/>
      <c r="Z40" s="554"/>
      <c r="AA40" s="186"/>
      <c r="AB40" s="217"/>
      <c r="AC40" s="609"/>
      <c r="AD40" s="186"/>
      <c r="AE40" s="217"/>
      <c r="AF40" s="609"/>
      <c r="AG40" s="186"/>
      <c r="AH40" s="217"/>
      <c r="AI40" s="609"/>
      <c r="AJ40" s="186"/>
      <c r="AK40" s="217"/>
      <c r="AL40" s="609"/>
      <c r="AM40" s="186"/>
      <c r="AN40" s="217"/>
      <c r="AO40" s="609"/>
      <c r="AP40" s="176"/>
      <c r="AQ40" s="590"/>
      <c r="AR40" s="609"/>
      <c r="AS40" s="176"/>
      <c r="AT40" s="590"/>
      <c r="AU40" s="609"/>
      <c r="AV40" s="176"/>
      <c r="AW40" s="590"/>
      <c r="AX40" s="609"/>
      <c r="AY40" s="176"/>
      <c r="AZ40" s="590"/>
      <c r="BA40" s="609"/>
      <c r="BB40" s="176"/>
      <c r="BC40" s="590"/>
      <c r="BD40" s="609"/>
      <c r="BE40" s="176"/>
      <c r="BF40" s="590"/>
      <c r="BG40" s="609"/>
      <c r="BH40" s="176"/>
      <c r="BI40" s="590"/>
      <c r="BJ40" s="609"/>
      <c r="BK40" s="176"/>
      <c r="BL40" s="590"/>
      <c r="BM40" s="609"/>
    </row>
    <row r="41" spans="1:66" hidden="1" outlineLevel="1">
      <c r="A41" s="2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216"/>
      <c r="T41" s="556"/>
      <c r="U41" s="10"/>
      <c r="V41" s="216"/>
      <c r="W41" s="556"/>
      <c r="X41" s="10"/>
      <c r="Y41" s="216"/>
      <c r="Z41" s="556"/>
      <c r="AA41" s="10"/>
      <c r="AB41" s="216"/>
      <c r="AC41" s="550"/>
      <c r="AD41" s="10"/>
      <c r="AE41" s="216"/>
      <c r="AF41" s="550"/>
      <c r="AG41" s="10"/>
      <c r="AH41" s="216"/>
      <c r="AI41" s="550"/>
      <c r="AJ41" s="10"/>
      <c r="AK41" s="216"/>
      <c r="AL41" s="550"/>
      <c r="AM41" s="10"/>
      <c r="AN41" s="216"/>
      <c r="AO41" s="550"/>
      <c r="AP41"/>
      <c r="AQ41" s="539"/>
      <c r="AR41" s="550"/>
      <c r="AS41"/>
      <c r="AT41" s="539"/>
      <c r="AU41" s="550"/>
      <c r="AV41"/>
      <c r="AW41" s="539"/>
      <c r="AX41" s="550"/>
      <c r="AY41"/>
      <c r="AZ41" s="539"/>
      <c r="BA41" s="550"/>
      <c r="BB41"/>
      <c r="BC41" s="539"/>
      <c r="BD41" s="550"/>
      <c r="BE41"/>
      <c r="BF41" s="539"/>
      <c r="BG41" s="550"/>
      <c r="BH41"/>
      <c r="BI41" s="539"/>
      <c r="BJ41" s="550"/>
      <c r="BK41"/>
      <c r="BL41" s="539"/>
      <c r="BM41" s="550"/>
    </row>
    <row r="42" spans="1:66" hidden="1" outlineLevel="1">
      <c r="A42" s="16" t="s">
        <v>368</v>
      </c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86"/>
      <c r="R42" s="186"/>
      <c r="S42" s="217"/>
      <c r="T42" s="554"/>
      <c r="U42" s="186"/>
      <c r="V42" s="217"/>
      <c r="W42" s="554"/>
      <c r="X42" s="186"/>
      <c r="Y42" s="217"/>
      <c r="Z42" s="554"/>
      <c r="AA42" s="10"/>
      <c r="AB42" s="216"/>
      <c r="AC42" s="550"/>
      <c r="AD42" s="10"/>
      <c r="AE42" s="216"/>
      <c r="AF42" s="550"/>
      <c r="AG42" s="10"/>
      <c r="AH42" s="216"/>
      <c r="AI42" s="550"/>
      <c r="AJ42" s="10"/>
      <c r="AK42" s="216"/>
      <c r="AL42" s="550"/>
      <c r="AM42" s="10"/>
      <c r="AN42" s="216"/>
      <c r="AO42" s="550"/>
      <c r="AP42"/>
      <c r="AQ42" s="539"/>
      <c r="AR42" s="550"/>
      <c r="AS42"/>
      <c r="AT42" s="539"/>
      <c r="AU42" s="550"/>
      <c r="AV42"/>
      <c r="AW42" s="539"/>
      <c r="AX42" s="550"/>
      <c r="AY42"/>
      <c r="AZ42" s="539"/>
      <c r="BA42" s="550"/>
      <c r="BB42"/>
      <c r="BC42" s="539"/>
      <c r="BD42" s="550"/>
      <c r="BE42"/>
      <c r="BF42" s="539"/>
      <c r="BG42" s="550"/>
      <c r="BH42"/>
      <c r="BI42" s="539"/>
      <c r="BJ42" s="550"/>
      <c r="BK42"/>
      <c r="BL42" s="539"/>
      <c r="BM42" s="550"/>
    </row>
    <row r="43" spans="1:66" hidden="1" outlineLevel="1">
      <c r="A43" s="2" t="s">
        <v>364</v>
      </c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27">
        <f>SUM(Q44:Q47)</f>
        <v>-117</v>
      </c>
      <c r="R43" s="27"/>
      <c r="S43" s="218"/>
      <c r="T43" s="553">
        <f>SUM(T44:T47)</f>
        <v>14</v>
      </c>
      <c r="U43" s="27"/>
      <c r="V43" s="218"/>
      <c r="W43" s="553">
        <f>SUM(W44:W47)</f>
        <v>418</v>
      </c>
      <c r="X43" s="27"/>
      <c r="Y43" s="218"/>
      <c r="Z43" s="553"/>
      <c r="AA43" s="10"/>
      <c r="AB43" s="216"/>
      <c r="AC43" s="550"/>
      <c r="AD43" s="10"/>
      <c r="AE43" s="216"/>
      <c r="AF43" s="550"/>
      <c r="AG43" s="10"/>
      <c r="AH43" s="216"/>
      <c r="AI43" s="550"/>
      <c r="AJ43" s="10"/>
      <c r="AK43" s="216"/>
      <c r="AL43" s="550"/>
      <c r="AM43" s="10"/>
      <c r="AN43" s="216"/>
      <c r="AO43" s="550"/>
      <c r="AP43"/>
      <c r="AQ43" s="539"/>
      <c r="AR43" s="550"/>
      <c r="AS43"/>
      <c r="AT43" s="539"/>
      <c r="AU43" s="550"/>
      <c r="AV43"/>
      <c r="AW43" s="539"/>
      <c r="AX43" s="550"/>
      <c r="AY43"/>
      <c r="AZ43" s="539"/>
      <c r="BA43" s="550"/>
      <c r="BB43"/>
      <c r="BC43" s="539"/>
      <c r="BD43" s="550"/>
      <c r="BE43"/>
      <c r="BF43" s="539"/>
      <c r="BG43" s="550"/>
      <c r="BH43"/>
      <c r="BI43" s="539"/>
      <c r="BJ43" s="550"/>
      <c r="BK43"/>
      <c r="BL43" s="539"/>
      <c r="BM43" s="550"/>
    </row>
    <row r="44" spans="1:66" hidden="1" outlineLevel="1">
      <c r="A44" s="13" t="s">
        <v>289</v>
      </c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>
        <v>-191</v>
      </c>
      <c r="R44" s="10"/>
      <c r="S44" s="216"/>
      <c r="T44" s="556">
        <v>32</v>
      </c>
      <c r="U44" s="10"/>
      <c r="V44" s="216"/>
      <c r="W44" s="556">
        <v>289</v>
      </c>
      <c r="X44" s="10"/>
      <c r="Y44" s="216"/>
      <c r="Z44" s="556"/>
      <c r="AA44" s="10"/>
      <c r="AB44" s="216"/>
      <c r="AC44" s="550"/>
      <c r="AD44" s="10"/>
      <c r="AE44" s="216"/>
      <c r="AF44" s="550"/>
      <c r="AG44" s="10"/>
      <c r="AH44" s="216"/>
      <c r="AI44" s="550"/>
      <c r="AJ44" s="10"/>
      <c r="AK44" s="216"/>
      <c r="AL44" s="550"/>
      <c r="AM44" s="10"/>
      <c r="AN44" s="216"/>
      <c r="AO44" s="550"/>
      <c r="AP44"/>
      <c r="AQ44" s="539"/>
      <c r="AR44" s="550"/>
      <c r="AS44"/>
      <c r="AT44" s="539"/>
      <c r="AU44" s="550"/>
      <c r="AV44"/>
      <c r="AW44" s="539"/>
      <c r="AX44" s="550"/>
      <c r="AY44"/>
      <c r="AZ44" s="539"/>
      <c r="BA44" s="550"/>
      <c r="BB44"/>
      <c r="BC44" s="539"/>
      <c r="BD44" s="550"/>
      <c r="BE44"/>
      <c r="BF44" s="539"/>
      <c r="BG44" s="550"/>
      <c r="BH44"/>
      <c r="BI44" s="539"/>
      <c r="BJ44" s="550"/>
      <c r="BK44"/>
      <c r="BL44" s="539"/>
      <c r="BM44" s="550"/>
    </row>
    <row r="45" spans="1:66" hidden="1" outlineLevel="1">
      <c r="A45" s="13" t="s">
        <v>284</v>
      </c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>
        <v>114</v>
      </c>
      <c r="R45" s="10"/>
      <c r="S45" s="216"/>
      <c r="T45" s="556">
        <v>237</v>
      </c>
      <c r="U45" s="10"/>
      <c r="V45" s="216"/>
      <c r="W45" s="556">
        <v>360</v>
      </c>
      <c r="X45" s="10"/>
      <c r="Y45" s="216"/>
      <c r="Z45" s="556"/>
      <c r="AA45" s="10"/>
      <c r="AB45" s="216"/>
      <c r="AC45" s="550"/>
      <c r="AD45" s="10"/>
      <c r="AE45" s="216"/>
      <c r="AF45" s="550"/>
      <c r="AG45" s="10"/>
      <c r="AH45" s="216"/>
      <c r="AI45" s="550"/>
      <c r="AJ45" s="10"/>
      <c r="AK45" s="216"/>
      <c r="AL45" s="550"/>
      <c r="AM45" s="10"/>
      <c r="AN45" s="216"/>
      <c r="AO45" s="550"/>
      <c r="AP45"/>
      <c r="AQ45" s="539"/>
      <c r="AR45" s="550"/>
      <c r="AS45"/>
      <c r="AT45" s="539"/>
      <c r="AU45" s="550"/>
      <c r="AV45"/>
      <c r="AW45" s="539"/>
      <c r="AX45" s="550"/>
      <c r="AY45"/>
      <c r="AZ45" s="539"/>
      <c r="BA45" s="550"/>
      <c r="BB45"/>
      <c r="BC45" s="539"/>
      <c r="BD45" s="550"/>
      <c r="BE45"/>
      <c r="BF45" s="539"/>
      <c r="BG45" s="550"/>
      <c r="BH45"/>
      <c r="BI45" s="539"/>
      <c r="BJ45" s="550"/>
      <c r="BK45"/>
      <c r="BL45" s="539"/>
      <c r="BM45" s="550"/>
    </row>
    <row r="46" spans="1:66" hidden="1" outlineLevel="1">
      <c r="A46" s="13" t="s">
        <v>288</v>
      </c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>
        <v>-9</v>
      </c>
      <c r="R46" s="10"/>
      <c r="S46" s="216"/>
      <c r="T46" s="556">
        <v>-228</v>
      </c>
      <c r="U46" s="10"/>
      <c r="V46" s="216"/>
      <c r="W46" s="556">
        <v>-198</v>
      </c>
      <c r="X46" s="10"/>
      <c r="Y46" s="216"/>
      <c r="Z46" s="556"/>
      <c r="AA46" s="10"/>
      <c r="AB46" s="216"/>
      <c r="AC46" s="550"/>
      <c r="AD46" s="10"/>
      <c r="AE46" s="216"/>
      <c r="AF46" s="550"/>
      <c r="AG46" s="10"/>
      <c r="AH46" s="216"/>
      <c r="AI46" s="550"/>
      <c r="AJ46" s="10"/>
      <c r="AK46" s="216"/>
      <c r="AL46" s="550"/>
      <c r="AM46" s="10"/>
      <c r="AN46" s="216"/>
      <c r="AO46" s="550"/>
      <c r="AP46"/>
      <c r="AQ46" s="539"/>
      <c r="AR46" s="550"/>
      <c r="AS46"/>
      <c r="AT46" s="539"/>
      <c r="AU46" s="550"/>
      <c r="AV46"/>
      <c r="AW46" s="539"/>
      <c r="AX46" s="550"/>
      <c r="AY46"/>
      <c r="AZ46" s="539"/>
      <c r="BA46" s="550"/>
      <c r="BB46"/>
      <c r="BC46" s="539"/>
      <c r="BD46" s="550"/>
      <c r="BE46"/>
      <c r="BF46" s="539"/>
      <c r="BG46" s="550"/>
      <c r="BH46"/>
      <c r="BI46" s="539"/>
      <c r="BJ46" s="550"/>
      <c r="BK46"/>
      <c r="BL46" s="539"/>
      <c r="BM46" s="550"/>
    </row>
    <row r="47" spans="1:66" hidden="1" outlineLevel="1">
      <c r="A47" s="13" t="s">
        <v>268</v>
      </c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>
        <v>-31</v>
      </c>
      <c r="R47" s="10"/>
      <c r="S47" s="216"/>
      <c r="T47" s="556">
        <v>-27</v>
      </c>
      <c r="U47" s="10"/>
      <c r="V47" s="216"/>
      <c r="W47" s="556">
        <v>-33</v>
      </c>
      <c r="X47" s="10"/>
      <c r="Y47" s="216"/>
      <c r="Z47" s="556"/>
      <c r="AA47" s="10"/>
      <c r="AB47" s="216"/>
      <c r="AC47" s="550"/>
      <c r="AD47" s="10"/>
      <c r="AE47" s="216"/>
      <c r="AF47" s="550"/>
      <c r="AG47" s="10"/>
      <c r="AH47" s="216"/>
      <c r="AI47" s="550"/>
      <c r="AJ47" s="10"/>
      <c r="AK47" s="216"/>
      <c r="AL47" s="550"/>
      <c r="AM47" s="10"/>
      <c r="AN47" s="216"/>
      <c r="AO47" s="550"/>
      <c r="AP47"/>
      <c r="AQ47" s="539"/>
      <c r="AR47" s="550"/>
      <c r="AS47"/>
      <c r="AT47" s="539"/>
      <c r="AU47" s="550"/>
      <c r="AV47"/>
      <c r="AW47" s="539"/>
      <c r="AX47" s="550"/>
      <c r="AY47"/>
      <c r="AZ47" s="539"/>
      <c r="BA47" s="550"/>
      <c r="BB47"/>
      <c r="BC47" s="539"/>
      <c r="BD47" s="550"/>
      <c r="BE47"/>
      <c r="BF47" s="539"/>
      <c r="BG47" s="550"/>
      <c r="BH47"/>
      <c r="BI47" s="539"/>
      <c r="BJ47" s="550"/>
      <c r="BK47"/>
      <c r="BL47" s="539"/>
      <c r="BM47" s="550"/>
    </row>
    <row r="48" spans="1:66" hidden="1" outlineLevel="1">
      <c r="A48" s="2" t="s">
        <v>365</v>
      </c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27">
        <f>SUM(Q49:Q52)</f>
        <v>318</v>
      </c>
      <c r="R48" s="27"/>
      <c r="S48" s="218"/>
      <c r="T48" s="553">
        <f>SUM(T49:T52)</f>
        <v>-41</v>
      </c>
      <c r="U48" s="27"/>
      <c r="V48" s="218"/>
      <c r="W48" s="553">
        <f>SUM(W49:W52)</f>
        <v>448</v>
      </c>
      <c r="X48" s="27"/>
      <c r="Y48" s="218"/>
      <c r="Z48" s="553"/>
      <c r="AA48" s="10"/>
      <c r="AB48" s="216"/>
      <c r="AC48" s="550"/>
      <c r="AD48" s="10"/>
      <c r="AE48" s="216"/>
      <c r="AF48" s="550"/>
      <c r="AG48" s="10"/>
      <c r="AH48" s="216"/>
      <c r="AI48" s="550"/>
      <c r="AJ48" s="10"/>
      <c r="AK48" s="216"/>
      <c r="AL48" s="550"/>
      <c r="AM48" s="10"/>
      <c r="AN48" s="216"/>
      <c r="AO48" s="550"/>
      <c r="AP48"/>
      <c r="AQ48" s="539"/>
      <c r="AR48" s="550"/>
      <c r="AS48"/>
      <c r="AT48" s="539"/>
      <c r="AU48" s="550"/>
      <c r="AV48"/>
      <c r="AW48" s="539"/>
      <c r="AX48" s="550"/>
      <c r="AY48"/>
      <c r="AZ48" s="539"/>
      <c r="BA48" s="550"/>
      <c r="BB48"/>
      <c r="BC48" s="539"/>
      <c r="BD48" s="550"/>
      <c r="BE48"/>
      <c r="BF48" s="539"/>
      <c r="BG48" s="550"/>
      <c r="BH48"/>
      <c r="BI48" s="539"/>
      <c r="BJ48" s="550"/>
      <c r="BK48"/>
      <c r="BL48" s="539"/>
      <c r="BM48" s="550"/>
    </row>
    <row r="49" spans="1:67" hidden="1" outlineLevel="1">
      <c r="A49" s="13" t="s">
        <v>286</v>
      </c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>
        <v>336</v>
      </c>
      <c r="R49" s="10"/>
      <c r="S49" s="216"/>
      <c r="T49" s="556">
        <v>-84</v>
      </c>
      <c r="U49" s="10"/>
      <c r="V49" s="216"/>
      <c r="W49" s="556">
        <v>335</v>
      </c>
      <c r="X49" s="10"/>
      <c r="Y49" s="216"/>
      <c r="Z49" s="556"/>
      <c r="AA49" s="10"/>
      <c r="AB49" s="216"/>
      <c r="AC49" s="550"/>
      <c r="AD49" s="10"/>
      <c r="AE49" s="216"/>
      <c r="AF49" s="550"/>
      <c r="AG49" s="10"/>
      <c r="AH49" s="216"/>
      <c r="AI49" s="550"/>
      <c r="AJ49" s="10"/>
      <c r="AK49" s="216"/>
      <c r="AL49" s="550"/>
      <c r="AM49" s="10"/>
      <c r="AN49" s="216"/>
      <c r="AO49" s="550"/>
      <c r="AP49"/>
      <c r="AQ49" s="539"/>
      <c r="AR49" s="550"/>
      <c r="AS49"/>
      <c r="AT49" s="539"/>
      <c r="AU49" s="550"/>
      <c r="AV49"/>
      <c r="AW49" s="539"/>
      <c r="AX49" s="550"/>
      <c r="AY49"/>
      <c r="AZ49" s="539"/>
      <c r="BA49" s="550"/>
      <c r="BB49"/>
      <c r="BC49" s="539"/>
      <c r="BD49" s="550"/>
      <c r="BE49"/>
      <c r="BF49" s="539"/>
      <c r="BG49" s="550"/>
      <c r="BH49"/>
      <c r="BI49" s="539"/>
      <c r="BJ49" s="550"/>
      <c r="BK49"/>
      <c r="BL49" s="539"/>
      <c r="BM49" s="550"/>
    </row>
    <row r="50" spans="1:67" hidden="1" outlineLevel="1">
      <c r="A50" s="13" t="s">
        <v>288</v>
      </c>
      <c r="B50" s="10"/>
      <c r="C50" s="10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>
        <v>50</v>
      </c>
      <c r="R50" s="10"/>
      <c r="S50" s="216"/>
      <c r="T50" s="556">
        <v>-13</v>
      </c>
      <c r="U50" s="10"/>
      <c r="V50" s="216"/>
      <c r="W50" s="556">
        <v>46</v>
      </c>
      <c r="X50" s="10"/>
      <c r="Y50" s="216"/>
      <c r="Z50" s="556"/>
      <c r="AA50" s="10"/>
      <c r="AB50" s="216"/>
      <c r="AC50" s="550"/>
      <c r="AD50" s="10"/>
      <c r="AE50" s="216"/>
      <c r="AF50" s="550"/>
      <c r="AG50" s="10"/>
      <c r="AH50" s="216"/>
      <c r="AI50" s="550"/>
      <c r="AJ50" s="10"/>
      <c r="AK50" s="216"/>
      <c r="AL50" s="550"/>
      <c r="AM50" s="10"/>
      <c r="AN50" s="216"/>
      <c r="AO50" s="550"/>
      <c r="AP50"/>
      <c r="AQ50" s="539"/>
      <c r="AR50" s="550"/>
      <c r="AS50"/>
      <c r="AT50" s="539"/>
      <c r="AU50" s="550"/>
      <c r="AV50"/>
      <c r="AW50" s="539"/>
      <c r="AX50" s="550"/>
      <c r="AY50"/>
      <c r="AZ50" s="539"/>
      <c r="BA50" s="550"/>
      <c r="BB50"/>
      <c r="BC50" s="539"/>
      <c r="BD50" s="550"/>
      <c r="BE50"/>
      <c r="BF50" s="539"/>
      <c r="BG50" s="550"/>
      <c r="BH50"/>
      <c r="BI50" s="539"/>
      <c r="BJ50" s="550"/>
      <c r="BK50"/>
      <c r="BL50" s="539"/>
      <c r="BM50" s="550"/>
    </row>
    <row r="51" spans="1:67" hidden="1" outlineLevel="1">
      <c r="A51" s="13" t="s">
        <v>287</v>
      </c>
      <c r="B51" s="10"/>
      <c r="C51" s="10"/>
      <c r="D51" s="10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>
        <v>-61</v>
      </c>
      <c r="R51" s="10"/>
      <c r="S51" s="216"/>
      <c r="T51" s="556">
        <v>-52</v>
      </c>
      <c r="U51" s="10"/>
      <c r="V51" s="216"/>
      <c r="W51" s="556">
        <v>-16</v>
      </c>
      <c r="X51" s="10"/>
      <c r="Y51" s="216"/>
      <c r="Z51" s="556"/>
      <c r="AA51" s="10"/>
      <c r="AB51" s="216"/>
      <c r="AC51" s="550"/>
      <c r="AD51" s="10"/>
      <c r="AE51" s="216"/>
      <c r="AF51" s="550"/>
      <c r="AG51" s="10"/>
      <c r="AH51" s="216"/>
      <c r="AI51" s="550"/>
      <c r="AJ51" s="10"/>
      <c r="AK51" s="216"/>
      <c r="AL51" s="550"/>
      <c r="AM51" s="10"/>
      <c r="AN51" s="216"/>
      <c r="AO51" s="550"/>
      <c r="AP51"/>
      <c r="AQ51" s="539"/>
      <c r="AR51" s="550"/>
      <c r="AS51"/>
      <c r="AT51" s="539"/>
      <c r="AU51" s="550"/>
      <c r="AV51"/>
      <c r="AW51" s="539"/>
      <c r="AX51" s="550"/>
      <c r="AY51"/>
      <c r="AZ51" s="539"/>
      <c r="BA51" s="550"/>
      <c r="BB51"/>
      <c r="BC51" s="539"/>
      <c r="BD51" s="550"/>
      <c r="BE51"/>
      <c r="BF51" s="539"/>
      <c r="BG51" s="550"/>
      <c r="BH51"/>
      <c r="BI51" s="539"/>
      <c r="BJ51" s="550"/>
      <c r="BK51"/>
      <c r="BL51" s="539"/>
      <c r="BM51" s="550"/>
    </row>
    <row r="52" spans="1:67" hidden="1" outlineLevel="1">
      <c r="A52" s="13" t="s">
        <v>268</v>
      </c>
      <c r="B52" s="10"/>
      <c r="C52" s="10"/>
      <c r="D52" s="10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>
        <v>-7</v>
      </c>
      <c r="R52" s="10"/>
      <c r="S52" s="216"/>
      <c r="T52" s="556">
        <v>108</v>
      </c>
      <c r="U52" s="10"/>
      <c r="V52" s="216"/>
      <c r="W52" s="556">
        <v>83</v>
      </c>
      <c r="X52" s="10"/>
      <c r="Y52" s="216"/>
      <c r="Z52" s="556"/>
      <c r="AA52" s="10"/>
      <c r="AB52" s="216"/>
      <c r="AC52" s="550"/>
      <c r="AD52" s="10"/>
      <c r="AE52" s="216"/>
      <c r="AF52" s="550"/>
      <c r="AG52" s="10"/>
      <c r="AH52" s="216"/>
      <c r="AI52" s="550"/>
      <c r="AJ52" s="10"/>
      <c r="AK52" s="216"/>
      <c r="AL52" s="550"/>
      <c r="AM52" s="10"/>
      <c r="AN52" s="216"/>
      <c r="AO52" s="550"/>
      <c r="AP52"/>
      <c r="AQ52" s="539"/>
      <c r="AR52" s="550"/>
      <c r="AS52"/>
      <c r="AT52" s="539"/>
      <c r="AU52" s="550"/>
      <c r="AV52"/>
      <c r="AW52" s="539"/>
      <c r="AX52" s="550"/>
      <c r="AY52"/>
      <c r="AZ52" s="539"/>
      <c r="BA52" s="550"/>
      <c r="BB52"/>
      <c r="BC52" s="539"/>
      <c r="BD52" s="550"/>
      <c r="BE52"/>
      <c r="BF52" s="539"/>
      <c r="BG52" s="550"/>
      <c r="BH52"/>
      <c r="BI52" s="539"/>
      <c r="BJ52" s="550"/>
      <c r="BK52"/>
      <c r="BL52" s="539"/>
      <c r="BM52" s="550"/>
    </row>
    <row r="53" spans="1:67" hidden="1" outlineLevel="1">
      <c r="A53" s="2" t="s">
        <v>366</v>
      </c>
      <c r="B53" s="10"/>
      <c r="C53" s="10"/>
      <c r="D53" s="10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27">
        <f>Q43+Q48</f>
        <v>201</v>
      </c>
      <c r="R53" s="27"/>
      <c r="S53" s="218"/>
      <c r="T53" s="553">
        <f>T43+T48</f>
        <v>-27</v>
      </c>
      <c r="U53" s="27"/>
      <c r="V53" s="218"/>
      <c r="W53" s="553">
        <f>W43+W48</f>
        <v>866</v>
      </c>
      <c r="X53" s="27"/>
      <c r="Y53" s="218"/>
      <c r="Z53" s="553"/>
      <c r="AA53" s="10"/>
      <c r="AB53" s="216"/>
      <c r="AC53" s="550"/>
      <c r="AD53" s="10"/>
      <c r="AE53" s="216"/>
      <c r="AF53" s="550"/>
      <c r="AG53" s="10"/>
      <c r="AH53" s="216"/>
      <c r="AI53" s="550"/>
      <c r="AJ53" s="10"/>
      <c r="AK53" s="216"/>
      <c r="AL53" s="550"/>
      <c r="AM53" s="10"/>
      <c r="AN53" s="216"/>
      <c r="AO53" s="550"/>
      <c r="AP53"/>
      <c r="AQ53" s="539"/>
      <c r="AR53" s="550"/>
      <c r="AS53"/>
      <c r="AT53" s="539"/>
      <c r="AU53" s="550"/>
      <c r="AV53"/>
      <c r="AW53" s="539"/>
      <c r="AX53" s="550"/>
      <c r="AY53"/>
      <c r="AZ53" s="539"/>
      <c r="BA53" s="550"/>
      <c r="BB53"/>
      <c r="BC53" s="539"/>
      <c r="BD53" s="550"/>
      <c r="BE53"/>
      <c r="BF53" s="539"/>
      <c r="BG53" s="550"/>
      <c r="BH53"/>
      <c r="BI53" s="539"/>
      <c r="BJ53" s="550"/>
      <c r="BK53"/>
      <c r="BL53" s="539"/>
      <c r="BM53" s="550"/>
    </row>
    <row r="54" spans="1:67" hidden="1" outlineLevel="1">
      <c r="A54" s="2" t="s">
        <v>393</v>
      </c>
      <c r="B54" s="10"/>
      <c r="C54" s="10"/>
      <c r="D54" s="10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10"/>
      <c r="Q54" s="27">
        <v>-105</v>
      </c>
      <c r="R54" s="27"/>
      <c r="S54" s="218"/>
      <c r="T54" s="553">
        <v>161</v>
      </c>
      <c r="U54" s="27"/>
      <c r="V54" s="218"/>
      <c r="W54" s="553">
        <v>90</v>
      </c>
      <c r="X54" s="27"/>
      <c r="Y54" s="218"/>
      <c r="Z54" s="553"/>
      <c r="AA54" s="10"/>
      <c r="AB54" s="216"/>
      <c r="AC54" s="550"/>
      <c r="AD54" s="10"/>
      <c r="AE54" s="216"/>
      <c r="AF54" s="550"/>
      <c r="AG54" s="10"/>
      <c r="AH54" s="216"/>
      <c r="AI54" s="550"/>
      <c r="AJ54" s="10"/>
      <c r="AK54" s="216"/>
      <c r="AL54" s="550"/>
      <c r="AM54" s="10"/>
      <c r="AN54" s="216"/>
      <c r="AO54" s="550"/>
      <c r="AP54"/>
      <c r="AQ54" s="539"/>
      <c r="AR54" s="550"/>
      <c r="AS54"/>
      <c r="AT54" s="539"/>
      <c r="AU54" s="550"/>
      <c r="AV54"/>
      <c r="AW54" s="539"/>
      <c r="AX54" s="550"/>
      <c r="AY54"/>
      <c r="AZ54" s="539"/>
      <c r="BA54" s="550"/>
      <c r="BB54"/>
      <c r="BC54" s="539"/>
      <c r="BD54" s="550"/>
      <c r="BE54"/>
      <c r="BF54" s="539"/>
      <c r="BG54" s="550"/>
      <c r="BH54"/>
      <c r="BI54" s="539"/>
      <c r="BJ54" s="550"/>
      <c r="BK54"/>
      <c r="BL54" s="539"/>
      <c r="BM54" s="550"/>
    </row>
    <row r="55" spans="1:67" hidden="1" outlineLevel="1">
      <c r="A55" s="12" t="s">
        <v>367</v>
      </c>
      <c r="B55" s="220"/>
      <c r="C55" s="220"/>
      <c r="D55" s="220"/>
      <c r="E55" s="220"/>
      <c r="F55" s="190"/>
      <c r="G55" s="190"/>
      <c r="H55" s="190"/>
      <c r="I55" s="190"/>
      <c r="J55" s="190"/>
      <c r="K55" s="190"/>
      <c r="L55" s="190"/>
      <c r="M55" s="190"/>
      <c r="N55" s="190"/>
      <c r="O55" s="190"/>
      <c r="P55" s="190"/>
      <c r="Q55" s="190">
        <f>Q53+Q54</f>
        <v>96</v>
      </c>
      <c r="R55" s="190"/>
      <c r="S55" s="226"/>
      <c r="T55" s="555">
        <f>T53+T54</f>
        <v>134</v>
      </c>
      <c r="U55" s="190"/>
      <c r="V55" s="226"/>
      <c r="W55" s="555">
        <f>W53+W54</f>
        <v>956</v>
      </c>
      <c r="X55" s="190"/>
      <c r="Y55" s="226"/>
      <c r="Z55" s="555"/>
      <c r="AA55" s="220"/>
      <c r="AB55" s="254"/>
      <c r="AC55" s="728"/>
      <c r="AD55" s="220"/>
      <c r="AE55" s="254"/>
      <c r="AF55" s="728"/>
      <c r="AG55" s="220"/>
      <c r="AH55" s="254"/>
      <c r="AI55" s="728"/>
      <c r="AJ55" s="220"/>
      <c r="AK55" s="254"/>
      <c r="AL55" s="728"/>
      <c r="AM55" s="220"/>
      <c r="AN55" s="254"/>
      <c r="AO55" s="728"/>
      <c r="AP55" s="340"/>
      <c r="AQ55" s="719"/>
      <c r="AR55" s="728"/>
      <c r="AS55" s="340"/>
      <c r="AT55" s="719"/>
      <c r="AU55" s="728"/>
      <c r="AV55" s="340"/>
      <c r="AW55" s="719"/>
      <c r="AX55" s="728"/>
      <c r="AY55" s="340"/>
      <c r="AZ55" s="719"/>
      <c r="BA55" s="728"/>
      <c r="BB55" s="340"/>
      <c r="BC55" s="719"/>
      <c r="BD55" s="728"/>
      <c r="BE55" s="340"/>
      <c r="BF55" s="719"/>
      <c r="BG55" s="728"/>
      <c r="BH55" s="340"/>
      <c r="BI55" s="719"/>
      <c r="BJ55" s="728"/>
      <c r="BK55" s="340"/>
      <c r="BL55" s="719"/>
      <c r="BM55" s="728"/>
    </row>
    <row r="56" spans="1:67" hidden="1" outlineLevel="1">
      <c r="A56" s="2"/>
      <c r="B56" s="10"/>
      <c r="C56" s="10"/>
      <c r="D56" s="10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221"/>
      <c r="S56" s="228"/>
      <c r="T56" s="745"/>
      <c r="U56" s="221"/>
      <c r="V56" s="228"/>
      <c r="W56" s="745"/>
      <c r="X56" s="221"/>
      <c r="Y56" s="228"/>
      <c r="Z56" s="745"/>
      <c r="AA56" s="10"/>
      <c r="AB56" s="216"/>
      <c r="AC56" s="550"/>
      <c r="AD56" s="10"/>
      <c r="AE56" s="216"/>
      <c r="AF56" s="550"/>
      <c r="AG56" s="10"/>
      <c r="AH56" s="216"/>
      <c r="AI56" s="550"/>
      <c r="AJ56" s="10"/>
      <c r="AK56" s="216"/>
      <c r="AL56" s="550"/>
      <c r="AM56" s="10"/>
      <c r="AN56" s="216"/>
      <c r="AO56" s="550"/>
      <c r="AP56"/>
      <c r="AQ56" s="539"/>
      <c r="AR56" s="550"/>
      <c r="AS56"/>
      <c r="AT56" s="539"/>
      <c r="AU56" s="550"/>
      <c r="AV56"/>
      <c r="AW56" s="539"/>
      <c r="AX56" s="550"/>
      <c r="AY56"/>
      <c r="AZ56" s="539"/>
      <c r="BA56" s="550"/>
      <c r="BB56"/>
      <c r="BC56" s="539"/>
      <c r="BD56" s="550"/>
      <c r="BE56"/>
      <c r="BF56" s="539"/>
      <c r="BG56" s="550"/>
      <c r="BH56"/>
      <c r="BI56" s="539"/>
      <c r="BJ56" s="550"/>
      <c r="BK56"/>
      <c r="BL56" s="539"/>
      <c r="BM56" s="550"/>
    </row>
    <row r="57" spans="1:67" ht="12" hidden="1" outlineLevel="1">
      <c r="A57" s="17" t="s">
        <v>372</v>
      </c>
      <c r="B57" s="10"/>
      <c r="C57" s="221">
        <f t="shared" ref="C57:O57" si="97">C37/B37-1</f>
        <v>9.3015873015872996E-2</v>
      </c>
      <c r="D57" s="221">
        <f t="shared" si="97"/>
        <v>-0.20447284345047922</v>
      </c>
      <c r="E57" s="221">
        <f t="shared" si="97"/>
        <v>-1.6429353778751321E-2</v>
      </c>
      <c r="F57" s="221">
        <f t="shared" si="97"/>
        <v>0.12843355605048257</v>
      </c>
      <c r="G57" s="221">
        <f t="shared" si="97"/>
        <v>0.12039473684210522</v>
      </c>
      <c r="H57" s="221">
        <f t="shared" si="97"/>
        <v>0.14709336465061651</v>
      </c>
      <c r="I57" s="221">
        <f t="shared" si="97"/>
        <v>3.3529562324033702E-2</v>
      </c>
      <c r="J57" s="221">
        <f t="shared" si="97"/>
        <v>0.1149083704804359</v>
      </c>
      <c r="K57" s="221">
        <f t="shared" si="97"/>
        <v>-4.6645935139937311E-3</v>
      </c>
      <c r="L57" s="221">
        <f t="shared" si="97"/>
        <v>9.7746038830618165E-2</v>
      </c>
      <c r="M57" s="221">
        <f t="shared" si="97"/>
        <v>0.13275055905671884</v>
      </c>
      <c r="N57" s="221">
        <f t="shared" si="97"/>
        <v>0.15524048815506108</v>
      </c>
      <c r="O57" s="221">
        <f t="shared" si="97"/>
        <v>3.3866708093832631E-2</v>
      </c>
      <c r="P57" s="221">
        <f>P37/O37-1</f>
        <v>2.7347858752817533E-2</v>
      </c>
      <c r="Q57" s="221">
        <f>Q55/P37</f>
        <v>1.4041246160596753E-2</v>
      </c>
      <c r="R57" s="221"/>
      <c r="S57" s="228"/>
      <c r="T57" s="745">
        <f>T55/Q37</f>
        <v>1.9327852300591374E-2</v>
      </c>
      <c r="U57" s="221"/>
      <c r="V57" s="228"/>
      <c r="W57" s="745">
        <f>+W37/T37-1</f>
        <v>0.135276637894439</v>
      </c>
      <c r="X57" s="221"/>
      <c r="Y57" s="228"/>
      <c r="Z57" s="556"/>
      <c r="AA57" s="221"/>
      <c r="AB57" s="228"/>
      <c r="AC57" s="587"/>
      <c r="AD57" s="221"/>
      <c r="AE57" s="228"/>
      <c r="AF57" s="587"/>
      <c r="AG57" s="221"/>
      <c r="AH57" s="228"/>
      <c r="AI57" s="587"/>
      <c r="AJ57" s="221"/>
      <c r="AK57" s="228"/>
      <c r="AL57" s="587"/>
      <c r="AM57" s="221"/>
      <c r="AN57" s="228"/>
      <c r="AO57" s="587"/>
      <c r="AP57" s="44"/>
      <c r="AQ57" s="546"/>
      <c r="AR57" s="587"/>
      <c r="AS57" s="44"/>
      <c r="AT57" s="546"/>
      <c r="AU57" s="587"/>
      <c r="AV57" s="44"/>
      <c r="AW57" s="546"/>
      <c r="AX57" s="587"/>
      <c r="AY57" s="44"/>
      <c r="AZ57" s="546"/>
      <c r="BA57" s="587"/>
      <c r="BB57" s="44"/>
      <c r="BC57" s="546"/>
      <c r="BD57" s="587"/>
      <c r="BE57" s="44"/>
      <c r="BF57" s="546"/>
      <c r="BG57" s="587"/>
      <c r="BH57" s="44"/>
      <c r="BI57" s="546"/>
      <c r="BJ57" s="587"/>
      <c r="BK57" s="44"/>
      <c r="BL57" s="546"/>
      <c r="BM57" s="587"/>
      <c r="BN57" s="130"/>
      <c r="BO57" s="130"/>
    </row>
    <row r="58" spans="1:67" ht="11.4" hidden="1" outlineLevel="1">
      <c r="A58" s="6" t="s">
        <v>371</v>
      </c>
      <c r="B58" s="10"/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86">
        <f>Q53/P37</f>
        <v>2.9398859148749453E-2</v>
      </c>
      <c r="R58" s="186"/>
      <c r="S58" s="217"/>
      <c r="T58" s="554">
        <f>T53/Q37</f>
        <v>-3.8944180008654264E-3</v>
      </c>
      <c r="U58" s="186"/>
      <c r="V58" s="217"/>
      <c r="W58" s="554">
        <f>+W57-W61</f>
        <v>0.13202988464768572</v>
      </c>
      <c r="X58" s="186"/>
      <c r="Y58" s="217"/>
      <c r="Z58" s="554"/>
      <c r="AA58" s="186"/>
      <c r="AB58" s="217"/>
      <c r="AC58" s="609"/>
      <c r="AD58" s="186"/>
      <c r="AE58" s="217"/>
      <c r="AF58" s="609"/>
      <c r="AG58" s="186"/>
      <c r="AH58" s="217"/>
      <c r="AI58" s="609"/>
      <c r="AJ58" s="186"/>
      <c r="AK58" s="217"/>
      <c r="AL58" s="609"/>
      <c r="AM58" s="186"/>
      <c r="AN58" s="217"/>
      <c r="AO58" s="609"/>
      <c r="AP58" s="176"/>
      <c r="AQ58" s="590"/>
      <c r="AR58" s="609"/>
      <c r="AS58" s="176"/>
      <c r="AT58" s="590"/>
      <c r="AU58" s="609"/>
      <c r="AV58" s="176"/>
      <c r="AW58" s="590"/>
      <c r="AX58" s="609"/>
      <c r="AY58" s="176"/>
      <c r="AZ58" s="590"/>
      <c r="BA58" s="609"/>
      <c r="BB58" s="176"/>
      <c r="BC58" s="590"/>
      <c r="BD58" s="609"/>
      <c r="BE58" s="176"/>
      <c r="BF58" s="590"/>
      <c r="BG58" s="609"/>
      <c r="BH58" s="176"/>
      <c r="BI58" s="590"/>
      <c r="BJ58" s="609"/>
      <c r="BK58" s="176"/>
      <c r="BL58" s="590"/>
      <c r="BM58" s="609"/>
      <c r="BN58" s="115"/>
      <c r="BO58" s="115"/>
    </row>
    <row r="59" spans="1:67" ht="11.4" hidden="1" outlineLevel="1">
      <c r="A59" s="36" t="s">
        <v>369</v>
      </c>
      <c r="B59" s="10"/>
      <c r="C59" s="10"/>
      <c r="D59" s="10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86">
        <f>Q43/P26</f>
        <v>-3.3785734911926074E-2</v>
      </c>
      <c r="R59" s="186"/>
      <c r="S59" s="217"/>
      <c r="T59" s="554">
        <f>T43/Q26</f>
        <v>4.2971147943523637E-3</v>
      </c>
      <c r="U59" s="186"/>
      <c r="V59" s="217"/>
      <c r="W59" s="554">
        <f>+'Civil OE'!W11</f>
        <v>0.13407823930612128</v>
      </c>
      <c r="X59" s="186"/>
      <c r="Y59" s="217"/>
      <c r="Z59" s="554"/>
      <c r="AA59" s="186"/>
      <c r="AB59" s="217"/>
      <c r="AC59" s="609"/>
      <c r="AD59" s="186"/>
      <c r="AE59" s="217"/>
      <c r="AF59" s="609"/>
      <c r="AG59" s="186"/>
      <c r="AH59" s="217"/>
      <c r="AI59" s="609"/>
      <c r="AJ59" s="186"/>
      <c r="AK59" s="217"/>
      <c r="AL59" s="609"/>
      <c r="AM59" s="186"/>
      <c r="AN59" s="217"/>
      <c r="AO59" s="609"/>
      <c r="AP59" s="176"/>
      <c r="AQ59" s="590"/>
      <c r="AR59" s="609"/>
      <c r="AS59" s="176"/>
      <c r="AT59" s="590"/>
      <c r="AU59" s="609"/>
      <c r="AV59" s="176"/>
      <c r="AW59" s="590"/>
      <c r="AX59" s="609"/>
      <c r="AY59" s="176"/>
      <c r="AZ59" s="590"/>
      <c r="BA59" s="609"/>
      <c r="BB59" s="176"/>
      <c r="BC59" s="590"/>
      <c r="BD59" s="609"/>
      <c r="BE59" s="176"/>
      <c r="BF59" s="590"/>
      <c r="BG59" s="609"/>
      <c r="BH59" s="176"/>
      <c r="BI59" s="590"/>
      <c r="BJ59" s="609"/>
      <c r="BK59" s="176"/>
      <c r="BL59" s="590"/>
      <c r="BM59" s="609"/>
      <c r="BN59" s="115"/>
      <c r="BO59" s="115"/>
    </row>
    <row r="60" spans="1:67" ht="11.4" hidden="1" outlineLevel="1">
      <c r="A60" s="36" t="s">
        <v>370</v>
      </c>
      <c r="B60" s="10"/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86">
        <f>Q48/P31</f>
        <v>9.4250148192056904E-2</v>
      </c>
      <c r="R60" s="186"/>
      <c r="S60" s="217"/>
      <c r="T60" s="554">
        <f>T48/Q31</f>
        <v>-1.1156462585034013E-2</v>
      </c>
      <c r="U60" s="186"/>
      <c r="V60" s="217"/>
      <c r="W60" s="554">
        <f>+'Civil AM'!W10</f>
        <v>7.290281860204173E-2</v>
      </c>
      <c r="X60" s="186"/>
      <c r="Y60" s="217"/>
      <c r="Z60" s="554"/>
      <c r="AA60" s="186"/>
      <c r="AB60" s="217"/>
      <c r="AC60" s="609"/>
      <c r="AD60" s="186"/>
      <c r="AE60" s="217"/>
      <c r="AF60" s="609"/>
      <c r="AG60" s="186"/>
      <c r="AH60" s="217"/>
      <c r="AI60" s="609"/>
      <c r="AJ60" s="186"/>
      <c r="AK60" s="217"/>
      <c r="AL60" s="609"/>
      <c r="AM60" s="186"/>
      <c r="AN60" s="217"/>
      <c r="AO60" s="609"/>
      <c r="AP60" s="176"/>
      <c r="AQ60" s="590"/>
      <c r="AR60" s="609"/>
      <c r="AS60" s="176"/>
      <c r="AT60" s="590"/>
      <c r="AU60" s="609"/>
      <c r="AV60" s="176"/>
      <c r="AW60" s="590"/>
      <c r="AX60" s="609"/>
      <c r="AY60" s="176"/>
      <c r="AZ60" s="590"/>
      <c r="BA60" s="609"/>
      <c r="BB60" s="176"/>
      <c r="BC60" s="590"/>
      <c r="BD60" s="609"/>
      <c r="BE60" s="176"/>
      <c r="BF60" s="590"/>
      <c r="BG60" s="609"/>
      <c r="BH60" s="176"/>
      <c r="BI60" s="590"/>
      <c r="BJ60" s="609"/>
      <c r="BK60" s="176"/>
      <c r="BL60" s="590"/>
      <c r="BM60" s="609"/>
      <c r="BN60" s="115"/>
      <c r="BO60" s="115"/>
    </row>
    <row r="61" spans="1:67" ht="11.4" hidden="1" outlineLevel="1">
      <c r="A61" s="6" t="s">
        <v>393</v>
      </c>
      <c r="B61" s="10"/>
      <c r="C61" s="10"/>
      <c r="D61" s="10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/>
      <c r="Q61" s="186">
        <f>Q54/P37</f>
        <v>-1.5357612988152698E-2</v>
      </c>
      <c r="R61" s="186"/>
      <c r="S61" s="217"/>
      <c r="T61" s="554">
        <f>T54/Q37</f>
        <v>2.32222703014568E-2</v>
      </c>
      <c r="U61" s="186"/>
      <c r="V61" s="217"/>
      <c r="W61" s="554">
        <f>+'Civil OE'!W70</f>
        <v>3.2467532467532756E-3</v>
      </c>
      <c r="X61" s="186"/>
      <c r="Y61" s="217"/>
      <c r="Z61" s="554"/>
      <c r="AA61" s="186"/>
      <c r="AB61" s="217"/>
      <c r="AC61" s="609"/>
      <c r="AD61" s="186"/>
      <c r="AE61" s="217"/>
      <c r="AF61" s="609"/>
      <c r="AG61" s="186"/>
      <c r="AH61" s="217"/>
      <c r="AI61" s="609"/>
      <c r="AJ61" s="186"/>
      <c r="AK61" s="217"/>
      <c r="AL61" s="609"/>
      <c r="AM61" s="186"/>
      <c r="AN61" s="217"/>
      <c r="AO61" s="609"/>
      <c r="AP61" s="176"/>
      <c r="AQ61" s="590"/>
      <c r="AR61" s="609"/>
      <c r="AS61" s="176"/>
      <c r="AT61" s="590"/>
      <c r="AU61" s="609"/>
      <c r="AV61" s="176"/>
      <c r="AW61" s="590"/>
      <c r="AX61" s="609"/>
      <c r="AY61" s="176"/>
      <c r="AZ61" s="590"/>
      <c r="BA61" s="609"/>
      <c r="BB61" s="176"/>
      <c r="BC61" s="590"/>
      <c r="BD61" s="609"/>
      <c r="BE61" s="176"/>
      <c r="BF61" s="590"/>
      <c r="BG61" s="609"/>
      <c r="BH61" s="176"/>
      <c r="BI61" s="590"/>
      <c r="BJ61" s="609"/>
      <c r="BK61" s="176"/>
      <c r="BL61" s="590"/>
      <c r="BM61" s="609"/>
      <c r="BN61" s="115"/>
      <c r="BO61" s="115"/>
    </row>
    <row r="62" spans="1:67" hidden="1" outlineLevel="1">
      <c r="A62" s="13"/>
      <c r="B62" s="10"/>
      <c r="C62" s="10"/>
      <c r="D62" s="10"/>
      <c r="E62" s="10"/>
      <c r="F62" s="10"/>
      <c r="G62" s="10"/>
      <c r="H62" s="10"/>
      <c r="I62" s="10"/>
      <c r="J62" s="10"/>
      <c r="K62" s="10"/>
      <c r="L62" s="10"/>
      <c r="M62" s="10"/>
      <c r="N62" s="10"/>
      <c r="O62" s="10"/>
      <c r="P62" s="10"/>
      <c r="Q62" s="10"/>
      <c r="R62" s="10"/>
      <c r="S62" s="216"/>
      <c r="T62" s="556"/>
      <c r="U62" s="10"/>
      <c r="V62" s="216"/>
      <c r="W62" s="556"/>
      <c r="X62" s="10"/>
      <c r="Y62" s="216"/>
      <c r="Z62" s="556"/>
      <c r="AA62" s="10"/>
      <c r="AB62" s="216"/>
      <c r="AC62" s="550"/>
      <c r="AD62" s="10"/>
      <c r="AE62" s="216"/>
      <c r="AF62" s="550"/>
      <c r="AG62" s="10"/>
      <c r="AH62" s="216"/>
      <c r="AI62" s="550"/>
      <c r="AJ62" s="10"/>
      <c r="AK62" s="216"/>
      <c r="AL62" s="550"/>
      <c r="AM62" s="10"/>
      <c r="AN62" s="216"/>
      <c r="AO62" s="550"/>
      <c r="AP62"/>
      <c r="AQ62" s="539"/>
      <c r="AR62" s="550"/>
      <c r="AS62"/>
      <c r="AT62" s="539"/>
      <c r="AU62" s="550"/>
      <c r="AV62"/>
      <c r="AW62" s="539"/>
      <c r="AX62" s="550"/>
      <c r="AY62"/>
      <c r="AZ62" s="539"/>
      <c r="BA62" s="550"/>
      <c r="BB62"/>
      <c r="BC62" s="539"/>
      <c r="BD62" s="550"/>
      <c r="BE62"/>
      <c r="BF62" s="539"/>
      <c r="BG62" s="550"/>
      <c r="BH62"/>
      <c r="BI62" s="539"/>
      <c r="BJ62" s="550"/>
      <c r="BK62"/>
      <c r="BL62" s="539"/>
      <c r="BM62" s="550"/>
    </row>
    <row r="63" spans="1:67" hidden="1" outlineLevel="1">
      <c r="A63" s="13" t="s">
        <v>569</v>
      </c>
      <c r="B63" s="10"/>
      <c r="C63" s="10"/>
      <c r="D63" s="10"/>
      <c r="E63" s="10"/>
      <c r="F63" s="10"/>
      <c r="G63" s="10"/>
      <c r="H63" s="10"/>
      <c r="I63" s="10"/>
      <c r="J63" s="10"/>
      <c r="K63" s="10"/>
      <c r="L63" s="10"/>
      <c r="M63" s="10"/>
      <c r="N63" s="10"/>
      <c r="O63" s="10"/>
      <c r="P63" s="10"/>
      <c r="Q63" s="10">
        <f>+'Civil OE'!Q31</f>
        <v>1006.53857331572</v>
      </c>
      <c r="R63" s="10"/>
      <c r="S63" s="216"/>
      <c r="T63" s="556">
        <f>+'Civil OE'!T31</f>
        <v>723.4</v>
      </c>
      <c r="U63" s="10"/>
      <c r="V63" s="216"/>
      <c r="W63" s="556">
        <f>+'Civil OE'!W31</f>
        <v>555.9</v>
      </c>
      <c r="X63" s="10"/>
      <c r="Y63" s="216"/>
      <c r="Z63" s="556"/>
      <c r="AA63" s="10"/>
      <c r="AB63" s="216"/>
      <c r="AC63" s="550"/>
      <c r="AD63" s="10"/>
      <c r="AE63" s="216"/>
      <c r="AF63" s="550"/>
      <c r="AG63" s="10"/>
      <c r="AH63" s="216"/>
      <c r="AI63" s="550"/>
      <c r="AJ63" s="10"/>
      <c r="AK63" s="216"/>
      <c r="AL63" s="550"/>
      <c r="AM63" s="10"/>
      <c r="AN63" s="216"/>
      <c r="AO63" s="550"/>
      <c r="AP63"/>
      <c r="AQ63" s="539"/>
      <c r="AR63" s="550"/>
      <c r="AS63"/>
      <c r="AT63" s="539"/>
      <c r="AU63" s="550"/>
      <c r="AV63"/>
      <c r="AW63" s="539"/>
      <c r="AX63" s="550"/>
      <c r="AY63"/>
      <c r="AZ63" s="539"/>
      <c r="BA63" s="550"/>
      <c r="BB63"/>
      <c r="BC63" s="539"/>
      <c r="BD63" s="550"/>
      <c r="BE63"/>
      <c r="BF63" s="539"/>
      <c r="BG63" s="550"/>
      <c r="BH63"/>
      <c r="BI63" s="539"/>
      <c r="BJ63" s="550"/>
      <c r="BK63"/>
      <c r="BL63" s="539"/>
      <c r="BM63" s="550"/>
    </row>
    <row r="64" spans="1:67" hidden="1" outlineLevel="1">
      <c r="A64" s="13" t="s">
        <v>570</v>
      </c>
      <c r="B64" s="10"/>
      <c r="C64" s="10"/>
      <c r="D64" s="10"/>
      <c r="E64" s="10"/>
      <c r="F64" s="10"/>
      <c r="G64" s="10"/>
      <c r="H64" s="10"/>
      <c r="I64" s="10"/>
      <c r="J64" s="10"/>
      <c r="K64" s="10"/>
      <c r="L64" s="10"/>
      <c r="M64" s="10"/>
      <c r="N64" s="10"/>
      <c r="O64" s="10"/>
      <c r="P64" s="10"/>
      <c r="Q64" s="10"/>
      <c r="R64" s="10"/>
      <c r="S64" s="216"/>
      <c r="T64" s="556"/>
      <c r="U64" s="10"/>
      <c r="V64" s="216"/>
      <c r="W64" s="556"/>
      <c r="X64" s="10"/>
      <c r="Y64" s="216"/>
      <c r="Z64" s="556"/>
      <c r="AA64" s="10"/>
      <c r="AB64" s="216"/>
      <c r="AC64" s="550"/>
      <c r="AD64" s="10"/>
      <c r="AE64" s="216"/>
      <c r="AF64" s="550"/>
      <c r="AG64" s="10"/>
      <c r="AH64" s="216"/>
      <c r="AI64" s="550"/>
      <c r="AJ64" s="10"/>
      <c r="AK64" s="216"/>
      <c r="AL64" s="550"/>
      <c r="AM64" s="10"/>
      <c r="AN64" s="216"/>
      <c r="AO64" s="550"/>
      <c r="AP64"/>
      <c r="AQ64" s="539"/>
      <c r="AR64" s="550"/>
      <c r="AS64"/>
      <c r="AT64" s="539"/>
      <c r="AU64" s="550"/>
      <c r="AV64"/>
      <c r="AW64" s="539"/>
      <c r="AX64" s="550"/>
      <c r="AY64"/>
      <c r="AZ64" s="539"/>
      <c r="BA64" s="550"/>
      <c r="BB64"/>
      <c r="BC64" s="539"/>
      <c r="BD64" s="550"/>
      <c r="BE64"/>
      <c r="BF64" s="539"/>
      <c r="BG64" s="550"/>
      <c r="BH64"/>
      <c r="BI64" s="539"/>
      <c r="BJ64" s="550"/>
      <c r="BK64"/>
      <c r="BL64" s="539"/>
      <c r="BM64" s="550"/>
    </row>
    <row r="65" spans="1:69" hidden="1" outlineLevel="1">
      <c r="A65" s="2" t="s">
        <v>567</v>
      </c>
      <c r="B65" s="10"/>
      <c r="C65" s="10"/>
      <c r="D65" s="10"/>
      <c r="E65" s="10"/>
      <c r="F65" s="10"/>
      <c r="G65" s="10"/>
      <c r="H65" s="10"/>
      <c r="I65" s="10"/>
      <c r="J65" s="10"/>
      <c r="K65" s="10"/>
      <c r="L65" s="10"/>
      <c r="M65" s="10"/>
      <c r="N65" s="10"/>
      <c r="O65" s="10"/>
      <c r="P65" s="10"/>
      <c r="Q65" s="27">
        <f>Q63+Q64</f>
        <v>1006.53857331572</v>
      </c>
      <c r="R65" s="27"/>
      <c r="S65" s="218"/>
      <c r="T65" s="553">
        <f>T63+T64</f>
        <v>723.4</v>
      </c>
      <c r="U65" s="27"/>
      <c r="V65" s="218"/>
      <c r="W65" s="553">
        <f>W63+W64</f>
        <v>555.9</v>
      </c>
      <c r="X65" s="27"/>
      <c r="Y65" s="218"/>
      <c r="Z65" s="553"/>
      <c r="AA65" s="27"/>
      <c r="AB65" s="218"/>
      <c r="AC65" s="578"/>
      <c r="AD65" s="27"/>
      <c r="AE65" s="218"/>
      <c r="AF65" s="578"/>
      <c r="AG65" s="27"/>
      <c r="AH65" s="218"/>
      <c r="AI65" s="578"/>
      <c r="AJ65" s="27"/>
      <c r="AK65" s="218"/>
      <c r="AL65" s="578"/>
      <c r="AM65" s="27"/>
      <c r="AN65" s="218"/>
      <c r="AO65" s="578"/>
      <c r="AP65" s="2"/>
      <c r="AQ65" s="541"/>
      <c r="AR65" s="578"/>
      <c r="AS65" s="2"/>
      <c r="AT65" s="541"/>
      <c r="AU65" s="578"/>
      <c r="AV65" s="2"/>
      <c r="AW65" s="541"/>
      <c r="AX65" s="578"/>
      <c r="AY65" s="2"/>
      <c r="AZ65" s="541"/>
      <c r="BA65" s="578"/>
      <c r="BB65" s="2"/>
      <c r="BC65" s="541"/>
      <c r="BD65" s="578"/>
      <c r="BE65" s="2"/>
      <c r="BF65" s="541"/>
      <c r="BG65" s="578"/>
      <c r="BH65" s="2"/>
      <c r="BI65" s="541"/>
      <c r="BJ65" s="578"/>
      <c r="BK65" s="2"/>
      <c r="BL65" s="541"/>
      <c r="BM65" s="578"/>
    </row>
    <row r="66" spans="1:69" hidden="1" outlineLevel="1">
      <c r="A66" t="s">
        <v>568</v>
      </c>
      <c r="B66" s="10"/>
      <c r="C66" s="10"/>
      <c r="D66" s="10"/>
      <c r="E66" s="10"/>
      <c r="F66" s="10"/>
      <c r="G66" s="10"/>
      <c r="H66" s="10"/>
      <c r="I66" s="10"/>
      <c r="J66" s="10"/>
      <c r="K66" s="10"/>
      <c r="L66" s="10"/>
      <c r="M66" s="10"/>
      <c r="N66" s="10"/>
      <c r="O66" s="10"/>
      <c r="P66" s="10"/>
      <c r="Q66" s="10">
        <f>Q67-Q65</f>
        <v>519.46142668428001</v>
      </c>
      <c r="R66" s="10"/>
      <c r="S66" s="216"/>
      <c r="T66" s="556">
        <f>T67-T65</f>
        <v>461.6</v>
      </c>
      <c r="U66" s="10"/>
      <c r="V66" s="216"/>
      <c r="W66" s="556">
        <f>W67-W65</f>
        <v>636.1</v>
      </c>
      <c r="X66" s="10"/>
      <c r="Y66" s="216"/>
      <c r="Z66" s="556"/>
      <c r="AA66" s="10"/>
      <c r="AB66" s="216"/>
      <c r="AC66" s="580"/>
      <c r="AD66" s="10"/>
      <c r="AE66" s="216"/>
      <c r="AF66" s="580"/>
      <c r="AG66" s="10"/>
      <c r="AH66" s="216"/>
      <c r="AI66" s="580"/>
      <c r="AJ66" s="10"/>
      <c r="AK66" s="216"/>
      <c r="AL66" s="580"/>
      <c r="AM66" s="10"/>
      <c r="AN66" s="216"/>
      <c r="AO66" s="580"/>
      <c r="AP66" s="21"/>
      <c r="AQ66" s="542"/>
      <c r="AR66" s="580"/>
      <c r="AS66" s="21"/>
      <c r="AT66" s="542"/>
      <c r="AU66" s="580"/>
      <c r="AV66" s="21"/>
      <c r="AW66" s="542"/>
      <c r="AX66" s="580"/>
      <c r="AY66" s="21"/>
      <c r="AZ66" s="542"/>
      <c r="BA66" s="580"/>
      <c r="BB66" s="21"/>
      <c r="BC66" s="542"/>
      <c r="BD66" s="580"/>
      <c r="BE66" s="21"/>
      <c r="BF66" s="542"/>
      <c r="BG66" s="580"/>
      <c r="BH66" s="21"/>
      <c r="BI66" s="542"/>
      <c r="BJ66" s="580"/>
      <c r="BK66" s="21"/>
      <c r="BL66" s="542"/>
      <c r="BM66" s="580"/>
    </row>
    <row r="67" spans="1:69" hidden="1" outlineLevel="1">
      <c r="A67" s="9" t="s">
        <v>270</v>
      </c>
      <c r="B67" s="338"/>
      <c r="C67" s="338"/>
      <c r="D67" s="338"/>
      <c r="E67" s="338"/>
      <c r="F67" s="338"/>
      <c r="G67" s="338"/>
      <c r="H67" s="338"/>
      <c r="I67" s="338"/>
      <c r="J67" s="338"/>
      <c r="K67" s="338"/>
      <c r="L67" s="338"/>
      <c r="M67" s="338"/>
      <c r="N67" s="338"/>
      <c r="O67" s="338"/>
      <c r="P67" s="22">
        <f>P6</f>
        <v>1675</v>
      </c>
      <c r="Q67" s="22">
        <f>Q6</f>
        <v>1526</v>
      </c>
      <c r="R67" s="22"/>
      <c r="S67" s="227"/>
      <c r="T67" s="557">
        <f>T6</f>
        <v>1185</v>
      </c>
      <c r="U67" s="22"/>
      <c r="V67" s="227"/>
      <c r="W67" s="557">
        <f>W6</f>
        <v>1192</v>
      </c>
      <c r="X67" s="22"/>
      <c r="Y67" s="227"/>
      <c r="Z67" s="557"/>
      <c r="AA67" s="22"/>
      <c r="AB67" s="227"/>
      <c r="AC67" s="727"/>
      <c r="AD67" s="22"/>
      <c r="AE67" s="227"/>
      <c r="AF67" s="727"/>
      <c r="AG67" s="22"/>
      <c r="AH67" s="227"/>
      <c r="AI67" s="727"/>
      <c r="AJ67" s="22"/>
      <c r="AK67" s="227"/>
      <c r="AL67" s="727"/>
      <c r="AM67" s="22"/>
      <c r="AN67" s="227"/>
      <c r="AO67" s="727"/>
      <c r="AP67" s="9"/>
      <c r="AQ67" s="718"/>
      <c r="AR67" s="727"/>
      <c r="AS67" s="9"/>
      <c r="AT67" s="718"/>
      <c r="AU67" s="727"/>
      <c r="AV67" s="9"/>
      <c r="AW67" s="718"/>
      <c r="AX67" s="727"/>
      <c r="AY67" s="9"/>
      <c r="AZ67" s="718"/>
      <c r="BA67" s="727"/>
      <c r="BB67" s="9"/>
      <c r="BC67" s="718"/>
      <c r="BD67" s="727"/>
      <c r="BE67" s="9"/>
      <c r="BF67" s="718"/>
      <c r="BG67" s="727"/>
      <c r="BH67" s="9"/>
      <c r="BI67" s="718"/>
      <c r="BJ67" s="727"/>
      <c r="BK67" s="9"/>
      <c r="BL67" s="718"/>
      <c r="BM67" s="727"/>
    </row>
    <row r="68" spans="1:69" ht="11.4" hidden="1" outlineLevel="1">
      <c r="A68" s="29" t="s">
        <v>273</v>
      </c>
      <c r="B68" s="10"/>
      <c r="C68" s="10"/>
      <c r="D68" s="10"/>
      <c r="E68" s="10"/>
      <c r="F68" s="10"/>
      <c r="G68" s="10"/>
      <c r="H68" s="10"/>
      <c r="I68" s="10"/>
      <c r="J68" s="10"/>
      <c r="K68" s="10"/>
      <c r="L68" s="10"/>
      <c r="M68" s="10"/>
      <c r="N68" s="10"/>
      <c r="O68" s="10"/>
      <c r="P68" s="165">
        <f>+P67/P37</f>
        <v>0.24499049290624542</v>
      </c>
      <c r="Q68" s="165">
        <f>+Q67/Q37</f>
        <v>0.22010673590076446</v>
      </c>
      <c r="R68" s="165"/>
      <c r="S68" s="229"/>
      <c r="T68" s="559">
        <f>+T67/T37</f>
        <v>0.16768076977501062</v>
      </c>
      <c r="U68" s="165"/>
      <c r="V68" s="229"/>
      <c r="W68" s="559">
        <f>+W67/W37</f>
        <v>0.14857285304748846</v>
      </c>
      <c r="X68" s="165"/>
      <c r="Y68" s="229"/>
      <c r="Z68" s="559"/>
      <c r="AA68" s="165"/>
      <c r="AB68" s="229"/>
      <c r="AC68" s="560"/>
      <c r="AD68" s="165"/>
      <c r="AE68" s="229"/>
      <c r="AF68" s="560"/>
      <c r="AG68" s="165"/>
      <c r="AH68" s="229"/>
      <c r="AI68" s="560"/>
      <c r="AJ68" s="165"/>
      <c r="AK68" s="229"/>
      <c r="AL68" s="560"/>
      <c r="AM68" s="165"/>
      <c r="AN68" s="229"/>
      <c r="AO68" s="560"/>
      <c r="AP68" s="177"/>
      <c r="AQ68" s="214"/>
      <c r="AR68" s="560"/>
      <c r="AS68" s="177"/>
      <c r="AT68" s="214"/>
      <c r="AU68" s="560"/>
      <c r="AV68" s="177"/>
      <c r="AW68" s="214"/>
      <c r="AX68" s="560"/>
      <c r="AY68" s="177"/>
      <c r="AZ68" s="214"/>
      <c r="BA68" s="560"/>
      <c r="BB68" s="177"/>
      <c r="BC68" s="214"/>
      <c r="BD68" s="560"/>
      <c r="BE68" s="177"/>
      <c r="BF68" s="214"/>
      <c r="BG68" s="560"/>
      <c r="BH68" s="177"/>
      <c r="BI68" s="214"/>
      <c r="BJ68" s="560"/>
      <c r="BK68" s="177"/>
      <c r="BL68" s="214"/>
      <c r="BM68" s="560"/>
      <c r="BN68" s="115"/>
      <c r="BO68" s="115"/>
    </row>
    <row r="69" spans="1:69" hidden="1" outlineLevel="1">
      <c r="A69" s="13"/>
      <c r="B69" s="10"/>
      <c r="C69" s="10"/>
      <c r="D69" s="10"/>
      <c r="E69" s="10"/>
      <c r="F69" s="10"/>
      <c r="G69" s="10"/>
      <c r="H69" s="10"/>
      <c r="I69" s="10"/>
      <c r="J69" s="10"/>
      <c r="K69" s="10"/>
      <c r="L69" s="10"/>
      <c r="M69" s="10"/>
      <c r="N69" s="10"/>
      <c r="O69" s="10"/>
      <c r="P69" s="10"/>
      <c r="Q69" s="10"/>
      <c r="R69" s="10"/>
      <c r="S69" s="216"/>
      <c r="T69" s="556"/>
      <c r="U69" s="10"/>
      <c r="V69" s="216"/>
      <c r="W69" s="556"/>
      <c r="X69" s="10"/>
      <c r="Y69" s="216"/>
      <c r="Z69" s="556"/>
      <c r="AA69" s="10"/>
      <c r="AB69" s="216"/>
      <c r="AC69" s="550"/>
      <c r="AD69" s="10"/>
      <c r="AE69" s="216"/>
      <c r="AF69" s="550"/>
      <c r="AG69" s="10"/>
      <c r="AH69" s="216"/>
      <c r="AI69" s="550"/>
      <c r="AJ69" s="10"/>
      <c r="AK69" s="216"/>
      <c r="AL69" s="550"/>
      <c r="AM69" s="10"/>
      <c r="AN69" s="216"/>
      <c r="AO69" s="550"/>
      <c r="AP69"/>
      <c r="AQ69" s="539"/>
      <c r="AR69" s="550"/>
      <c r="AS69"/>
      <c r="AT69" s="539"/>
      <c r="AU69" s="550"/>
      <c r="AV69"/>
      <c r="AW69" s="539"/>
      <c r="AX69" s="550"/>
      <c r="AY69"/>
      <c r="AZ69" s="539"/>
      <c r="BA69" s="550"/>
      <c r="BB69"/>
      <c r="BC69" s="539"/>
      <c r="BD69" s="550"/>
      <c r="BE69"/>
      <c r="BF69" s="539"/>
      <c r="BG69" s="550"/>
      <c r="BH69"/>
      <c r="BI69" s="539"/>
      <c r="BJ69" s="550"/>
      <c r="BK69"/>
      <c r="BL69" s="539"/>
      <c r="BM69" s="550"/>
    </row>
    <row r="70" spans="1:69" collapsed="1">
      <c r="A70" s="310" t="s">
        <v>566</v>
      </c>
      <c r="B70" s="311"/>
      <c r="C70" s="311"/>
      <c r="D70" s="311"/>
      <c r="E70" s="311"/>
      <c r="F70" s="311"/>
      <c r="G70" s="311"/>
      <c r="H70" s="311"/>
      <c r="I70" s="311"/>
      <c r="J70" s="311"/>
      <c r="K70" s="311"/>
      <c r="L70" s="311"/>
      <c r="M70" s="311"/>
      <c r="N70" s="311"/>
      <c r="O70" s="311"/>
      <c r="P70" s="311">
        <f t="shared" ref="P70:BM70" si="98">P1</f>
        <v>2014</v>
      </c>
      <c r="Q70" s="311">
        <f t="shared" si="98"/>
        <v>2015</v>
      </c>
      <c r="R70" s="948" t="str">
        <f t="shared" si="98"/>
        <v>1H16</v>
      </c>
      <c r="S70" s="321" t="str">
        <f t="shared" si="98"/>
        <v>2H16</v>
      </c>
      <c r="T70" s="566">
        <f t="shared" si="98"/>
        <v>2016</v>
      </c>
      <c r="U70" s="948" t="str">
        <f t="shared" si="98"/>
        <v>1H17</v>
      </c>
      <c r="V70" s="321" t="str">
        <f t="shared" si="98"/>
        <v>2H17</v>
      </c>
      <c r="W70" s="566">
        <f t="shared" si="98"/>
        <v>2017</v>
      </c>
      <c r="X70" s="948" t="str">
        <f t="shared" si="98"/>
        <v>1H17</v>
      </c>
      <c r="Y70" s="321" t="str">
        <f t="shared" si="98"/>
        <v>2H17</v>
      </c>
      <c r="Z70" s="566">
        <f t="shared" si="98"/>
        <v>2017</v>
      </c>
      <c r="AA70" s="948" t="str">
        <f t="shared" si="98"/>
        <v>1H18</v>
      </c>
      <c r="AB70" s="321" t="str">
        <f t="shared" si="98"/>
        <v>2H18</v>
      </c>
      <c r="AC70" s="566">
        <f t="shared" si="98"/>
        <v>2018</v>
      </c>
      <c r="AD70" s="948" t="str">
        <f t="shared" si="98"/>
        <v>1H19</v>
      </c>
      <c r="AE70" s="321" t="str">
        <f t="shared" si="98"/>
        <v>2H19</v>
      </c>
      <c r="AF70" s="566">
        <f t="shared" si="98"/>
        <v>2019</v>
      </c>
      <c r="AG70" s="948" t="str">
        <f t="shared" si="98"/>
        <v>1H20</v>
      </c>
      <c r="AH70" s="321" t="str">
        <f t="shared" si="98"/>
        <v>2H20</v>
      </c>
      <c r="AI70" s="566">
        <f t="shared" si="98"/>
        <v>2020</v>
      </c>
      <c r="AJ70" s="948" t="str">
        <f t="shared" si="98"/>
        <v>1H21</v>
      </c>
      <c r="AK70" s="321" t="str">
        <f t="shared" si="98"/>
        <v>2H21</v>
      </c>
      <c r="AL70" s="566">
        <f t="shared" si="98"/>
        <v>2021</v>
      </c>
      <c r="AM70" s="948" t="str">
        <f t="shared" si="98"/>
        <v>1H22</v>
      </c>
      <c r="AN70" s="321" t="str">
        <f t="shared" si="98"/>
        <v>2H22</v>
      </c>
      <c r="AO70" s="566">
        <f t="shared" si="98"/>
        <v>2022</v>
      </c>
      <c r="AP70" s="948" t="str">
        <f t="shared" si="98"/>
        <v>1H23</v>
      </c>
      <c r="AQ70" s="321" t="str">
        <f t="shared" si="98"/>
        <v>2H23</v>
      </c>
      <c r="AR70" s="566">
        <f t="shared" si="98"/>
        <v>2023</v>
      </c>
      <c r="AS70" s="948" t="str">
        <f t="shared" si="98"/>
        <v>1H24</v>
      </c>
      <c r="AT70" s="321" t="str">
        <f t="shared" ref="AT70" si="99">AT1</f>
        <v>2H24</v>
      </c>
      <c r="AU70" s="566">
        <f t="shared" si="98"/>
        <v>2024</v>
      </c>
      <c r="AV70" s="948" t="str">
        <f t="shared" si="98"/>
        <v>1H25</v>
      </c>
      <c r="AW70" s="321" t="str">
        <f t="shared" ref="AW70" si="100">AW1</f>
        <v>2H25</v>
      </c>
      <c r="AX70" s="566">
        <f t="shared" si="98"/>
        <v>2025</v>
      </c>
      <c r="AY70" s="948" t="str">
        <f t="shared" ref="AY70" si="101">AY1</f>
        <v>1H26</v>
      </c>
      <c r="AZ70" s="949" t="str">
        <f t="shared" ref="AZ70" si="102">AZ1</f>
        <v>2H26e</v>
      </c>
      <c r="BA70" s="574">
        <f t="shared" si="98"/>
        <v>2026</v>
      </c>
      <c r="BB70" s="950" t="str">
        <f t="shared" ref="BB70:BC70" si="103">BB1</f>
        <v>1H27e</v>
      </c>
      <c r="BC70" s="949" t="str">
        <f t="shared" si="103"/>
        <v>2H27e</v>
      </c>
      <c r="BD70" s="574">
        <f t="shared" si="98"/>
        <v>2027</v>
      </c>
      <c r="BE70" s="950" t="str">
        <f t="shared" ref="BE70:BF70" si="104">BE1</f>
        <v>1H28e</v>
      </c>
      <c r="BF70" s="949" t="str">
        <f t="shared" si="104"/>
        <v>2H28e</v>
      </c>
      <c r="BG70" s="574">
        <f t="shared" si="98"/>
        <v>2028</v>
      </c>
      <c r="BH70" s="950" t="str">
        <f t="shared" ref="BH70:BI70" si="105">BH1</f>
        <v>1H29e</v>
      </c>
      <c r="BI70" s="949" t="str">
        <f t="shared" si="105"/>
        <v>2H29e</v>
      </c>
      <c r="BJ70" s="574">
        <f t="shared" si="98"/>
        <v>2029</v>
      </c>
      <c r="BK70" s="950" t="str">
        <f t="shared" ref="BK70:BL70" si="106">BK1</f>
        <v>1H30e</v>
      </c>
      <c r="BL70" s="949" t="str">
        <f t="shared" si="106"/>
        <v>2H30e</v>
      </c>
      <c r="BM70" s="574">
        <f t="shared" si="98"/>
        <v>2030</v>
      </c>
    </row>
    <row r="71" spans="1:69" ht="11.4">
      <c r="A71" s="31" t="s">
        <v>283</v>
      </c>
      <c r="B71" s="10"/>
      <c r="C71" s="10"/>
      <c r="D71" s="27"/>
      <c r="E71" s="27"/>
      <c r="F71" s="27"/>
      <c r="G71" s="27"/>
      <c r="H71" s="27"/>
      <c r="I71" s="27"/>
      <c r="J71" s="27"/>
      <c r="K71" s="27"/>
      <c r="L71" s="27"/>
      <c r="M71" s="27"/>
      <c r="N71" s="27"/>
      <c r="O71" s="27"/>
      <c r="P71" s="27"/>
      <c r="Q71" s="27">
        <f>'Civil OE'!Q23</f>
        <v>2370</v>
      </c>
      <c r="R71" s="27">
        <v>1461</v>
      </c>
      <c r="S71" s="218">
        <f>T71-R71</f>
        <v>1080</v>
      </c>
      <c r="T71" s="553">
        <f>'Civil OE'!T23</f>
        <v>2541</v>
      </c>
      <c r="U71" s="27">
        <v>1666</v>
      </c>
      <c r="V71" s="218">
        <f>W71-U71</f>
        <v>2152</v>
      </c>
      <c r="W71" s="553">
        <f>W26</f>
        <v>3818</v>
      </c>
      <c r="X71" s="27">
        <f>X72+X73+X74</f>
        <v>1151</v>
      </c>
      <c r="Y71" s="218">
        <f>Y72+Y73+Y74</f>
        <v>1739</v>
      </c>
      <c r="Z71" s="553">
        <f t="shared" ref="Z71:AL71" si="107">Z72+Z73+Z74</f>
        <v>2890</v>
      </c>
      <c r="AA71" s="27">
        <f>AA72+AA73+AA74</f>
        <v>1530</v>
      </c>
      <c r="AB71" s="218">
        <f>AB72+AB73+AB74</f>
        <v>1589</v>
      </c>
      <c r="AC71" s="553">
        <f t="shared" si="107"/>
        <v>3119</v>
      </c>
      <c r="AD71" s="27">
        <f>AD72+AD73+AD74</f>
        <v>1570</v>
      </c>
      <c r="AE71" s="218">
        <f>AE72+AE73+AE74</f>
        <v>1676</v>
      </c>
      <c r="AF71" s="553">
        <f t="shared" si="107"/>
        <v>3246</v>
      </c>
      <c r="AG71" s="27">
        <f>AG72+AG73+AG74</f>
        <v>1187</v>
      </c>
      <c r="AH71" s="218">
        <f>AH72+AH73+AH74</f>
        <v>1091</v>
      </c>
      <c r="AI71" s="553">
        <f t="shared" si="107"/>
        <v>2278</v>
      </c>
      <c r="AJ71" s="27">
        <f>AJ72+AJ73+AJ74</f>
        <v>722</v>
      </c>
      <c r="AK71" s="218">
        <f>AK72+AK73+AK74</f>
        <v>890</v>
      </c>
      <c r="AL71" s="553">
        <f t="shared" si="107"/>
        <v>1612</v>
      </c>
      <c r="AM71" s="27">
        <f t="shared" ref="AM71:AR71" si="108">AM72+AM73+AM74</f>
        <v>660</v>
      </c>
      <c r="AN71" s="218">
        <f t="shared" si="108"/>
        <v>1322</v>
      </c>
      <c r="AO71" s="553">
        <f t="shared" si="108"/>
        <v>1982</v>
      </c>
      <c r="AP71" s="27">
        <f t="shared" si="108"/>
        <v>1055</v>
      </c>
      <c r="AQ71" s="218">
        <f t="shared" si="108"/>
        <v>1648</v>
      </c>
      <c r="AR71" s="553">
        <f t="shared" si="108"/>
        <v>2703</v>
      </c>
      <c r="AS71" s="27">
        <f t="shared" ref="AS71:AU71" si="109">AS72+AS73+AS74</f>
        <v>1329</v>
      </c>
      <c r="AT71" s="218">
        <f t="shared" si="109"/>
        <v>1776</v>
      </c>
      <c r="AU71" s="553">
        <f t="shared" si="109"/>
        <v>3105</v>
      </c>
      <c r="AV71" s="27">
        <f t="shared" ref="AV71:AX71" si="110">AV72+AV73+AV74</f>
        <v>1478</v>
      </c>
      <c r="AW71" s="218">
        <f t="shared" si="110"/>
        <v>1739</v>
      </c>
      <c r="AX71" s="553">
        <f t="shared" si="110"/>
        <v>3217</v>
      </c>
      <c r="AY71" s="27">
        <f t="shared" ref="AY71" si="111">AY72+AY73+AY74</f>
        <v>2019</v>
      </c>
      <c r="AZ71" s="237">
        <f>'Civil OE'!AW23</f>
        <v>2161.7372731936657</v>
      </c>
      <c r="BA71" s="576">
        <f>'Civil OE'!AX23</f>
        <v>4180.7372731936657</v>
      </c>
      <c r="BB71" s="48">
        <f>'Civil OE'!AY23</f>
        <v>2252.0634639841833</v>
      </c>
      <c r="BC71" s="237">
        <f>'Civil OE'!AZ23</f>
        <v>2341.989775226024</v>
      </c>
      <c r="BD71" s="576">
        <f>'Civil OE'!BA23</f>
        <v>4594.0532392102068</v>
      </c>
      <c r="BE71" s="48">
        <f>'Civil OE'!BB23</f>
        <v>2403.0978672310839</v>
      </c>
      <c r="BF71" s="237">
        <f>'Civil OE'!BC23</f>
        <v>2548.6216876715134</v>
      </c>
      <c r="BG71" s="576">
        <f>'Civil OE'!BD23</f>
        <v>4951.7195549025973</v>
      </c>
      <c r="BH71" s="48">
        <f>'Civil OE'!BE23</f>
        <v>2603.1369305566604</v>
      </c>
      <c r="BI71" s="237">
        <f>'Civil OE'!BF23</f>
        <v>2682.3900981710012</v>
      </c>
      <c r="BJ71" s="576">
        <f>'Civil OE'!BG23</f>
        <v>5285.5270287276617</v>
      </c>
      <c r="BK71" s="48">
        <f>'Civil OE'!BH23</f>
        <v>2745.7576160646968</v>
      </c>
      <c r="BL71" s="237">
        <f>'Civil OE'!BI23</f>
        <v>2701.8472213866044</v>
      </c>
      <c r="BM71" s="576">
        <f>'Civil OE'!BJ23</f>
        <v>5447.6048374513011</v>
      </c>
      <c r="BN71" s="39"/>
      <c r="BO71" s="104"/>
      <c r="BP71" s="23"/>
    </row>
    <row r="72" spans="1:69">
      <c r="A72" s="93" t="s">
        <v>286</v>
      </c>
      <c r="B72" s="10"/>
      <c r="C72" s="10"/>
      <c r="D72" s="27"/>
      <c r="E72" s="27"/>
      <c r="F72" s="27"/>
      <c r="G72" s="27"/>
      <c r="H72" s="27"/>
      <c r="I72" s="27"/>
      <c r="J72" s="27"/>
      <c r="K72" s="27"/>
      <c r="L72" s="27"/>
      <c r="M72" s="27"/>
      <c r="N72" s="27"/>
      <c r="O72" s="27"/>
      <c r="P72" s="27"/>
      <c r="Q72" s="10">
        <f>'Civil OE'!Q20</f>
        <v>1186</v>
      </c>
      <c r="R72" s="10"/>
      <c r="S72" s="216"/>
      <c r="T72" s="556">
        <f>'Civil OE'!T20</f>
        <v>1530</v>
      </c>
      <c r="U72" s="10"/>
      <c r="V72" s="216"/>
      <c r="W72" s="556"/>
      <c r="X72" s="10">
        <v>763</v>
      </c>
      <c r="Y72" s="216">
        <f>Z72-X72</f>
        <v>1326</v>
      </c>
      <c r="Z72" s="556">
        <v>2089</v>
      </c>
      <c r="AA72" s="10">
        <v>1157</v>
      </c>
      <c r="AB72" s="216">
        <f>AC72-AA72</f>
        <v>1216</v>
      </c>
      <c r="AC72" s="556">
        <v>2373</v>
      </c>
      <c r="AD72" s="10">
        <v>1226</v>
      </c>
      <c r="AE72" s="216">
        <f>AF72-AD72</f>
        <v>1342</v>
      </c>
      <c r="AF72" s="556">
        <v>2568</v>
      </c>
      <c r="AG72" s="10">
        <v>854</v>
      </c>
      <c r="AH72" s="216">
        <f>AI72-AG72</f>
        <v>842</v>
      </c>
      <c r="AI72" s="556">
        <v>1696</v>
      </c>
      <c r="AJ72" s="10">
        <v>607</v>
      </c>
      <c r="AK72" s="216">
        <f>AL72-AJ72</f>
        <v>690</v>
      </c>
      <c r="AL72" s="556">
        <v>1297</v>
      </c>
      <c r="AM72" s="10">
        <v>478</v>
      </c>
      <c r="AN72" s="216">
        <f>AO72-AM72</f>
        <v>1038</v>
      </c>
      <c r="AO72" s="556">
        <v>1516</v>
      </c>
      <c r="AP72" s="10">
        <v>828</v>
      </c>
      <c r="AQ72" s="216">
        <f>AR72-AP72</f>
        <v>1211</v>
      </c>
      <c r="AR72" s="556">
        <v>2039</v>
      </c>
      <c r="AS72" s="10">
        <v>845</v>
      </c>
      <c r="AT72" s="216">
        <f>AU72-AS72</f>
        <v>1309</v>
      </c>
      <c r="AU72" s="556">
        <v>2154</v>
      </c>
      <c r="AV72" s="10">
        <v>993</v>
      </c>
      <c r="AW72" s="216">
        <f>AX72-AV72</f>
        <v>1242</v>
      </c>
      <c r="AX72" s="556">
        <v>2235</v>
      </c>
      <c r="AY72" s="10">
        <v>1504</v>
      </c>
      <c r="AZ72" s="236">
        <f>'Civil OE'!AW20</f>
        <v>1573.8488803365228</v>
      </c>
      <c r="BA72" s="605">
        <f>'Civil OE'!AX20</f>
        <v>3077.8488803365226</v>
      </c>
      <c r="BB72" s="56">
        <f>'Civil OE'!AY20</f>
        <v>1681.0650050556119</v>
      </c>
      <c r="BC72" s="236">
        <f>'Civil OE'!AZ20</f>
        <v>1770.9913162974526</v>
      </c>
      <c r="BD72" s="605">
        <f>'Civil OE'!BA20</f>
        <v>3452.056321353064</v>
      </c>
      <c r="BE72" s="56">
        <f>'Civil OE'!BB20</f>
        <v>1793.5902099096552</v>
      </c>
      <c r="BF72" s="236">
        <f>'Civil OE'!BC20</f>
        <v>1939.1140303500847</v>
      </c>
      <c r="BG72" s="605">
        <f>'Civil OE'!BD20</f>
        <v>3732.7042402597399</v>
      </c>
      <c r="BH72" s="56">
        <f>'Civil OE'!BE20</f>
        <v>1953.808106290232</v>
      </c>
      <c r="BI72" s="236">
        <f>'Civil OE'!BF20</f>
        <v>2033.0612739045728</v>
      </c>
      <c r="BJ72" s="605">
        <f>'Civil OE'!BG20</f>
        <v>3986.8693801948048</v>
      </c>
      <c r="BK72" s="56">
        <f>'Civil OE'!BH20</f>
        <v>2055.2585812383968</v>
      </c>
      <c r="BL72" s="236">
        <f>'Civil OE'!BI20</f>
        <v>2011.3481865603044</v>
      </c>
      <c r="BM72" s="605">
        <f>'Civil OE'!BJ20</f>
        <v>4066.6067677987012</v>
      </c>
    </row>
    <row r="73" spans="1:69">
      <c r="A73" s="93" t="s">
        <v>288</v>
      </c>
      <c r="B73" s="10"/>
      <c r="C73" s="10"/>
      <c r="D73" s="10"/>
      <c r="E73" s="10"/>
      <c r="F73" s="10"/>
      <c r="G73" s="10"/>
      <c r="H73" s="10"/>
      <c r="I73" s="10"/>
      <c r="J73" s="10"/>
      <c r="K73" s="10"/>
      <c r="L73" s="10"/>
      <c r="M73" s="10"/>
      <c r="N73" s="10"/>
      <c r="O73" s="10"/>
      <c r="P73" s="10"/>
      <c r="Q73" s="10">
        <f>'Civil OE'!Q21</f>
        <v>903</v>
      </c>
      <c r="R73" s="10"/>
      <c r="S73" s="216"/>
      <c r="T73" s="556">
        <f>'Civil OE'!T21</f>
        <v>757</v>
      </c>
      <c r="U73" s="10"/>
      <c r="V73" s="216"/>
      <c r="W73" s="556"/>
      <c r="X73" s="10">
        <v>284</v>
      </c>
      <c r="Y73" s="216">
        <f t="shared" ref="Y73:Y79" si="112">Z73-X73</f>
        <v>298</v>
      </c>
      <c r="Z73" s="556">
        <v>582</v>
      </c>
      <c r="AA73" s="10">
        <v>305</v>
      </c>
      <c r="AB73" s="216">
        <f t="shared" ref="AB73:AB74" si="113">AC73-AA73</f>
        <v>315</v>
      </c>
      <c r="AC73" s="556">
        <v>620</v>
      </c>
      <c r="AD73" s="10">
        <v>330</v>
      </c>
      <c r="AE73" s="216">
        <f t="shared" ref="AE73:AE74" si="114">AF73-AD73</f>
        <v>313</v>
      </c>
      <c r="AF73" s="556">
        <v>643</v>
      </c>
      <c r="AG73" s="10">
        <v>326</v>
      </c>
      <c r="AH73" s="216">
        <f t="shared" ref="AH73:AH74" si="115">AI73-AG73</f>
        <v>248</v>
      </c>
      <c r="AI73" s="556">
        <v>574</v>
      </c>
      <c r="AJ73" s="10">
        <v>113</v>
      </c>
      <c r="AK73" s="216">
        <f t="shared" ref="AK73:AK74" si="116">AL73-AJ73</f>
        <v>197</v>
      </c>
      <c r="AL73" s="556">
        <v>310</v>
      </c>
      <c r="AM73" s="10">
        <v>175</v>
      </c>
      <c r="AN73" s="216">
        <f t="shared" ref="AN73:AN74" si="117">AO73-AM73</f>
        <v>272</v>
      </c>
      <c r="AO73" s="556">
        <v>447</v>
      </c>
      <c r="AP73" s="10">
        <v>221</v>
      </c>
      <c r="AQ73" s="216">
        <f t="shared" ref="AQ73:AQ74" si="118">AR73-AP73</f>
        <v>436</v>
      </c>
      <c r="AR73" s="556">
        <v>657</v>
      </c>
      <c r="AS73" s="10">
        <v>473</v>
      </c>
      <c r="AT73" s="216">
        <f t="shared" ref="AT73:AT74" si="119">AU73-AS73</f>
        <v>457</v>
      </c>
      <c r="AU73" s="556">
        <v>930</v>
      </c>
      <c r="AV73" s="10">
        <v>473</v>
      </c>
      <c r="AW73" s="216">
        <f t="shared" ref="AW73:AW74" si="120">AX73-AV73</f>
        <v>480</v>
      </c>
      <c r="AX73" s="556">
        <v>953</v>
      </c>
      <c r="AY73" s="10">
        <v>497</v>
      </c>
      <c r="AZ73" s="236">
        <f>+'Civil OE'!AW239</f>
        <v>587.88839285714289</v>
      </c>
      <c r="BA73" s="605">
        <f>+'Civil OE'!AX239</f>
        <v>1084.8883928571429</v>
      </c>
      <c r="BB73" s="56">
        <f>+'Civil OE'!AY239</f>
        <v>570.99845892857138</v>
      </c>
      <c r="BC73" s="236">
        <f>+'Civil OE'!AZ239</f>
        <v>570.99845892857138</v>
      </c>
      <c r="BD73" s="605">
        <f>+'Civil OE'!BA239</f>
        <v>1141.9969178571428</v>
      </c>
      <c r="BE73" s="56">
        <f>+'Civil OE'!BB239</f>
        <v>609.50765732142861</v>
      </c>
      <c r="BF73" s="236">
        <f>+'Civil OE'!BC239</f>
        <v>609.50765732142861</v>
      </c>
      <c r="BG73" s="605">
        <f>+'Civil OE'!BD239</f>
        <v>1219.0153146428572</v>
      </c>
      <c r="BH73" s="56">
        <f>+'Civil OE'!BE239</f>
        <v>649.32882426642857</v>
      </c>
      <c r="BI73" s="236">
        <f>+'Civil OE'!BF239</f>
        <v>649.32882426642857</v>
      </c>
      <c r="BJ73" s="605">
        <f>+'Civil OE'!BG239</f>
        <v>1298.6576485328571</v>
      </c>
      <c r="BK73" s="56">
        <f>+'Civil OE'!BH239</f>
        <v>690.49903482630009</v>
      </c>
      <c r="BL73" s="236">
        <f>+'Civil OE'!BI239</f>
        <v>690.49903482630009</v>
      </c>
      <c r="BM73" s="605">
        <f>+'Civil OE'!BJ239</f>
        <v>1380.9980696526002</v>
      </c>
    </row>
    <row r="74" spans="1:69">
      <c r="A74" s="93" t="s">
        <v>268</v>
      </c>
      <c r="B74" s="10"/>
      <c r="C74" s="10"/>
      <c r="D74" s="10"/>
      <c r="E74" s="10"/>
      <c r="F74" s="10"/>
      <c r="G74" s="10"/>
      <c r="H74" s="10"/>
      <c r="I74" s="10"/>
      <c r="J74" s="10"/>
      <c r="K74" s="10"/>
      <c r="L74" s="10"/>
      <c r="M74" s="10"/>
      <c r="N74" s="10"/>
      <c r="O74" s="10"/>
      <c r="P74" s="10"/>
      <c r="Q74" s="10">
        <f>'Civil OE'!Q22</f>
        <v>281</v>
      </c>
      <c r="R74" s="10"/>
      <c r="S74" s="216"/>
      <c r="T74" s="556">
        <f>'Civil OE'!T22</f>
        <v>254</v>
      </c>
      <c r="U74" s="10"/>
      <c r="V74" s="216"/>
      <c r="W74" s="556"/>
      <c r="X74" s="10">
        <v>104</v>
      </c>
      <c r="Y74" s="216">
        <f t="shared" si="112"/>
        <v>115</v>
      </c>
      <c r="Z74" s="556">
        <v>219</v>
      </c>
      <c r="AA74" s="10">
        <v>68</v>
      </c>
      <c r="AB74" s="216">
        <f t="shared" si="113"/>
        <v>58</v>
      </c>
      <c r="AC74" s="556">
        <v>126</v>
      </c>
      <c r="AD74" s="10">
        <v>14</v>
      </c>
      <c r="AE74" s="216">
        <f t="shared" si="114"/>
        <v>21</v>
      </c>
      <c r="AF74" s="556">
        <v>35</v>
      </c>
      <c r="AG74" s="10">
        <v>7</v>
      </c>
      <c r="AH74" s="216">
        <f t="shared" si="115"/>
        <v>1</v>
      </c>
      <c r="AI74" s="556">
        <v>8</v>
      </c>
      <c r="AJ74" s="10">
        <v>2</v>
      </c>
      <c r="AK74" s="216">
        <f t="shared" si="116"/>
        <v>3</v>
      </c>
      <c r="AL74" s="556">
        <v>5</v>
      </c>
      <c r="AM74" s="10">
        <v>7</v>
      </c>
      <c r="AN74" s="216">
        <f t="shared" si="117"/>
        <v>12</v>
      </c>
      <c r="AO74" s="556">
        <v>19</v>
      </c>
      <c r="AP74" s="10">
        <v>6</v>
      </c>
      <c r="AQ74" s="216">
        <f t="shared" si="118"/>
        <v>1</v>
      </c>
      <c r="AR74" s="556">
        <v>7</v>
      </c>
      <c r="AS74" s="10">
        <v>11</v>
      </c>
      <c r="AT74" s="216">
        <f t="shared" si="119"/>
        <v>10</v>
      </c>
      <c r="AU74" s="556">
        <v>21</v>
      </c>
      <c r="AV74" s="10">
        <v>12</v>
      </c>
      <c r="AW74" s="216">
        <f t="shared" si="120"/>
        <v>17</v>
      </c>
      <c r="AX74" s="556">
        <v>29</v>
      </c>
      <c r="AY74" s="10">
        <v>18</v>
      </c>
      <c r="AZ74" s="236">
        <f>+'Civil OE'!AW256</f>
        <v>0</v>
      </c>
      <c r="BA74" s="605">
        <f>+'Civil OE'!AX256</f>
        <v>18</v>
      </c>
      <c r="BB74" s="56">
        <f>+'Civil OE'!AY256</f>
        <v>0</v>
      </c>
      <c r="BC74" s="236">
        <f>+'Civil OE'!AZ256</f>
        <v>0</v>
      </c>
      <c r="BD74" s="605">
        <f>+'Civil OE'!BA256</f>
        <v>0</v>
      </c>
      <c r="BE74" s="56">
        <f>+'Civil OE'!BB256</f>
        <v>0</v>
      </c>
      <c r="BF74" s="236">
        <f>+'Civil OE'!BC256</f>
        <v>0</v>
      </c>
      <c r="BG74" s="605">
        <f>+'Civil OE'!BD256</f>
        <v>0</v>
      </c>
      <c r="BH74" s="56">
        <f>+'Civil OE'!BE256</f>
        <v>0</v>
      </c>
      <c r="BI74" s="236">
        <f>+'Civil OE'!BF256</f>
        <v>0</v>
      </c>
      <c r="BJ74" s="605">
        <f>+'Civil OE'!BG256</f>
        <v>0</v>
      </c>
      <c r="BK74" s="56">
        <f>+'Civil OE'!BH256</f>
        <v>0</v>
      </c>
      <c r="BL74" s="236">
        <f>+'Civil OE'!BI256</f>
        <v>0</v>
      </c>
      <c r="BM74" s="605">
        <f>+'Civil OE'!BJ256</f>
        <v>0</v>
      </c>
    </row>
    <row r="75" spans="1:69" ht="11.4">
      <c r="A75" s="31" t="s">
        <v>285</v>
      </c>
      <c r="B75" s="10"/>
      <c r="C75" s="10"/>
      <c r="D75" s="10"/>
      <c r="E75" s="10"/>
      <c r="F75" s="10"/>
      <c r="G75" s="10"/>
      <c r="H75" s="10"/>
      <c r="I75" s="10"/>
      <c r="J75" s="10"/>
      <c r="K75" s="10"/>
      <c r="L75" s="10"/>
      <c r="M75" s="10"/>
      <c r="N75" s="10"/>
      <c r="O75" s="10"/>
      <c r="P75" s="10"/>
      <c r="Q75" s="27">
        <f>'Civil AM'!Q23</f>
        <v>3467</v>
      </c>
      <c r="R75" s="27">
        <v>1710</v>
      </c>
      <c r="S75" s="218">
        <f>T75-R75</f>
        <v>1526</v>
      </c>
      <c r="T75" s="553">
        <f>'Civil AM'!T23</f>
        <v>3236</v>
      </c>
      <c r="U75" s="27">
        <v>2010</v>
      </c>
      <c r="V75" s="218">
        <f>W75-U75</f>
        <v>2195</v>
      </c>
      <c r="W75" s="553">
        <f>W31</f>
        <v>4205</v>
      </c>
      <c r="X75" s="27">
        <f t="shared" ref="X75:Y75" si="121">X76+X77+X78+X79</f>
        <v>1707</v>
      </c>
      <c r="Y75" s="218">
        <f t="shared" si="121"/>
        <v>2001</v>
      </c>
      <c r="Z75" s="553">
        <f t="shared" ref="Z75:AQ75" si="122">Z76+Z77+Z78+Z79</f>
        <v>3708</v>
      </c>
      <c r="AA75" s="27">
        <f t="shared" ref="AA75:AB75" si="123">AA76+AA77+AA78+AA79</f>
        <v>2070</v>
      </c>
      <c r="AB75" s="218">
        <f t="shared" si="123"/>
        <v>2189</v>
      </c>
      <c r="AC75" s="553">
        <f t="shared" si="122"/>
        <v>4259</v>
      </c>
      <c r="AD75" s="27">
        <f t="shared" ref="AD75:AE75" si="124">AD76+AD77+AD78+AD79</f>
        <v>2448</v>
      </c>
      <c r="AE75" s="218">
        <f t="shared" si="124"/>
        <v>2413</v>
      </c>
      <c r="AF75" s="553">
        <f t="shared" si="122"/>
        <v>4861</v>
      </c>
      <c r="AG75" s="27">
        <f t="shared" ref="AG75:AH75" si="125">AG76+AG77+AG78+AG79</f>
        <v>1329</v>
      </c>
      <c r="AH75" s="218">
        <f t="shared" si="125"/>
        <v>1461</v>
      </c>
      <c r="AI75" s="553">
        <f t="shared" si="122"/>
        <v>2790</v>
      </c>
      <c r="AJ75" s="27">
        <f t="shared" ref="AJ75:AK75" si="126">AJ76+AJ77+AJ78+AJ79</f>
        <v>1446</v>
      </c>
      <c r="AK75" s="218">
        <f t="shared" si="126"/>
        <v>1478</v>
      </c>
      <c r="AL75" s="553">
        <f t="shared" si="122"/>
        <v>2924</v>
      </c>
      <c r="AM75" s="27">
        <f t="shared" ref="AM75:AN75" si="127">AM76+AM77+AM78+AM79</f>
        <v>1679</v>
      </c>
      <c r="AN75" s="218">
        <f t="shared" si="127"/>
        <v>2025</v>
      </c>
      <c r="AO75" s="553">
        <f t="shared" si="122"/>
        <v>3704</v>
      </c>
      <c r="AP75" s="27">
        <f t="shared" si="122"/>
        <v>2202</v>
      </c>
      <c r="AQ75" s="218">
        <f t="shared" si="122"/>
        <v>2443</v>
      </c>
      <c r="AR75" s="553">
        <f t="shared" ref="AR75:AT75" si="128">AR76+AR77+AR78+AR79</f>
        <v>4645</v>
      </c>
      <c r="AS75" s="27">
        <f t="shared" si="128"/>
        <v>2790</v>
      </c>
      <c r="AT75" s="218">
        <f t="shared" si="128"/>
        <v>3145</v>
      </c>
      <c r="AU75" s="553">
        <f t="shared" ref="AU75:AW75" si="129">AU76+AU77+AU78+AU79</f>
        <v>5935</v>
      </c>
      <c r="AV75" s="27">
        <f t="shared" si="129"/>
        <v>3308</v>
      </c>
      <c r="AW75" s="218">
        <f t="shared" si="129"/>
        <v>3857</v>
      </c>
      <c r="AX75" s="553">
        <f t="shared" ref="AX75:AY75" si="130">AX76+AX77+AX78+AX79</f>
        <v>7165</v>
      </c>
      <c r="AY75" s="27">
        <f t="shared" si="130"/>
        <v>4167</v>
      </c>
      <c r="AZ75" s="237">
        <f>'Civil AM'!AW23</f>
        <v>4260.6434684840124</v>
      </c>
      <c r="BA75" s="576">
        <f>'Civil AM'!AX23</f>
        <v>8427.6434684840133</v>
      </c>
      <c r="BB75" s="48">
        <f>'Civil AM'!AY23</f>
        <v>4892.1405674326907</v>
      </c>
      <c r="BC75" s="237">
        <f>'Civil AM'!AZ23</f>
        <v>4691.7423112710121</v>
      </c>
      <c r="BD75" s="576">
        <f>'Civil AM'!BA23</f>
        <v>9583.8828787037</v>
      </c>
      <c r="BE75" s="48">
        <f>'Civil AM'!BB23</f>
        <v>5175.9019428058527</v>
      </c>
      <c r="BF75" s="237">
        <f>'Civil AM'!BC23</f>
        <v>5115.9724736782</v>
      </c>
      <c r="BG75" s="576">
        <f>'Civil AM'!BD23</f>
        <v>10291.874416484052</v>
      </c>
      <c r="BH75" s="48">
        <f>'Civil AM'!BE23</f>
        <v>5713.1603738897229</v>
      </c>
      <c r="BI75" s="237">
        <f>'Civil AM'!BF23</f>
        <v>5659.1263599394524</v>
      </c>
      <c r="BJ75" s="576">
        <f>'Civil AM'!BG23</f>
        <v>11372.286733829174</v>
      </c>
      <c r="BK75" s="48">
        <f>'Civil AM'!BH23</f>
        <v>6322.0496514182751</v>
      </c>
      <c r="BL75" s="237">
        <f>'Civil AM'!BI23</f>
        <v>6274.9960336988688</v>
      </c>
      <c r="BM75" s="576">
        <f>'Civil AM'!BJ23</f>
        <v>12597.045685117144</v>
      </c>
      <c r="BN75" s="39"/>
      <c r="BO75" s="104"/>
      <c r="BP75" s="23"/>
    </row>
    <row r="76" spans="1:69">
      <c r="A76" s="93" t="s">
        <v>286</v>
      </c>
      <c r="B76" s="10"/>
      <c r="C76" s="10"/>
      <c r="D76" s="10"/>
      <c r="E76" s="10"/>
      <c r="F76" s="10"/>
      <c r="G76" s="10"/>
      <c r="H76" s="10"/>
      <c r="I76" s="10"/>
      <c r="J76" s="10"/>
      <c r="K76" s="10"/>
      <c r="L76" s="10"/>
      <c r="M76" s="10"/>
      <c r="N76" s="10"/>
      <c r="O76" s="10"/>
      <c r="P76" s="10"/>
      <c r="Q76" s="10">
        <f>'Civil AM'!Q19</f>
        <v>2283</v>
      </c>
      <c r="R76" s="10"/>
      <c r="S76" s="216"/>
      <c r="T76" s="556">
        <f>'Civil AM'!T19</f>
        <v>2015</v>
      </c>
      <c r="U76" s="10"/>
      <c r="V76" s="216"/>
      <c r="W76" s="556"/>
      <c r="X76" s="10">
        <v>1061</v>
      </c>
      <c r="Y76" s="216">
        <f t="shared" si="112"/>
        <v>1266</v>
      </c>
      <c r="Z76" s="556">
        <v>2327</v>
      </c>
      <c r="AA76" s="10">
        <v>1328</v>
      </c>
      <c r="AB76" s="216">
        <f t="shared" ref="AB76:AB79" si="131">AC76-AA76</f>
        <v>1338</v>
      </c>
      <c r="AC76" s="556">
        <v>2666</v>
      </c>
      <c r="AD76" s="10">
        <v>1595</v>
      </c>
      <c r="AE76" s="216">
        <f t="shared" ref="AE76:AE79" si="132">AF76-AD76</f>
        <v>1610</v>
      </c>
      <c r="AF76" s="556">
        <v>3205</v>
      </c>
      <c r="AG76" s="10">
        <v>649</v>
      </c>
      <c r="AH76" s="216">
        <f t="shared" ref="AH76:AH79" si="133">AI76-AG76</f>
        <v>959</v>
      </c>
      <c r="AI76" s="556">
        <v>1608</v>
      </c>
      <c r="AJ76" s="10">
        <v>1036</v>
      </c>
      <c r="AK76" s="216">
        <f t="shared" ref="AK76:AK79" si="134">AL76-AJ76</f>
        <v>922</v>
      </c>
      <c r="AL76" s="556">
        <v>1958</v>
      </c>
      <c r="AM76" s="10">
        <v>1135</v>
      </c>
      <c r="AN76" s="216">
        <f t="shared" ref="AN76:AN79" si="135">AO76-AM76</f>
        <v>1357</v>
      </c>
      <c r="AO76" s="556">
        <v>2492</v>
      </c>
      <c r="AP76" s="10">
        <v>1547</v>
      </c>
      <c r="AQ76" s="216">
        <f t="shared" ref="AQ76:AQ79" si="136">AR76-AP76</f>
        <v>1752</v>
      </c>
      <c r="AR76" s="556">
        <v>3299</v>
      </c>
      <c r="AS76" s="10">
        <v>1958</v>
      </c>
      <c r="AT76" s="216">
        <f t="shared" ref="AT76:AT79" si="137">AU76-AS76</f>
        <v>2382</v>
      </c>
      <c r="AU76" s="556">
        <v>4340</v>
      </c>
      <c r="AV76" s="10">
        <v>2497</v>
      </c>
      <c r="AW76" s="216">
        <f t="shared" ref="AW76:AW79" si="138">AX76-AV76</f>
        <v>3124</v>
      </c>
      <c r="AX76" s="556">
        <v>5621</v>
      </c>
      <c r="AY76" s="10">
        <v>3280</v>
      </c>
      <c r="AZ76" s="236">
        <f>'Civil AM'!AW19</f>
        <v>3451.492743846331</v>
      </c>
      <c r="BA76" s="605">
        <f>'Civil AM'!AX19</f>
        <v>6731.492743846331</v>
      </c>
      <c r="BB76" s="56">
        <f>'Civil AM'!AY19</f>
        <v>3938.8472340993576</v>
      </c>
      <c r="BC76" s="236">
        <f>'Civil AM'!AZ19</f>
        <v>3809.2098668265671</v>
      </c>
      <c r="BD76" s="605">
        <f>'Civil AM'!BA19</f>
        <v>7748.0571009259238</v>
      </c>
      <c r="BE76" s="56">
        <f>'Civil AM'!BB19</f>
        <v>4225.8348215937312</v>
      </c>
      <c r="BF76" s="236">
        <f>'Civil AM'!BC19</f>
        <v>4242.3204433751689</v>
      </c>
      <c r="BG76" s="605">
        <f>'Civil AM'!BD19</f>
        <v>8468.1552649689002</v>
      </c>
      <c r="BH76" s="56">
        <f>'Civil AM'!BE19</f>
        <v>4686.3077526776015</v>
      </c>
      <c r="BI76" s="236">
        <f>'Civil AM'!BF19</f>
        <v>4713.1394296364224</v>
      </c>
      <c r="BJ76" s="605">
        <f>'Civil AM'!BG19</f>
        <v>9399.4471823140229</v>
      </c>
      <c r="BK76" s="56">
        <f>'Civil AM'!BH19</f>
        <v>5210.732980206154</v>
      </c>
      <c r="BL76" s="236">
        <f>'Civil AM'!BI19</f>
        <v>5249.4407133958384</v>
      </c>
      <c r="BM76" s="605">
        <f>'Civil AM'!BJ19</f>
        <v>10460.173693601992</v>
      </c>
    </row>
    <row r="77" spans="1:69">
      <c r="A77" s="93" t="s">
        <v>515</v>
      </c>
      <c r="B77" s="10"/>
      <c r="C77" s="10"/>
      <c r="D77" s="10"/>
      <c r="E77" s="10"/>
      <c r="F77" s="10"/>
      <c r="G77" s="10"/>
      <c r="H77" s="10"/>
      <c r="I77" s="10"/>
      <c r="J77" s="10"/>
      <c r="K77" s="10"/>
      <c r="L77" s="10"/>
      <c r="M77" s="10"/>
      <c r="N77" s="10"/>
      <c r="O77" s="10"/>
      <c r="P77" s="10"/>
      <c r="Q77" s="10">
        <f>'Civil AM'!Q20</f>
        <v>665</v>
      </c>
      <c r="R77" s="10"/>
      <c r="S77" s="216"/>
      <c r="T77" s="556">
        <f>'Civil AM'!T20</f>
        <v>594</v>
      </c>
      <c r="U77" s="10"/>
      <c r="V77" s="216"/>
      <c r="W77" s="556"/>
      <c r="X77" s="10">
        <v>175</v>
      </c>
      <c r="Y77" s="216">
        <f t="shared" si="112"/>
        <v>221</v>
      </c>
      <c r="Z77" s="556">
        <v>396</v>
      </c>
      <c r="AA77" s="10">
        <v>201</v>
      </c>
      <c r="AB77" s="216">
        <f t="shared" si="131"/>
        <v>263</v>
      </c>
      <c r="AC77" s="556">
        <v>464</v>
      </c>
      <c r="AD77" s="10">
        <v>261</v>
      </c>
      <c r="AE77" s="216">
        <f t="shared" si="132"/>
        <v>216</v>
      </c>
      <c r="AF77" s="556">
        <v>477</v>
      </c>
      <c r="AG77" s="10">
        <v>207</v>
      </c>
      <c r="AH77" s="216">
        <f t="shared" si="133"/>
        <v>237</v>
      </c>
      <c r="AI77" s="556">
        <v>444</v>
      </c>
      <c r="AJ77" s="10">
        <v>295</v>
      </c>
      <c r="AK77" s="216">
        <f t="shared" si="134"/>
        <v>359</v>
      </c>
      <c r="AL77" s="556">
        <v>654</v>
      </c>
      <c r="AM77" s="10">
        <v>329</v>
      </c>
      <c r="AN77" s="216">
        <f t="shared" si="135"/>
        <v>392</v>
      </c>
      <c r="AO77" s="556">
        <v>721</v>
      </c>
      <c r="AP77" s="10">
        <v>407</v>
      </c>
      <c r="AQ77" s="216">
        <f t="shared" si="136"/>
        <v>383</v>
      </c>
      <c r="AR77" s="556">
        <v>790</v>
      </c>
      <c r="AS77" s="10">
        <v>551</v>
      </c>
      <c r="AT77" s="216">
        <f t="shared" si="137"/>
        <v>482</v>
      </c>
      <c r="AU77" s="556">
        <v>1033</v>
      </c>
      <c r="AV77" s="10">
        <v>551</v>
      </c>
      <c r="AW77" s="216">
        <f t="shared" si="138"/>
        <v>476</v>
      </c>
      <c r="AX77" s="556">
        <v>1027</v>
      </c>
      <c r="AY77" s="10">
        <v>607</v>
      </c>
      <c r="AZ77" s="236">
        <f>+'Civil AM'!AW294</f>
        <v>571.81739130434789</v>
      </c>
      <c r="BA77" s="605">
        <f>+'Civil AM'!AX294</f>
        <v>1178.8173913043479</v>
      </c>
      <c r="BB77" s="56">
        <f>+'Civil AM'!AY294</f>
        <v>682.53777777777782</v>
      </c>
      <c r="BC77" s="236">
        <f>+'Civil AM'!AZ294</f>
        <v>642.97688888888899</v>
      </c>
      <c r="BD77" s="605">
        <f>+'Civil AM'!BA294</f>
        <v>1325.5146666666667</v>
      </c>
      <c r="BE77" s="56">
        <f>+'Civil AM'!BB294</f>
        <v>767.85500000000013</v>
      </c>
      <c r="BF77" s="236">
        <f>+'Civil AM'!BC294</f>
        <v>723.34900000000005</v>
      </c>
      <c r="BG77" s="605">
        <f>+'Civil AM'!BD294</f>
        <v>1491.2040000000002</v>
      </c>
      <c r="BH77" s="56">
        <f>+'Civil AM'!BE294</f>
        <v>844.6405000000002</v>
      </c>
      <c r="BI77" s="236">
        <f>+'Civil AM'!BF294</f>
        <v>795.68389999999999</v>
      </c>
      <c r="BJ77" s="605">
        <f>+'Civil AM'!BG294</f>
        <v>1640.3244000000002</v>
      </c>
      <c r="BK77" s="56">
        <f>+'Civil AM'!BH294</f>
        <v>929.10455000000036</v>
      </c>
      <c r="BL77" s="236">
        <f>+'Civil AM'!BI294</f>
        <v>875.25229000000013</v>
      </c>
      <c r="BM77" s="605">
        <f>+'Civil AM'!BJ294</f>
        <v>1804.3568400000006</v>
      </c>
      <c r="BQ77" s="73"/>
    </row>
    <row r="78" spans="1:69">
      <c r="A78" s="93" t="s">
        <v>287</v>
      </c>
      <c r="B78" s="10"/>
      <c r="C78" s="10"/>
      <c r="D78" s="10"/>
      <c r="E78" s="10"/>
      <c r="F78" s="10"/>
      <c r="G78" s="10"/>
      <c r="H78" s="10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216"/>
      <c r="T78" s="556"/>
      <c r="U78" s="10"/>
      <c r="V78" s="216"/>
      <c r="W78" s="556"/>
      <c r="X78" s="10">
        <v>138</v>
      </c>
      <c r="Y78" s="216">
        <f t="shared" si="112"/>
        <v>139</v>
      </c>
      <c r="Z78" s="556">
        <v>277</v>
      </c>
      <c r="AA78" s="10">
        <v>151</v>
      </c>
      <c r="AB78" s="216">
        <f t="shared" si="131"/>
        <v>141</v>
      </c>
      <c r="AC78" s="556">
        <v>292</v>
      </c>
      <c r="AD78" s="10">
        <v>163</v>
      </c>
      <c r="AE78" s="216">
        <f t="shared" si="132"/>
        <v>192</v>
      </c>
      <c r="AF78" s="556">
        <v>355</v>
      </c>
      <c r="AG78" s="10">
        <v>126</v>
      </c>
      <c r="AH78" s="216">
        <f t="shared" si="133"/>
        <v>58</v>
      </c>
      <c r="AI78" s="556">
        <v>184</v>
      </c>
      <c r="AJ78" s="10">
        <v>63</v>
      </c>
      <c r="AK78" s="216">
        <f t="shared" si="134"/>
        <v>124</v>
      </c>
      <c r="AL78" s="556">
        <v>187</v>
      </c>
      <c r="AM78" s="10">
        <v>100</v>
      </c>
      <c r="AN78" s="216">
        <f t="shared" si="135"/>
        <v>129</v>
      </c>
      <c r="AO78" s="556">
        <v>229</v>
      </c>
      <c r="AP78" s="10">
        <v>122</v>
      </c>
      <c r="AQ78" s="216">
        <f t="shared" si="136"/>
        <v>142</v>
      </c>
      <c r="AR78" s="556">
        <v>264</v>
      </c>
      <c r="AS78" s="10">
        <v>117</v>
      </c>
      <c r="AT78" s="216">
        <f t="shared" si="137"/>
        <v>96</v>
      </c>
      <c r="AU78" s="556">
        <v>213</v>
      </c>
      <c r="AV78" s="10">
        <v>102</v>
      </c>
      <c r="AW78" s="216">
        <f t="shared" si="138"/>
        <v>116</v>
      </c>
      <c r="AX78" s="556">
        <v>218</v>
      </c>
      <c r="AY78" s="10">
        <v>129</v>
      </c>
      <c r="AZ78" s="236">
        <f>+'Civil AM'!AW295</f>
        <v>98.478260869565361</v>
      </c>
      <c r="BA78" s="605">
        <f>+'Civil AM'!AX295</f>
        <v>227.47826086956525</v>
      </c>
      <c r="BB78" s="56">
        <f>+'Civil AM'!AY295</f>
        <v>131.86666666666656</v>
      </c>
      <c r="BC78" s="236">
        <f>+'Civil AM'!AZ295</f>
        <v>100.66666666666674</v>
      </c>
      <c r="BD78" s="605">
        <f>+'Civil AM'!BA295</f>
        <v>232.5333333333333</v>
      </c>
      <c r="BE78" s="56">
        <f>+'Civil AM'!BB295</f>
        <v>134.86363636363626</v>
      </c>
      <c r="BF78" s="236">
        <f>+'Civil AM'!BC295</f>
        <v>102.95454545454561</v>
      </c>
      <c r="BG78" s="605">
        <f>+'Civil AM'!BD295</f>
        <v>237.81818181818176</v>
      </c>
      <c r="BH78" s="56">
        <f>+'Civil AM'!BE295</f>
        <v>134.86363636363637</v>
      </c>
      <c r="BI78" s="236">
        <f>+'Civil AM'!BF295</f>
        <v>102.9545454545455</v>
      </c>
      <c r="BJ78" s="605">
        <f>+'Civil AM'!BG295</f>
        <v>237.81818181818198</v>
      </c>
      <c r="BK78" s="56">
        <f>+'Civil AM'!BH295</f>
        <v>134.86363636363637</v>
      </c>
      <c r="BL78" s="236">
        <f>+'Civil AM'!BI295</f>
        <v>102.9545454545455</v>
      </c>
      <c r="BM78" s="605">
        <f>+'Civil AM'!BJ295</f>
        <v>237.81818181818176</v>
      </c>
      <c r="BQ78" s="73"/>
    </row>
    <row r="79" spans="1:69">
      <c r="A79" s="93" t="s">
        <v>268</v>
      </c>
      <c r="B79" s="10"/>
      <c r="C79" s="10"/>
      <c r="D79" s="10"/>
      <c r="E79" s="10"/>
      <c r="F79" s="10"/>
      <c r="G79" s="10"/>
      <c r="H79" s="10"/>
      <c r="I79" s="10"/>
      <c r="J79" s="10"/>
      <c r="K79" s="10"/>
      <c r="L79" s="10"/>
      <c r="M79" s="10"/>
      <c r="N79" s="10"/>
      <c r="O79" s="10"/>
      <c r="P79" s="10"/>
      <c r="Q79" s="10">
        <f>'Civil AM'!Q22</f>
        <v>519</v>
      </c>
      <c r="R79" s="10"/>
      <c r="S79" s="216"/>
      <c r="T79" s="556">
        <f>'Civil AM'!T22</f>
        <v>627</v>
      </c>
      <c r="U79" s="10"/>
      <c r="V79" s="216"/>
      <c r="W79" s="556"/>
      <c r="X79" s="10">
        <v>333</v>
      </c>
      <c r="Y79" s="216">
        <f t="shared" si="112"/>
        <v>375</v>
      </c>
      <c r="Z79" s="556">
        <v>708</v>
      </c>
      <c r="AA79" s="10">
        <v>390</v>
      </c>
      <c r="AB79" s="216">
        <f t="shared" si="131"/>
        <v>447</v>
      </c>
      <c r="AC79" s="556">
        <v>837</v>
      </c>
      <c r="AD79" s="10">
        <v>429</v>
      </c>
      <c r="AE79" s="216">
        <f t="shared" si="132"/>
        <v>395</v>
      </c>
      <c r="AF79" s="556">
        <v>824</v>
      </c>
      <c r="AG79" s="10">
        <v>347</v>
      </c>
      <c r="AH79" s="216">
        <f t="shared" si="133"/>
        <v>207</v>
      </c>
      <c r="AI79" s="556">
        <v>554</v>
      </c>
      <c r="AJ79" s="10">
        <v>52</v>
      </c>
      <c r="AK79" s="216">
        <f t="shared" si="134"/>
        <v>73</v>
      </c>
      <c r="AL79" s="556">
        <v>125</v>
      </c>
      <c r="AM79" s="10">
        <v>115</v>
      </c>
      <c r="AN79" s="216">
        <f t="shared" si="135"/>
        <v>147</v>
      </c>
      <c r="AO79" s="556">
        <v>262</v>
      </c>
      <c r="AP79" s="10">
        <v>126</v>
      </c>
      <c r="AQ79" s="216">
        <f t="shared" si="136"/>
        <v>166</v>
      </c>
      <c r="AR79" s="556">
        <v>292</v>
      </c>
      <c r="AS79" s="10">
        <v>164</v>
      </c>
      <c r="AT79" s="216">
        <f t="shared" si="137"/>
        <v>185</v>
      </c>
      <c r="AU79" s="556">
        <v>349</v>
      </c>
      <c r="AV79" s="10">
        <v>158</v>
      </c>
      <c r="AW79" s="216">
        <f t="shared" si="138"/>
        <v>141</v>
      </c>
      <c r="AX79" s="556">
        <v>299</v>
      </c>
      <c r="AY79" s="10">
        <v>151</v>
      </c>
      <c r="AZ79" s="236">
        <f>'Civil AM'!AW22</f>
        <v>138.85507246376812</v>
      </c>
      <c r="BA79" s="605">
        <f>'Civil AM'!AX22</f>
        <v>289.85507246376812</v>
      </c>
      <c r="BB79" s="56">
        <f>'Civil AM'!AY22</f>
        <v>138.88888888888889</v>
      </c>
      <c r="BC79" s="236">
        <f>'Civil AM'!AZ22</f>
        <v>138.88888888888889</v>
      </c>
      <c r="BD79" s="605">
        <f>'Civil AM'!BA22</f>
        <v>277.77777777777777</v>
      </c>
      <c r="BE79" s="56">
        <f>'Civil AM'!BB22</f>
        <v>47.348484848484844</v>
      </c>
      <c r="BF79" s="236">
        <f>'Civil AM'!BC22</f>
        <v>47.348484848484844</v>
      </c>
      <c r="BG79" s="605">
        <f>'Civil AM'!BD22</f>
        <v>94.696969696969688</v>
      </c>
      <c r="BH79" s="56">
        <f>'Civil AM'!BE22</f>
        <v>47.348484848484844</v>
      </c>
      <c r="BI79" s="236">
        <f>'Civil AM'!BF22</f>
        <v>47.348484848484844</v>
      </c>
      <c r="BJ79" s="605">
        <f>'Civil AM'!BG22</f>
        <v>94.696969696969688</v>
      </c>
      <c r="BK79" s="56">
        <f>'Civil AM'!BH22</f>
        <v>47.348484848484844</v>
      </c>
      <c r="BL79" s="236">
        <f>'Civil AM'!BI22</f>
        <v>47.348484848484844</v>
      </c>
      <c r="BM79" s="605">
        <f>'Civil AM'!BJ22</f>
        <v>94.696969696969688</v>
      </c>
    </row>
    <row r="80" spans="1:69">
      <c r="A80" s="37" t="s">
        <v>563</v>
      </c>
      <c r="B80" s="22"/>
      <c r="C80" s="22"/>
      <c r="D80" s="22"/>
      <c r="E80" s="22"/>
      <c r="F80" s="22"/>
      <c r="G80" s="22"/>
      <c r="H80" s="22"/>
      <c r="I80" s="22"/>
      <c r="J80" s="22"/>
      <c r="K80" s="22"/>
      <c r="L80" s="22"/>
      <c r="M80" s="22"/>
      <c r="N80" s="22"/>
      <c r="O80" s="22"/>
      <c r="P80" s="22"/>
      <c r="Q80" s="22">
        <f>Q71+Q75</f>
        <v>5837</v>
      </c>
      <c r="R80" s="22">
        <f t="shared" ref="R80:S80" si="139">R71+R75</f>
        <v>3171</v>
      </c>
      <c r="S80" s="227">
        <f t="shared" si="139"/>
        <v>2606</v>
      </c>
      <c r="T80" s="557">
        <f>T71+T75</f>
        <v>5777</v>
      </c>
      <c r="U80" s="22">
        <f t="shared" ref="U80:Y80" si="140">U71+U75</f>
        <v>3676</v>
      </c>
      <c r="V80" s="227">
        <f t="shared" si="140"/>
        <v>4347</v>
      </c>
      <c r="W80" s="557">
        <f t="shared" si="140"/>
        <v>8023</v>
      </c>
      <c r="X80" s="22">
        <f t="shared" si="140"/>
        <v>2858</v>
      </c>
      <c r="Y80" s="227">
        <f t="shared" si="140"/>
        <v>3740</v>
      </c>
      <c r="Z80" s="557">
        <f t="shared" ref="Z80:BM80" si="141">Z71+Z75</f>
        <v>6598</v>
      </c>
      <c r="AA80" s="22">
        <f t="shared" ref="AA80:AB80" si="142">AA71+AA75</f>
        <v>3600</v>
      </c>
      <c r="AB80" s="227">
        <f t="shared" si="142"/>
        <v>3778</v>
      </c>
      <c r="AC80" s="557">
        <f t="shared" si="141"/>
        <v>7378</v>
      </c>
      <c r="AD80" s="22">
        <f t="shared" ref="AD80:AE80" si="143">AD71+AD75</f>
        <v>4018</v>
      </c>
      <c r="AE80" s="227">
        <f t="shared" si="143"/>
        <v>4089</v>
      </c>
      <c r="AF80" s="557">
        <f t="shared" si="141"/>
        <v>8107</v>
      </c>
      <c r="AG80" s="22">
        <f t="shared" ref="AG80:AH80" si="144">AG71+AG75</f>
        <v>2516</v>
      </c>
      <c r="AH80" s="227">
        <f t="shared" si="144"/>
        <v>2552</v>
      </c>
      <c r="AI80" s="557">
        <f>AI71+AI75</f>
        <v>5068</v>
      </c>
      <c r="AJ80" s="22">
        <f t="shared" ref="AJ80:AK80" si="145">AJ71+AJ75</f>
        <v>2168</v>
      </c>
      <c r="AK80" s="227">
        <f t="shared" si="145"/>
        <v>2368</v>
      </c>
      <c r="AL80" s="557">
        <f>AL71+AL75</f>
        <v>4536</v>
      </c>
      <c r="AM80" s="22">
        <f t="shared" ref="AM80:AN80" si="146">AM71+AM75</f>
        <v>2339</v>
      </c>
      <c r="AN80" s="227">
        <f t="shared" si="146"/>
        <v>3347</v>
      </c>
      <c r="AO80" s="557">
        <f t="shared" si="141"/>
        <v>5686</v>
      </c>
      <c r="AP80" s="22">
        <f t="shared" si="141"/>
        <v>3257</v>
      </c>
      <c r="AQ80" s="227">
        <f t="shared" si="141"/>
        <v>4091</v>
      </c>
      <c r="AR80" s="557">
        <f t="shared" ref="AR80:AT80" si="147">AR71+AR75</f>
        <v>7348</v>
      </c>
      <c r="AS80" s="22">
        <f t="shared" si="147"/>
        <v>4119</v>
      </c>
      <c r="AT80" s="227">
        <f t="shared" si="147"/>
        <v>4921</v>
      </c>
      <c r="AU80" s="557">
        <f t="shared" ref="AU80:AW80" si="148">AU71+AU75</f>
        <v>9040</v>
      </c>
      <c r="AV80" s="22">
        <f t="shared" si="148"/>
        <v>4786</v>
      </c>
      <c r="AW80" s="227">
        <f t="shared" si="148"/>
        <v>5596</v>
      </c>
      <c r="AX80" s="557">
        <f t="shared" ref="AX80:AY80" si="149">AX71+AX75</f>
        <v>10382</v>
      </c>
      <c r="AY80" s="22">
        <f t="shared" si="149"/>
        <v>6186</v>
      </c>
      <c r="AZ80" s="244">
        <f>AZ71+AZ75</f>
        <v>6422.3807416776781</v>
      </c>
      <c r="BA80" s="581">
        <f t="shared" si="141"/>
        <v>12608.38074167768</v>
      </c>
      <c r="BB80" s="181">
        <f t="shared" si="141"/>
        <v>7144.2040314168735</v>
      </c>
      <c r="BC80" s="244">
        <f>BC71+BC75</f>
        <v>7033.7320864970361</v>
      </c>
      <c r="BD80" s="581">
        <f t="shared" si="141"/>
        <v>14177.936117913907</v>
      </c>
      <c r="BE80" s="181">
        <f t="shared" si="141"/>
        <v>7578.9998100369367</v>
      </c>
      <c r="BF80" s="244">
        <f>BF71+BF75</f>
        <v>7664.5941613497134</v>
      </c>
      <c r="BG80" s="581">
        <f t="shared" si="141"/>
        <v>15243.59397138665</v>
      </c>
      <c r="BH80" s="181">
        <f t="shared" si="141"/>
        <v>8316.2973044463834</v>
      </c>
      <c r="BI80" s="244">
        <f>BI71+BI75</f>
        <v>8341.5164581104546</v>
      </c>
      <c r="BJ80" s="581">
        <f t="shared" si="141"/>
        <v>16657.813762556834</v>
      </c>
      <c r="BK80" s="181">
        <f t="shared" si="141"/>
        <v>9067.8072674829709</v>
      </c>
      <c r="BL80" s="244">
        <f>BL71+BL75</f>
        <v>8976.8432550854741</v>
      </c>
      <c r="BM80" s="581">
        <f t="shared" si="141"/>
        <v>18044.650522568445</v>
      </c>
    </row>
    <row r="81" spans="1:73">
      <c r="A81" s="31"/>
      <c r="B81" s="27"/>
      <c r="C81" s="27"/>
      <c r="D81" s="27"/>
      <c r="E81" s="27"/>
      <c r="F81" s="27"/>
      <c r="G81" s="27"/>
      <c r="H81" s="27"/>
      <c r="I81" s="27"/>
      <c r="J81" s="27"/>
      <c r="K81" s="27"/>
      <c r="L81" s="27"/>
      <c r="M81" s="27"/>
      <c r="N81" s="27"/>
      <c r="O81" s="27"/>
      <c r="P81" s="27"/>
      <c r="Q81" s="27"/>
      <c r="R81" s="199"/>
      <c r="S81" s="229"/>
      <c r="T81" s="553"/>
      <c r="U81" s="199">
        <f>U80/R80-1</f>
        <v>0.15925575528224534</v>
      </c>
      <c r="V81" s="229">
        <f>V80/S80-1</f>
        <v>0.66807367613200297</v>
      </c>
      <c r="W81" s="559">
        <f>W80/T80-1</f>
        <v>0.38878310541803707</v>
      </c>
      <c r="X81" s="199">
        <f>X80/U80-1</f>
        <v>-0.2225244831338411</v>
      </c>
      <c r="Y81" s="229">
        <f>Y80/V80-1</f>
        <v>-0.1396365309408788</v>
      </c>
      <c r="Z81" s="553"/>
      <c r="AA81" s="199">
        <f>AA80/X80-1</f>
        <v>0.25962211336599017</v>
      </c>
      <c r="AB81" s="229">
        <f>AB80/Y80-1</f>
        <v>1.0160427807486716E-2</v>
      </c>
      <c r="AC81" s="559">
        <f t="shared" ref="AC81" si="150">AC80/Z80-1</f>
        <v>0.11821764170960902</v>
      </c>
      <c r="AD81" s="199">
        <f t="shared" ref="AD81:AP81" si="151">AD80/AA80-1</f>
        <v>0.11611111111111105</v>
      </c>
      <c r="AE81" s="229">
        <f t="shared" si="151"/>
        <v>8.2318687136050839E-2</v>
      </c>
      <c r="AF81" s="559">
        <f t="shared" si="151"/>
        <v>9.8807264841420439E-2</v>
      </c>
      <c r="AG81" s="199">
        <f t="shared" si="151"/>
        <v>-0.37381781981085116</v>
      </c>
      <c r="AH81" s="229">
        <f t="shared" si="151"/>
        <v>-0.37588652482269502</v>
      </c>
      <c r="AI81" s="559">
        <f t="shared" si="151"/>
        <v>-0.37486123103490809</v>
      </c>
      <c r="AJ81" s="199">
        <f t="shared" si="151"/>
        <v>-0.13831478537360886</v>
      </c>
      <c r="AK81" s="229">
        <f t="shared" si="151"/>
        <v>-7.2100313479623868E-2</v>
      </c>
      <c r="AL81" s="559">
        <f t="shared" si="151"/>
        <v>-0.10497237569060769</v>
      </c>
      <c r="AM81" s="199">
        <f t="shared" si="151"/>
        <v>7.8874538745387524E-2</v>
      </c>
      <c r="AN81" s="229">
        <f t="shared" si="151"/>
        <v>0.41342905405405395</v>
      </c>
      <c r="AO81" s="559">
        <f t="shared" si="151"/>
        <v>0.2535273368606703</v>
      </c>
      <c r="AP81" s="199">
        <f t="shared" si="151"/>
        <v>0.39247541684480547</v>
      </c>
      <c r="AQ81" s="229">
        <f t="shared" ref="AQ81" si="152">AQ80/AN80-1</f>
        <v>0.22228861667164623</v>
      </c>
      <c r="AR81" s="559">
        <f t="shared" ref="AR81:AS81" si="153">AR80/AO80-1</f>
        <v>0.2922968695040451</v>
      </c>
      <c r="AS81" s="199">
        <f t="shared" si="153"/>
        <v>0.26466073073380403</v>
      </c>
      <c r="AT81" s="229">
        <f t="shared" ref="AT81" si="154">AT80/AQ80-1</f>
        <v>0.20288438034710343</v>
      </c>
      <c r="AU81" s="559">
        <f t="shared" ref="AU81:AV81" si="155">AU80/AR80-1</f>
        <v>0.23026673924877517</v>
      </c>
      <c r="AV81" s="199">
        <f t="shared" si="155"/>
        <v>0.1619325078902647</v>
      </c>
      <c r="AW81" s="229">
        <f t="shared" ref="AW81:BM81" si="156">AW80/AT80-1</f>
        <v>0.13716724243040024</v>
      </c>
      <c r="AX81" s="559">
        <f t="shared" si="156"/>
        <v>0.14845132743362832</v>
      </c>
      <c r="AY81" s="199">
        <f t="shared" si="156"/>
        <v>0.29251984956122024</v>
      </c>
      <c r="AZ81" s="247">
        <f t="shared" si="156"/>
        <v>0.14767347063575387</v>
      </c>
      <c r="BA81" s="583">
        <f t="shared" si="156"/>
        <v>0.21444622824866877</v>
      </c>
      <c r="BB81" s="245">
        <f t="shared" si="156"/>
        <v>0.15489880882910989</v>
      </c>
      <c r="BC81" s="247">
        <f t="shared" si="156"/>
        <v>9.5190766385435222E-2</v>
      </c>
      <c r="BD81" s="583">
        <f t="shared" si="156"/>
        <v>0.12448508721250606</v>
      </c>
      <c r="BE81" s="245">
        <f t="shared" si="156"/>
        <v>6.0859932990160237E-2</v>
      </c>
      <c r="BF81" s="247">
        <f t="shared" si="156"/>
        <v>8.9690944593094679E-2</v>
      </c>
      <c r="BG81" s="583">
        <f t="shared" si="156"/>
        <v>7.5163115746182507E-2</v>
      </c>
      <c r="BH81" s="245">
        <f t="shared" si="156"/>
        <v>9.7281635161546864E-2</v>
      </c>
      <c r="BI81" s="247">
        <f t="shared" si="156"/>
        <v>8.8318087365181208E-2</v>
      </c>
      <c r="BJ81" s="583">
        <f t="shared" si="156"/>
        <v>9.277469564098717E-2</v>
      </c>
      <c r="BK81" s="245">
        <f t="shared" si="156"/>
        <v>9.0365932761300671E-2</v>
      </c>
      <c r="BL81" s="247">
        <f t="shared" si="156"/>
        <v>7.6164424078704718E-2</v>
      </c>
      <c r="BM81" s="583">
        <f t="shared" si="156"/>
        <v>8.3254428208875852E-2</v>
      </c>
    </row>
    <row r="82" spans="1:73">
      <c r="A82" s="31"/>
      <c r="B82" s="27"/>
      <c r="C82" s="27"/>
      <c r="D82" s="27"/>
      <c r="E82" s="27"/>
      <c r="F82" s="27"/>
      <c r="G82" s="27"/>
      <c r="H82" s="27"/>
      <c r="I82" s="27"/>
      <c r="J82" s="27"/>
      <c r="K82" s="27"/>
      <c r="L82" s="27"/>
      <c r="M82" s="27"/>
      <c r="N82" s="27"/>
      <c r="O82" s="27"/>
      <c r="P82" s="27"/>
      <c r="Q82" s="27"/>
      <c r="R82" s="199"/>
      <c r="S82" s="229"/>
      <c r="T82" s="553"/>
      <c r="U82" s="199"/>
      <c r="V82" s="229"/>
      <c r="W82" s="559"/>
      <c r="X82" s="199"/>
      <c r="Y82" s="229"/>
      <c r="Z82" s="553"/>
      <c r="AA82" s="199"/>
      <c r="AB82" s="229"/>
      <c r="AC82" s="559"/>
      <c r="AD82" s="199"/>
      <c r="AE82" s="229"/>
      <c r="AF82" s="559"/>
      <c r="AG82" s="199"/>
      <c r="AH82" s="229"/>
      <c r="AI82" s="559"/>
      <c r="AJ82" s="199"/>
      <c r="AK82" s="229"/>
      <c r="AL82" s="559"/>
      <c r="AM82" s="199"/>
      <c r="AN82" s="229"/>
      <c r="AO82" s="559"/>
      <c r="AP82" s="199"/>
      <c r="AQ82" s="544"/>
      <c r="AR82" s="584"/>
      <c r="AS82" s="45"/>
      <c r="AT82" s="544"/>
      <c r="AU82" s="584"/>
      <c r="AV82" s="45"/>
      <c r="AW82" s="544"/>
      <c r="AX82" s="584"/>
      <c r="AY82" s="45"/>
      <c r="AZ82" s="544"/>
      <c r="BA82" s="584"/>
      <c r="BB82" s="45"/>
      <c r="BC82" s="544"/>
      <c r="BD82" s="584"/>
      <c r="BE82" s="45"/>
      <c r="BF82" s="544"/>
      <c r="BG82" s="584"/>
      <c r="BH82" s="45"/>
      <c r="BI82" s="544"/>
      <c r="BJ82" s="584"/>
      <c r="BK82" s="45"/>
      <c r="BL82" s="544"/>
      <c r="BM82" s="584"/>
    </row>
    <row r="83" spans="1:73">
      <c r="A83" s="65" t="s">
        <v>738</v>
      </c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86"/>
      <c r="Q83" s="186"/>
      <c r="R83" s="10"/>
      <c r="S83" s="216"/>
      <c r="T83" s="556">
        <f>T63+T206</f>
        <v>88.399999999999977</v>
      </c>
      <c r="U83" s="10"/>
      <c r="V83" s="216"/>
      <c r="W83" s="556"/>
      <c r="X83" s="10"/>
      <c r="Y83" s="216"/>
      <c r="Z83" s="556">
        <f>'Civil OE'!W37</f>
        <v>-306.50000000000011</v>
      </c>
      <c r="AA83" s="10"/>
      <c r="AB83" s="216"/>
      <c r="AC83" s="556">
        <f>'Civil OE'!Z37</f>
        <v>-344.59999999999991</v>
      </c>
      <c r="AD83" s="10">
        <f>'Civil OE'!AA37</f>
        <v>-160.24999999999989</v>
      </c>
      <c r="AE83" s="216">
        <f>'Civil OE'!AB37</f>
        <v>120.90999999999988</v>
      </c>
      <c r="AF83" s="556">
        <f>'Civil OE'!AC37</f>
        <v>-39.340000000000003</v>
      </c>
      <c r="AG83" s="10">
        <f>'Civil OE'!AD37</f>
        <v>6.9400000000000164</v>
      </c>
      <c r="AH83" s="216">
        <f>'Civil OE'!AE37</f>
        <v>-0.16000000000005488</v>
      </c>
      <c r="AI83" s="556">
        <f>'Civil OE'!AF37</f>
        <v>6.7799999999999612</v>
      </c>
      <c r="AJ83" s="10">
        <f>'Civil OE'!AG37</f>
        <v>4.2599999999999989</v>
      </c>
      <c r="AK83" s="216">
        <f>'Civil OE'!AH37</f>
        <v>190.48999999999998</v>
      </c>
      <c r="AL83" s="556">
        <f>'Civil OE'!AI37</f>
        <v>194.74999999999997</v>
      </c>
      <c r="AM83" s="10">
        <f>'Civil OE'!AJ37</f>
        <v>20.7</v>
      </c>
      <c r="AN83" s="216">
        <f>'Civil OE'!AK37</f>
        <v>310.95999999999998</v>
      </c>
      <c r="AO83" s="556">
        <f>'Civil OE'!AL37</f>
        <v>331.65999999999997</v>
      </c>
      <c r="AP83" s="10">
        <f>'Civil OE'!AM37</f>
        <v>85.649999999999991</v>
      </c>
      <c r="AQ83" s="216">
        <f>'Civil OE'!AN37</f>
        <v>268.90000000000003</v>
      </c>
      <c r="AR83" s="556">
        <f>'Civil OE'!AO37</f>
        <v>354.55</v>
      </c>
      <c r="AS83" s="10">
        <f>'Civil OE'!AP37</f>
        <v>141.21</v>
      </c>
      <c r="AT83" s="216">
        <f>'Civil OE'!AQ37</f>
        <v>301.99</v>
      </c>
      <c r="AU83" s="556">
        <f>'Civil OE'!AR37</f>
        <v>443.20000000000005</v>
      </c>
      <c r="AV83" s="10">
        <f>'Civil OE'!AS37</f>
        <v>202.66380000000001</v>
      </c>
      <c r="AW83" s="216">
        <f>'Civil OE'!AT37</f>
        <v>311.75720000000013</v>
      </c>
      <c r="AX83" s="556">
        <f>'Civil OE'!AU37</f>
        <v>514.42100000000016</v>
      </c>
      <c r="AY83" s="10">
        <f>'Civil OE'!AV37</f>
        <v>352.94600000000003</v>
      </c>
      <c r="AZ83" s="236">
        <f>'Civil OE'!AW37</f>
        <v>396.35303007405389</v>
      </c>
      <c r="BA83" s="605">
        <f>'Civil OE'!AX37</f>
        <v>749.29903007405392</v>
      </c>
      <c r="BB83" s="56">
        <f>'Civil OE'!AY37</f>
        <v>433.16861819397849</v>
      </c>
      <c r="BC83" s="236">
        <f>'Civil OE'!AZ37</f>
        <v>425.16751513435867</v>
      </c>
      <c r="BD83" s="605">
        <f>'Civil OE'!BA37</f>
        <v>858.33613332833716</v>
      </c>
      <c r="BE83" s="56">
        <f>'Civil OE'!BB37</f>
        <v>490.91129794221416</v>
      </c>
      <c r="BF83" s="236">
        <f>'Civil OE'!BC37</f>
        <v>483.94916076278599</v>
      </c>
      <c r="BG83" s="605">
        <f>'Civil OE'!BD37</f>
        <v>974.86045870500016</v>
      </c>
      <c r="BH83" s="56">
        <f>'Civil OE'!BE37</f>
        <v>518.04480598620444</v>
      </c>
      <c r="BI83" s="236">
        <f>'Civil OE'!BF37</f>
        <v>496.812129212353</v>
      </c>
      <c r="BJ83" s="605">
        <f>'Civil OE'!BG37</f>
        <v>1014.8569351985575</v>
      </c>
      <c r="BK83" s="56">
        <f>'Civil OE'!BH37</f>
        <v>546.75976625626527</v>
      </c>
      <c r="BL83" s="236">
        <f>'Civil OE'!BI37</f>
        <v>496.84939786862617</v>
      </c>
      <c r="BM83" s="605">
        <f>'Civil OE'!BJ37</f>
        <v>1043.6091641248913</v>
      </c>
    </row>
    <row r="84" spans="1:73">
      <c r="A84" s="65" t="s">
        <v>739</v>
      </c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86"/>
      <c r="Q84" s="186"/>
      <c r="R84" s="10"/>
      <c r="S84" s="216"/>
      <c r="T84" s="556">
        <f>T64+T213</f>
        <v>-188</v>
      </c>
      <c r="U84" s="10"/>
      <c r="V84" s="216"/>
      <c r="W84" s="556"/>
      <c r="X84" s="10"/>
      <c r="Y84" s="216"/>
      <c r="Z84" s="556">
        <f>'Civil AM'!W30</f>
        <v>617.8780542986425</v>
      </c>
      <c r="AA84" s="10"/>
      <c r="AB84" s="216"/>
      <c r="AC84" s="556">
        <f>'Civil AM'!Z30</f>
        <v>617.61259965217391</v>
      </c>
      <c r="AD84" s="10">
        <f>'Civil AM'!AA30</f>
        <v>927.36003894730629</v>
      </c>
      <c r="AE84" s="216">
        <f>'Civil AM'!AB30</f>
        <v>931.95026353972935</v>
      </c>
      <c r="AF84" s="556">
        <f>'Civil AM'!AC30</f>
        <v>1859.3103024870359</v>
      </c>
      <c r="AG84" s="10">
        <f>'Civil AM'!AD30</f>
        <v>382.30871746422667</v>
      </c>
      <c r="AH84" s="216">
        <f>'Civil AM'!AE30</f>
        <v>402.08116273764068</v>
      </c>
      <c r="AI84" s="556">
        <f>'Civil AM'!AF30</f>
        <v>784.3898802018673</v>
      </c>
      <c r="AJ84" s="10">
        <f>'Civil AM'!AG30</f>
        <v>617.64315055039538</v>
      </c>
      <c r="AK84" s="216">
        <f>'Civil AM'!AH30</f>
        <v>647.35475372492067</v>
      </c>
      <c r="AL84" s="556">
        <f>'Civil AM'!AI30</f>
        <v>1264.9979042753162</v>
      </c>
      <c r="AM84" s="10">
        <f>'Civil AM'!AJ30</f>
        <v>658.64390205543145</v>
      </c>
      <c r="AN84" s="216">
        <f>'Civil AM'!AK30</f>
        <v>823.12664465371211</v>
      </c>
      <c r="AO84" s="556">
        <f>'Civil AM'!AL30</f>
        <v>1481.7705467091437</v>
      </c>
      <c r="AP84" s="10">
        <f>'Civil AM'!AM30</f>
        <v>744.26980110699844</v>
      </c>
      <c r="AQ84" s="216">
        <f>'Civil AM'!AN30</f>
        <v>882.29884649607607</v>
      </c>
      <c r="AR84" s="556">
        <f>'Civil AM'!AO30</f>
        <v>1626.5686476030746</v>
      </c>
      <c r="AS84" s="10">
        <f>'Civil AM'!AP30</f>
        <v>1026.3792144844847</v>
      </c>
      <c r="AT84" s="216">
        <f>'Civil AM'!AQ30</f>
        <v>1133.6138114307664</v>
      </c>
      <c r="AU84" s="556">
        <f>'Civil AM'!AR30</f>
        <v>2159.9930259152511</v>
      </c>
      <c r="AV84" s="10">
        <f>'Civil AM'!AS30</f>
        <v>1257.1957280360937</v>
      </c>
      <c r="AW84" s="216">
        <f>'Civil AM'!AT30</f>
        <v>1611.7136339193876</v>
      </c>
      <c r="AX84" s="556">
        <f>'Civil AM'!AU30</f>
        <v>2868.9093619554815</v>
      </c>
      <c r="AY84" s="10">
        <f>'Civil AM'!AV30</f>
        <v>1768.8018097613804</v>
      </c>
      <c r="AZ84" s="236">
        <f>'Civil AM'!AW30</f>
        <v>1795.6493610776247</v>
      </c>
      <c r="BA84" s="605">
        <f>'Civil AM'!AX30</f>
        <v>3564.451170839005</v>
      </c>
      <c r="BB84" s="56">
        <f>'Civil AM'!AY30</f>
        <v>2137.1281042750552</v>
      </c>
      <c r="BC84" s="236">
        <f>'Civil AM'!AZ30</f>
        <v>2062.9874169219997</v>
      </c>
      <c r="BD84" s="605">
        <f>'Civil AM'!BA30</f>
        <v>4200.1155211970545</v>
      </c>
      <c r="BE84" s="56">
        <f>'Civil AM'!BB30</f>
        <v>2321.7887318260364</v>
      </c>
      <c r="BF84" s="236">
        <f>'Civil AM'!BC30</f>
        <v>2303.9918299487736</v>
      </c>
      <c r="BG84" s="605">
        <f>'Civil AM'!BD30</f>
        <v>4625.7805617748099</v>
      </c>
      <c r="BH84" s="56">
        <f>'Civil AM'!BE30</f>
        <v>2655.4296026871671</v>
      </c>
      <c r="BI84" s="236">
        <f>'Civil AM'!BF30</f>
        <v>2642.5218053121112</v>
      </c>
      <c r="BJ84" s="605">
        <f>'Civil AM'!BG30</f>
        <v>5297.9514079992778</v>
      </c>
      <c r="BK84" s="56">
        <f>'Civil AM'!BH30</f>
        <v>3016.7943225170934</v>
      </c>
      <c r="BL84" s="236">
        <f>'Civil AM'!BI30</f>
        <v>3007.3682685308818</v>
      </c>
      <c r="BM84" s="605">
        <f>'Civil AM'!BJ30</f>
        <v>6024.1625910479752</v>
      </c>
    </row>
    <row r="85" spans="1:73">
      <c r="A85" s="31" t="s">
        <v>567</v>
      </c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86"/>
      <c r="Q85" s="186"/>
      <c r="R85" s="27"/>
      <c r="S85" s="218"/>
      <c r="T85" s="553">
        <f>T83+T84</f>
        <v>-99.600000000000023</v>
      </c>
      <c r="U85" s="27"/>
      <c r="V85" s="218"/>
      <c r="W85" s="553"/>
      <c r="X85" s="27"/>
      <c r="Y85" s="218"/>
      <c r="Z85" s="553">
        <f t="shared" ref="Z85:BM85" si="157">Z83+Z84</f>
        <v>311.37805429864238</v>
      </c>
      <c r="AA85" s="27"/>
      <c r="AB85" s="218"/>
      <c r="AC85" s="553">
        <f t="shared" si="157"/>
        <v>273.012599652174</v>
      </c>
      <c r="AD85" s="27">
        <f t="shared" ref="AD85:AP85" si="158">AD83+AD84</f>
        <v>767.11003894730641</v>
      </c>
      <c r="AE85" s="218">
        <f t="shared" si="158"/>
        <v>1052.8602635397292</v>
      </c>
      <c r="AF85" s="553">
        <f t="shared" si="158"/>
        <v>1819.970302487036</v>
      </c>
      <c r="AG85" s="27">
        <f t="shared" si="158"/>
        <v>389.24871746422667</v>
      </c>
      <c r="AH85" s="218">
        <f t="shared" si="158"/>
        <v>401.9211627376406</v>
      </c>
      <c r="AI85" s="553">
        <f t="shared" si="158"/>
        <v>791.16988020186727</v>
      </c>
      <c r="AJ85" s="27">
        <f t="shared" si="158"/>
        <v>621.90315055039537</v>
      </c>
      <c r="AK85" s="218">
        <f t="shared" si="158"/>
        <v>837.84475372492068</v>
      </c>
      <c r="AL85" s="553">
        <f t="shared" si="158"/>
        <v>1459.7479042753162</v>
      </c>
      <c r="AM85" s="27">
        <f t="shared" si="158"/>
        <v>679.3439020554315</v>
      </c>
      <c r="AN85" s="218">
        <f t="shared" si="158"/>
        <v>1134.086644653712</v>
      </c>
      <c r="AO85" s="553">
        <f t="shared" si="158"/>
        <v>1813.4305467091435</v>
      </c>
      <c r="AP85" s="27">
        <f t="shared" si="158"/>
        <v>829.91980110699842</v>
      </c>
      <c r="AQ85" s="218">
        <f t="shared" ref="AQ85:AS85" si="159">AQ83+AQ84</f>
        <v>1151.1988464960762</v>
      </c>
      <c r="AR85" s="553">
        <f t="shared" si="159"/>
        <v>1981.1186476030746</v>
      </c>
      <c r="AS85" s="27">
        <f t="shared" si="159"/>
        <v>1167.5892144844847</v>
      </c>
      <c r="AT85" s="218">
        <f t="shared" ref="AT85:AV85" si="160">AT83+AT84</f>
        <v>1435.6038114307664</v>
      </c>
      <c r="AU85" s="553">
        <f t="shared" si="160"/>
        <v>2603.1930259152514</v>
      </c>
      <c r="AV85" s="27">
        <f t="shared" si="160"/>
        <v>1459.8595280360937</v>
      </c>
      <c r="AW85" s="218">
        <f t="shared" si="157"/>
        <v>1923.4708339193876</v>
      </c>
      <c r="AX85" s="553">
        <f t="shared" si="157"/>
        <v>3383.3303619554817</v>
      </c>
      <c r="AY85" s="27">
        <f t="shared" si="157"/>
        <v>2121.7478097613803</v>
      </c>
      <c r="AZ85" s="237">
        <f t="shared" si="157"/>
        <v>2192.0023911516787</v>
      </c>
      <c r="BA85" s="576">
        <f t="shared" si="157"/>
        <v>4313.7502009130585</v>
      </c>
      <c r="BB85" s="48">
        <f t="shared" si="157"/>
        <v>2570.2967224690337</v>
      </c>
      <c r="BC85" s="237">
        <f t="shared" si="157"/>
        <v>2488.1549320563586</v>
      </c>
      <c r="BD85" s="576">
        <f t="shared" si="157"/>
        <v>5058.4516545253919</v>
      </c>
      <c r="BE85" s="48">
        <f t="shared" si="157"/>
        <v>2812.7000297682507</v>
      </c>
      <c r="BF85" s="237">
        <f t="shared" si="157"/>
        <v>2787.9409907115596</v>
      </c>
      <c r="BG85" s="576">
        <f t="shared" si="157"/>
        <v>5600.6410204798103</v>
      </c>
      <c r="BH85" s="48">
        <f t="shared" si="157"/>
        <v>3173.4744086733717</v>
      </c>
      <c r="BI85" s="237">
        <f t="shared" si="157"/>
        <v>3139.333934524464</v>
      </c>
      <c r="BJ85" s="576">
        <f t="shared" si="157"/>
        <v>6312.8083431978357</v>
      </c>
      <c r="BK85" s="48">
        <f t="shared" si="157"/>
        <v>3563.5540887733587</v>
      </c>
      <c r="BL85" s="237">
        <f t="shared" si="157"/>
        <v>3504.2176663995078</v>
      </c>
      <c r="BM85" s="576">
        <f t="shared" si="157"/>
        <v>7067.7717551728665</v>
      </c>
      <c r="BO85" s="32"/>
      <c r="BP85" s="32"/>
      <c r="BQ85" s="32"/>
      <c r="BR85" s="32"/>
      <c r="BS85" s="32"/>
      <c r="BT85" s="32"/>
      <c r="BU85" s="32"/>
    </row>
    <row r="86" spans="1:73">
      <c r="A86" s="93" t="s">
        <v>273</v>
      </c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86"/>
      <c r="Q86" s="186"/>
      <c r="R86" s="261"/>
      <c r="S86" s="734"/>
      <c r="T86" s="553"/>
      <c r="U86" s="261"/>
      <c r="V86" s="734"/>
      <c r="W86" s="738"/>
      <c r="X86" s="261"/>
      <c r="Y86" s="734"/>
      <c r="Z86" s="738">
        <f>+Z85/Z80</f>
        <v>4.7192793922194963E-2</v>
      </c>
      <c r="AA86" s="261"/>
      <c r="AB86" s="734"/>
      <c r="AC86" s="738">
        <f t="shared" ref="AC86:BM86" si="161">+AC85/AC80</f>
        <v>3.7003605265949306E-2</v>
      </c>
      <c r="AD86" s="261">
        <f t="shared" si="161"/>
        <v>0.19091837704014594</v>
      </c>
      <c r="AE86" s="734">
        <f t="shared" si="161"/>
        <v>0.25748600233302255</v>
      </c>
      <c r="AF86" s="738">
        <f t="shared" si="161"/>
        <v>0.22449368477698728</v>
      </c>
      <c r="AG86" s="261">
        <f t="shared" si="161"/>
        <v>0.15470934716384208</v>
      </c>
      <c r="AH86" s="734">
        <f t="shared" si="161"/>
        <v>0.15749261862760211</v>
      </c>
      <c r="AI86" s="738">
        <f t="shared" si="161"/>
        <v>0.15611086823241263</v>
      </c>
      <c r="AJ86" s="261">
        <f t="shared" si="161"/>
        <v>0.28685569674833733</v>
      </c>
      <c r="AK86" s="734">
        <f t="shared" si="161"/>
        <v>0.35381957505275369</v>
      </c>
      <c r="AL86" s="738">
        <f t="shared" si="161"/>
        <v>0.32181391187727426</v>
      </c>
      <c r="AM86" s="261">
        <f t="shared" si="161"/>
        <v>0.29044202738581937</v>
      </c>
      <c r="AN86" s="734">
        <f t="shared" si="161"/>
        <v>0.33883676266917001</v>
      </c>
      <c r="AO86" s="738">
        <f t="shared" si="161"/>
        <v>0.31892904444409842</v>
      </c>
      <c r="AP86" s="261">
        <f t="shared" si="161"/>
        <v>0.25481111486244962</v>
      </c>
      <c r="AQ86" s="734">
        <f t="shared" ref="AQ86:AR86" si="162">+AQ85/AQ80</f>
        <v>0.28139790918994773</v>
      </c>
      <c r="AR86" s="738">
        <f t="shared" si="162"/>
        <v>0.26961331622251966</v>
      </c>
      <c r="AS86" s="261">
        <f t="shared" ref="AS86:AU86" si="163">+AS85/AS80</f>
        <v>0.28346424240944035</v>
      </c>
      <c r="AT86" s="734">
        <f t="shared" si="163"/>
        <v>0.29173009783189724</v>
      </c>
      <c r="AU86" s="738">
        <f t="shared" si="163"/>
        <v>0.28796383030035966</v>
      </c>
      <c r="AV86" s="261">
        <f t="shared" ref="AV86" si="164">+AV85/AV80</f>
        <v>0.3050270639440229</v>
      </c>
      <c r="AW86" s="734">
        <f t="shared" si="161"/>
        <v>0.34372245066465112</v>
      </c>
      <c r="AX86" s="738">
        <f t="shared" si="161"/>
        <v>0.32588425755687556</v>
      </c>
      <c r="AY86" s="261">
        <f t="shared" si="161"/>
        <v>0.34299188647936957</v>
      </c>
      <c r="AZ86" s="720">
        <f t="shared" si="161"/>
        <v>0.34130682675457136</v>
      </c>
      <c r="BA86" s="729">
        <f t="shared" si="161"/>
        <v>0.34213356094599251</v>
      </c>
      <c r="BB86" s="343">
        <f t="shared" si="161"/>
        <v>0.35977370063425806</v>
      </c>
      <c r="BC86" s="720">
        <f t="shared" si="161"/>
        <v>0.35374604853559588</v>
      </c>
      <c r="BD86" s="729">
        <f t="shared" si="161"/>
        <v>0.3567833577789935</v>
      </c>
      <c r="BE86" s="343">
        <f t="shared" si="161"/>
        <v>0.3711175749131656</v>
      </c>
      <c r="BF86" s="720">
        <f t="shared" si="161"/>
        <v>0.36374280647112711</v>
      </c>
      <c r="BG86" s="729">
        <f t="shared" si="161"/>
        <v>0.36740948564968512</v>
      </c>
      <c r="BH86" s="343">
        <f t="shared" si="161"/>
        <v>0.38159703681789309</v>
      </c>
      <c r="BI86" s="720">
        <f t="shared" si="161"/>
        <v>0.37635050536549508</v>
      </c>
      <c r="BJ86" s="729">
        <f t="shared" si="161"/>
        <v>0.37896979958964749</v>
      </c>
      <c r="BK86" s="343">
        <f t="shared" si="161"/>
        <v>0.39298961520192577</v>
      </c>
      <c r="BL86" s="720">
        <f t="shared" si="161"/>
        <v>0.3903619086157411</v>
      </c>
      <c r="BM86" s="729">
        <f t="shared" si="161"/>
        <v>0.39168238511093378</v>
      </c>
      <c r="BO86" s="32"/>
      <c r="BP86" s="32"/>
      <c r="BQ86" s="32"/>
      <c r="BR86" s="32"/>
      <c r="BS86" s="32"/>
      <c r="BT86" s="32"/>
      <c r="BU86" s="32"/>
    </row>
    <row r="87" spans="1:73">
      <c r="A87" s="25" t="s">
        <v>446</v>
      </c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86"/>
      <c r="Q87" s="186"/>
      <c r="R87" s="10"/>
      <c r="S87" s="216"/>
      <c r="T87" s="556"/>
      <c r="U87" s="10"/>
      <c r="V87" s="216"/>
      <c r="W87" s="556"/>
      <c r="X87" s="10"/>
      <c r="Y87" s="216"/>
      <c r="Z87" s="556">
        <f t="shared" ref="Z87:AW87" si="165">+Z175</f>
        <v>-149</v>
      </c>
      <c r="AA87" s="10"/>
      <c r="AB87" s="216"/>
      <c r="AC87" s="556">
        <f t="shared" si="165"/>
        <v>-276</v>
      </c>
      <c r="AD87" s="10">
        <f t="shared" ref="AD87:AE87" si="166">+AD175</f>
        <v>1</v>
      </c>
      <c r="AE87" s="216">
        <f t="shared" si="166"/>
        <v>-34</v>
      </c>
      <c r="AF87" s="556">
        <f t="shared" si="165"/>
        <v>-33</v>
      </c>
      <c r="AG87" s="10">
        <f t="shared" ref="AG87:AH87" si="167">+AG175</f>
        <v>-1218</v>
      </c>
      <c r="AH87" s="216">
        <f t="shared" si="167"/>
        <v>244</v>
      </c>
      <c r="AI87" s="556">
        <f t="shared" si="165"/>
        <v>-974</v>
      </c>
      <c r="AJ87" s="10">
        <f t="shared" ref="AJ87:AK87" si="168">+AJ175</f>
        <v>160</v>
      </c>
      <c r="AK87" s="216">
        <f t="shared" si="168"/>
        <v>54</v>
      </c>
      <c r="AL87" s="556">
        <f t="shared" si="165"/>
        <v>214</v>
      </c>
      <c r="AM87" s="10">
        <f t="shared" si="165"/>
        <v>241</v>
      </c>
      <c r="AN87" s="216">
        <f t="shared" si="165"/>
        <v>119</v>
      </c>
      <c r="AO87" s="556">
        <f t="shared" si="165"/>
        <v>360</v>
      </c>
      <c r="AP87" s="10">
        <f t="shared" si="165"/>
        <v>23</v>
      </c>
      <c r="AQ87" s="216">
        <f t="shared" ref="AQ87" si="169">+AQ175</f>
        <v>81</v>
      </c>
      <c r="AR87" s="556">
        <f>+AR175</f>
        <v>104</v>
      </c>
      <c r="AS87" s="10">
        <f t="shared" si="165"/>
        <v>258</v>
      </c>
      <c r="AT87" s="216">
        <f t="shared" si="165"/>
        <v>-569</v>
      </c>
      <c r="AU87" s="556">
        <f>+AU175</f>
        <v>-311</v>
      </c>
      <c r="AV87" s="10">
        <f t="shared" si="165"/>
        <v>-126</v>
      </c>
      <c r="AW87" s="216">
        <f t="shared" si="165"/>
        <v>-153</v>
      </c>
      <c r="AX87" s="556">
        <f t="shared" ref="AX87:BM87" si="170">+AX175</f>
        <v>-279</v>
      </c>
      <c r="AY87" s="10">
        <f t="shared" si="170"/>
        <v>-356</v>
      </c>
      <c r="AZ87" s="236">
        <f t="shared" si="170"/>
        <v>-144</v>
      </c>
      <c r="BA87" s="605">
        <f t="shared" si="170"/>
        <v>-500</v>
      </c>
      <c r="BB87" s="56">
        <f t="shared" si="170"/>
        <v>-150</v>
      </c>
      <c r="BC87" s="236">
        <f t="shared" si="170"/>
        <v>-150</v>
      </c>
      <c r="BD87" s="605">
        <f t="shared" si="170"/>
        <v>-300</v>
      </c>
      <c r="BE87" s="56">
        <f t="shared" si="170"/>
        <v>-50</v>
      </c>
      <c r="BF87" s="236">
        <f t="shared" si="170"/>
        <v>-50</v>
      </c>
      <c r="BG87" s="605">
        <f t="shared" si="170"/>
        <v>-100</v>
      </c>
      <c r="BH87" s="56">
        <f t="shared" si="170"/>
        <v>0</v>
      </c>
      <c r="BI87" s="236">
        <f t="shared" si="170"/>
        <v>0</v>
      </c>
      <c r="BJ87" s="605">
        <f t="shared" si="170"/>
        <v>0</v>
      </c>
      <c r="BK87" s="56">
        <f t="shared" si="170"/>
        <v>0</v>
      </c>
      <c r="BL87" s="236">
        <f t="shared" si="170"/>
        <v>0</v>
      </c>
      <c r="BM87" s="605">
        <f t="shared" si="170"/>
        <v>0</v>
      </c>
      <c r="BN87"/>
    </row>
    <row r="88" spans="1:73">
      <c r="A88" s="25" t="s">
        <v>695</v>
      </c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216"/>
      <c r="T88" s="556">
        <f>T91-T85</f>
        <v>461.6</v>
      </c>
      <c r="U88" s="10"/>
      <c r="V88" s="216"/>
      <c r="W88" s="556"/>
      <c r="X88" s="10"/>
      <c r="Y88" s="216"/>
      <c r="Z88" s="556">
        <v>-350</v>
      </c>
      <c r="AA88" s="10"/>
      <c r="AB88" s="216"/>
      <c r="AC88" s="556">
        <v>-380</v>
      </c>
      <c r="AD88" s="10">
        <v>-190</v>
      </c>
      <c r="AE88" s="216">
        <f>AF88-AD88</f>
        <v>-190</v>
      </c>
      <c r="AF88" s="556">
        <v>-380</v>
      </c>
      <c r="AG88" s="10">
        <v>-200</v>
      </c>
      <c r="AH88" s="216">
        <f>AI88-AG88</f>
        <v>-150</v>
      </c>
      <c r="AI88" s="556">
        <v>-350</v>
      </c>
      <c r="AJ88" s="10">
        <v>-160</v>
      </c>
      <c r="AK88" s="216">
        <f>AL88-AJ88</f>
        <v>-140</v>
      </c>
      <c r="AL88" s="556">
        <v>-300</v>
      </c>
      <c r="AM88" s="10">
        <v>-130</v>
      </c>
      <c r="AN88" s="216">
        <f>AO88-AM88</f>
        <v>-170</v>
      </c>
      <c r="AO88" s="556">
        <v>-300</v>
      </c>
      <c r="AP88" s="10">
        <v>-90</v>
      </c>
      <c r="AQ88" s="216">
        <f>AR88-AP88</f>
        <v>-160</v>
      </c>
      <c r="AR88" s="556">
        <v>-250</v>
      </c>
      <c r="AS88" s="10">
        <v>-125</v>
      </c>
      <c r="AT88" s="216">
        <f>AU88-AS88</f>
        <v>-125</v>
      </c>
      <c r="AU88" s="556">
        <v>-250</v>
      </c>
      <c r="AV88" s="10">
        <v>-125</v>
      </c>
      <c r="AW88" s="216">
        <f>AX88-AV88</f>
        <v>-175</v>
      </c>
      <c r="AX88" s="556">
        <v>-300</v>
      </c>
      <c r="AY88" s="21">
        <v>0</v>
      </c>
      <c r="AZ88" s="236">
        <f>BA88-AY88</f>
        <v>-200</v>
      </c>
      <c r="BA88" s="580">
        <v>-200</v>
      </c>
      <c r="BB88" s="56">
        <f>BD88/2</f>
        <v>-250</v>
      </c>
      <c r="BC88" s="236">
        <f>BD88-BB88</f>
        <v>-250</v>
      </c>
      <c r="BD88" s="580">
        <v>-500</v>
      </c>
      <c r="BE88" s="56">
        <f>BG88/2</f>
        <v>-325</v>
      </c>
      <c r="BF88" s="236">
        <f>BG88-BE88</f>
        <v>-325</v>
      </c>
      <c r="BG88" s="580">
        <v>-650</v>
      </c>
      <c r="BH88" s="56">
        <f>BJ88/2</f>
        <v>-375</v>
      </c>
      <c r="BI88" s="236">
        <f>BJ88-BH88</f>
        <v>-375</v>
      </c>
      <c r="BJ88" s="580">
        <v>-750</v>
      </c>
      <c r="BK88" s="56">
        <f>BM88/2</f>
        <v>-425</v>
      </c>
      <c r="BL88" s="236">
        <f>BM88-BK88</f>
        <v>-425</v>
      </c>
      <c r="BM88" s="580">
        <v>-850</v>
      </c>
      <c r="BN88"/>
    </row>
    <row r="89" spans="1:73">
      <c r="A89" s="25" t="s">
        <v>696</v>
      </c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216"/>
      <c r="T89" s="556"/>
      <c r="U89" s="10"/>
      <c r="V89" s="216"/>
      <c r="W89" s="556"/>
      <c r="X89" s="10"/>
      <c r="Y89" s="216"/>
      <c r="Z89" s="556">
        <v>-250</v>
      </c>
      <c r="AA89" s="10"/>
      <c r="AB89" s="216"/>
      <c r="AC89" s="556">
        <v>-280</v>
      </c>
      <c r="AD89" s="10">
        <v>-140</v>
      </c>
      <c r="AE89" s="216">
        <f>AF89-AD89</f>
        <v>-140</v>
      </c>
      <c r="AF89" s="556">
        <v>-280</v>
      </c>
      <c r="AG89" s="10">
        <v>-150</v>
      </c>
      <c r="AH89" s="216">
        <f>AI89-AG89</f>
        <v>-150</v>
      </c>
      <c r="AI89" s="556">
        <v>-300</v>
      </c>
      <c r="AJ89" s="10">
        <v>-125</v>
      </c>
      <c r="AK89" s="216">
        <f>AL89-AJ89</f>
        <v>-125</v>
      </c>
      <c r="AL89" s="556">
        <v>-250</v>
      </c>
      <c r="AM89" s="10">
        <v>-110</v>
      </c>
      <c r="AN89" s="216">
        <f>AO89-AM89</f>
        <v>-140</v>
      </c>
      <c r="AO89" s="556">
        <v>-250</v>
      </c>
      <c r="AP89" s="10">
        <v>-80</v>
      </c>
      <c r="AQ89" s="216">
        <f>AR89-AP89</f>
        <v>-120</v>
      </c>
      <c r="AR89" s="556">
        <v>-200</v>
      </c>
      <c r="AS89" s="10">
        <v>-100</v>
      </c>
      <c r="AT89" s="216">
        <f>AU89-AS89</f>
        <v>-100</v>
      </c>
      <c r="AU89" s="556">
        <v>-200</v>
      </c>
      <c r="AV89" s="10">
        <v>-100</v>
      </c>
      <c r="AW89" s="216">
        <f>AX89-AV89</f>
        <v>-150</v>
      </c>
      <c r="AX89" s="556">
        <v>-250</v>
      </c>
      <c r="AY89" s="21">
        <v>0</v>
      </c>
      <c r="AZ89" s="236">
        <f>BA89-AY89</f>
        <v>-150</v>
      </c>
      <c r="BA89" s="580">
        <v>-150</v>
      </c>
      <c r="BB89" s="56">
        <f>BD89/2</f>
        <v>-200</v>
      </c>
      <c r="BC89" s="236">
        <f>BD89-BB89</f>
        <v>-200</v>
      </c>
      <c r="BD89" s="580">
        <v>-400</v>
      </c>
      <c r="BE89" s="56">
        <f>BG89/2</f>
        <v>-250</v>
      </c>
      <c r="BF89" s="236">
        <f>BG89-BE89</f>
        <v>-250</v>
      </c>
      <c r="BG89" s="580">
        <v>-500</v>
      </c>
      <c r="BH89" s="56">
        <f>BJ89/2</f>
        <v>-325</v>
      </c>
      <c r="BI89" s="236">
        <f>BJ89-BH89</f>
        <v>-325</v>
      </c>
      <c r="BJ89" s="580">
        <v>-650</v>
      </c>
      <c r="BK89" s="56">
        <f>BM89/2</f>
        <v>-375</v>
      </c>
      <c r="BL89" s="236">
        <f>BM89-BK89</f>
        <v>-375</v>
      </c>
      <c r="BM89" s="580">
        <v>-750</v>
      </c>
      <c r="BN89"/>
    </row>
    <row r="90" spans="1:73">
      <c r="A90" s="25" t="s">
        <v>694</v>
      </c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216"/>
      <c r="T90" s="556"/>
      <c r="U90" s="10"/>
      <c r="V90" s="216"/>
      <c r="W90" s="556"/>
      <c r="X90" s="10"/>
      <c r="Y90" s="216"/>
      <c r="Z90" s="556">
        <f t="shared" ref="Z90:AL90" si="171">+Z91-Z85-Z89-Z88-Z87</f>
        <v>910.62194570135762</v>
      </c>
      <c r="AA90" s="10"/>
      <c r="AB90" s="216"/>
      <c r="AC90" s="556">
        <f t="shared" si="171"/>
        <v>1155.987400347826</v>
      </c>
      <c r="AD90" s="10">
        <f>+AD91-AD85-AD89-AD88-AD87</f>
        <v>-162.11003894730641</v>
      </c>
      <c r="AE90" s="216">
        <f>+AE91-AE85-AE89-AE88-AE87</f>
        <v>-342.8602635397292</v>
      </c>
      <c r="AF90" s="556">
        <f t="shared" si="171"/>
        <v>-504.97030248703595</v>
      </c>
      <c r="AG90" s="10">
        <f>+AG91-AG85-AG89-AG88-AG87</f>
        <v>-373.24871746422673</v>
      </c>
      <c r="AH90" s="216">
        <f>+AH91-AH85-AH89-AH88-AH87</f>
        <v>-780.92116273764054</v>
      </c>
      <c r="AI90" s="556">
        <f t="shared" si="171"/>
        <v>-1154.1698802018673</v>
      </c>
      <c r="AJ90" s="10">
        <f>+AJ91-AJ85-AJ89-AJ88-AJ87</f>
        <v>-116.90315055039537</v>
      </c>
      <c r="AK90" s="216">
        <f>+AK91-AK85-AK89-AK88-AK87</f>
        <v>-532.84475372492068</v>
      </c>
      <c r="AL90" s="556">
        <f t="shared" si="171"/>
        <v>-649.74790427531616</v>
      </c>
      <c r="AM90" s="10">
        <f t="shared" ref="AM90:AR90" si="172">+AM91-AM85-AM89-AM88-AM87</f>
        <v>-424.3439020554315</v>
      </c>
      <c r="AN90" s="216">
        <f t="shared" si="172"/>
        <v>-346.08664465371203</v>
      </c>
      <c r="AO90" s="556">
        <f t="shared" si="172"/>
        <v>-770.43054670914353</v>
      </c>
      <c r="AP90" s="10">
        <f t="shared" si="172"/>
        <v>7.0801988930015796</v>
      </c>
      <c r="AQ90" s="216">
        <f t="shared" si="172"/>
        <v>-248.19884649607616</v>
      </c>
      <c r="AR90" s="556">
        <f t="shared" si="172"/>
        <v>-241.11864760307458</v>
      </c>
      <c r="AS90" s="10">
        <f t="shared" ref="AS90:AX90" si="173">+AS91-AS85-AS89-AS88-AS87</f>
        <v>-208.58921448448473</v>
      </c>
      <c r="AT90" s="216">
        <f t="shared" si="173"/>
        <v>356.39618856923357</v>
      </c>
      <c r="AU90" s="556">
        <f t="shared" si="173"/>
        <v>147.80697408474862</v>
      </c>
      <c r="AV90" s="10">
        <f t="shared" si="173"/>
        <v>368.14047196390629</v>
      </c>
      <c r="AW90" s="216">
        <f>AX90-AV90</f>
        <v>-247.47083391938804</v>
      </c>
      <c r="AX90" s="556">
        <f t="shared" si="173"/>
        <v>120.66963804451825</v>
      </c>
      <c r="AY90" s="10">
        <f t="shared" ref="AY90" si="174">+AY91-AY85-AY89-AY88-AY87</f>
        <v>91.252190238619733</v>
      </c>
      <c r="AZ90" s="236">
        <f>BA90-AY90</f>
        <v>-91.252190238619733</v>
      </c>
      <c r="BA90" s="580">
        <v>0</v>
      </c>
      <c r="BB90" s="56">
        <f>BD90/2</f>
        <v>0</v>
      </c>
      <c r="BC90" s="236">
        <f>BD90-BB90</f>
        <v>0</v>
      </c>
      <c r="BD90" s="580">
        <v>0</v>
      </c>
      <c r="BE90" s="56">
        <f>BG90/2</f>
        <v>0</v>
      </c>
      <c r="BF90" s="236">
        <f>BG90-BE90</f>
        <v>0</v>
      </c>
      <c r="BG90" s="580">
        <v>0</v>
      </c>
      <c r="BH90" s="56">
        <f>BJ90/2</f>
        <v>0</v>
      </c>
      <c r="BI90" s="236">
        <f>BJ90-BH90</f>
        <v>0</v>
      </c>
      <c r="BJ90" s="580">
        <v>0</v>
      </c>
      <c r="BK90" s="56">
        <f>BM90/2</f>
        <v>0</v>
      </c>
      <c r="BL90" s="236">
        <f>BM90-BK90</f>
        <v>0</v>
      </c>
      <c r="BM90" s="580">
        <v>0</v>
      </c>
      <c r="BN90" s="56"/>
    </row>
    <row r="91" spans="1:73">
      <c r="A91" s="37" t="s">
        <v>270</v>
      </c>
      <c r="B91" s="338"/>
      <c r="C91" s="338"/>
      <c r="D91" s="338"/>
      <c r="E91" s="338"/>
      <c r="F91" s="338"/>
      <c r="G91" s="338"/>
      <c r="H91" s="338"/>
      <c r="I91" s="338"/>
      <c r="J91" s="338"/>
      <c r="K91" s="338"/>
      <c r="L91" s="338"/>
      <c r="M91" s="338"/>
      <c r="N91" s="338"/>
      <c r="O91" s="338"/>
      <c r="P91" s="22"/>
      <c r="Q91" s="22">
        <f>Q227</f>
        <v>593</v>
      </c>
      <c r="R91" s="22">
        <f t="shared" ref="R91:S91" si="175">R6</f>
        <v>399</v>
      </c>
      <c r="S91" s="227">
        <f t="shared" si="175"/>
        <v>786</v>
      </c>
      <c r="T91" s="557">
        <f>T227</f>
        <v>362</v>
      </c>
      <c r="U91" s="22">
        <f t="shared" ref="U91:W91" si="176">U6</f>
        <v>543</v>
      </c>
      <c r="V91" s="227">
        <f t="shared" si="176"/>
        <v>649</v>
      </c>
      <c r="W91" s="557">
        <f t="shared" si="176"/>
        <v>1192</v>
      </c>
      <c r="X91" s="22">
        <f t="shared" ref="X91:Y91" si="177">X6</f>
        <v>137</v>
      </c>
      <c r="Y91" s="227">
        <f t="shared" si="177"/>
        <v>336</v>
      </c>
      <c r="Z91" s="557">
        <f t="shared" ref="Z91:AQ91" si="178">Z6</f>
        <v>473</v>
      </c>
      <c r="AA91" s="22">
        <f t="shared" ref="AA91:AB91" si="179">AA6</f>
        <v>175</v>
      </c>
      <c r="AB91" s="227">
        <f t="shared" si="179"/>
        <v>318</v>
      </c>
      <c r="AC91" s="557">
        <f t="shared" si="178"/>
        <v>493</v>
      </c>
      <c r="AD91" s="22">
        <f t="shared" ref="AD91:AE91" si="180">AD6</f>
        <v>276</v>
      </c>
      <c r="AE91" s="227">
        <f t="shared" si="180"/>
        <v>346</v>
      </c>
      <c r="AF91" s="557">
        <f t="shared" si="178"/>
        <v>622</v>
      </c>
      <c r="AG91" s="22">
        <f t="shared" ref="AG91:AH91" si="181">AG6</f>
        <v>-1552</v>
      </c>
      <c r="AH91" s="227">
        <f t="shared" si="181"/>
        <v>-435</v>
      </c>
      <c r="AI91" s="557">
        <f t="shared" si="178"/>
        <v>-1987</v>
      </c>
      <c r="AJ91" s="22">
        <f t="shared" ref="AJ91:AK91" si="182">AJ6</f>
        <v>380</v>
      </c>
      <c r="AK91" s="227">
        <f t="shared" si="182"/>
        <v>94</v>
      </c>
      <c r="AL91" s="557">
        <f t="shared" si="178"/>
        <v>474</v>
      </c>
      <c r="AM91" s="22">
        <f t="shared" ref="AM91:AN91" si="183">AM6</f>
        <v>256</v>
      </c>
      <c r="AN91" s="227">
        <f t="shared" si="183"/>
        <v>597</v>
      </c>
      <c r="AO91" s="557">
        <f t="shared" si="178"/>
        <v>853</v>
      </c>
      <c r="AP91" s="22">
        <f t="shared" si="178"/>
        <v>690</v>
      </c>
      <c r="AQ91" s="227">
        <f t="shared" si="178"/>
        <v>704</v>
      </c>
      <c r="AR91" s="557">
        <f t="shared" ref="AR91:AV91" si="184">AR6</f>
        <v>1394</v>
      </c>
      <c r="AS91" s="22">
        <f t="shared" si="184"/>
        <v>992</v>
      </c>
      <c r="AT91" s="227">
        <f t="shared" si="184"/>
        <v>998</v>
      </c>
      <c r="AU91" s="557">
        <f t="shared" ref="AU91" si="185">AU6</f>
        <v>1990</v>
      </c>
      <c r="AV91" s="22">
        <f t="shared" si="184"/>
        <v>1477</v>
      </c>
      <c r="AW91" s="227">
        <f>AW6</f>
        <v>1198</v>
      </c>
      <c r="AX91" s="557">
        <f t="shared" ref="AX91:AY91" si="186">AX6</f>
        <v>2675</v>
      </c>
      <c r="AY91" s="22">
        <f t="shared" si="186"/>
        <v>1857</v>
      </c>
      <c r="AZ91" s="244">
        <f>AZ85+AZ88+AZ89+AZ90+AZ87</f>
        <v>1606.750200913059</v>
      </c>
      <c r="BA91" s="581">
        <f>BA85+BA87+BA88+BA89+BA90</f>
        <v>3463.7502009130585</v>
      </c>
      <c r="BB91" s="181">
        <f>BB85+BB88+BB89+BB90+BB87</f>
        <v>1970.2967224690337</v>
      </c>
      <c r="BC91" s="244">
        <f>BC85+BC88+BC89+BC90+BC87</f>
        <v>1888.1549320563586</v>
      </c>
      <c r="BD91" s="581">
        <f>BD85+BD87+BD88+BD89+BD90</f>
        <v>3858.4516545253919</v>
      </c>
      <c r="BE91" s="181">
        <f>BE85+BE88+BE89+BE90+BE87</f>
        <v>2187.7000297682507</v>
      </c>
      <c r="BF91" s="244">
        <f>BF85+BF88+BF89+BF90+BF87</f>
        <v>2162.9409907115596</v>
      </c>
      <c r="BG91" s="581">
        <f>BG85+BG87+BG88+BG89+BG90</f>
        <v>4350.6410204798103</v>
      </c>
      <c r="BH91" s="181">
        <f>BH85+BH88+BH89+BH90+BH87</f>
        <v>2473.4744086733717</v>
      </c>
      <c r="BI91" s="244">
        <f>BI85+BI88+BI89+BI90+BI87</f>
        <v>2439.333934524464</v>
      </c>
      <c r="BJ91" s="581">
        <f>BJ85+BJ87+BJ88+BJ89+BJ90</f>
        <v>4912.8083431978357</v>
      </c>
      <c r="BK91" s="181">
        <f>BK85+BK88+BK89+BK90+BK87</f>
        <v>2763.5540887733587</v>
      </c>
      <c r="BL91" s="244">
        <f>BL85+BL88+BL89+BL90+BL87</f>
        <v>2704.2176663995078</v>
      </c>
      <c r="BM91" s="581">
        <f>BM85+BM87+BM88+BM89+BM90</f>
        <v>5467.7717551728665</v>
      </c>
      <c r="BN91"/>
    </row>
    <row r="92" spans="1:73">
      <c r="A92" s="93" t="s">
        <v>273</v>
      </c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65">
        <f>+Q91/Q80</f>
        <v>0.10159328422134659</v>
      </c>
      <c r="R92" s="261">
        <f t="shared" ref="R92:S92" si="187">+R91/R80</f>
        <v>0.12582781456953643</v>
      </c>
      <c r="S92" s="734">
        <f t="shared" si="187"/>
        <v>0.30161166538756717</v>
      </c>
      <c r="T92" s="738">
        <f>+T91/T80</f>
        <v>6.2662281460965905E-2</v>
      </c>
      <c r="U92" s="261">
        <f t="shared" ref="U92:W92" si="188">+U91/U80</f>
        <v>0.14771490750816105</v>
      </c>
      <c r="V92" s="734">
        <f t="shared" si="188"/>
        <v>0.14929836668967103</v>
      </c>
      <c r="W92" s="738">
        <f t="shared" si="188"/>
        <v>0.14857285304748846</v>
      </c>
      <c r="X92" s="261">
        <f t="shared" ref="X92:Y92" si="189">+X91/X80</f>
        <v>4.7935619314205737E-2</v>
      </c>
      <c r="Y92" s="734">
        <f t="shared" si="189"/>
        <v>8.9839572192513373E-2</v>
      </c>
      <c r="Z92" s="738">
        <f t="shared" ref="Z92:BM92" si="190">+Z91/Z80</f>
        <v>7.1688390421339801E-2</v>
      </c>
      <c r="AA92" s="261">
        <f t="shared" ref="AA92:AB92" si="191">+AA91/AA80</f>
        <v>4.8611111111111112E-2</v>
      </c>
      <c r="AB92" s="734">
        <f t="shared" si="191"/>
        <v>8.4171519322392807E-2</v>
      </c>
      <c r="AC92" s="738">
        <f>+AC91/AC80</f>
        <v>6.6820276497695855E-2</v>
      </c>
      <c r="AD92" s="261">
        <f t="shared" ref="AD92:AE92" si="192">+AD91/AD80</f>
        <v>6.8690890990542555E-2</v>
      </c>
      <c r="AE92" s="734">
        <f t="shared" si="192"/>
        <v>8.4617265835167529E-2</v>
      </c>
      <c r="AF92" s="738">
        <f>+AF91/AF80</f>
        <v>7.6723818921919332E-2</v>
      </c>
      <c r="AG92" s="261">
        <f t="shared" ref="AG92:AH92" si="193">+AG91/AG80</f>
        <v>-0.61685214626391094</v>
      </c>
      <c r="AH92" s="734">
        <f t="shared" si="193"/>
        <v>-0.17045454545454544</v>
      </c>
      <c r="AI92" s="738">
        <f>+AI91/AI80</f>
        <v>-0.39206787687450673</v>
      </c>
      <c r="AJ92" s="261">
        <f t="shared" ref="AJ92:AK92" si="194">+AJ91/AJ80</f>
        <v>0.17527675276752769</v>
      </c>
      <c r="AK92" s="734">
        <f t="shared" si="194"/>
        <v>3.9695945945945943E-2</v>
      </c>
      <c r="AL92" s="738">
        <f t="shared" si="190"/>
        <v>0.10449735449735449</v>
      </c>
      <c r="AM92" s="261">
        <f t="shared" ref="AM92:AN92" si="195">+AM91/AM80</f>
        <v>0.10944848225737494</v>
      </c>
      <c r="AN92" s="734">
        <f t="shared" si="195"/>
        <v>0.17836868837765163</v>
      </c>
      <c r="AO92" s="738">
        <f t="shared" si="190"/>
        <v>0.15001758705592683</v>
      </c>
      <c r="AP92" s="261">
        <f t="shared" si="190"/>
        <v>0.21185139699109609</v>
      </c>
      <c r="AQ92" s="734">
        <f t="shared" si="190"/>
        <v>0.17208506477633831</v>
      </c>
      <c r="AR92" s="738">
        <f t="shared" ref="AR92:AT92" si="196">+AR91/AR80</f>
        <v>0.18971148611867175</v>
      </c>
      <c r="AS92" s="261">
        <f t="shared" si="196"/>
        <v>0.24083515416363194</v>
      </c>
      <c r="AT92" s="734">
        <f t="shared" si="196"/>
        <v>0.20280430806746597</v>
      </c>
      <c r="AU92" s="738">
        <f t="shared" ref="AU92" si="197">+AU91/AU80</f>
        <v>0.22013274336283187</v>
      </c>
      <c r="AV92" s="261">
        <f t="shared" si="190"/>
        <v>0.30860844128708737</v>
      </c>
      <c r="AW92" s="734">
        <f t="shared" si="190"/>
        <v>0.21408148677626876</v>
      </c>
      <c r="AX92" s="738">
        <f t="shared" si="190"/>
        <v>0.25765748410710848</v>
      </c>
      <c r="AY92" s="261">
        <f t="shared" ref="AY92" si="198">+AY91/AY80</f>
        <v>0.30019398642095052</v>
      </c>
      <c r="AZ92" s="720">
        <f t="shared" si="190"/>
        <v>0.25017984226412243</v>
      </c>
      <c r="BA92" s="729">
        <f t="shared" si="190"/>
        <v>0.2747180840965126</v>
      </c>
      <c r="BB92" s="343">
        <f t="shared" si="190"/>
        <v>0.27578953705753484</v>
      </c>
      <c r="BC92" s="720">
        <f t="shared" si="190"/>
        <v>0.26844282790940138</v>
      </c>
      <c r="BD92" s="729">
        <f t="shared" si="190"/>
        <v>0.27214480460595497</v>
      </c>
      <c r="BE92" s="343">
        <f t="shared" si="190"/>
        <v>0.28865286774002291</v>
      </c>
      <c r="BF92" s="720">
        <f t="shared" si="190"/>
        <v>0.28219902387247492</v>
      </c>
      <c r="BG92" s="729">
        <f t="shared" si="190"/>
        <v>0.28540782630699063</v>
      </c>
      <c r="BH92" s="343">
        <f t="shared" si="190"/>
        <v>0.2974249618698584</v>
      </c>
      <c r="BI92" s="720">
        <f t="shared" si="190"/>
        <v>0.29243291034362223</v>
      </c>
      <c r="BJ92" s="729">
        <f t="shared" si="190"/>
        <v>0.29492515724006757</v>
      </c>
      <c r="BK92" s="343">
        <f t="shared" si="190"/>
        <v>0.30476541982574162</v>
      </c>
      <c r="BL92" s="720">
        <f t="shared" si="190"/>
        <v>0.30124372115638098</v>
      </c>
      <c r="BM92" s="729">
        <f t="shared" si="190"/>
        <v>0.30301344702322297</v>
      </c>
    </row>
    <row r="93" spans="1:73">
      <c r="A93" s="93"/>
      <c r="S93" s="595"/>
      <c r="T93" s="619"/>
      <c r="V93" s="595"/>
      <c r="W93" s="619"/>
      <c r="Y93" s="595"/>
      <c r="Z93" s="619"/>
      <c r="AB93" s="595"/>
      <c r="AC93" s="619"/>
      <c r="AE93" s="595"/>
      <c r="AF93" s="619"/>
      <c r="AH93" s="595"/>
      <c r="AI93" s="619"/>
      <c r="AK93" s="595"/>
      <c r="AL93" s="619"/>
      <c r="AN93" s="595"/>
      <c r="AO93" s="619"/>
      <c r="AQ93" s="539"/>
      <c r="AR93" s="550"/>
      <c r="AS93"/>
      <c r="AT93" s="539"/>
      <c r="AU93" s="550"/>
      <c r="AV93"/>
      <c r="AW93" s="539"/>
      <c r="AX93" s="550"/>
      <c r="AY93"/>
      <c r="AZ93" s="539"/>
      <c r="BA93" s="550"/>
      <c r="BB93"/>
      <c r="BC93" s="539"/>
      <c r="BD93" s="550"/>
      <c r="BE93"/>
      <c r="BF93" s="539"/>
      <c r="BG93" s="550"/>
      <c r="BH93"/>
      <c r="BI93" s="539"/>
      <c r="BJ93" s="550"/>
      <c r="BK93"/>
      <c r="BL93" s="539"/>
      <c r="BM93" s="550"/>
    </row>
    <row r="94" spans="1:73">
      <c r="A94" s="310" t="s">
        <v>754</v>
      </c>
      <c r="B94" s="311"/>
      <c r="C94" s="311"/>
      <c r="D94" s="311"/>
      <c r="E94" s="311"/>
      <c r="F94" s="311"/>
      <c r="G94" s="311"/>
      <c r="H94" s="311"/>
      <c r="I94" s="311"/>
      <c r="J94" s="311"/>
      <c r="K94" s="311"/>
      <c r="L94" s="311"/>
      <c r="M94" s="311"/>
      <c r="N94" s="311"/>
      <c r="O94" s="311"/>
      <c r="P94" s="311"/>
      <c r="Q94" s="311"/>
      <c r="R94" s="948" t="str">
        <f t="shared" ref="R94:S94" si="199">+R1</f>
        <v>1H16</v>
      </c>
      <c r="S94" s="321" t="str">
        <f t="shared" si="199"/>
        <v>2H16</v>
      </c>
      <c r="T94" s="566"/>
      <c r="U94" s="948" t="str">
        <f t="shared" ref="U94:V94" si="200">+U1</f>
        <v>1H17</v>
      </c>
      <c r="V94" s="321" t="str">
        <f t="shared" si="200"/>
        <v>2H17</v>
      </c>
      <c r="W94" s="566"/>
      <c r="X94" s="948" t="str">
        <f t="shared" ref="X94:Y94" si="201">+X1</f>
        <v>1H17</v>
      </c>
      <c r="Y94" s="321" t="str">
        <f t="shared" si="201"/>
        <v>2H17</v>
      </c>
      <c r="Z94" s="566">
        <f>+Z1</f>
        <v>2017</v>
      </c>
      <c r="AA94" s="948" t="str">
        <f t="shared" ref="AA94:BM94" si="202">+AA1</f>
        <v>1H18</v>
      </c>
      <c r="AB94" s="321" t="str">
        <f t="shared" si="202"/>
        <v>2H18</v>
      </c>
      <c r="AC94" s="566">
        <f t="shared" si="202"/>
        <v>2018</v>
      </c>
      <c r="AD94" s="948" t="str">
        <f t="shared" si="202"/>
        <v>1H19</v>
      </c>
      <c r="AE94" s="321" t="str">
        <f t="shared" si="202"/>
        <v>2H19</v>
      </c>
      <c r="AF94" s="566">
        <f t="shared" si="202"/>
        <v>2019</v>
      </c>
      <c r="AG94" s="948" t="str">
        <f t="shared" si="202"/>
        <v>1H20</v>
      </c>
      <c r="AH94" s="321" t="str">
        <f t="shared" si="202"/>
        <v>2H20</v>
      </c>
      <c r="AI94" s="566">
        <f t="shared" si="202"/>
        <v>2020</v>
      </c>
      <c r="AJ94" s="948" t="str">
        <f t="shared" si="202"/>
        <v>1H21</v>
      </c>
      <c r="AK94" s="321" t="str">
        <f t="shared" si="202"/>
        <v>2H21</v>
      </c>
      <c r="AL94" s="566">
        <f t="shared" si="202"/>
        <v>2021</v>
      </c>
      <c r="AM94" s="948" t="str">
        <f t="shared" si="202"/>
        <v>1H22</v>
      </c>
      <c r="AN94" s="321" t="str">
        <f t="shared" si="202"/>
        <v>2H22</v>
      </c>
      <c r="AO94" s="566">
        <f t="shared" si="202"/>
        <v>2022</v>
      </c>
      <c r="AP94" s="948" t="str">
        <f t="shared" si="202"/>
        <v>1H23</v>
      </c>
      <c r="AQ94" s="321" t="str">
        <f t="shared" si="202"/>
        <v>2H23</v>
      </c>
      <c r="AR94" s="566">
        <f t="shared" si="202"/>
        <v>2023</v>
      </c>
      <c r="AS94" s="948" t="str">
        <f t="shared" si="202"/>
        <v>1H24</v>
      </c>
      <c r="AT94" s="321" t="str">
        <f t="shared" ref="AT94" si="203">+AT1</f>
        <v>2H24</v>
      </c>
      <c r="AU94" s="566">
        <f t="shared" si="202"/>
        <v>2024</v>
      </c>
      <c r="AV94" s="948" t="str">
        <f t="shared" si="202"/>
        <v>1H25</v>
      </c>
      <c r="AW94" s="321" t="str">
        <f t="shared" ref="AW94" si="204">+AW1</f>
        <v>2H25</v>
      </c>
      <c r="AX94" s="566">
        <f t="shared" si="202"/>
        <v>2025</v>
      </c>
      <c r="AY94" s="948" t="str">
        <f t="shared" ref="AY94" si="205">+AY1</f>
        <v>1H26</v>
      </c>
      <c r="AZ94" s="949" t="str">
        <f t="shared" ref="AZ94" si="206">+AZ1</f>
        <v>2H26e</v>
      </c>
      <c r="BA94" s="574">
        <f t="shared" si="202"/>
        <v>2026</v>
      </c>
      <c r="BB94" s="950" t="str">
        <f t="shared" ref="BB94:BC94" si="207">+BB1</f>
        <v>1H27e</v>
      </c>
      <c r="BC94" s="949" t="str">
        <f t="shared" si="207"/>
        <v>2H27e</v>
      </c>
      <c r="BD94" s="574">
        <f t="shared" si="202"/>
        <v>2027</v>
      </c>
      <c r="BE94" s="950" t="str">
        <f t="shared" ref="BE94:BF94" si="208">+BE1</f>
        <v>1H28e</v>
      </c>
      <c r="BF94" s="949" t="str">
        <f t="shared" si="208"/>
        <v>2H28e</v>
      </c>
      <c r="BG94" s="574">
        <f t="shared" si="202"/>
        <v>2028</v>
      </c>
      <c r="BH94" s="950" t="str">
        <f t="shared" ref="BH94:BI94" si="209">+BH1</f>
        <v>1H29e</v>
      </c>
      <c r="BI94" s="949" t="str">
        <f t="shared" si="209"/>
        <v>2H29e</v>
      </c>
      <c r="BJ94" s="574">
        <f t="shared" si="202"/>
        <v>2029</v>
      </c>
      <c r="BK94" s="950" t="str">
        <f t="shared" ref="BK94:BL94" si="210">+BK1</f>
        <v>1H30e</v>
      </c>
      <c r="BL94" s="949" t="str">
        <f t="shared" si="210"/>
        <v>2H30e</v>
      </c>
      <c r="BM94" s="574">
        <f t="shared" si="202"/>
        <v>2030</v>
      </c>
    </row>
    <row r="95" spans="1:73">
      <c r="B95" s="40"/>
      <c r="C95" s="40"/>
      <c r="D95" s="40"/>
      <c r="E95" s="40"/>
      <c r="F95" s="40"/>
      <c r="G95" s="40"/>
      <c r="H95" s="40"/>
      <c r="I95" s="40"/>
      <c r="J95" s="40"/>
      <c r="K95" s="40"/>
      <c r="L95" s="40"/>
      <c r="M95" s="40"/>
      <c r="N95" s="40"/>
      <c r="O95" s="40"/>
      <c r="P95" s="40"/>
      <c r="Q95" s="40"/>
      <c r="R95" s="40"/>
      <c r="S95" s="630"/>
      <c r="T95" s="653"/>
      <c r="U95" s="40"/>
      <c r="V95" s="630"/>
      <c r="W95" s="653"/>
      <c r="X95" s="40"/>
      <c r="Y95" s="630"/>
      <c r="Z95" s="653"/>
      <c r="AA95" s="40"/>
      <c r="AB95" s="630"/>
      <c r="AC95" s="653"/>
      <c r="AD95" s="40"/>
      <c r="AE95" s="630"/>
      <c r="AF95" s="653"/>
      <c r="AG95" s="40"/>
      <c r="AH95" s="630"/>
      <c r="AI95" s="653"/>
      <c r="AJ95" s="40"/>
      <c r="AK95" s="630"/>
      <c r="AL95" s="653"/>
      <c r="AM95" s="40"/>
      <c r="AN95" s="630"/>
      <c r="AO95" s="653"/>
      <c r="AP95" s="40"/>
      <c r="AQ95" s="539"/>
      <c r="AR95" s="550"/>
      <c r="AS95"/>
      <c r="AT95" s="539"/>
      <c r="AU95" s="550"/>
      <c r="AV95"/>
      <c r="AW95" s="539"/>
      <c r="AX95" s="550"/>
      <c r="AY95"/>
      <c r="AZ95" s="539"/>
      <c r="BA95" s="550"/>
      <c r="BB95"/>
      <c r="BC95" s="539"/>
      <c r="BD95" s="550"/>
      <c r="BE95"/>
      <c r="BF95" s="539"/>
      <c r="BG95" s="550"/>
      <c r="BH95"/>
      <c r="BI95" s="539"/>
      <c r="BJ95" s="550"/>
      <c r="BK95"/>
      <c r="BL95" s="539"/>
      <c r="BM95" s="550"/>
    </row>
    <row r="96" spans="1:73">
      <c r="A96" s="31" t="s">
        <v>283</v>
      </c>
      <c r="B96" s="40"/>
      <c r="C96" s="40"/>
      <c r="D96" s="40"/>
      <c r="E96" s="40"/>
      <c r="F96" s="40"/>
      <c r="G96" s="40"/>
      <c r="H96" s="40"/>
      <c r="I96" s="40"/>
      <c r="J96" s="40"/>
      <c r="K96" s="40"/>
      <c r="L96" s="40"/>
      <c r="M96" s="40"/>
      <c r="N96" s="40"/>
      <c r="O96" s="40"/>
      <c r="P96" s="40"/>
      <c r="Q96" s="51">
        <f>Q97+Q98+Q99</f>
        <v>2370</v>
      </c>
      <c r="R96" s="51"/>
      <c r="S96" s="629"/>
      <c r="T96" s="652">
        <f>T97+T98+T99</f>
        <v>2541</v>
      </c>
      <c r="U96" s="51"/>
      <c r="V96" s="629"/>
      <c r="W96" s="652">
        <f>W97+W98+W99</f>
        <v>2890</v>
      </c>
      <c r="X96" s="51"/>
      <c r="Y96" s="629"/>
      <c r="Z96" s="652"/>
      <c r="AA96" s="51"/>
      <c r="AB96" s="629"/>
      <c r="AC96" s="652">
        <f t="shared" ref="AC96:BM96" si="211">AC97+AC98+AC99</f>
        <v>3119</v>
      </c>
      <c r="AD96" s="51">
        <f t="shared" si="211"/>
        <v>1570</v>
      </c>
      <c r="AE96" s="629">
        <f t="shared" si="211"/>
        <v>1676</v>
      </c>
      <c r="AF96" s="652">
        <f t="shared" si="211"/>
        <v>3246</v>
      </c>
      <c r="AG96" s="51">
        <f t="shared" si="211"/>
        <v>1187</v>
      </c>
      <c r="AH96" s="629">
        <f t="shared" si="211"/>
        <v>1091</v>
      </c>
      <c r="AI96" s="652">
        <f>AI97+AI98+AI99</f>
        <v>2278</v>
      </c>
      <c r="AJ96" s="51">
        <f t="shared" ref="AJ96:AK96" si="212">AJ97+AJ98+AJ99</f>
        <v>722</v>
      </c>
      <c r="AK96" s="629">
        <f t="shared" si="212"/>
        <v>890</v>
      </c>
      <c r="AL96" s="652">
        <f>AL97+AL98+AL99</f>
        <v>1612</v>
      </c>
      <c r="AM96" s="51">
        <f t="shared" ref="AM96:AN96" si="213">AM97+AM98+AM99</f>
        <v>660</v>
      </c>
      <c r="AN96" s="629">
        <f t="shared" si="213"/>
        <v>1322</v>
      </c>
      <c r="AO96" s="652">
        <f t="shared" si="211"/>
        <v>1982</v>
      </c>
      <c r="AP96" s="51">
        <f t="shared" ref="AP96:AR96" si="214">AP97+AP98+AP99</f>
        <v>1055</v>
      </c>
      <c r="AQ96" s="629">
        <f t="shared" si="214"/>
        <v>1648</v>
      </c>
      <c r="AR96" s="652">
        <f t="shared" si="214"/>
        <v>2703</v>
      </c>
      <c r="AS96" s="51">
        <f t="shared" ref="AS96:AU96" si="215">AS97+AS98+AS99</f>
        <v>1329</v>
      </c>
      <c r="AT96" s="629">
        <f t="shared" si="215"/>
        <v>1776</v>
      </c>
      <c r="AU96" s="652">
        <f t="shared" si="215"/>
        <v>3105</v>
      </c>
      <c r="AV96" s="51">
        <f t="shared" ref="AV96:AW96" si="216">AV97+AV98+AV99</f>
        <v>1478</v>
      </c>
      <c r="AW96" s="629">
        <f t="shared" si="216"/>
        <v>1739</v>
      </c>
      <c r="AX96" s="652">
        <f t="shared" si="211"/>
        <v>3217</v>
      </c>
      <c r="AY96" s="51">
        <f t="shared" si="211"/>
        <v>2019</v>
      </c>
      <c r="AZ96" s="237">
        <f t="shared" si="211"/>
        <v>2161.7372731936657</v>
      </c>
      <c r="BA96" s="576">
        <f t="shared" si="211"/>
        <v>4180.7372731936657</v>
      </c>
      <c r="BB96" s="48">
        <f t="shared" si="211"/>
        <v>2252.0634639841833</v>
      </c>
      <c r="BC96" s="237">
        <f t="shared" si="211"/>
        <v>2341.989775226024</v>
      </c>
      <c r="BD96" s="576">
        <f t="shared" si="211"/>
        <v>4594.0532392102068</v>
      </c>
      <c r="BE96" s="48">
        <f t="shared" si="211"/>
        <v>2403.0978672310839</v>
      </c>
      <c r="BF96" s="237">
        <f t="shared" si="211"/>
        <v>2548.6216876715134</v>
      </c>
      <c r="BG96" s="576">
        <f t="shared" si="211"/>
        <v>4951.7195549025973</v>
      </c>
      <c r="BH96" s="48">
        <f t="shared" si="211"/>
        <v>2603.1369305566604</v>
      </c>
      <c r="BI96" s="237">
        <f t="shared" si="211"/>
        <v>2682.3900981710012</v>
      </c>
      <c r="BJ96" s="576">
        <f t="shared" si="211"/>
        <v>5285.5270287276617</v>
      </c>
      <c r="BK96" s="48">
        <f t="shared" si="211"/>
        <v>2745.7576160646968</v>
      </c>
      <c r="BL96" s="237">
        <f t="shared" si="211"/>
        <v>2701.8472213866044</v>
      </c>
      <c r="BM96" s="576">
        <f t="shared" si="211"/>
        <v>5447.6048374513011</v>
      </c>
    </row>
    <row r="97" spans="1:66">
      <c r="A97" s="93" t="s">
        <v>286</v>
      </c>
      <c r="B97" s="40"/>
      <c r="C97" s="40"/>
      <c r="D97" s="40"/>
      <c r="E97" s="40"/>
      <c r="F97" s="40"/>
      <c r="G97" s="40"/>
      <c r="H97" s="40"/>
      <c r="I97" s="40"/>
      <c r="J97" s="40"/>
      <c r="K97" s="40"/>
      <c r="L97" s="40"/>
      <c r="M97" s="40"/>
      <c r="N97" s="40"/>
      <c r="O97" s="40"/>
      <c r="P97" s="40"/>
      <c r="Q97" s="40">
        <f t="shared" ref="Q97:T99" si="217">Q72</f>
        <v>1186</v>
      </c>
      <c r="R97" s="40"/>
      <c r="S97" s="630"/>
      <c r="T97" s="653">
        <f t="shared" si="217"/>
        <v>1530</v>
      </c>
      <c r="U97" s="40"/>
      <c r="V97" s="630"/>
      <c r="W97" s="653">
        <f>Z72</f>
        <v>2089</v>
      </c>
      <c r="X97" s="40"/>
      <c r="Y97" s="630"/>
      <c r="Z97" s="653"/>
      <c r="AA97" s="40"/>
      <c r="AB97" s="630"/>
      <c r="AC97" s="653">
        <f t="shared" ref="AC97:BM99" si="218">AC72</f>
        <v>2373</v>
      </c>
      <c r="AD97" s="40">
        <f t="shared" si="218"/>
        <v>1226</v>
      </c>
      <c r="AE97" s="630">
        <f t="shared" si="218"/>
        <v>1342</v>
      </c>
      <c r="AF97" s="653">
        <f t="shared" si="218"/>
        <v>2568</v>
      </c>
      <c r="AG97" s="40">
        <f t="shared" si="218"/>
        <v>854</v>
      </c>
      <c r="AH97" s="630">
        <f t="shared" si="218"/>
        <v>842</v>
      </c>
      <c r="AI97" s="653">
        <f t="shared" ref="AI97:AM99" si="219">AI72</f>
        <v>1696</v>
      </c>
      <c r="AJ97" s="40">
        <f t="shared" ref="AJ97:AK99" si="220">AJ72</f>
        <v>607</v>
      </c>
      <c r="AK97" s="630">
        <f t="shared" si="220"/>
        <v>690</v>
      </c>
      <c r="AL97" s="653">
        <f t="shared" si="219"/>
        <v>1297</v>
      </c>
      <c r="AM97" s="40">
        <f t="shared" si="219"/>
        <v>478</v>
      </c>
      <c r="AN97" s="630">
        <f t="shared" ref="AN97" si="221">AN72</f>
        <v>1038</v>
      </c>
      <c r="AO97" s="653">
        <f t="shared" si="218"/>
        <v>1516</v>
      </c>
      <c r="AP97" s="40">
        <f t="shared" ref="AP97:AR99" si="222">AP72</f>
        <v>828</v>
      </c>
      <c r="AQ97" s="630">
        <f t="shared" si="222"/>
        <v>1211</v>
      </c>
      <c r="AR97" s="653">
        <f t="shared" si="222"/>
        <v>2039</v>
      </c>
      <c r="AS97" s="40">
        <f t="shared" ref="AS97:AU99" si="223">AS72</f>
        <v>845</v>
      </c>
      <c r="AT97" s="630">
        <f t="shared" si="223"/>
        <v>1309</v>
      </c>
      <c r="AU97" s="653">
        <f t="shared" si="223"/>
        <v>2154</v>
      </c>
      <c r="AV97" s="40">
        <f t="shared" ref="AV97:AW97" si="224">AV72</f>
        <v>993</v>
      </c>
      <c r="AW97" s="630">
        <f t="shared" si="224"/>
        <v>1242</v>
      </c>
      <c r="AX97" s="653">
        <f t="shared" si="218"/>
        <v>2235</v>
      </c>
      <c r="AY97" s="40">
        <f t="shared" si="218"/>
        <v>1504</v>
      </c>
      <c r="AZ97" s="236">
        <f t="shared" si="218"/>
        <v>1573.8488803365228</v>
      </c>
      <c r="BA97" s="605">
        <f t="shared" si="218"/>
        <v>3077.8488803365226</v>
      </c>
      <c r="BB97" s="56">
        <f t="shared" si="218"/>
        <v>1681.0650050556119</v>
      </c>
      <c r="BC97" s="236">
        <f t="shared" si="218"/>
        <v>1770.9913162974526</v>
      </c>
      <c r="BD97" s="605">
        <f t="shared" si="218"/>
        <v>3452.056321353064</v>
      </c>
      <c r="BE97" s="56">
        <f t="shared" si="218"/>
        <v>1793.5902099096552</v>
      </c>
      <c r="BF97" s="236">
        <f t="shared" si="218"/>
        <v>1939.1140303500847</v>
      </c>
      <c r="BG97" s="605">
        <f t="shared" si="218"/>
        <v>3732.7042402597399</v>
      </c>
      <c r="BH97" s="56">
        <f t="shared" si="218"/>
        <v>1953.808106290232</v>
      </c>
      <c r="BI97" s="236">
        <f t="shared" si="218"/>
        <v>2033.0612739045728</v>
      </c>
      <c r="BJ97" s="605">
        <f t="shared" si="218"/>
        <v>3986.8693801948048</v>
      </c>
      <c r="BK97" s="56">
        <f t="shared" si="218"/>
        <v>2055.2585812383968</v>
      </c>
      <c r="BL97" s="236">
        <f t="shared" si="218"/>
        <v>2011.3481865603044</v>
      </c>
      <c r="BM97" s="605">
        <f t="shared" si="218"/>
        <v>4066.6067677987012</v>
      </c>
    </row>
    <row r="98" spans="1:66">
      <c r="A98" s="93" t="s">
        <v>288</v>
      </c>
      <c r="B98" s="40"/>
      <c r="C98" s="40"/>
      <c r="D98" s="40"/>
      <c r="E98" s="40"/>
      <c r="F98" s="40"/>
      <c r="G98" s="40"/>
      <c r="H98" s="40"/>
      <c r="I98" s="40"/>
      <c r="J98" s="40"/>
      <c r="K98" s="40"/>
      <c r="L98" s="40"/>
      <c r="M98" s="40"/>
      <c r="N98" s="40"/>
      <c r="O98" s="40"/>
      <c r="P98" s="40"/>
      <c r="Q98" s="40">
        <f t="shared" si="217"/>
        <v>903</v>
      </c>
      <c r="R98" s="40"/>
      <c r="S98" s="630"/>
      <c r="T98" s="653">
        <f t="shared" si="217"/>
        <v>757</v>
      </c>
      <c r="U98" s="40"/>
      <c r="V98" s="630"/>
      <c r="W98" s="653">
        <f>Z73</f>
        <v>582</v>
      </c>
      <c r="X98" s="40"/>
      <c r="Y98" s="630"/>
      <c r="Z98" s="653"/>
      <c r="AA98" s="40"/>
      <c r="AB98" s="630"/>
      <c r="AC98" s="653">
        <f t="shared" si="218"/>
        <v>620</v>
      </c>
      <c r="AD98" s="40">
        <f t="shared" si="218"/>
        <v>330</v>
      </c>
      <c r="AE98" s="630">
        <f t="shared" si="218"/>
        <v>313</v>
      </c>
      <c r="AF98" s="653">
        <f t="shared" si="218"/>
        <v>643</v>
      </c>
      <c r="AG98" s="40">
        <f t="shared" si="218"/>
        <v>326</v>
      </c>
      <c r="AH98" s="630">
        <f t="shared" si="218"/>
        <v>248</v>
      </c>
      <c r="AI98" s="653">
        <f t="shared" si="219"/>
        <v>574</v>
      </c>
      <c r="AJ98" s="40">
        <f t="shared" ref="AJ98" si="225">AJ73</f>
        <v>113</v>
      </c>
      <c r="AK98" s="630">
        <f t="shared" si="220"/>
        <v>197</v>
      </c>
      <c r="AL98" s="653">
        <f t="shared" si="219"/>
        <v>310</v>
      </c>
      <c r="AM98" s="40">
        <f t="shared" si="219"/>
        <v>175</v>
      </c>
      <c r="AN98" s="630">
        <f t="shared" ref="AN98" si="226">AN73</f>
        <v>272</v>
      </c>
      <c r="AO98" s="653">
        <f t="shared" si="218"/>
        <v>447</v>
      </c>
      <c r="AP98" s="40">
        <f t="shared" ref="AP98" si="227">AP73</f>
        <v>221</v>
      </c>
      <c r="AQ98" s="630">
        <f t="shared" si="222"/>
        <v>436</v>
      </c>
      <c r="AR98" s="653">
        <f t="shared" si="222"/>
        <v>657</v>
      </c>
      <c r="AS98" s="40">
        <f t="shared" si="223"/>
        <v>473</v>
      </c>
      <c r="AT98" s="630">
        <f t="shared" si="223"/>
        <v>457</v>
      </c>
      <c r="AU98" s="653">
        <f t="shared" si="223"/>
        <v>930</v>
      </c>
      <c r="AV98" s="40">
        <f t="shared" ref="AV98:AW98" si="228">AV73</f>
        <v>473</v>
      </c>
      <c r="AW98" s="630">
        <f t="shared" si="228"/>
        <v>480</v>
      </c>
      <c r="AX98" s="653">
        <f t="shared" si="218"/>
        <v>953</v>
      </c>
      <c r="AY98" s="40">
        <f t="shared" si="218"/>
        <v>497</v>
      </c>
      <c r="AZ98" s="236">
        <f t="shared" si="218"/>
        <v>587.88839285714289</v>
      </c>
      <c r="BA98" s="605">
        <f t="shared" si="218"/>
        <v>1084.8883928571429</v>
      </c>
      <c r="BB98" s="56">
        <f t="shared" si="218"/>
        <v>570.99845892857138</v>
      </c>
      <c r="BC98" s="236">
        <f t="shared" si="218"/>
        <v>570.99845892857138</v>
      </c>
      <c r="BD98" s="605">
        <f t="shared" si="218"/>
        <v>1141.9969178571428</v>
      </c>
      <c r="BE98" s="56">
        <f t="shared" si="218"/>
        <v>609.50765732142861</v>
      </c>
      <c r="BF98" s="236">
        <f t="shared" si="218"/>
        <v>609.50765732142861</v>
      </c>
      <c r="BG98" s="605">
        <f t="shared" si="218"/>
        <v>1219.0153146428572</v>
      </c>
      <c r="BH98" s="56">
        <f t="shared" si="218"/>
        <v>649.32882426642857</v>
      </c>
      <c r="BI98" s="236">
        <f t="shared" si="218"/>
        <v>649.32882426642857</v>
      </c>
      <c r="BJ98" s="605">
        <f t="shared" si="218"/>
        <v>1298.6576485328571</v>
      </c>
      <c r="BK98" s="56">
        <f t="shared" si="218"/>
        <v>690.49903482630009</v>
      </c>
      <c r="BL98" s="236">
        <f t="shared" si="218"/>
        <v>690.49903482630009</v>
      </c>
      <c r="BM98" s="605">
        <f t="shared" si="218"/>
        <v>1380.9980696526002</v>
      </c>
    </row>
    <row r="99" spans="1:66">
      <c r="A99" s="93" t="s">
        <v>268</v>
      </c>
      <c r="B99" s="40"/>
      <c r="C99" s="40"/>
      <c r="D99" s="40"/>
      <c r="E99" s="40"/>
      <c r="F99" s="40"/>
      <c r="G99" s="40"/>
      <c r="H99" s="40"/>
      <c r="I99" s="40"/>
      <c r="J99" s="40"/>
      <c r="K99" s="40"/>
      <c r="L99" s="40"/>
      <c r="M99" s="40"/>
      <c r="N99" s="40"/>
      <c r="O99" s="40"/>
      <c r="P99" s="40"/>
      <c r="Q99" s="40">
        <f t="shared" si="217"/>
        <v>281</v>
      </c>
      <c r="R99" s="40"/>
      <c r="S99" s="630"/>
      <c r="T99" s="653">
        <f t="shared" si="217"/>
        <v>254</v>
      </c>
      <c r="U99" s="40"/>
      <c r="V99" s="630"/>
      <c r="W99" s="653">
        <f>Z74</f>
        <v>219</v>
      </c>
      <c r="X99" s="40"/>
      <c r="Y99" s="630"/>
      <c r="Z99" s="653"/>
      <c r="AA99" s="40"/>
      <c r="AB99" s="630"/>
      <c r="AC99" s="653">
        <f t="shared" si="218"/>
        <v>126</v>
      </c>
      <c r="AD99" s="40">
        <f t="shared" si="218"/>
        <v>14</v>
      </c>
      <c r="AE99" s="630">
        <f t="shared" si="218"/>
        <v>21</v>
      </c>
      <c r="AF99" s="653">
        <f t="shared" si="218"/>
        <v>35</v>
      </c>
      <c r="AG99" s="40">
        <f t="shared" si="218"/>
        <v>7</v>
      </c>
      <c r="AH99" s="630">
        <f t="shared" si="218"/>
        <v>1</v>
      </c>
      <c r="AI99" s="653">
        <f t="shared" si="219"/>
        <v>8</v>
      </c>
      <c r="AJ99" s="40">
        <f t="shared" ref="AJ99" si="229">AJ74</f>
        <v>2</v>
      </c>
      <c r="AK99" s="630">
        <f t="shared" si="220"/>
        <v>3</v>
      </c>
      <c r="AL99" s="653">
        <f t="shared" si="219"/>
        <v>5</v>
      </c>
      <c r="AM99" s="40">
        <f t="shared" si="219"/>
        <v>7</v>
      </c>
      <c r="AN99" s="630">
        <f t="shared" ref="AN99" si="230">AN74</f>
        <v>12</v>
      </c>
      <c r="AO99" s="653">
        <f t="shared" si="218"/>
        <v>19</v>
      </c>
      <c r="AP99" s="40">
        <f t="shared" ref="AP99" si="231">AP74</f>
        <v>6</v>
      </c>
      <c r="AQ99" s="630">
        <f t="shared" si="222"/>
        <v>1</v>
      </c>
      <c r="AR99" s="653">
        <f t="shared" si="222"/>
        <v>7</v>
      </c>
      <c r="AS99" s="40">
        <f t="shared" si="223"/>
        <v>11</v>
      </c>
      <c r="AT99" s="630">
        <f t="shared" si="223"/>
        <v>10</v>
      </c>
      <c r="AU99" s="653">
        <f t="shared" si="223"/>
        <v>21</v>
      </c>
      <c r="AV99" s="40">
        <f t="shared" ref="AV99:AW99" si="232">AV74</f>
        <v>12</v>
      </c>
      <c r="AW99" s="630">
        <f t="shared" si="232"/>
        <v>17</v>
      </c>
      <c r="AX99" s="653">
        <f t="shared" si="218"/>
        <v>29</v>
      </c>
      <c r="AY99" s="40">
        <f t="shared" si="218"/>
        <v>18</v>
      </c>
      <c r="AZ99" s="236">
        <f t="shared" si="218"/>
        <v>0</v>
      </c>
      <c r="BA99" s="605">
        <f t="shared" si="218"/>
        <v>18</v>
      </c>
      <c r="BB99" s="56">
        <f t="shared" si="218"/>
        <v>0</v>
      </c>
      <c r="BC99" s="236">
        <f t="shared" si="218"/>
        <v>0</v>
      </c>
      <c r="BD99" s="605">
        <f t="shared" si="218"/>
        <v>0</v>
      </c>
      <c r="BE99" s="56">
        <f t="shared" si="218"/>
        <v>0</v>
      </c>
      <c r="BF99" s="236">
        <f t="shared" si="218"/>
        <v>0</v>
      </c>
      <c r="BG99" s="605">
        <f t="shared" si="218"/>
        <v>0</v>
      </c>
      <c r="BH99" s="56">
        <f t="shared" si="218"/>
        <v>0</v>
      </c>
      <c r="BI99" s="236">
        <f t="shared" si="218"/>
        <v>0</v>
      </c>
      <c r="BJ99" s="605">
        <f t="shared" si="218"/>
        <v>0</v>
      </c>
      <c r="BK99" s="56">
        <f t="shared" si="218"/>
        <v>0</v>
      </c>
      <c r="BL99" s="236">
        <f t="shared" si="218"/>
        <v>0</v>
      </c>
      <c r="BM99" s="605">
        <f t="shared" si="218"/>
        <v>0</v>
      </c>
    </row>
    <row r="100" spans="1:66">
      <c r="A100" s="31" t="s">
        <v>603</v>
      </c>
      <c r="B100" s="40"/>
      <c r="C100" s="40"/>
      <c r="D100" s="40"/>
      <c r="E100" s="40"/>
      <c r="F100" s="40"/>
      <c r="G100" s="40"/>
      <c r="H100" s="40"/>
      <c r="I100" s="40"/>
      <c r="J100" s="40"/>
      <c r="K100" s="40"/>
      <c r="L100" s="40"/>
      <c r="M100" s="40"/>
      <c r="N100" s="40"/>
      <c r="O100" s="40"/>
      <c r="P100" s="40"/>
      <c r="Q100" s="51">
        <f>Q101+Q102+Q103</f>
        <v>0</v>
      </c>
      <c r="R100" s="51"/>
      <c r="S100" s="629"/>
      <c r="T100" s="652">
        <f>T101+T102+T103</f>
        <v>3436</v>
      </c>
      <c r="U100" s="51"/>
      <c r="V100" s="629"/>
      <c r="W100" s="652">
        <f>W101+W102+W103</f>
        <v>3906</v>
      </c>
      <c r="X100" s="51"/>
      <c r="Y100" s="629"/>
      <c r="Z100" s="652"/>
      <c r="AA100" s="51"/>
      <c r="AB100" s="629"/>
      <c r="AC100" s="652">
        <f t="shared" ref="AC100:BM100" si="233">AC101+AC102+AC103</f>
        <v>4278.336550649351</v>
      </c>
      <c r="AD100" s="51">
        <f t="shared" si="233"/>
        <v>2576</v>
      </c>
      <c r="AE100" s="629">
        <f t="shared" si="233"/>
        <v>2929</v>
      </c>
      <c r="AF100" s="652">
        <f t="shared" si="233"/>
        <v>5505</v>
      </c>
      <c r="AG100" s="51">
        <f t="shared" si="233"/>
        <v>2117</v>
      </c>
      <c r="AH100" s="629">
        <f t="shared" si="233"/>
        <v>1152</v>
      </c>
      <c r="AI100" s="652">
        <f>AI101+AI102+AI103</f>
        <v>3269</v>
      </c>
      <c r="AJ100" s="51">
        <f t="shared" ref="AJ100:AK100" si="234">AJ101+AJ102+AJ103</f>
        <v>1338</v>
      </c>
      <c r="AK100" s="629">
        <f t="shared" si="234"/>
        <v>1652</v>
      </c>
      <c r="AL100" s="652">
        <f>AL101+AL102+AL103</f>
        <v>2990</v>
      </c>
      <c r="AM100" s="51">
        <f t="shared" ref="AM100:AN100" si="235">AM101+AM102+AM103</f>
        <v>2112</v>
      </c>
      <c r="AN100" s="629">
        <f t="shared" si="235"/>
        <v>2383.9999999999995</v>
      </c>
      <c r="AO100" s="652">
        <f t="shared" si="233"/>
        <v>4496</v>
      </c>
      <c r="AP100" s="51">
        <f t="shared" ref="AP100:AR100" si="236">AP101+AP102+AP103</f>
        <v>2929</v>
      </c>
      <c r="AQ100" s="629">
        <f t="shared" si="236"/>
        <v>3047</v>
      </c>
      <c r="AR100" s="652">
        <f t="shared" si="236"/>
        <v>5976</v>
      </c>
      <c r="AS100" s="51">
        <f t="shared" ref="AS100:AU100" si="237">AS101+AS102+AS103</f>
        <v>3505</v>
      </c>
      <c r="AT100" s="629">
        <f t="shared" si="237"/>
        <v>3340.0000000000005</v>
      </c>
      <c r="AU100" s="652">
        <f t="shared" si="237"/>
        <v>6845</v>
      </c>
      <c r="AV100" s="51">
        <f t="shared" ref="AV100" si="238">AV101+AV102+AV103</f>
        <v>3749</v>
      </c>
      <c r="AW100" s="218">
        <f t="shared" si="233"/>
        <v>3917</v>
      </c>
      <c r="AX100" s="553">
        <f t="shared" si="233"/>
        <v>7666</v>
      </c>
      <c r="AY100" s="51">
        <f t="shared" si="233"/>
        <v>4279</v>
      </c>
      <c r="AZ100" s="237">
        <f t="shared" si="233"/>
        <v>4925.2121068072411</v>
      </c>
      <c r="BA100" s="576">
        <f t="shared" si="233"/>
        <v>9204.2121068072411</v>
      </c>
      <c r="BB100" s="48">
        <f t="shared" si="233"/>
        <v>5085.0383349697022</v>
      </c>
      <c r="BC100" s="237">
        <f t="shared" si="233"/>
        <v>5302.6738922434797</v>
      </c>
      <c r="BD100" s="576">
        <f t="shared" si="233"/>
        <v>10387.712227213182</v>
      </c>
      <c r="BE100" s="48">
        <f t="shared" si="233"/>
        <v>5523.1912682167904</v>
      </c>
      <c r="BF100" s="237">
        <f t="shared" si="233"/>
        <v>5750.0740347217288</v>
      </c>
      <c r="BG100" s="576">
        <f t="shared" si="233"/>
        <v>11273.265302938518</v>
      </c>
      <c r="BH100" s="48">
        <f t="shared" si="233"/>
        <v>6080.6230922743789</v>
      </c>
      <c r="BI100" s="237">
        <f t="shared" si="233"/>
        <v>6307.7441302840707</v>
      </c>
      <c r="BJ100" s="576">
        <f t="shared" si="233"/>
        <v>12388.367222558449</v>
      </c>
      <c r="BK100" s="48">
        <f t="shared" si="233"/>
        <v>6753.3501393875713</v>
      </c>
      <c r="BL100" s="237">
        <f t="shared" si="233"/>
        <v>6977.6529972655326</v>
      </c>
      <c r="BM100" s="576">
        <f t="shared" si="233"/>
        <v>13731.003136653104</v>
      </c>
    </row>
    <row r="101" spans="1:66">
      <c r="A101" s="93" t="s">
        <v>286</v>
      </c>
      <c r="B101" s="40"/>
      <c r="C101" s="40"/>
      <c r="D101" s="40"/>
      <c r="E101" s="40"/>
      <c r="F101" s="40"/>
      <c r="G101" s="40"/>
      <c r="H101" s="40"/>
      <c r="I101" s="40"/>
      <c r="J101" s="40"/>
      <c r="K101" s="40"/>
      <c r="L101" s="40"/>
      <c r="M101" s="40"/>
      <c r="N101" s="40"/>
      <c r="O101" s="40"/>
      <c r="P101" s="40"/>
      <c r="Q101" s="40">
        <f>'Civil AM'!Q35</f>
        <v>0</v>
      </c>
      <c r="R101" s="40"/>
      <c r="S101" s="630"/>
      <c r="T101" s="653">
        <f>'Civil AM'!T35</f>
        <v>2015</v>
      </c>
      <c r="U101" s="40"/>
      <c r="V101" s="630"/>
      <c r="W101" s="653">
        <f>'Civil AM'!W35</f>
        <v>2327</v>
      </c>
      <c r="X101" s="40"/>
      <c r="Y101" s="630"/>
      <c r="Z101" s="653"/>
      <c r="AA101" s="40"/>
      <c r="AB101" s="630"/>
      <c r="AC101" s="653">
        <f>'Civil AM'!Z35</f>
        <v>2666</v>
      </c>
      <c r="AD101" s="40">
        <f>'Civil AM'!AA35</f>
        <v>1791.0392156862745</v>
      </c>
      <c r="AE101" s="630">
        <f>'Civil AM'!AB35</f>
        <v>1941.5607843137254</v>
      </c>
      <c r="AF101" s="653">
        <f>'Civil AM'!AC35</f>
        <v>3732.6</v>
      </c>
      <c r="AG101" s="40">
        <f>'Civil AM'!AD35</f>
        <v>1381.9483870967742</v>
      </c>
      <c r="AH101" s="630">
        <f>'Civil AM'!AE35</f>
        <v>545.22161290322595</v>
      </c>
      <c r="AI101" s="653">
        <f>'Civil AM'!AF35</f>
        <v>1927.17</v>
      </c>
      <c r="AJ101" s="40">
        <f>'Civil AM'!AG35</f>
        <v>816.04748201438849</v>
      </c>
      <c r="AK101" s="630">
        <f>'Civil AM'!AH35</f>
        <v>912.23251798561148</v>
      </c>
      <c r="AL101" s="653">
        <f>'Civil AM'!AI35</f>
        <v>1728.28</v>
      </c>
      <c r="AM101" s="40">
        <f>'Civil AM'!AJ35</f>
        <v>1183.08</v>
      </c>
      <c r="AN101" s="630">
        <f>'Civil AM'!AK35</f>
        <v>1766.9199999999998</v>
      </c>
      <c r="AO101" s="653">
        <f>'Civil AM'!AL35</f>
        <v>2950</v>
      </c>
      <c r="AP101" s="40">
        <f>'Civil AM'!AM35</f>
        <v>1942.377777777778</v>
      </c>
      <c r="AQ101" s="630">
        <f>'Civil AM'!AN35</f>
        <v>2314.8222222222221</v>
      </c>
      <c r="AR101" s="653">
        <f>'Civil AM'!AO35</f>
        <v>4257.2</v>
      </c>
      <c r="AS101" s="40">
        <f>'Civil AM'!AP35</f>
        <v>2362.6684556962027</v>
      </c>
      <c r="AT101" s="630">
        <f>'Civil AM'!AQ35</f>
        <v>2571.9815443037974</v>
      </c>
      <c r="AU101" s="653">
        <f>'Civil AM'!AR35</f>
        <v>4934.6499999999996</v>
      </c>
      <c r="AV101" s="40">
        <f>'Civil AM'!AS35</f>
        <v>2790.2618094117643</v>
      </c>
      <c r="AW101" s="216">
        <f>'Civil AM'!AT35</f>
        <v>3071.4881905882357</v>
      </c>
      <c r="AX101" s="556">
        <f>'Civil AM'!AU35</f>
        <v>5861.75</v>
      </c>
      <c r="AY101" s="40">
        <f>'Civil AM'!AV35</f>
        <v>3340.2351295999997</v>
      </c>
      <c r="AZ101" s="236">
        <f>'Civil AM'!AW35</f>
        <v>3848.9288612652126</v>
      </c>
      <c r="BA101" s="605">
        <f>'Civil AM'!AX35</f>
        <v>7189.1639908652123</v>
      </c>
      <c r="BB101" s="56">
        <f>'Civil AM'!AY35</f>
        <v>4074.4657346257022</v>
      </c>
      <c r="BC101" s="236">
        <f>'Civil AM'!AZ35</f>
        <v>4142.1184908097021</v>
      </c>
      <c r="BD101" s="605">
        <f>'Civil AM'!BA35</f>
        <v>8216.5842254354047</v>
      </c>
      <c r="BE101" s="56">
        <f>'Civil AM'!BB35</f>
        <v>4509.6335040440326</v>
      </c>
      <c r="BF101" s="236">
        <f>'Civil AM'!BC35</f>
        <v>4589.4637563411525</v>
      </c>
      <c r="BG101" s="605">
        <f>'Civil AM'!BD35</f>
        <v>9099.0972603851842</v>
      </c>
      <c r="BH101" s="56">
        <f>'Civil AM'!BE35</f>
        <v>4984.8792962319203</v>
      </c>
      <c r="BI101" s="236">
        <f>'Civil AM'!BF35</f>
        <v>5075.087481327666</v>
      </c>
      <c r="BJ101" s="605">
        <f>'Civil AM'!BG35</f>
        <v>10059.966777559586</v>
      </c>
      <c r="BK101" s="56">
        <f>'Civil AM'!BH35</f>
        <v>5567.2017082884431</v>
      </c>
      <c r="BL101" s="236">
        <f>'Civil AM'!BI35</f>
        <v>5669.1369574466362</v>
      </c>
      <c r="BM101" s="605">
        <f>'Civil AM'!BJ35</f>
        <v>11236.338665735078</v>
      </c>
    </row>
    <row r="102" spans="1:66">
      <c r="A102" s="93" t="s">
        <v>573</v>
      </c>
      <c r="B102" s="40"/>
      <c r="C102" s="40"/>
      <c r="D102" s="40"/>
      <c r="E102" s="40"/>
      <c r="F102" s="40"/>
      <c r="G102" s="40"/>
      <c r="H102" s="40"/>
      <c r="I102" s="40"/>
      <c r="J102" s="40"/>
      <c r="K102" s="40"/>
      <c r="L102" s="40"/>
      <c r="M102" s="40"/>
      <c r="N102" s="40"/>
      <c r="O102" s="40"/>
      <c r="P102" s="40"/>
      <c r="Q102" s="40">
        <f>'Civil AM'!Q36+'Civil AM'!Q37</f>
        <v>0</v>
      </c>
      <c r="R102" s="40"/>
      <c r="S102" s="630"/>
      <c r="T102" s="653">
        <f>'Civil AM'!T36+'Civil AM'!T37</f>
        <v>794</v>
      </c>
      <c r="U102" s="40"/>
      <c r="V102" s="630"/>
      <c r="W102" s="653">
        <f>'Civil AM'!W36+'Civil AM'!W37</f>
        <v>870</v>
      </c>
      <c r="X102" s="40"/>
      <c r="Y102" s="630"/>
      <c r="Z102" s="653"/>
      <c r="AA102" s="40"/>
      <c r="AB102" s="630"/>
      <c r="AC102" s="653">
        <f>'Civil AM'!Z36+'Civil AM'!Z37</f>
        <v>908.21930389610395</v>
      </c>
      <c r="AD102" s="40">
        <f>'Civil AM'!AA36+'Civil AM'!AA37</f>
        <v>355.96078431372553</v>
      </c>
      <c r="AE102" s="630">
        <f>'Civil AM'!AB36+'Civil AM'!AB37</f>
        <v>592.43921568627457</v>
      </c>
      <c r="AF102" s="653">
        <f>'Civil AM'!AC36+'Civil AM'!AC37</f>
        <v>948.40000000000009</v>
      </c>
      <c r="AG102" s="40">
        <f>'Civil AM'!AD36+'Civil AM'!AD37</f>
        <v>388.05161290322576</v>
      </c>
      <c r="AH102" s="630">
        <f>'Civil AM'!AE36+'Civil AM'!AE37</f>
        <v>399.77838709677417</v>
      </c>
      <c r="AI102" s="653">
        <f>'Civil AM'!AF36+'Civil AM'!AF37</f>
        <v>787.82999999999993</v>
      </c>
      <c r="AJ102" s="40">
        <f>'Civil AM'!AG36+'Civil AM'!AG37</f>
        <v>469.95251798561151</v>
      </c>
      <c r="AK102" s="630">
        <f>'Civil AM'!AH36+'Civil AM'!AH37</f>
        <v>666.76748201438841</v>
      </c>
      <c r="AL102" s="653">
        <f>'Civil AM'!AI36+'Civil AM'!AI37</f>
        <v>1136.72</v>
      </c>
      <c r="AM102" s="40">
        <f>'Civil AM'!AJ36+'Civil AM'!AJ37</f>
        <v>813.92000000000007</v>
      </c>
      <c r="AN102" s="630">
        <f>'Civil AM'!AK36+'Civil AM'!AK37</f>
        <v>470.07999999999987</v>
      </c>
      <c r="AO102" s="653">
        <f>'Civil AM'!AL36+'Civil AM'!AL37</f>
        <v>1284</v>
      </c>
      <c r="AP102" s="40">
        <f>'Civil AM'!AM36+'Civil AM'!AM37</f>
        <v>860.62222222222204</v>
      </c>
      <c r="AQ102" s="630">
        <f>'Civil AM'!AN36+'Civil AM'!AN37</f>
        <v>566.17777777777803</v>
      </c>
      <c r="AR102" s="653">
        <f>'Civil AM'!AO36+'Civil AM'!AO37</f>
        <v>1426.8000000000002</v>
      </c>
      <c r="AS102" s="40">
        <f>'Civil AM'!AP36+'Civil AM'!AP37</f>
        <v>978.33154430379727</v>
      </c>
      <c r="AT102" s="630">
        <f>'Civil AM'!AQ36+'Civil AM'!AQ37</f>
        <v>583.01845569620309</v>
      </c>
      <c r="AU102" s="653">
        <f>'Civil AM'!AR36+'Civil AM'!AR37</f>
        <v>1561.3500000000004</v>
      </c>
      <c r="AV102" s="40">
        <f>'Civil AM'!AS36+'Civil AM'!AS37</f>
        <v>800.73819058823574</v>
      </c>
      <c r="AW102" s="216">
        <f>'Civil AM'!AT36+'Civil AM'!AT37</f>
        <v>704.51180941176437</v>
      </c>
      <c r="AX102" s="556">
        <f>'Civil AM'!AU36+'Civil AM'!AU37</f>
        <v>1505.25</v>
      </c>
      <c r="AY102" s="40">
        <f>'Civil AM'!AV36+'Civil AM'!AV37</f>
        <v>787.76487040000029</v>
      </c>
      <c r="AZ102" s="236">
        <f>'Civil AM'!AW36+'Civil AM'!AW37</f>
        <v>937.4281730782609</v>
      </c>
      <c r="BA102" s="605">
        <f>'Civil AM'!AX36+'Civil AM'!AX37</f>
        <v>1725.1930434782612</v>
      </c>
      <c r="BB102" s="56">
        <f>'Civil AM'!AY36+'Civil AM'!AY37</f>
        <v>871.68371145511128</v>
      </c>
      <c r="BC102" s="236">
        <f>'Civil AM'!AZ36+'Civil AM'!AZ37</f>
        <v>1021.6665125448887</v>
      </c>
      <c r="BD102" s="605">
        <f>'Civil AM'!BA36+'Civil AM'!BA37</f>
        <v>1893.350224</v>
      </c>
      <c r="BE102" s="56">
        <f>'Civil AM'!BB36+'Civil AM'!BB37</f>
        <v>966.20927932427298</v>
      </c>
      <c r="BF102" s="236">
        <f>'Civil AM'!BC36+'Civil AM'!BC37</f>
        <v>1113.2617935320911</v>
      </c>
      <c r="BG102" s="605">
        <f>'Civil AM'!BD36+'Civil AM'!BD37</f>
        <v>2079.4710728563641</v>
      </c>
      <c r="BH102" s="56">
        <f>'Civil AM'!BE36+'Civil AM'!BE37</f>
        <v>1048.3953111939732</v>
      </c>
      <c r="BI102" s="236">
        <f>'Civil AM'!BF36+'Civil AM'!BF37</f>
        <v>1185.3081641079198</v>
      </c>
      <c r="BJ102" s="605">
        <f>'Civil AM'!BG36+'Civil AM'!BG37</f>
        <v>2233.7034753018929</v>
      </c>
      <c r="BK102" s="56">
        <f>'Civil AM'!BH36+'Civil AM'!BH37</f>
        <v>1138.7999462506434</v>
      </c>
      <c r="BL102" s="236">
        <f>'Civil AM'!BI36+'Civil AM'!BI37</f>
        <v>1261.1675549704119</v>
      </c>
      <c r="BM102" s="605">
        <f>'Civil AM'!BJ36+'Civil AM'!BJ37</f>
        <v>2399.967501221055</v>
      </c>
    </row>
    <row r="103" spans="1:66">
      <c r="A103" s="93" t="s">
        <v>268</v>
      </c>
      <c r="B103" s="40"/>
      <c r="C103" s="40"/>
      <c r="D103" s="40"/>
      <c r="E103" s="40"/>
      <c r="F103" s="40"/>
      <c r="G103" s="40"/>
      <c r="H103" s="40"/>
      <c r="I103" s="40"/>
      <c r="J103" s="40"/>
      <c r="K103" s="40"/>
      <c r="L103" s="40"/>
      <c r="M103" s="40"/>
      <c r="N103" s="40"/>
      <c r="O103" s="40"/>
      <c r="P103" s="40"/>
      <c r="Q103" s="40">
        <f>'Civil AM'!Q38</f>
        <v>0</v>
      </c>
      <c r="R103" s="40"/>
      <c r="S103" s="630"/>
      <c r="T103" s="653">
        <f>'Civil AM'!T38</f>
        <v>627</v>
      </c>
      <c r="U103" s="40"/>
      <c r="V103" s="630"/>
      <c r="W103" s="653">
        <f>'Civil AM'!W38</f>
        <v>709</v>
      </c>
      <c r="X103" s="40"/>
      <c r="Y103" s="630"/>
      <c r="Z103" s="653"/>
      <c r="AA103" s="40"/>
      <c r="AB103" s="630"/>
      <c r="AC103" s="653">
        <f>'Civil AM'!Z38</f>
        <v>704.11724675324683</v>
      </c>
      <c r="AD103" s="40">
        <f>'Civil AM'!AA38</f>
        <v>429</v>
      </c>
      <c r="AE103" s="630">
        <f>'Civil AM'!AB38</f>
        <v>395</v>
      </c>
      <c r="AF103" s="653">
        <f>'Civil AM'!AC38</f>
        <v>824</v>
      </c>
      <c r="AG103" s="40">
        <f>'Civil AM'!AD38</f>
        <v>347</v>
      </c>
      <c r="AH103" s="630">
        <f>'Civil AM'!AE38</f>
        <v>207</v>
      </c>
      <c r="AI103" s="653">
        <f>'Civil AM'!AF38</f>
        <v>554</v>
      </c>
      <c r="AJ103" s="40">
        <f>'Civil AM'!AG38</f>
        <v>52.000000000000007</v>
      </c>
      <c r="AK103" s="630">
        <f>'Civil AM'!AH38</f>
        <v>73</v>
      </c>
      <c r="AL103" s="653">
        <f>'Civil AM'!AI38</f>
        <v>125</v>
      </c>
      <c r="AM103" s="40">
        <f>'Civil AM'!AJ38</f>
        <v>115</v>
      </c>
      <c r="AN103" s="630">
        <f>'Civil AM'!AK38</f>
        <v>147</v>
      </c>
      <c r="AO103" s="653">
        <f>'Civil AM'!AL38</f>
        <v>262</v>
      </c>
      <c r="AP103" s="40">
        <f>'Civil AM'!AM38</f>
        <v>126</v>
      </c>
      <c r="AQ103" s="630">
        <f>'Civil AM'!AN38</f>
        <v>166</v>
      </c>
      <c r="AR103" s="653">
        <f>'Civil AM'!AO38</f>
        <v>292</v>
      </c>
      <c r="AS103" s="40">
        <f>'Civil AM'!AP38</f>
        <v>164</v>
      </c>
      <c r="AT103" s="630">
        <f>'Civil AM'!AQ38</f>
        <v>185</v>
      </c>
      <c r="AU103" s="653">
        <f>'Civil AM'!AR38</f>
        <v>349</v>
      </c>
      <c r="AV103" s="40">
        <f>'Civil AM'!AS38</f>
        <v>158</v>
      </c>
      <c r="AW103" s="216">
        <f>'Civil AM'!AT38</f>
        <v>141</v>
      </c>
      <c r="AX103" s="556">
        <f>'Civil AM'!AU38</f>
        <v>299</v>
      </c>
      <c r="AY103" s="40">
        <f>'Civil AM'!AV38</f>
        <v>151</v>
      </c>
      <c r="AZ103" s="236">
        <f>'Civil AM'!AW38</f>
        <v>138.85507246376812</v>
      </c>
      <c r="BA103" s="605">
        <f>'Civil AM'!AX38</f>
        <v>289.85507246376812</v>
      </c>
      <c r="BB103" s="56">
        <f>'Civil AM'!AY38</f>
        <v>138.88888888888889</v>
      </c>
      <c r="BC103" s="236">
        <f>'Civil AM'!AZ38</f>
        <v>138.88888888888889</v>
      </c>
      <c r="BD103" s="605">
        <f>'Civil AM'!BA38</f>
        <v>277.77777777777777</v>
      </c>
      <c r="BE103" s="56">
        <f>'Civil AM'!BB38</f>
        <v>47.348484848484844</v>
      </c>
      <c r="BF103" s="236">
        <f>'Civil AM'!BC38</f>
        <v>47.348484848484844</v>
      </c>
      <c r="BG103" s="605">
        <f>'Civil AM'!BD38</f>
        <v>94.696969696969688</v>
      </c>
      <c r="BH103" s="56">
        <f>'Civil AM'!BE38</f>
        <v>47.348484848484844</v>
      </c>
      <c r="BI103" s="236">
        <f>'Civil AM'!BF38</f>
        <v>47.348484848484844</v>
      </c>
      <c r="BJ103" s="605">
        <f>'Civil AM'!BG38</f>
        <v>94.696969696969688</v>
      </c>
      <c r="BK103" s="56">
        <f>'Civil AM'!BH38</f>
        <v>47.348484848484844</v>
      </c>
      <c r="BL103" s="236">
        <f>'Civil AM'!BI38</f>
        <v>47.348484848484844</v>
      </c>
      <c r="BM103" s="605">
        <f>'Civil AM'!BJ38</f>
        <v>94.696969696969688</v>
      </c>
    </row>
    <row r="104" spans="1:66">
      <c r="A104" s="37" t="s">
        <v>604</v>
      </c>
      <c r="B104" s="84"/>
      <c r="C104" s="84"/>
      <c r="D104" s="84"/>
      <c r="E104" s="84"/>
      <c r="F104" s="84"/>
      <c r="G104" s="84"/>
      <c r="H104" s="84"/>
      <c r="I104" s="84"/>
      <c r="J104" s="84"/>
      <c r="K104" s="84"/>
      <c r="L104" s="84"/>
      <c r="M104" s="84"/>
      <c r="N104" s="84"/>
      <c r="O104" s="84"/>
      <c r="P104" s="84"/>
      <c r="Q104" s="84">
        <f>Q96+Q100</f>
        <v>2370</v>
      </c>
      <c r="R104" s="84"/>
      <c r="S104" s="632"/>
      <c r="T104" s="655">
        <f>T96+T100</f>
        <v>5977</v>
      </c>
      <c r="U104" s="84"/>
      <c r="V104" s="632"/>
      <c r="W104" s="655">
        <f>W96+W100</f>
        <v>6796</v>
      </c>
      <c r="X104" s="84"/>
      <c r="Y104" s="632"/>
      <c r="Z104" s="655"/>
      <c r="AA104" s="84"/>
      <c r="AB104" s="632"/>
      <c r="AC104" s="655">
        <f t="shared" ref="AC104:BM104" si="239">AC96+AC100</f>
        <v>7397.336550649351</v>
      </c>
      <c r="AD104" s="84">
        <f t="shared" si="239"/>
        <v>4146</v>
      </c>
      <c r="AE104" s="632">
        <f t="shared" si="239"/>
        <v>4605</v>
      </c>
      <c r="AF104" s="655">
        <f t="shared" si="239"/>
        <v>8751</v>
      </c>
      <c r="AG104" s="84">
        <f t="shared" si="239"/>
        <v>3304</v>
      </c>
      <c r="AH104" s="632">
        <f t="shared" si="239"/>
        <v>2243</v>
      </c>
      <c r="AI104" s="655">
        <f>AI96+AI100</f>
        <v>5547</v>
      </c>
      <c r="AJ104" s="84">
        <f t="shared" ref="AJ104:AK104" si="240">AJ96+AJ100</f>
        <v>2060</v>
      </c>
      <c r="AK104" s="632">
        <f t="shared" si="240"/>
        <v>2542</v>
      </c>
      <c r="AL104" s="655">
        <f>AL96+AL100</f>
        <v>4602</v>
      </c>
      <c r="AM104" s="84">
        <f t="shared" ref="AM104:AN104" si="241">AM96+AM100</f>
        <v>2772</v>
      </c>
      <c r="AN104" s="632">
        <f t="shared" si="241"/>
        <v>3705.9999999999995</v>
      </c>
      <c r="AO104" s="655">
        <f t="shared" si="239"/>
        <v>6478</v>
      </c>
      <c r="AP104" s="84">
        <f t="shared" ref="AP104:AR104" si="242">AP96+AP100</f>
        <v>3984</v>
      </c>
      <c r="AQ104" s="632">
        <f t="shared" si="242"/>
        <v>4695</v>
      </c>
      <c r="AR104" s="655">
        <f t="shared" si="242"/>
        <v>8679</v>
      </c>
      <c r="AS104" s="84">
        <f t="shared" ref="AS104:AU104" si="243">AS96+AS100</f>
        <v>4834</v>
      </c>
      <c r="AT104" s="632">
        <f t="shared" si="243"/>
        <v>5116</v>
      </c>
      <c r="AU104" s="655">
        <f t="shared" si="243"/>
        <v>9950</v>
      </c>
      <c r="AV104" s="84">
        <f t="shared" ref="AV104" si="244">AV96+AV100</f>
        <v>5227</v>
      </c>
      <c r="AW104" s="227">
        <f t="shared" si="239"/>
        <v>5656</v>
      </c>
      <c r="AX104" s="557">
        <f t="shared" si="239"/>
        <v>10883</v>
      </c>
      <c r="AY104" s="84">
        <f t="shared" si="239"/>
        <v>6298</v>
      </c>
      <c r="AZ104" s="244">
        <f t="shared" si="239"/>
        <v>7086.9493800009068</v>
      </c>
      <c r="BA104" s="581">
        <f t="shared" si="239"/>
        <v>13384.949380000908</v>
      </c>
      <c r="BB104" s="181">
        <f t="shared" si="239"/>
        <v>7337.101798953885</v>
      </c>
      <c r="BC104" s="244">
        <f t="shared" si="239"/>
        <v>7644.6636674695037</v>
      </c>
      <c r="BD104" s="581">
        <f t="shared" si="239"/>
        <v>14981.765466423389</v>
      </c>
      <c r="BE104" s="181">
        <f t="shared" si="239"/>
        <v>7926.2891354478743</v>
      </c>
      <c r="BF104" s="244">
        <f t="shared" si="239"/>
        <v>8298.6957223932422</v>
      </c>
      <c r="BG104" s="581">
        <f t="shared" si="239"/>
        <v>16224.984857841115</v>
      </c>
      <c r="BH104" s="181">
        <f t="shared" si="239"/>
        <v>8683.7600228310403</v>
      </c>
      <c r="BI104" s="244">
        <f t="shared" si="239"/>
        <v>8990.1342284550719</v>
      </c>
      <c r="BJ104" s="581">
        <f t="shared" si="239"/>
        <v>17673.89425128611</v>
      </c>
      <c r="BK104" s="181">
        <f t="shared" si="239"/>
        <v>9499.1077554522672</v>
      </c>
      <c r="BL104" s="244">
        <f t="shared" si="239"/>
        <v>9679.5002186521378</v>
      </c>
      <c r="BM104" s="581">
        <f t="shared" si="239"/>
        <v>19178.607974104405</v>
      </c>
      <c r="BN104" s="53"/>
    </row>
    <row r="105" spans="1:66">
      <c r="A105" s="93"/>
      <c r="B105" s="40"/>
      <c r="C105" s="40"/>
      <c r="D105" s="40"/>
      <c r="E105" s="40"/>
      <c r="F105" s="40"/>
      <c r="G105" s="40"/>
      <c r="H105" s="40"/>
      <c r="I105" s="40"/>
      <c r="J105" s="40"/>
      <c r="K105" s="40"/>
      <c r="L105" s="40"/>
      <c r="M105" s="40"/>
      <c r="N105" s="40"/>
      <c r="O105" s="40"/>
      <c r="P105" s="40"/>
      <c r="Q105" s="40"/>
      <c r="R105" s="40"/>
      <c r="S105" s="630"/>
      <c r="T105" s="653"/>
      <c r="U105" s="40"/>
      <c r="V105" s="630"/>
      <c r="W105" s="653"/>
      <c r="X105" s="40"/>
      <c r="Y105" s="630"/>
      <c r="Z105" s="653"/>
      <c r="AA105" s="40"/>
      <c r="AB105" s="630"/>
      <c r="AC105" s="653"/>
      <c r="AD105" s="40"/>
      <c r="AE105" s="630"/>
      <c r="AF105" s="653"/>
      <c r="AG105" s="40"/>
      <c r="AH105" s="630"/>
      <c r="AI105" s="653"/>
      <c r="AJ105" s="40"/>
      <c r="AK105" s="630"/>
      <c r="AL105" s="653"/>
      <c r="AM105" s="40"/>
      <c r="AN105" s="630"/>
      <c r="AO105" s="653"/>
      <c r="AP105" s="40"/>
      <c r="AQ105" s="539"/>
      <c r="AR105" s="550"/>
      <c r="AS105"/>
      <c r="AT105" s="539"/>
      <c r="AU105" s="550"/>
      <c r="AV105"/>
      <c r="AW105" s="539"/>
      <c r="AX105" s="550"/>
      <c r="AY105"/>
      <c r="AZ105" s="539"/>
      <c r="BA105" s="550"/>
      <c r="BB105"/>
      <c r="BC105" s="539"/>
      <c r="BD105" s="550"/>
      <c r="BE105"/>
      <c r="BF105" s="539"/>
      <c r="BG105" s="550"/>
      <c r="BH105"/>
      <c r="BI105" s="539"/>
      <c r="BJ105" s="550"/>
      <c r="BK105"/>
      <c r="BL105" s="539"/>
      <c r="BM105" s="550"/>
    </row>
    <row r="106" spans="1:66">
      <c r="A106" s="93" t="s">
        <v>569</v>
      </c>
      <c r="B106" s="40"/>
      <c r="C106" s="40"/>
      <c r="D106" s="40"/>
      <c r="E106" s="40"/>
      <c r="F106" s="40"/>
      <c r="G106" s="40"/>
      <c r="H106" s="40"/>
      <c r="I106" s="40"/>
      <c r="J106" s="40"/>
      <c r="K106" s="40"/>
      <c r="L106" s="40"/>
      <c r="M106" s="40"/>
      <c r="N106" s="40"/>
      <c r="O106" s="40"/>
      <c r="P106" s="40"/>
      <c r="Q106" s="40"/>
      <c r="R106" s="40"/>
      <c r="S106" s="630"/>
      <c r="T106" s="653">
        <f>T83</f>
        <v>88.399999999999977</v>
      </c>
      <c r="U106" s="40"/>
      <c r="V106" s="630"/>
      <c r="W106" s="653">
        <f>Z83</f>
        <v>-306.50000000000011</v>
      </c>
      <c r="X106" s="40"/>
      <c r="Y106" s="630"/>
      <c r="Z106" s="653"/>
      <c r="AA106" s="40"/>
      <c r="AB106" s="630"/>
      <c r="AC106" s="653">
        <f t="shared" ref="AC106:BM106" si="245">AC83</f>
        <v>-344.59999999999991</v>
      </c>
      <c r="AD106" s="40">
        <f t="shared" si="245"/>
        <v>-160.24999999999989</v>
      </c>
      <c r="AE106" s="630">
        <f t="shared" si="245"/>
        <v>120.90999999999988</v>
      </c>
      <c r="AF106" s="653">
        <f t="shared" si="245"/>
        <v>-39.340000000000003</v>
      </c>
      <c r="AG106" s="40">
        <f t="shared" si="245"/>
        <v>6.9400000000000164</v>
      </c>
      <c r="AH106" s="630">
        <f t="shared" si="245"/>
        <v>-0.16000000000005488</v>
      </c>
      <c r="AI106" s="653">
        <f>AI83</f>
        <v>6.7799999999999612</v>
      </c>
      <c r="AJ106" s="40">
        <f t="shared" ref="AJ106:AK106" si="246">AJ83</f>
        <v>4.2599999999999989</v>
      </c>
      <c r="AK106" s="630">
        <f t="shared" si="246"/>
        <v>190.48999999999998</v>
      </c>
      <c r="AL106" s="653">
        <f>AL83</f>
        <v>194.74999999999997</v>
      </c>
      <c r="AM106" s="40">
        <f t="shared" ref="AM106:AN106" si="247">AM83</f>
        <v>20.7</v>
      </c>
      <c r="AN106" s="630">
        <f t="shared" si="247"/>
        <v>310.95999999999998</v>
      </c>
      <c r="AO106" s="653">
        <f t="shared" si="245"/>
        <v>331.65999999999997</v>
      </c>
      <c r="AP106" s="40">
        <f t="shared" ref="AP106:AR106" si="248">AP83</f>
        <v>85.649999999999991</v>
      </c>
      <c r="AQ106" s="630">
        <f t="shared" si="248"/>
        <v>268.90000000000003</v>
      </c>
      <c r="AR106" s="653">
        <f t="shared" si="248"/>
        <v>354.55</v>
      </c>
      <c r="AS106" s="40">
        <f t="shared" ref="AS106:AU106" si="249">AS83</f>
        <v>141.21</v>
      </c>
      <c r="AT106" s="630">
        <f t="shared" si="249"/>
        <v>301.99</v>
      </c>
      <c r="AU106" s="653">
        <f t="shared" si="249"/>
        <v>443.20000000000005</v>
      </c>
      <c r="AV106" s="40">
        <f t="shared" ref="AV106" si="250">AV83</f>
        <v>202.66380000000001</v>
      </c>
      <c r="AW106" s="216">
        <f t="shared" si="245"/>
        <v>311.75720000000013</v>
      </c>
      <c r="AX106" s="556">
        <f t="shared" si="245"/>
        <v>514.42100000000016</v>
      </c>
      <c r="AY106" s="40">
        <f t="shared" si="245"/>
        <v>352.94600000000003</v>
      </c>
      <c r="AZ106" s="236">
        <f t="shared" si="245"/>
        <v>396.35303007405389</v>
      </c>
      <c r="BA106" s="605">
        <f t="shared" si="245"/>
        <v>749.29903007405392</v>
      </c>
      <c r="BB106" s="56">
        <f t="shared" si="245"/>
        <v>433.16861819397849</v>
      </c>
      <c r="BC106" s="236">
        <f t="shared" si="245"/>
        <v>425.16751513435867</v>
      </c>
      <c r="BD106" s="605">
        <f t="shared" si="245"/>
        <v>858.33613332833716</v>
      </c>
      <c r="BE106" s="56">
        <f t="shared" si="245"/>
        <v>490.91129794221416</v>
      </c>
      <c r="BF106" s="236">
        <f t="shared" si="245"/>
        <v>483.94916076278599</v>
      </c>
      <c r="BG106" s="605">
        <f t="shared" si="245"/>
        <v>974.86045870500016</v>
      </c>
      <c r="BH106" s="56">
        <f t="shared" si="245"/>
        <v>518.04480598620444</v>
      </c>
      <c r="BI106" s="236">
        <f t="shared" si="245"/>
        <v>496.812129212353</v>
      </c>
      <c r="BJ106" s="605">
        <f t="shared" si="245"/>
        <v>1014.8569351985575</v>
      </c>
      <c r="BK106" s="56">
        <f t="shared" si="245"/>
        <v>546.75976625626527</v>
      </c>
      <c r="BL106" s="236">
        <f t="shared" si="245"/>
        <v>496.84939786862617</v>
      </c>
      <c r="BM106" s="605">
        <f t="shared" si="245"/>
        <v>1043.6091641248913</v>
      </c>
    </row>
    <row r="107" spans="1:66">
      <c r="A107" s="93" t="s">
        <v>570</v>
      </c>
      <c r="B107" s="40"/>
      <c r="C107" s="40"/>
      <c r="D107" s="40"/>
      <c r="E107" s="40"/>
      <c r="F107" s="40"/>
      <c r="G107" s="40"/>
      <c r="H107" s="40"/>
      <c r="I107" s="40"/>
      <c r="J107" s="40"/>
      <c r="K107" s="40"/>
      <c r="L107" s="40"/>
      <c r="M107" s="40"/>
      <c r="N107" s="40"/>
      <c r="O107" s="40"/>
      <c r="P107" s="40"/>
      <c r="Q107" s="40"/>
      <c r="R107" s="40"/>
      <c r="S107" s="630"/>
      <c r="T107" s="653">
        <f>'Civil AM'!Q271+'Civil AM'!Q289+'Civil AM'!Q369</f>
        <v>646.29999999999995</v>
      </c>
      <c r="U107" s="40"/>
      <c r="V107" s="630"/>
      <c r="W107" s="653">
        <f>'Civil AM'!T271+'Civil AM'!T289+'Civil AM'!T369</f>
        <v>672.4</v>
      </c>
      <c r="X107" s="40"/>
      <c r="Y107" s="630"/>
      <c r="Z107" s="653"/>
      <c r="AA107" s="40"/>
      <c r="AB107" s="630"/>
      <c r="AC107" s="653">
        <f>'Civil AM'!Z271+'Civil AM'!Z289+'Civil AM'!Z369</f>
        <v>801.70224417391319</v>
      </c>
      <c r="AD107" s="40">
        <f>'Civil AM'!AA271+'Civil AM'!AA289+'Civil AM'!AA369</f>
        <v>969.76003894730627</v>
      </c>
      <c r="AE107" s="630">
        <f>'Civil AM'!AB271+'Civil AM'!AB289+'Civil AM'!AB369</f>
        <v>972.75026353972953</v>
      </c>
      <c r="AF107" s="653">
        <f>'Civil AM'!AC271+'Civil AM'!AC289+'Civil AM'!AC369</f>
        <v>1942.5103024870359</v>
      </c>
      <c r="AG107" s="40">
        <f>'Civil AM'!AD271+'Civil AM'!AD289+'Civil AM'!AD369</f>
        <v>382.30871746422667</v>
      </c>
      <c r="AH107" s="630">
        <f>'Civil AM'!AE271+'Civil AM'!AE289+'Civil AM'!AE369</f>
        <v>402.08116273764068</v>
      </c>
      <c r="AI107" s="653">
        <f>'Civil AM'!AF271+'Civil AM'!AF289+'Civil AM'!AF369</f>
        <v>784.3898802018673</v>
      </c>
      <c r="AJ107" s="40">
        <f>'Civil AM'!AG271+'Civil AM'!AG289+'Civil AM'!AG369</f>
        <v>510.24315055039534</v>
      </c>
      <c r="AK107" s="630">
        <f>'Civil AM'!AH271+'Civil AM'!AH289+'Civil AM'!AH369</f>
        <v>502.45475372492081</v>
      </c>
      <c r="AL107" s="653">
        <f>'Civil AM'!AI271+'Civil AM'!AI289+'Civil AM'!AI369</f>
        <v>1012.6979042753161</v>
      </c>
      <c r="AM107" s="40">
        <f>'Civil AM'!AJ271+'Civil AM'!AJ289+'Civil AM'!AJ369</f>
        <v>594.29390205543143</v>
      </c>
      <c r="AN107" s="630">
        <f>'Civil AM'!AK271+'Civil AM'!AK289+'Civil AM'!AK369</f>
        <v>744.97664465371213</v>
      </c>
      <c r="AO107" s="653">
        <f>'Civil AM'!AL271+'Civil AM'!AL289+'Civil AM'!AL369</f>
        <v>1339.2705467091437</v>
      </c>
      <c r="AP107" s="40">
        <f>'Civil AM'!AM271+'Civil AM'!AM289+'Civil AM'!AM369</f>
        <v>744.26980110699844</v>
      </c>
      <c r="AQ107" s="630">
        <f>'Civil AM'!AN271+'Civil AM'!AN289+'Civil AM'!AN369</f>
        <v>882.29884649607607</v>
      </c>
      <c r="AR107" s="653">
        <f>'Civil AM'!AO271+'Civil AM'!AO289+'Civil AM'!AO369</f>
        <v>1626.5686476030746</v>
      </c>
      <c r="AS107" s="40">
        <f>'Civil AM'!AP271+'Civil AM'!AP289+'Civil AM'!AP369</f>
        <v>1026.3792144844847</v>
      </c>
      <c r="AT107" s="630">
        <f>'Civil AM'!AQ271+'Civil AM'!AQ289+'Civil AM'!AQ369</f>
        <v>1133.6138114307664</v>
      </c>
      <c r="AU107" s="653">
        <f>'Civil AM'!AR271+'Civil AM'!AR289+'Civil AM'!AR369</f>
        <v>2159.9930259152511</v>
      </c>
      <c r="AV107" s="40">
        <f>'Civil AM'!AS271+'Civil AM'!AS289+'Civil AM'!AS369</f>
        <v>1257.1957280360937</v>
      </c>
      <c r="AW107" s="216">
        <f>'Civil AM'!AT271+'Civil AM'!AT289+'Civil AM'!AT369</f>
        <v>1611.7136339193876</v>
      </c>
      <c r="AX107" s="556">
        <f>'Civil AM'!AU271+'Civil AM'!AU289+'Civil AM'!AU369</f>
        <v>2868.9093619554815</v>
      </c>
      <c r="AY107" s="40">
        <f>'Civil AM'!AV271+'Civil AM'!AV289+'Civil AM'!AV369</f>
        <v>1768.8018097613804</v>
      </c>
      <c r="AZ107" s="236">
        <f>'Civil AM'!AW271+'Civil AM'!AW289+'Civil AM'!AW369</f>
        <v>1795.6493610776247</v>
      </c>
      <c r="BA107" s="605">
        <f>'Civil AM'!AX271+'Civil AM'!AX289+'Civil AM'!AX369</f>
        <v>3564.451170839005</v>
      </c>
      <c r="BB107" s="56">
        <f>'Civil AM'!AY271+'Civil AM'!AY289+'Civil AM'!AY369</f>
        <v>2137.1281042750552</v>
      </c>
      <c r="BC107" s="236">
        <f>'Civil AM'!AZ271+'Civil AM'!AZ289+'Civil AM'!AZ369</f>
        <v>2062.9874169219997</v>
      </c>
      <c r="BD107" s="605">
        <f>'Civil AM'!BA271+'Civil AM'!BA289+'Civil AM'!BA369</f>
        <v>4200.1155211970545</v>
      </c>
      <c r="BE107" s="56">
        <f>'Civil AM'!BB271+'Civil AM'!BB289+'Civil AM'!BB369</f>
        <v>2321.7887318260364</v>
      </c>
      <c r="BF107" s="236">
        <f>'Civil AM'!BC271+'Civil AM'!BC289+'Civil AM'!BC369</f>
        <v>2303.9918299487736</v>
      </c>
      <c r="BG107" s="605">
        <f>'Civil AM'!BD271+'Civil AM'!BD289+'Civil AM'!BD369</f>
        <v>4625.7805617748099</v>
      </c>
      <c r="BH107" s="56">
        <f>'Civil AM'!BE271+'Civil AM'!BE289+'Civil AM'!BE369</f>
        <v>2655.4296026871671</v>
      </c>
      <c r="BI107" s="236">
        <f>'Civil AM'!BF271+'Civil AM'!BF289+'Civil AM'!BF369</f>
        <v>2642.5218053121107</v>
      </c>
      <c r="BJ107" s="605">
        <f>'Civil AM'!BG271+'Civil AM'!BG289+'Civil AM'!BG369</f>
        <v>5297.9514079992778</v>
      </c>
      <c r="BK107" s="56">
        <f>'Civil AM'!BH271+'Civil AM'!BH289+'Civil AM'!BH369</f>
        <v>3016.7943225170934</v>
      </c>
      <c r="BL107" s="236">
        <f>'Civil AM'!BI271+'Civil AM'!BI289+'Civil AM'!BI369</f>
        <v>3007.3682685308818</v>
      </c>
      <c r="BM107" s="605">
        <f>'Civil AM'!BJ271+'Civil AM'!BJ289+'Civil AM'!BJ369</f>
        <v>6024.1625910479752</v>
      </c>
    </row>
    <row r="108" spans="1:66">
      <c r="A108" s="31" t="s">
        <v>567</v>
      </c>
      <c r="B108" s="40"/>
      <c r="C108" s="40"/>
      <c r="D108" s="40"/>
      <c r="E108" s="40"/>
      <c r="F108" s="40"/>
      <c r="G108" s="40"/>
      <c r="H108" s="40"/>
      <c r="I108" s="40"/>
      <c r="J108" s="40"/>
      <c r="K108" s="40"/>
      <c r="L108" s="40"/>
      <c r="M108" s="40"/>
      <c r="N108" s="40"/>
      <c r="O108" s="40"/>
      <c r="P108" s="40"/>
      <c r="Q108" s="40"/>
      <c r="R108" s="51"/>
      <c r="S108" s="629"/>
      <c r="T108" s="652">
        <f>T106+T107</f>
        <v>734.69999999999993</v>
      </c>
      <c r="U108" s="51"/>
      <c r="V108" s="629"/>
      <c r="W108" s="652">
        <f>W106+W107</f>
        <v>365.89999999999986</v>
      </c>
      <c r="X108" s="51"/>
      <c r="Y108" s="629"/>
      <c r="Z108" s="652"/>
      <c r="AA108" s="51"/>
      <c r="AB108" s="629"/>
      <c r="AC108" s="652">
        <f t="shared" ref="AC108:BM108" si="251">AC106+AC107</f>
        <v>457.10224417391328</v>
      </c>
      <c r="AD108" s="51">
        <f>AD106+AD107</f>
        <v>809.51003894730638</v>
      </c>
      <c r="AE108" s="629">
        <f>AE106+AE107</f>
        <v>1093.6602635397294</v>
      </c>
      <c r="AF108" s="652">
        <f t="shared" si="251"/>
        <v>1903.170302487036</v>
      </c>
      <c r="AG108" s="51">
        <f>AG106+AG107</f>
        <v>389.24871746422667</v>
      </c>
      <c r="AH108" s="629">
        <f>AH106+AH107</f>
        <v>401.9211627376406</v>
      </c>
      <c r="AI108" s="652">
        <f>AI106+AI107</f>
        <v>791.16988020186727</v>
      </c>
      <c r="AJ108" s="51">
        <f>AJ106+AJ107</f>
        <v>514.50315055039539</v>
      </c>
      <c r="AK108" s="629">
        <f>AK106+AK107</f>
        <v>692.94475372492082</v>
      </c>
      <c r="AL108" s="652">
        <f t="shared" si="251"/>
        <v>1207.447904275316</v>
      </c>
      <c r="AM108" s="51">
        <f t="shared" ref="AM108:AR108" si="252">AM106+AM107</f>
        <v>614.99390205543148</v>
      </c>
      <c r="AN108" s="629">
        <f t="shared" si="252"/>
        <v>1055.9366446537122</v>
      </c>
      <c r="AO108" s="652">
        <f t="shared" si="252"/>
        <v>1670.9305467091435</v>
      </c>
      <c r="AP108" s="51">
        <f t="shared" si="252"/>
        <v>829.91980110699842</v>
      </c>
      <c r="AQ108" s="629">
        <f t="shared" si="252"/>
        <v>1151.1988464960762</v>
      </c>
      <c r="AR108" s="652">
        <f t="shared" si="252"/>
        <v>1981.1186476030746</v>
      </c>
      <c r="AS108" s="51">
        <f t="shared" ref="AS108:AU108" si="253">AS106+AS107</f>
        <v>1167.5892144844847</v>
      </c>
      <c r="AT108" s="629">
        <f t="shared" si="253"/>
        <v>1435.6038114307664</v>
      </c>
      <c r="AU108" s="652">
        <f t="shared" si="253"/>
        <v>2603.1930259152514</v>
      </c>
      <c r="AV108" s="51">
        <f t="shared" ref="AV108" si="254">AV106+AV107</f>
        <v>1459.8595280360937</v>
      </c>
      <c r="AW108" s="218">
        <f t="shared" si="251"/>
        <v>1923.4708339193876</v>
      </c>
      <c r="AX108" s="553">
        <f t="shared" si="251"/>
        <v>3383.3303619554817</v>
      </c>
      <c r="AY108" s="51">
        <f t="shared" si="251"/>
        <v>2121.7478097613803</v>
      </c>
      <c r="AZ108" s="237">
        <f t="shared" si="251"/>
        <v>2192.0023911516787</v>
      </c>
      <c r="BA108" s="576">
        <f t="shared" si="251"/>
        <v>4313.7502009130585</v>
      </c>
      <c r="BB108" s="48">
        <f t="shared" si="251"/>
        <v>2570.2967224690337</v>
      </c>
      <c r="BC108" s="237">
        <f t="shared" si="251"/>
        <v>2488.1549320563586</v>
      </c>
      <c r="BD108" s="576">
        <f t="shared" si="251"/>
        <v>5058.4516545253919</v>
      </c>
      <c r="BE108" s="48">
        <f t="shared" si="251"/>
        <v>2812.7000297682507</v>
      </c>
      <c r="BF108" s="237">
        <f t="shared" si="251"/>
        <v>2787.9409907115596</v>
      </c>
      <c r="BG108" s="576">
        <f t="shared" si="251"/>
        <v>5600.6410204798103</v>
      </c>
      <c r="BH108" s="48">
        <f t="shared" si="251"/>
        <v>3173.4744086733717</v>
      </c>
      <c r="BI108" s="237">
        <f t="shared" si="251"/>
        <v>3139.3339345244635</v>
      </c>
      <c r="BJ108" s="576">
        <f t="shared" si="251"/>
        <v>6312.8083431978357</v>
      </c>
      <c r="BK108" s="48">
        <f t="shared" si="251"/>
        <v>3563.5540887733587</v>
      </c>
      <c r="BL108" s="237">
        <f t="shared" si="251"/>
        <v>3504.2176663995078</v>
      </c>
      <c r="BM108" s="576">
        <f t="shared" si="251"/>
        <v>7067.7717551728665</v>
      </c>
    </row>
    <row r="109" spans="1:66" ht="11.4">
      <c r="A109" s="25" t="s">
        <v>551</v>
      </c>
      <c r="B109" s="40"/>
      <c r="C109" s="40"/>
      <c r="D109" s="40"/>
      <c r="E109" s="40"/>
      <c r="F109" s="40"/>
      <c r="G109" s="40"/>
      <c r="H109" s="40"/>
      <c r="I109" s="40"/>
      <c r="J109" s="40"/>
      <c r="K109" s="40"/>
      <c r="L109" s="40"/>
      <c r="M109" s="40"/>
      <c r="N109" s="40"/>
      <c r="O109" s="40"/>
      <c r="P109" s="40"/>
      <c r="Q109" s="40"/>
      <c r="R109" s="58"/>
      <c r="S109" s="644"/>
      <c r="T109" s="668">
        <f>+T108/T104</f>
        <v>0.12292119792538062</v>
      </c>
      <c r="U109" s="58"/>
      <c r="V109" s="644"/>
      <c r="W109" s="668">
        <f>+W108/W104</f>
        <v>5.3840494408475555E-2</v>
      </c>
      <c r="X109" s="58"/>
      <c r="Y109" s="644"/>
      <c r="Z109" s="653"/>
      <c r="AA109" s="58"/>
      <c r="AB109" s="644"/>
      <c r="AC109" s="668">
        <f t="shared" ref="AC109:BM109" si="255">+AC108/AC104</f>
        <v>6.1792814352050543E-2</v>
      </c>
      <c r="AD109" s="87">
        <f t="shared" si="255"/>
        <v>0.19525085358111588</v>
      </c>
      <c r="AE109" s="644">
        <f t="shared" si="255"/>
        <v>0.23749408545922462</v>
      </c>
      <c r="AF109" s="668">
        <f t="shared" si="255"/>
        <v>0.21748032253308605</v>
      </c>
      <c r="AG109" s="87">
        <f t="shared" si="255"/>
        <v>0.11781135516471751</v>
      </c>
      <c r="AH109" s="644">
        <f t="shared" si="255"/>
        <v>0.1791891050992602</v>
      </c>
      <c r="AI109" s="668">
        <f>+AI108/AI104</f>
        <v>0.14263022898897915</v>
      </c>
      <c r="AJ109" s="87">
        <f t="shared" ref="AJ109:AK109" si="256">+AJ108/AJ104</f>
        <v>0.24975881094679389</v>
      </c>
      <c r="AK109" s="644">
        <f t="shared" si="256"/>
        <v>0.2725982508752639</v>
      </c>
      <c r="AL109" s="668">
        <f t="shared" si="255"/>
        <v>0.2623745989298818</v>
      </c>
      <c r="AM109" s="87">
        <f t="shared" ref="AM109:AN109" si="257">+AM108/AM104</f>
        <v>0.22185927202576894</v>
      </c>
      <c r="AN109" s="644">
        <f t="shared" si="257"/>
        <v>0.28492623978783388</v>
      </c>
      <c r="AO109" s="668">
        <f t="shared" si="255"/>
        <v>0.25793926315361893</v>
      </c>
      <c r="AP109" s="87">
        <f t="shared" ref="AP109:AR109" si="258">+AP108/AP104</f>
        <v>0.20831320308910603</v>
      </c>
      <c r="AQ109" s="644">
        <f t="shared" si="258"/>
        <v>0.24519677241662963</v>
      </c>
      <c r="AR109" s="668">
        <f t="shared" si="258"/>
        <v>0.22826577343047294</v>
      </c>
      <c r="AS109" s="87">
        <f t="shared" ref="AS109:AU109" si="259">+AS108/AS104</f>
        <v>0.24153686687722067</v>
      </c>
      <c r="AT109" s="644">
        <f t="shared" si="259"/>
        <v>0.28061059644854702</v>
      </c>
      <c r="AU109" s="668">
        <f t="shared" si="259"/>
        <v>0.26162743979047753</v>
      </c>
      <c r="AV109" s="87">
        <f t="shared" ref="AV109" si="260">+AV108/AV104</f>
        <v>0.2792920466876016</v>
      </c>
      <c r="AW109" s="229">
        <f t="shared" si="255"/>
        <v>0.3400761728994674</v>
      </c>
      <c r="AX109" s="559">
        <f t="shared" si="255"/>
        <v>0.31088214297119193</v>
      </c>
      <c r="AY109" s="87">
        <f t="shared" si="255"/>
        <v>0.33689231657055896</v>
      </c>
      <c r="AZ109" s="247">
        <f t="shared" si="255"/>
        <v>0.3093012625908439</v>
      </c>
      <c r="BA109" s="583">
        <f t="shared" si="255"/>
        <v>0.32228363951517358</v>
      </c>
      <c r="BB109" s="245">
        <f t="shared" si="255"/>
        <v>0.35031498715685033</v>
      </c>
      <c r="BC109" s="247">
        <f t="shared" si="255"/>
        <v>0.32547604973705463</v>
      </c>
      <c r="BD109" s="583">
        <f t="shared" si="255"/>
        <v>0.33764055817468358</v>
      </c>
      <c r="BE109" s="245">
        <f t="shared" si="255"/>
        <v>0.35485710673729032</v>
      </c>
      <c r="BF109" s="247">
        <f t="shared" si="255"/>
        <v>0.33594929660917267</v>
      </c>
      <c r="BG109" s="583">
        <f t="shared" si="255"/>
        <v>0.34518620938947536</v>
      </c>
      <c r="BH109" s="245">
        <f t="shared" si="255"/>
        <v>0.36544934456154743</v>
      </c>
      <c r="BI109" s="247">
        <f t="shared" si="255"/>
        <v>0.34919767099672644</v>
      </c>
      <c r="BJ109" s="583">
        <f t="shared" si="255"/>
        <v>0.35718264766342933</v>
      </c>
      <c r="BK109" s="245">
        <f t="shared" si="255"/>
        <v>0.3751461906227942</v>
      </c>
      <c r="BL109" s="247">
        <f t="shared" si="255"/>
        <v>0.36202464871553741</v>
      </c>
      <c r="BM109" s="583">
        <f t="shared" si="255"/>
        <v>0.36852370957871433</v>
      </c>
      <c r="BN109" s="38"/>
    </row>
    <row r="110" spans="1:66">
      <c r="A110" s="93"/>
      <c r="B110" s="40"/>
      <c r="C110" s="40"/>
      <c r="D110" s="40"/>
      <c r="E110" s="40"/>
      <c r="F110" s="40"/>
      <c r="G110" s="40"/>
      <c r="H110" s="40"/>
      <c r="I110" s="40"/>
      <c r="J110" s="40"/>
      <c r="K110" s="40"/>
      <c r="L110" s="40"/>
      <c r="M110" s="40"/>
      <c r="N110" s="40"/>
      <c r="O110" s="40"/>
      <c r="P110" s="40"/>
      <c r="Q110" s="40"/>
      <c r="R110" s="40"/>
      <c r="S110" s="630"/>
      <c r="T110" s="653"/>
      <c r="U110" s="40"/>
      <c r="V110" s="630"/>
      <c r="W110" s="653"/>
      <c r="X110" s="40"/>
      <c r="Y110" s="630"/>
      <c r="Z110" s="653"/>
      <c r="AA110" s="40"/>
      <c r="AB110" s="630"/>
      <c r="AC110" s="653"/>
      <c r="AD110" s="40"/>
      <c r="AE110" s="630"/>
      <c r="AF110" s="653"/>
      <c r="AG110" s="40"/>
      <c r="AH110" s="630"/>
      <c r="AI110" s="653"/>
      <c r="AJ110" s="40"/>
      <c r="AK110" s="630"/>
      <c r="AL110" s="653"/>
      <c r="AM110" s="40"/>
      <c r="AN110" s="630"/>
      <c r="AO110" s="653"/>
      <c r="AP110" s="40"/>
      <c r="AQ110" s="539"/>
      <c r="AR110" s="550"/>
      <c r="AS110"/>
      <c r="AT110" s="539"/>
      <c r="AU110" s="550"/>
      <c r="AV110"/>
      <c r="AW110" s="539"/>
      <c r="AX110" s="550"/>
      <c r="AY110"/>
      <c r="AZ110" s="539"/>
      <c r="BA110" s="550"/>
      <c r="BB110"/>
      <c r="BC110" s="539"/>
      <c r="BD110" s="550"/>
      <c r="BE110"/>
      <c r="BF110" s="539"/>
      <c r="BG110" s="550"/>
      <c r="BH110"/>
      <c r="BI110" s="539"/>
      <c r="BJ110" s="550"/>
      <c r="BK110"/>
      <c r="BL110" s="539"/>
      <c r="BM110" s="550"/>
    </row>
    <row r="111" spans="1:66">
      <c r="A111" s="93" t="s">
        <v>605</v>
      </c>
      <c r="B111" s="40"/>
      <c r="C111" s="40"/>
      <c r="D111" s="40"/>
      <c r="E111" s="40"/>
      <c r="F111" s="40"/>
      <c r="G111" s="40"/>
      <c r="H111" s="40"/>
      <c r="I111" s="40"/>
      <c r="J111" s="40"/>
      <c r="K111" s="40"/>
      <c r="L111" s="40"/>
      <c r="M111" s="40"/>
      <c r="N111" s="40"/>
      <c r="O111" s="40"/>
      <c r="P111" s="40"/>
      <c r="Q111" s="40"/>
      <c r="R111" s="40"/>
      <c r="S111" s="630"/>
      <c r="T111" s="653">
        <f>+'Civil OE'!T34-'Civil OE'!T62</f>
        <v>0</v>
      </c>
      <c r="U111" s="40"/>
      <c r="V111" s="630"/>
      <c r="W111" s="653">
        <f>+'Civil OE'!W34-'Civil OE'!W62</f>
        <v>-710.40000000000009</v>
      </c>
      <c r="X111" s="40"/>
      <c r="Y111" s="630"/>
      <c r="Z111" s="653"/>
      <c r="AA111" s="40"/>
      <c r="AB111" s="630"/>
      <c r="AC111" s="653">
        <f>+'Civil OE'!Z34-'Civil OE'!Z62</f>
        <v>-586.59999999999991</v>
      </c>
      <c r="AD111" s="40">
        <f>+'Civil OE'!AA34-'Civil OE'!AA62</f>
        <v>-286.8</v>
      </c>
      <c r="AE111" s="630">
        <f>+'Civil OE'!AB34-'Civil OE'!AB62</f>
        <v>-253.2</v>
      </c>
      <c r="AF111" s="653">
        <f>+'Civil OE'!AC34-'Civil OE'!AC62</f>
        <v>-540</v>
      </c>
      <c r="AG111" s="40">
        <f>+'Civil OE'!AD34-'Civil OE'!AD62</f>
        <v>-135.63</v>
      </c>
      <c r="AH111" s="630">
        <f>+'Civil OE'!AE34-'Civil OE'!AE62</f>
        <v>-127.27000000000004</v>
      </c>
      <c r="AI111" s="653">
        <f>+'Civil OE'!AF34-'Civil OE'!AF62</f>
        <v>-262.90000000000003</v>
      </c>
      <c r="AJ111" s="40">
        <f>+'Civil OE'!AG34-'Civil OE'!AG62</f>
        <v>-94.5</v>
      </c>
      <c r="AK111" s="630">
        <f>+'Civil OE'!AH34-'Civil OE'!AH62</f>
        <v>-72.450000000000017</v>
      </c>
      <c r="AL111" s="653">
        <f>+'Civil OE'!AI34-'Civil OE'!AI62</f>
        <v>-166.95000000000002</v>
      </c>
      <c r="AM111" s="40">
        <f>+'Civil OE'!AJ34-'Civil OE'!AJ62</f>
        <v>-70</v>
      </c>
      <c r="AN111" s="630">
        <f>+'Civil OE'!AK34-'Civil OE'!AK62</f>
        <v>-76</v>
      </c>
      <c r="AO111" s="653">
        <f>+'Civil OE'!AL34-'Civil OE'!AL62</f>
        <v>-146</v>
      </c>
      <c r="AP111" s="40">
        <f>+'Civil OE'!AM34-'Civil OE'!AM62</f>
        <v>-97</v>
      </c>
      <c r="AQ111" s="630">
        <f>+'Civil OE'!AN34-'Civil OE'!AN62</f>
        <v>-112</v>
      </c>
      <c r="AR111" s="653">
        <f>+'Civil OE'!AO34-'Civil OE'!AO62</f>
        <v>-209</v>
      </c>
      <c r="AS111" s="40">
        <f>+'Civil OE'!AP34-'Civil OE'!AP62</f>
        <v>-99</v>
      </c>
      <c r="AT111" s="630">
        <f>+'Civil OE'!AQ34-'Civil OE'!AQ62</f>
        <v>-122</v>
      </c>
      <c r="AU111" s="653">
        <f>+'Civil OE'!AR34-'Civil OE'!AR62</f>
        <v>-221</v>
      </c>
      <c r="AV111" s="40">
        <f>+'Civil OE'!AS34-'Civil OE'!AS62</f>
        <v>-84.149999999999977</v>
      </c>
      <c r="AW111" s="216">
        <f>+'Civil OE'!AT34-'Civil OE'!AT62</f>
        <v>-71.100000000000023</v>
      </c>
      <c r="AX111" s="556">
        <f>+'Civil OE'!AU34-'Civil OE'!AU62</f>
        <v>-155.25</v>
      </c>
      <c r="AY111" s="40">
        <f>+'Civil OE'!AV34-'Civil OE'!AV62</f>
        <v>-79.199999999999989</v>
      </c>
      <c r="AZ111" s="236">
        <f>+'Civil OE'!AW34-'Civil OE'!AW62</f>
        <v>-51.300000000000011</v>
      </c>
      <c r="BA111" s="605">
        <f>+'Civil OE'!AX34-'Civil OE'!AX62</f>
        <v>-130.5</v>
      </c>
      <c r="BB111" s="56">
        <f>+'Civil OE'!AY34-'Civil OE'!AY62</f>
        <v>-36.5</v>
      </c>
      <c r="BC111" s="236">
        <f>+'Civil OE'!AZ34-'Civil OE'!AZ62</f>
        <v>-37.5</v>
      </c>
      <c r="BD111" s="605">
        <f>+'Civil OE'!BA34-'Civil OE'!BA62</f>
        <v>-74</v>
      </c>
      <c r="BE111" s="56">
        <f>+'Civil OE'!BB34-'Civil OE'!BB62</f>
        <v>0</v>
      </c>
      <c r="BF111" s="236">
        <f>+'Civil OE'!BC34-'Civil OE'!BC62</f>
        <v>0</v>
      </c>
      <c r="BG111" s="605">
        <f>+'Civil OE'!BD34-'Civil OE'!BD62</f>
        <v>0</v>
      </c>
      <c r="BH111" s="56">
        <f>+'Civil OE'!BE34-'Civil OE'!BE62</f>
        <v>0</v>
      </c>
      <c r="BI111" s="236">
        <f>+'Civil OE'!BF34-'Civil OE'!BF62</f>
        <v>0</v>
      </c>
      <c r="BJ111" s="605">
        <f>+'Civil OE'!BG34-'Civil OE'!BG62</f>
        <v>0</v>
      </c>
      <c r="BK111" s="56">
        <f>+'Civil OE'!BH34-'Civil OE'!BH62</f>
        <v>0</v>
      </c>
      <c r="BL111" s="236">
        <f>+'Civil OE'!BI34-'Civil OE'!BI62</f>
        <v>0</v>
      </c>
      <c r="BM111" s="605">
        <f>+'Civil OE'!BJ34-'Civil OE'!BJ62</f>
        <v>0</v>
      </c>
    </row>
    <row r="112" spans="1:66">
      <c r="A112" s="93" t="s">
        <v>606</v>
      </c>
      <c r="B112" s="40"/>
      <c r="C112" s="40"/>
      <c r="D112" s="40"/>
      <c r="E112" s="40"/>
      <c r="F112" s="40"/>
      <c r="G112" s="40"/>
      <c r="H112" s="40"/>
      <c r="I112" s="40"/>
      <c r="J112" s="40"/>
      <c r="K112" s="40"/>
      <c r="L112" s="40"/>
      <c r="M112" s="40"/>
      <c r="N112" s="40"/>
      <c r="O112" s="40"/>
      <c r="P112" s="40"/>
      <c r="Q112" s="40"/>
      <c r="R112" s="40"/>
      <c r="S112" s="630"/>
      <c r="T112" s="653">
        <f>'Civil AM'!Q271</f>
        <v>0</v>
      </c>
      <c r="U112" s="40"/>
      <c r="V112" s="630"/>
      <c r="W112" s="653">
        <f>'Civil AM'!T271</f>
        <v>0</v>
      </c>
      <c r="X112" s="40"/>
      <c r="Y112" s="630"/>
      <c r="Z112" s="653"/>
      <c r="AA112" s="40"/>
      <c r="AB112" s="630"/>
      <c r="AC112" s="653">
        <f>'Civil AM'!Z271</f>
        <v>0</v>
      </c>
      <c r="AD112" s="40">
        <f>'Civil AM'!AA271</f>
        <v>613.13650953554156</v>
      </c>
      <c r="AE112" s="630">
        <f>'Civil AM'!AB271</f>
        <v>630.92673412796478</v>
      </c>
      <c r="AF112" s="653">
        <f>'Civil AM'!AC271</f>
        <v>1244.0632436635065</v>
      </c>
      <c r="AG112" s="40">
        <f>'Civil AM'!AD271</f>
        <v>188.81516907712989</v>
      </c>
      <c r="AH112" s="630">
        <f>'Civil AM'!AE271</f>
        <v>256.90102691421112</v>
      </c>
      <c r="AI112" s="653">
        <f>'Civil AM'!AF271</f>
        <v>445.71619599134101</v>
      </c>
      <c r="AJ112" s="40">
        <f>'Civil AM'!AG271</f>
        <v>360.06904983097093</v>
      </c>
      <c r="AK112" s="630">
        <f>'Civil AM'!AH271</f>
        <v>315.72620543772274</v>
      </c>
      <c r="AL112" s="653">
        <f>'Civil AM'!AI271</f>
        <v>675.79525526869361</v>
      </c>
      <c r="AM112" s="40">
        <f>'Civil AM'!AJ271</f>
        <v>371.14390205543145</v>
      </c>
      <c r="AN112" s="630">
        <f>'Civil AM'!AK271</f>
        <v>483.22664465371213</v>
      </c>
      <c r="AO112" s="653">
        <f>'Civil AM'!AL271</f>
        <v>854.37054670914358</v>
      </c>
      <c r="AP112" s="40">
        <f>'Civil AM'!AM271</f>
        <v>452.46980110699837</v>
      </c>
      <c r="AQ112" s="630">
        <f>'Civil AM'!AN271</f>
        <v>584.09884649607602</v>
      </c>
      <c r="AR112" s="653">
        <f>'Civil AM'!AO271</f>
        <v>1036.5686476030744</v>
      </c>
      <c r="AS112" s="40">
        <f>'Civil AM'!AP271</f>
        <v>660.50083610610614</v>
      </c>
      <c r="AT112" s="630">
        <f>'Civil AM'!AQ271</f>
        <v>799.53543305238804</v>
      </c>
      <c r="AU112" s="653">
        <f>'Civil AM'!AR271</f>
        <v>1460.0362691584942</v>
      </c>
      <c r="AV112" s="40">
        <f>'Civil AM'!AS271</f>
        <v>906.06239470276023</v>
      </c>
      <c r="AW112" s="216">
        <f>'Civil AM'!AT271</f>
        <v>1217.7969672527208</v>
      </c>
      <c r="AX112" s="556">
        <f>'Civil AM'!AU271</f>
        <v>2123.8593619554813</v>
      </c>
      <c r="AY112" s="40">
        <f>'Civil AM'!AV271</f>
        <v>1314.0800706309456</v>
      </c>
      <c r="AZ112" s="236">
        <f>'Civil AM'!AW271</f>
        <v>1369.6870422370448</v>
      </c>
      <c r="BA112" s="605">
        <f>'Civil AM'!AX271</f>
        <v>2683.7671128679904</v>
      </c>
      <c r="BB112" s="56">
        <f>'Civil AM'!AY271</f>
        <v>1646.5925487194995</v>
      </c>
      <c r="BC112" s="236">
        <f>'Civil AM'!AZ271</f>
        <v>1607.8323058108886</v>
      </c>
      <c r="BD112" s="605">
        <f>'Civil AM'!BA271</f>
        <v>3254.4248545303881</v>
      </c>
      <c r="BE112" s="56">
        <f>'Civil AM'!BB271</f>
        <v>1860.9597166745211</v>
      </c>
      <c r="BF112" s="236">
        <f>'Civil AM'!BC271</f>
        <v>1881.370360251804</v>
      </c>
      <c r="BG112" s="605">
        <f>'Civil AM'!BD271</f>
        <v>3742.3300769263251</v>
      </c>
      <c r="BH112" s="56">
        <f>'Civil AM'!BE271</f>
        <v>2156.2078375356518</v>
      </c>
      <c r="BI112" s="236">
        <f>'Civil AM'!BF271</f>
        <v>2183.7328856151412</v>
      </c>
      <c r="BJ112" s="605">
        <f>'Civil AM'!BG271</f>
        <v>4339.940723150793</v>
      </c>
      <c r="BK112" s="56">
        <f>'Civil AM'!BH271</f>
        <v>2475.3405323655779</v>
      </c>
      <c r="BL112" s="236">
        <f>'Civil AM'!BI271</f>
        <v>2508.7951538339121</v>
      </c>
      <c r="BM112" s="605">
        <f>'Civil AM'!BJ271</f>
        <v>4984.13568619949</v>
      </c>
    </row>
    <row r="113" spans="1:67">
      <c r="A113" s="93" t="s">
        <v>607</v>
      </c>
      <c r="B113" s="40"/>
      <c r="C113" s="40"/>
      <c r="D113" s="40"/>
      <c r="E113" s="40"/>
      <c r="F113" s="40"/>
      <c r="G113" s="40"/>
      <c r="H113" s="40"/>
      <c r="I113" s="40"/>
      <c r="J113" s="40"/>
      <c r="K113" s="40"/>
      <c r="L113" s="40"/>
      <c r="M113" s="40"/>
      <c r="N113" s="40"/>
      <c r="O113" s="40"/>
      <c r="P113" s="40"/>
      <c r="Q113" s="40"/>
      <c r="R113" s="40"/>
      <c r="S113" s="630"/>
      <c r="T113" s="653">
        <f>'Civil OE'!T62</f>
        <v>111</v>
      </c>
      <c r="U113" s="40"/>
      <c r="V113" s="630"/>
      <c r="W113" s="653">
        <f>'Civil OE'!W62</f>
        <v>117</v>
      </c>
      <c r="X113" s="40"/>
      <c r="Y113" s="630"/>
      <c r="Z113" s="653"/>
      <c r="AA113" s="40"/>
      <c r="AB113" s="630"/>
      <c r="AC113" s="653">
        <f>'Civil OE'!Z62</f>
        <v>155</v>
      </c>
      <c r="AD113" s="40">
        <f>'Civil OE'!AA62</f>
        <v>85.550000000000139</v>
      </c>
      <c r="AE113" s="630">
        <f>'Civil OE'!AB62</f>
        <v>334.44999999999987</v>
      </c>
      <c r="AF113" s="653">
        <f>'Civil OE'!AC62</f>
        <v>420</v>
      </c>
      <c r="AG113" s="40">
        <f>'Civil OE'!AD62</f>
        <v>102.75000000000001</v>
      </c>
      <c r="AH113" s="630">
        <f>'Civil OE'!AE62</f>
        <v>97.249999999999986</v>
      </c>
      <c r="AI113" s="653">
        <f>'Civil OE'!AF62</f>
        <v>200</v>
      </c>
      <c r="AJ113" s="40">
        <f>'Civil OE'!AG62</f>
        <v>85</v>
      </c>
      <c r="AK113" s="630">
        <f>'Civil OE'!AH62</f>
        <v>239</v>
      </c>
      <c r="AL113" s="653">
        <f>'Civil OE'!AI62</f>
        <v>324</v>
      </c>
      <c r="AM113" s="40">
        <f>'Civil OE'!AJ62</f>
        <v>76</v>
      </c>
      <c r="AN113" s="630">
        <f>'Civil OE'!AK62</f>
        <v>364</v>
      </c>
      <c r="AO113" s="653">
        <f>'Civil OE'!AL62</f>
        <v>440</v>
      </c>
      <c r="AP113" s="40">
        <f>'Civil OE'!AM62</f>
        <v>171</v>
      </c>
      <c r="AQ113" s="630">
        <f>'Civil OE'!AN62</f>
        <v>359</v>
      </c>
      <c r="AR113" s="653">
        <f>'Civil OE'!AO62</f>
        <v>530</v>
      </c>
      <c r="AS113" s="40">
        <f>'Civil OE'!AP62</f>
        <v>215.46</v>
      </c>
      <c r="AT113" s="630">
        <f>'Civil OE'!AQ62</f>
        <v>400.14</v>
      </c>
      <c r="AU113" s="653">
        <f>'Civil OE'!AR62</f>
        <v>615.6</v>
      </c>
      <c r="AV113" s="40">
        <f>'Civil OE'!AS62</f>
        <v>250.1388</v>
      </c>
      <c r="AW113" s="216">
        <f>'Civil OE'!AT62</f>
        <v>345.15720000000016</v>
      </c>
      <c r="AX113" s="556">
        <f>'Civil OE'!AU62</f>
        <v>595.29600000000016</v>
      </c>
      <c r="AY113" s="40">
        <f>'Civil OE'!AV62</f>
        <v>380.64600000000002</v>
      </c>
      <c r="AZ113" s="236">
        <f>'Civil OE'!AW62</f>
        <v>388.86419078833961</v>
      </c>
      <c r="BA113" s="605">
        <f>'Civil OE'!AX62</f>
        <v>769.51019078833963</v>
      </c>
      <c r="BB113" s="56">
        <f>'Civil OE'!AY62</f>
        <v>398.29381082790707</v>
      </c>
      <c r="BC113" s="236">
        <f>'Civil OE'!AZ62</f>
        <v>391.29270776828724</v>
      </c>
      <c r="BD113" s="605">
        <f>'Civil OE'!BA62</f>
        <v>789.58651859619431</v>
      </c>
      <c r="BE113" s="56">
        <f>'Civil OE'!BB62</f>
        <v>399.48514934399986</v>
      </c>
      <c r="BF113" s="236">
        <f>'Civil OE'!BC62</f>
        <v>392.5230121645717</v>
      </c>
      <c r="BG113" s="605">
        <f>'Civil OE'!BD62</f>
        <v>792.00816150857156</v>
      </c>
      <c r="BH113" s="56">
        <f>'Civil OE'!BE62</f>
        <v>420.64548234624021</v>
      </c>
      <c r="BI113" s="236">
        <f>'Civil OE'!BF62</f>
        <v>399.41280557238872</v>
      </c>
      <c r="BJ113" s="605">
        <f>'Civil OE'!BG62</f>
        <v>820.05828791862893</v>
      </c>
      <c r="BK113" s="56">
        <f>'Civil OE'!BH62</f>
        <v>443.18491103232026</v>
      </c>
      <c r="BL113" s="236">
        <f>'Civil OE'!BI62</f>
        <v>393.27454264468116</v>
      </c>
      <c r="BM113" s="605">
        <f>'Civil OE'!BJ62</f>
        <v>836.45945367700142</v>
      </c>
    </row>
    <row r="114" spans="1:67">
      <c r="A114" s="67" t="s">
        <v>513</v>
      </c>
      <c r="B114" s="40"/>
      <c r="C114" s="40"/>
      <c r="D114" s="40"/>
      <c r="E114" s="40"/>
      <c r="F114" s="40"/>
      <c r="G114" s="40"/>
      <c r="H114" s="40"/>
      <c r="I114" s="40"/>
      <c r="J114" s="40"/>
      <c r="K114" s="40"/>
      <c r="L114" s="40"/>
      <c r="M114" s="40"/>
      <c r="N114" s="40"/>
      <c r="O114" s="40"/>
      <c r="P114" s="40"/>
      <c r="Q114" s="40"/>
      <c r="R114" s="51"/>
      <c r="S114" s="629"/>
      <c r="T114" s="652">
        <f>SUM(T111:T113)</f>
        <v>111</v>
      </c>
      <c r="U114" s="51"/>
      <c r="V114" s="629"/>
      <c r="W114" s="652">
        <f>SUM(W111:W113)</f>
        <v>-593.40000000000009</v>
      </c>
      <c r="X114" s="51"/>
      <c r="Y114" s="629"/>
      <c r="Z114" s="652"/>
      <c r="AA114" s="51"/>
      <c r="AB114" s="629"/>
      <c r="AC114" s="652">
        <f t="shared" ref="AC114:BM114" si="261">SUM(AC111:AC113)</f>
        <v>-431.59999999999991</v>
      </c>
      <c r="AD114" s="51">
        <f t="shared" ref="AD114:AK114" si="262">SUM(AD111:AD113)</f>
        <v>411.88650953554168</v>
      </c>
      <c r="AE114" s="629">
        <f t="shared" si="262"/>
        <v>712.17673412796466</v>
      </c>
      <c r="AF114" s="652">
        <f t="shared" si="262"/>
        <v>1124.0632436635065</v>
      </c>
      <c r="AG114" s="51">
        <f t="shared" si="262"/>
        <v>155.9351690771299</v>
      </c>
      <c r="AH114" s="629">
        <f t="shared" si="262"/>
        <v>226.88102691421108</v>
      </c>
      <c r="AI114" s="652">
        <f t="shared" si="262"/>
        <v>382.81619599134098</v>
      </c>
      <c r="AJ114" s="51">
        <f t="shared" si="262"/>
        <v>350.56904983097093</v>
      </c>
      <c r="AK114" s="629">
        <f t="shared" si="262"/>
        <v>482.27620543772275</v>
      </c>
      <c r="AL114" s="652">
        <f t="shared" si="261"/>
        <v>832.84525526869356</v>
      </c>
      <c r="AM114" s="51">
        <f t="shared" ref="AM114:AR114" si="263">SUM(AM111:AM113)</f>
        <v>377.14390205543145</v>
      </c>
      <c r="AN114" s="629">
        <f t="shared" si="263"/>
        <v>771.22664465371213</v>
      </c>
      <c r="AO114" s="652">
        <f t="shared" si="263"/>
        <v>1148.3705467091436</v>
      </c>
      <c r="AP114" s="51">
        <f t="shared" si="263"/>
        <v>526.46980110699837</v>
      </c>
      <c r="AQ114" s="629">
        <f t="shared" si="263"/>
        <v>831.09884649607602</v>
      </c>
      <c r="AR114" s="652">
        <f t="shared" si="263"/>
        <v>1357.5686476030744</v>
      </c>
      <c r="AS114" s="51">
        <f t="shared" ref="AS114:AU114" si="264">SUM(AS111:AS113)</f>
        <v>776.96083610610617</v>
      </c>
      <c r="AT114" s="629">
        <f t="shared" si="264"/>
        <v>1077.6754330523881</v>
      </c>
      <c r="AU114" s="652">
        <f t="shared" si="264"/>
        <v>1854.6362691584941</v>
      </c>
      <c r="AV114" s="51">
        <f t="shared" ref="AV114" si="265">SUM(AV111:AV113)</f>
        <v>1072.0511947027603</v>
      </c>
      <c r="AW114" s="218">
        <f t="shared" si="261"/>
        <v>1491.8541672527208</v>
      </c>
      <c r="AX114" s="553">
        <f t="shared" si="261"/>
        <v>2563.9053619554816</v>
      </c>
      <c r="AY114" s="51">
        <f t="shared" si="261"/>
        <v>1615.5260706309455</v>
      </c>
      <c r="AZ114" s="237">
        <f t="shared" si="261"/>
        <v>1707.2512330253844</v>
      </c>
      <c r="BA114" s="576">
        <f t="shared" si="261"/>
        <v>3322.7773036563299</v>
      </c>
      <c r="BB114" s="48">
        <f t="shared" si="261"/>
        <v>2008.3863595474065</v>
      </c>
      <c r="BC114" s="237">
        <f t="shared" si="261"/>
        <v>1961.6250135791759</v>
      </c>
      <c r="BD114" s="576">
        <f t="shared" si="261"/>
        <v>3970.0113731265824</v>
      </c>
      <c r="BE114" s="48">
        <f t="shared" si="261"/>
        <v>2260.4448660185208</v>
      </c>
      <c r="BF114" s="237">
        <f t="shared" si="261"/>
        <v>2273.8933724163758</v>
      </c>
      <c r="BG114" s="576">
        <f t="shared" si="261"/>
        <v>4534.338238434897</v>
      </c>
      <c r="BH114" s="48">
        <f t="shared" si="261"/>
        <v>2576.8533198818923</v>
      </c>
      <c r="BI114" s="237">
        <f t="shared" si="261"/>
        <v>2583.1456911875298</v>
      </c>
      <c r="BJ114" s="576">
        <f t="shared" si="261"/>
        <v>5159.9990110694216</v>
      </c>
      <c r="BK114" s="48">
        <f t="shared" si="261"/>
        <v>2918.525443397898</v>
      </c>
      <c r="BL114" s="237">
        <f t="shared" si="261"/>
        <v>2902.0696964785934</v>
      </c>
      <c r="BM114" s="576">
        <f t="shared" si="261"/>
        <v>5820.5951398764919</v>
      </c>
    </row>
    <row r="115" spans="1:67">
      <c r="A115" s="93" t="s">
        <v>608</v>
      </c>
      <c r="B115" s="40"/>
      <c r="C115" s="40"/>
      <c r="D115" s="40"/>
      <c r="E115" s="40"/>
      <c r="F115" s="40"/>
      <c r="G115" s="40"/>
      <c r="H115" s="40"/>
      <c r="I115" s="40"/>
      <c r="J115" s="40"/>
      <c r="K115" s="40"/>
      <c r="L115" s="40"/>
      <c r="M115" s="40"/>
      <c r="N115" s="40"/>
      <c r="O115" s="40"/>
      <c r="P115" s="40"/>
      <c r="Q115" s="40"/>
      <c r="R115" s="40"/>
      <c r="S115" s="630"/>
      <c r="T115" s="653">
        <f>'Civil OE'!T35+'Civil AM'!T348-'Civil AM'!T347</f>
        <v>700</v>
      </c>
      <c r="U115" s="40"/>
      <c r="V115" s="630"/>
      <c r="W115" s="653">
        <f>'Civil OE'!W35+'Civil AM'!W348-'Civil AM'!W347</f>
        <v>700</v>
      </c>
      <c r="X115" s="40"/>
      <c r="Y115" s="630"/>
      <c r="Z115" s="653"/>
      <c r="AA115" s="40"/>
      <c r="AB115" s="630"/>
      <c r="AC115" s="653">
        <f>'Civil OE'!Z35+'Civil AM'!Z348-'Civil AM'!Z347</f>
        <v>560.88964452173923</v>
      </c>
      <c r="AD115" s="40">
        <f>'Civil OE'!AA35+'Civil AM'!AA348-'Civil AM'!AA347</f>
        <v>251.6</v>
      </c>
      <c r="AE115" s="630">
        <f>'Civil OE'!AB35+'Civil AM'!AB348-'Civil AM'!AB347</f>
        <v>241.56</v>
      </c>
      <c r="AF115" s="653">
        <f>'Civil OE'!AC35+'Civil AM'!AC348-'Civil AM'!AC347</f>
        <v>493.16</v>
      </c>
      <c r="AG115" s="40">
        <f>'Civil OE'!AD35+'Civil AM'!AD348-'Civil AM'!AD347</f>
        <v>139.01999999999998</v>
      </c>
      <c r="AH115" s="630">
        <f>'Civil OE'!AE35+'Civil AM'!AE348-'Civil AM'!AE347</f>
        <v>118.26000000000002</v>
      </c>
      <c r="AI115" s="653">
        <f>'Civil OE'!AF35+'Civil AM'!AF348-'Civil AM'!AF347</f>
        <v>257.27999999999997</v>
      </c>
      <c r="AJ115" s="40">
        <f>'Civil OE'!AG35+'Civil AM'!AG348-'Civil AM'!AG347</f>
        <v>120.96</v>
      </c>
      <c r="AK115" s="630">
        <f>'Civil OE'!AH35+'Civil AM'!AH348-'Civil AM'!AH347</f>
        <v>168.53999999999996</v>
      </c>
      <c r="AL115" s="653">
        <f>'Civil OE'!AI35+'Civil AM'!AI348-'Civil AM'!AI347</f>
        <v>289.5</v>
      </c>
      <c r="AM115" s="40">
        <f>'Civil OE'!AJ35+'Civil AM'!AJ348-'Civil AM'!AJ347</f>
        <v>164.14999999999998</v>
      </c>
      <c r="AN115" s="630">
        <f>'Civil OE'!AK35+'Civil AM'!AK348-'Civil AM'!AK347</f>
        <v>204.11</v>
      </c>
      <c r="AO115" s="653">
        <f>'Civil OE'!AL35+'Civil AM'!AL348-'Civil AM'!AL347</f>
        <v>368.26</v>
      </c>
      <c r="AP115" s="40">
        <f>'Civil OE'!AM35+'Civil AM'!AM348-'Civil AM'!AM347</f>
        <v>222.65000000000003</v>
      </c>
      <c r="AQ115" s="630">
        <f>'Civil OE'!AN35+'Civil AM'!AN348-'Civil AM'!AN347</f>
        <v>231.8</v>
      </c>
      <c r="AR115" s="653">
        <f>'Civil OE'!AO35+'Civil AM'!AO348-'Civil AM'!AO347</f>
        <v>454.45000000000005</v>
      </c>
      <c r="AS115" s="40">
        <f>'Civil OE'!AP35+'Civil AM'!AP348-'Civil AM'!AP347</f>
        <v>290.84999999999997</v>
      </c>
      <c r="AT115" s="630">
        <f>'Civil OE'!AQ35+'Civil AM'!AQ348-'Civil AM'!AQ347</f>
        <v>254.05000000000004</v>
      </c>
      <c r="AU115" s="653">
        <f>'Civil OE'!AR35+'Civil AM'!AR348-'Civil AM'!AR347</f>
        <v>544.90000000000009</v>
      </c>
      <c r="AV115" s="40">
        <f>'Civil OE'!AS35+'Civil AM'!AS348-'Civil AM'!AS347</f>
        <v>296.67500000000001</v>
      </c>
      <c r="AW115" s="216">
        <f>'Civil OE'!AT35+'Civil AM'!AT348-'Civil AM'!AT347</f>
        <v>335.05</v>
      </c>
      <c r="AX115" s="556">
        <f>'Civil OE'!AU35+'Civil AM'!AU348-'Civil AM'!AU347</f>
        <v>631.72500000000002</v>
      </c>
      <c r="AY115" s="40">
        <f>'Civil OE'!AV35+'Civil AM'!AV348-'Civil AM'!AV347</f>
        <v>417.7</v>
      </c>
      <c r="AZ115" s="236">
        <f>'Civil OE'!AW35+'Civil AM'!AW348-'Civil AM'!AW347</f>
        <v>393.93666537267086</v>
      </c>
      <c r="BA115" s="605">
        <f>'Civil OE'!AX35+'Civil AM'!AX348-'Civil AM'!AX347</f>
        <v>811.6366653726709</v>
      </c>
      <c r="BB115" s="56">
        <f>'Civil OE'!AY35+'Civil AM'!AY348-'Civil AM'!AY347</f>
        <v>478.57702958829361</v>
      </c>
      <c r="BC115" s="236">
        <f>'Civil OE'!AZ35+'Civil AM'!AZ348-'Civil AM'!AZ347</f>
        <v>443.19658514384923</v>
      </c>
      <c r="BD115" s="605">
        <f>'Civil OE'!BA35+'Civil AM'!BA348-'Civil AM'!BA347</f>
        <v>921.77361473214285</v>
      </c>
      <c r="BE115" s="56">
        <f>'Civil OE'!BB35+'Civil AM'!BB348-'Civil AM'!BB347</f>
        <v>542.78546678003249</v>
      </c>
      <c r="BF115" s="236">
        <f>'Civil OE'!BC35+'Civil AM'!BC348-'Civil AM'!BC347</f>
        <v>504.57792132548707</v>
      </c>
      <c r="BG115" s="605">
        <f>'Civil OE'!BD35+'Civil AM'!BD348-'Civil AM'!BD347</f>
        <v>1047.3633881055196</v>
      </c>
      <c r="BH115" s="56">
        <f>'Civil OE'!BE35+'Civil AM'!BE348-'Civil AM'!BE347</f>
        <v>587.15139182178257</v>
      </c>
      <c r="BI115" s="236">
        <f>'Civil OE'!BF35+'Civil AM'!BF348-'Civil AM'!BF347</f>
        <v>546.71854636723708</v>
      </c>
      <c r="BJ115" s="605">
        <f>'Civil OE'!BG35+'Civil AM'!BG348-'Civil AM'!BG347</f>
        <v>1133.8699381890196</v>
      </c>
      <c r="BK115" s="56">
        <f>'Civil OE'!BH35+'Civil AM'!BH348-'Civil AM'!BH347</f>
        <v>635.55894840576343</v>
      </c>
      <c r="BL115" s="236">
        <f>'Civil OE'!BI35+'Civil AM'!BI348-'Civil AM'!BI347</f>
        <v>592.67827295121788</v>
      </c>
      <c r="BM115" s="605">
        <f>'Civil OE'!BJ35+'Civil AM'!BJ348-'Civil AM'!BJ347</f>
        <v>1228.2372213569811</v>
      </c>
    </row>
    <row r="116" spans="1:67">
      <c r="A116" s="93" t="s">
        <v>268</v>
      </c>
      <c r="B116" s="40"/>
      <c r="C116" s="40"/>
      <c r="D116" s="40"/>
      <c r="E116" s="40"/>
      <c r="F116" s="40"/>
      <c r="G116" s="40"/>
      <c r="H116" s="40"/>
      <c r="I116" s="40"/>
      <c r="J116" s="40"/>
      <c r="K116" s="40"/>
      <c r="L116" s="40"/>
      <c r="M116" s="40"/>
      <c r="N116" s="40"/>
      <c r="O116" s="40"/>
      <c r="P116" s="40"/>
      <c r="Q116" s="40"/>
      <c r="R116" s="40"/>
      <c r="S116" s="630"/>
      <c r="T116" s="653">
        <f>'Civil OE'!T36+'Civil AM'!T29</f>
        <v>300.79999999999995</v>
      </c>
      <c r="U116" s="40"/>
      <c r="V116" s="630"/>
      <c r="W116" s="653">
        <f>'Civil OE'!W36+'Civil AM'!W29</f>
        <v>322.77805429864247</v>
      </c>
      <c r="X116" s="40"/>
      <c r="Y116" s="630"/>
      <c r="Z116" s="653"/>
      <c r="AA116" s="40"/>
      <c r="AB116" s="630"/>
      <c r="AC116" s="653">
        <f>'Civil OE'!Z36+'Civil AM'!Z29</f>
        <v>327.81259965217396</v>
      </c>
      <c r="AD116" s="40">
        <f>'Civil OE'!AA36+'Civil AM'!AA29</f>
        <v>146.02352941176471</v>
      </c>
      <c r="AE116" s="630">
        <f>'Civil OE'!AB36+'Civil AM'!AB29</f>
        <v>139.92352941176469</v>
      </c>
      <c r="AF116" s="653">
        <f>'Civil OE'!AC36+'Civil AM'!AC29</f>
        <v>285.9470588235294</v>
      </c>
      <c r="AG116" s="40">
        <f>'Civil OE'!AD36+'Civil AM'!AD29</f>
        <v>94.293548387096777</v>
      </c>
      <c r="AH116" s="630">
        <f>'Civil OE'!AE36+'Civil AM'!AE29</f>
        <v>56.780135823429553</v>
      </c>
      <c r="AI116" s="653">
        <f>'Civil OE'!AF36+'Civil AM'!AF29</f>
        <v>151.07368421052632</v>
      </c>
      <c r="AJ116" s="40">
        <f>'Civil OE'!AG36+'Civil AM'!AG29</f>
        <v>42.974100719424463</v>
      </c>
      <c r="AK116" s="630">
        <f>'Civil OE'!AH36+'Civil AM'!AH29</f>
        <v>42.128548287198065</v>
      </c>
      <c r="AL116" s="653">
        <f>'Civil OE'!AI36+'Civil AM'!AI29</f>
        <v>85.102649006622528</v>
      </c>
      <c r="AM116" s="40">
        <f>'Civil OE'!AJ36+'Civil AM'!AJ29</f>
        <v>73.7</v>
      </c>
      <c r="AN116" s="630">
        <f>'Civil OE'!AK36+'Civil AM'!AK29</f>
        <v>80.600000000000009</v>
      </c>
      <c r="AO116" s="653">
        <f>'Civil OE'!AL36+'Civil AM'!AL29</f>
        <v>154.30000000000001</v>
      </c>
      <c r="AP116" s="40">
        <f>'Civil OE'!AM36+'Civil AM'!AM29</f>
        <v>80.800000000000011</v>
      </c>
      <c r="AQ116" s="630">
        <f>'Civil OE'!AN36+'Civil AM'!AN29</f>
        <v>88.300000000000011</v>
      </c>
      <c r="AR116" s="653">
        <f>'Civil OE'!AO36+'Civil AM'!AO29</f>
        <v>169.10000000000002</v>
      </c>
      <c r="AS116" s="40">
        <f>'Civil OE'!AP36+'Civil AM'!AP29</f>
        <v>99.778378378378392</v>
      </c>
      <c r="AT116" s="630">
        <f>'Civil OE'!AQ36+'Civil AM'!AQ29</f>
        <v>103.87837837837839</v>
      </c>
      <c r="AU116" s="653">
        <f>'Civil OE'!AR36+'Civil AM'!AR29</f>
        <v>203.65675675675678</v>
      </c>
      <c r="AV116" s="40">
        <f>'Civil OE'!AS36+'Civil AM'!AS29</f>
        <v>91.13333333333334</v>
      </c>
      <c r="AW116" s="216">
        <f>'Civil OE'!AT36+'Civil AM'!AT29</f>
        <v>96.566666666666691</v>
      </c>
      <c r="AX116" s="556">
        <f>'Civil OE'!AU36+'Civil AM'!AU29</f>
        <v>187.70000000000002</v>
      </c>
      <c r="AY116" s="40">
        <f>'Civil OE'!AV36+'Civil AM'!AV29</f>
        <v>88.521739130434796</v>
      </c>
      <c r="AZ116" s="236">
        <f>'Civil OE'!AW36+'Civil AM'!AW29</f>
        <v>90.814492753623213</v>
      </c>
      <c r="BA116" s="605">
        <f>'Civil OE'!AX36+'Civil AM'!AX29</f>
        <v>179.33623188405801</v>
      </c>
      <c r="BB116" s="56">
        <f>'Civil OE'!AY36+'Civil AM'!AY29</f>
        <v>83.333333333333314</v>
      </c>
      <c r="BC116" s="236">
        <f>'Civil OE'!AZ36+'Civil AM'!AZ29</f>
        <v>83.333333333333314</v>
      </c>
      <c r="BD116" s="605">
        <f>'Civil OE'!BA36+'Civil AM'!BA29</f>
        <v>166.66666666666663</v>
      </c>
      <c r="BE116" s="56">
        <f>'Civil OE'!BB36+'Civil AM'!BB29</f>
        <v>9.4696969696969688</v>
      </c>
      <c r="BF116" s="236">
        <f>'Civil OE'!BC36+'Civil AM'!BC29</f>
        <v>9.4696969696969688</v>
      </c>
      <c r="BG116" s="605">
        <f>'Civil OE'!BD36+'Civil AM'!BD29</f>
        <v>18.939393939393938</v>
      </c>
      <c r="BH116" s="56">
        <f>'Civil OE'!BE36+'Civil AM'!BE29</f>
        <v>9.4696969696969688</v>
      </c>
      <c r="BI116" s="236">
        <f>'Civil OE'!BF36+'Civil AM'!BF29</f>
        <v>9.4696969696969688</v>
      </c>
      <c r="BJ116" s="605">
        <f>'Civil OE'!BG36+'Civil AM'!BG29</f>
        <v>18.939393939393938</v>
      </c>
      <c r="BK116" s="56">
        <f>'Civil OE'!BH36+'Civil AM'!BH29</f>
        <v>9.4696969696969688</v>
      </c>
      <c r="BL116" s="236">
        <f>'Civil OE'!BI36+'Civil AM'!BI29</f>
        <v>9.4696969696969688</v>
      </c>
      <c r="BM116" s="605">
        <f>'Civil OE'!BJ36+'Civil AM'!BJ29</f>
        <v>18.939393939393938</v>
      </c>
    </row>
    <row r="117" spans="1:67">
      <c r="A117" s="93"/>
      <c r="B117" s="40"/>
      <c r="C117" s="40"/>
      <c r="D117" s="40"/>
      <c r="E117" s="40"/>
      <c r="F117" s="40"/>
      <c r="G117" s="40"/>
      <c r="H117" s="40"/>
      <c r="I117" s="40"/>
      <c r="J117" s="40"/>
      <c r="K117" s="40"/>
      <c r="L117" s="40"/>
      <c r="M117" s="40"/>
      <c r="N117" s="40"/>
      <c r="O117" s="40"/>
      <c r="P117" s="40"/>
      <c r="Q117" s="40"/>
      <c r="R117" s="40"/>
      <c r="S117" s="630"/>
      <c r="T117" s="653"/>
      <c r="U117" s="40"/>
      <c r="V117" s="630"/>
      <c r="W117" s="653"/>
      <c r="X117" s="40"/>
      <c r="Y117" s="630"/>
      <c r="Z117" s="653"/>
      <c r="AA117" s="40"/>
      <c r="AB117" s="630"/>
      <c r="AC117" s="653"/>
      <c r="AD117" s="40"/>
      <c r="AE117" s="630"/>
      <c r="AF117" s="653"/>
      <c r="AG117" s="40"/>
      <c r="AH117" s="630"/>
      <c r="AI117" s="653"/>
      <c r="AJ117" s="40"/>
      <c r="AK117" s="630"/>
      <c r="AL117" s="653"/>
      <c r="AM117" s="40"/>
      <c r="AN117" s="630"/>
      <c r="AO117" s="653"/>
      <c r="AP117" s="40"/>
      <c r="AQ117" s="236"/>
      <c r="AR117" s="605"/>
      <c r="AS117" s="56"/>
      <c r="AT117" s="236"/>
      <c r="AU117" s="605"/>
      <c r="AV117" s="56"/>
      <c r="AW117" s="236"/>
      <c r="AX117" s="605"/>
      <c r="AY117" s="56"/>
      <c r="AZ117" s="236"/>
      <c r="BA117" s="605"/>
      <c r="BB117" s="56"/>
      <c r="BC117" s="236"/>
      <c r="BD117" s="605"/>
      <c r="BE117" s="56"/>
      <c r="BF117" s="236"/>
      <c r="BG117" s="605"/>
      <c r="BH117" s="56"/>
      <c r="BI117" s="236"/>
      <c r="BJ117" s="605"/>
      <c r="BK117" s="56"/>
      <c r="BL117" s="236"/>
      <c r="BM117" s="605"/>
    </row>
    <row r="118" spans="1:67" ht="11.4">
      <c r="A118" s="155" t="s">
        <v>689</v>
      </c>
      <c r="B118" s="40"/>
      <c r="C118" s="40"/>
      <c r="D118" s="40"/>
      <c r="E118" s="40"/>
      <c r="F118" s="40"/>
      <c r="G118" s="40"/>
      <c r="H118" s="40"/>
      <c r="I118" s="40"/>
      <c r="J118" s="40"/>
      <c r="K118" s="40"/>
      <c r="L118" s="40"/>
      <c r="M118" s="40"/>
      <c r="N118" s="40"/>
      <c r="O118" s="40"/>
      <c r="P118" s="40"/>
      <c r="Q118" s="40"/>
      <c r="R118" s="40"/>
      <c r="S118" s="630"/>
      <c r="T118" s="653">
        <v>-370</v>
      </c>
      <c r="U118" s="40"/>
      <c r="V118" s="630"/>
      <c r="W118" s="653">
        <f>+Z88</f>
        <v>-350</v>
      </c>
      <c r="X118" s="40"/>
      <c r="Y118" s="630"/>
      <c r="Z118" s="653"/>
      <c r="AA118" s="40"/>
      <c r="AB118" s="630"/>
      <c r="AC118" s="653">
        <f>AC88</f>
        <v>-380</v>
      </c>
      <c r="AD118" s="40"/>
      <c r="AE118" s="630"/>
      <c r="AF118" s="653">
        <f t="shared" ref="AF118:BM119" si="266">AF88</f>
        <v>-380</v>
      </c>
      <c r="AG118" s="40"/>
      <c r="AH118" s="630"/>
      <c r="AI118" s="653">
        <f t="shared" si="266"/>
        <v>-350</v>
      </c>
      <c r="AJ118" s="40">
        <f t="shared" ref="AJ118:AK119" si="267">AJ88</f>
        <v>-160</v>
      </c>
      <c r="AK118" s="630">
        <f t="shared" si="267"/>
        <v>-140</v>
      </c>
      <c r="AL118" s="653">
        <f t="shared" si="266"/>
        <v>-300</v>
      </c>
      <c r="AM118" s="40">
        <f t="shared" si="266"/>
        <v>-130</v>
      </c>
      <c r="AN118" s="630">
        <f t="shared" ref="AN118" si="268">AN88</f>
        <v>-170</v>
      </c>
      <c r="AO118" s="653">
        <f t="shared" si="266"/>
        <v>-300</v>
      </c>
      <c r="AP118" s="40">
        <f t="shared" ref="AP118:AR119" si="269">AP88</f>
        <v>-90</v>
      </c>
      <c r="AQ118" s="630">
        <f t="shared" si="269"/>
        <v>-160</v>
      </c>
      <c r="AR118" s="653">
        <f t="shared" si="269"/>
        <v>-250</v>
      </c>
      <c r="AS118" s="40">
        <f t="shared" ref="AS118:AU119" si="270">AS88</f>
        <v>-125</v>
      </c>
      <c r="AT118" s="630">
        <f t="shared" si="270"/>
        <v>-125</v>
      </c>
      <c r="AU118" s="653">
        <f t="shared" si="270"/>
        <v>-250</v>
      </c>
      <c r="AV118" s="40">
        <f t="shared" ref="AV118" si="271">AV88</f>
        <v>-125</v>
      </c>
      <c r="AW118" s="216">
        <f t="shared" si="266"/>
        <v>-175</v>
      </c>
      <c r="AX118" s="556">
        <f t="shared" si="266"/>
        <v>-300</v>
      </c>
      <c r="AY118" s="40">
        <f t="shared" si="266"/>
        <v>0</v>
      </c>
      <c r="AZ118" s="236">
        <f t="shared" si="266"/>
        <v>-200</v>
      </c>
      <c r="BA118" s="605">
        <f t="shared" si="266"/>
        <v>-200</v>
      </c>
      <c r="BB118" s="56">
        <f t="shared" si="266"/>
        <v>-250</v>
      </c>
      <c r="BC118" s="236">
        <f t="shared" si="266"/>
        <v>-250</v>
      </c>
      <c r="BD118" s="605">
        <f t="shared" si="266"/>
        <v>-500</v>
      </c>
      <c r="BE118" s="56">
        <f t="shared" si="266"/>
        <v>-325</v>
      </c>
      <c r="BF118" s="236">
        <f t="shared" si="266"/>
        <v>-325</v>
      </c>
      <c r="BG118" s="605">
        <f t="shared" si="266"/>
        <v>-650</v>
      </c>
      <c r="BH118" s="56">
        <f t="shared" si="266"/>
        <v>-375</v>
      </c>
      <c r="BI118" s="236">
        <f t="shared" si="266"/>
        <v>-375</v>
      </c>
      <c r="BJ118" s="605">
        <f t="shared" si="266"/>
        <v>-750</v>
      </c>
      <c r="BK118" s="56">
        <f t="shared" si="266"/>
        <v>-425</v>
      </c>
      <c r="BL118" s="236">
        <f t="shared" si="266"/>
        <v>-425</v>
      </c>
      <c r="BM118" s="605">
        <f t="shared" si="266"/>
        <v>-850</v>
      </c>
      <c r="BN118" s="439"/>
    </row>
    <row r="119" spans="1:67" ht="11.4">
      <c r="A119" s="155" t="s">
        <v>690</v>
      </c>
      <c r="B119" s="40"/>
      <c r="C119" s="40"/>
      <c r="D119" s="40"/>
      <c r="E119" s="40"/>
      <c r="F119" s="40"/>
      <c r="G119" s="40"/>
      <c r="H119" s="40"/>
      <c r="I119" s="40"/>
      <c r="J119" s="40"/>
      <c r="K119" s="40"/>
      <c r="L119" s="40"/>
      <c r="M119" s="40"/>
      <c r="N119" s="40"/>
      <c r="O119" s="40"/>
      <c r="P119" s="40"/>
      <c r="Q119" s="40"/>
      <c r="R119" s="40"/>
      <c r="S119" s="630"/>
      <c r="T119" s="653">
        <v>-300</v>
      </c>
      <c r="U119" s="40"/>
      <c r="V119" s="630"/>
      <c r="W119" s="653">
        <f>+Z89</f>
        <v>-250</v>
      </c>
      <c r="X119" s="40"/>
      <c r="Y119" s="630"/>
      <c r="Z119" s="653"/>
      <c r="AA119" s="40"/>
      <c r="AB119" s="630"/>
      <c r="AC119" s="653">
        <f>AC89</f>
        <v>-280</v>
      </c>
      <c r="AD119" s="40"/>
      <c r="AE119" s="630"/>
      <c r="AF119" s="653">
        <f t="shared" ref="AF119:BM119" si="272">AF89</f>
        <v>-280</v>
      </c>
      <c r="AG119" s="40"/>
      <c r="AH119" s="630"/>
      <c r="AI119" s="653">
        <f t="shared" si="272"/>
        <v>-300</v>
      </c>
      <c r="AJ119" s="40">
        <f t="shared" si="272"/>
        <v>-125</v>
      </c>
      <c r="AK119" s="630">
        <f t="shared" si="267"/>
        <v>-125</v>
      </c>
      <c r="AL119" s="653">
        <f t="shared" si="272"/>
        <v>-250</v>
      </c>
      <c r="AM119" s="40">
        <f t="shared" si="266"/>
        <v>-110</v>
      </c>
      <c r="AN119" s="630">
        <f t="shared" ref="AN119" si="273">AN89</f>
        <v>-140</v>
      </c>
      <c r="AO119" s="653">
        <f t="shared" si="272"/>
        <v>-250</v>
      </c>
      <c r="AP119" s="40">
        <f t="shared" ref="AP119" si="274">AP89</f>
        <v>-80</v>
      </c>
      <c r="AQ119" s="630">
        <f t="shared" si="269"/>
        <v>-120</v>
      </c>
      <c r="AR119" s="653">
        <f t="shared" si="269"/>
        <v>-200</v>
      </c>
      <c r="AS119" s="40">
        <f t="shared" si="270"/>
        <v>-100</v>
      </c>
      <c r="AT119" s="630">
        <f t="shared" si="270"/>
        <v>-100</v>
      </c>
      <c r="AU119" s="653">
        <f t="shared" si="270"/>
        <v>-200</v>
      </c>
      <c r="AV119" s="40">
        <f t="shared" ref="AV119" si="275">AV89</f>
        <v>-100</v>
      </c>
      <c r="AW119" s="216">
        <f t="shared" si="272"/>
        <v>-150</v>
      </c>
      <c r="AX119" s="556">
        <f t="shared" si="272"/>
        <v>-250</v>
      </c>
      <c r="AY119" s="40">
        <f t="shared" si="266"/>
        <v>0</v>
      </c>
      <c r="AZ119" s="236">
        <f t="shared" si="272"/>
        <v>-150</v>
      </c>
      <c r="BA119" s="605">
        <f t="shared" si="272"/>
        <v>-150</v>
      </c>
      <c r="BB119" s="56">
        <f t="shared" si="272"/>
        <v>-200</v>
      </c>
      <c r="BC119" s="236">
        <f t="shared" si="272"/>
        <v>-200</v>
      </c>
      <c r="BD119" s="605">
        <f t="shared" si="272"/>
        <v>-400</v>
      </c>
      <c r="BE119" s="56">
        <f t="shared" si="272"/>
        <v>-250</v>
      </c>
      <c r="BF119" s="236">
        <f t="shared" si="272"/>
        <v>-250</v>
      </c>
      <c r="BG119" s="605">
        <f t="shared" si="272"/>
        <v>-500</v>
      </c>
      <c r="BH119" s="56">
        <f t="shared" si="272"/>
        <v>-325</v>
      </c>
      <c r="BI119" s="236">
        <f t="shared" si="272"/>
        <v>-325</v>
      </c>
      <c r="BJ119" s="605">
        <f t="shared" si="272"/>
        <v>-650</v>
      </c>
      <c r="BK119" s="56">
        <f t="shared" si="272"/>
        <v>-375</v>
      </c>
      <c r="BL119" s="236">
        <f t="shared" si="272"/>
        <v>-375</v>
      </c>
      <c r="BM119" s="605">
        <f t="shared" si="272"/>
        <v>-750</v>
      </c>
      <c r="BN119" s="439"/>
    </row>
    <row r="120" spans="1:67">
      <c r="A120" s="31" t="s">
        <v>609</v>
      </c>
      <c r="B120" s="40"/>
      <c r="C120" s="40"/>
      <c r="D120" s="40"/>
      <c r="E120" s="40"/>
      <c r="F120" s="40"/>
      <c r="G120" s="40"/>
      <c r="H120" s="40"/>
      <c r="I120" s="40"/>
      <c r="J120" s="40"/>
      <c r="K120" s="40"/>
      <c r="L120" s="40"/>
      <c r="M120" s="40"/>
      <c r="N120" s="40"/>
      <c r="O120" s="40"/>
      <c r="P120" s="40"/>
      <c r="Q120" s="40"/>
      <c r="R120" s="51"/>
      <c r="S120" s="629"/>
      <c r="T120" s="652">
        <f>T114+T115+T116+T118+T119</f>
        <v>441.79999999999995</v>
      </c>
      <c r="U120" s="51"/>
      <c r="V120" s="629"/>
      <c r="W120" s="652">
        <f>W114+W115+W116+W118+W119</f>
        <v>-170.62194570135762</v>
      </c>
      <c r="X120" s="51"/>
      <c r="Y120" s="629"/>
      <c r="Z120" s="652"/>
      <c r="AA120" s="51"/>
      <c r="AB120" s="629"/>
      <c r="AC120" s="652">
        <f t="shared" ref="AC120:BM120" si="276">AC114+AC115+AC116+AC118+AC119</f>
        <v>-202.89775582608672</v>
      </c>
      <c r="AD120" s="51"/>
      <c r="AE120" s="629"/>
      <c r="AF120" s="652">
        <f t="shared" si="276"/>
        <v>1243.170302487036</v>
      </c>
      <c r="AG120" s="51"/>
      <c r="AH120" s="629"/>
      <c r="AI120" s="652">
        <f t="shared" si="276"/>
        <v>141.16988020186727</v>
      </c>
      <c r="AJ120" s="51">
        <f>AJ114+AJ115+AJ116+AJ118+AJ119</f>
        <v>229.50315055039539</v>
      </c>
      <c r="AK120" s="629">
        <f>AK114+AK115+AK116+AK118+AK119</f>
        <v>427.94475372492082</v>
      </c>
      <c r="AL120" s="652">
        <f t="shared" si="276"/>
        <v>657.44790427531598</v>
      </c>
      <c r="AM120" s="51">
        <f t="shared" ref="AM120:AR120" si="277">AM114+AM115+AM116+AM118+AM119</f>
        <v>374.99390205543148</v>
      </c>
      <c r="AN120" s="629">
        <f t="shared" si="277"/>
        <v>745.93664465371216</v>
      </c>
      <c r="AO120" s="652">
        <f t="shared" si="277"/>
        <v>1120.9305467091435</v>
      </c>
      <c r="AP120" s="51">
        <f t="shared" si="277"/>
        <v>659.91980110699842</v>
      </c>
      <c r="AQ120" s="629">
        <f t="shared" si="277"/>
        <v>871.19884649607593</v>
      </c>
      <c r="AR120" s="652">
        <f t="shared" si="277"/>
        <v>1531.1186476030744</v>
      </c>
      <c r="AS120" s="51">
        <f t="shared" ref="AS120:AU120" si="278">AS114+AS115+AS116+AS118+AS119</f>
        <v>942.5892144844845</v>
      </c>
      <c r="AT120" s="629">
        <f t="shared" si="278"/>
        <v>1210.6038114307664</v>
      </c>
      <c r="AU120" s="652">
        <f t="shared" si="278"/>
        <v>2153.1930259152509</v>
      </c>
      <c r="AV120" s="51">
        <f t="shared" ref="AV120" si="279">AV114+AV115+AV116+AV118+AV119</f>
        <v>1234.8595280360937</v>
      </c>
      <c r="AW120" s="218">
        <f t="shared" si="276"/>
        <v>1598.4708339193874</v>
      </c>
      <c r="AX120" s="553">
        <f t="shared" si="276"/>
        <v>2833.3303619554813</v>
      </c>
      <c r="AY120" s="51">
        <f t="shared" si="276"/>
        <v>2121.7478097613803</v>
      </c>
      <c r="AZ120" s="237">
        <f t="shared" si="276"/>
        <v>1842.0023911516782</v>
      </c>
      <c r="BA120" s="576">
        <f t="shared" si="276"/>
        <v>3963.7502009130594</v>
      </c>
      <c r="BB120" s="48">
        <f t="shared" si="276"/>
        <v>2120.2967224690337</v>
      </c>
      <c r="BC120" s="237">
        <f t="shared" si="276"/>
        <v>2038.1549320563586</v>
      </c>
      <c r="BD120" s="576">
        <f t="shared" si="276"/>
        <v>4158.4516545253919</v>
      </c>
      <c r="BE120" s="48">
        <f t="shared" si="276"/>
        <v>2237.7000297682503</v>
      </c>
      <c r="BF120" s="237">
        <f t="shared" si="276"/>
        <v>2212.9409907115596</v>
      </c>
      <c r="BG120" s="576">
        <f t="shared" si="276"/>
        <v>4450.6410204798103</v>
      </c>
      <c r="BH120" s="48">
        <f t="shared" si="276"/>
        <v>2473.4744086733717</v>
      </c>
      <c r="BI120" s="237">
        <f t="shared" si="276"/>
        <v>2439.333934524464</v>
      </c>
      <c r="BJ120" s="576">
        <f t="shared" si="276"/>
        <v>4912.8083431978357</v>
      </c>
      <c r="BK120" s="48">
        <f t="shared" si="276"/>
        <v>2763.5540887733587</v>
      </c>
      <c r="BL120" s="237">
        <f t="shared" si="276"/>
        <v>2704.2176663995083</v>
      </c>
      <c r="BM120" s="576">
        <f t="shared" si="276"/>
        <v>5467.7717551728674</v>
      </c>
      <c r="BN120"/>
    </row>
    <row r="121" spans="1:67" ht="11.4">
      <c r="A121" s="93" t="s">
        <v>693</v>
      </c>
      <c r="B121" s="40"/>
      <c r="C121" s="40"/>
      <c r="D121" s="40"/>
      <c r="E121" s="40"/>
      <c r="F121" s="40"/>
      <c r="G121" s="40"/>
      <c r="H121" s="40"/>
      <c r="I121" s="40"/>
      <c r="J121" s="40"/>
      <c r="K121" s="40"/>
      <c r="L121" s="40"/>
      <c r="M121" s="40"/>
      <c r="N121" s="40"/>
      <c r="O121" s="40"/>
      <c r="P121" s="40"/>
      <c r="Q121" s="40"/>
      <c r="R121" s="40"/>
      <c r="S121" s="630"/>
      <c r="T121" s="653">
        <v>-270</v>
      </c>
      <c r="U121" s="40"/>
      <c r="V121" s="630"/>
      <c r="W121" s="653">
        <v>-290</v>
      </c>
      <c r="X121" s="40"/>
      <c r="Y121" s="630"/>
      <c r="Z121" s="653"/>
      <c r="AA121" s="40"/>
      <c r="AB121" s="630"/>
      <c r="AC121" s="653">
        <f>AC8</f>
        <v>-336</v>
      </c>
      <c r="AD121" s="40"/>
      <c r="AE121" s="630"/>
      <c r="AF121" s="653">
        <f t="shared" ref="AF121:BM121" si="280">AF8</f>
        <v>-299</v>
      </c>
      <c r="AG121" s="40"/>
      <c r="AH121" s="630"/>
      <c r="AI121" s="653">
        <f t="shared" si="280"/>
        <v>-310</v>
      </c>
      <c r="AJ121" s="40">
        <f t="shared" ref="AJ121:AK121" si="281">AJ8</f>
        <v>-145</v>
      </c>
      <c r="AK121" s="630">
        <f t="shared" si="281"/>
        <v>-152</v>
      </c>
      <c r="AL121" s="653">
        <f t="shared" si="280"/>
        <v>-297</v>
      </c>
      <c r="AM121" s="40">
        <f t="shared" si="280"/>
        <v>-183</v>
      </c>
      <c r="AN121" s="630">
        <f t="shared" ref="AN121" si="282">AN8</f>
        <v>-188</v>
      </c>
      <c r="AO121" s="653">
        <f t="shared" si="280"/>
        <v>-371</v>
      </c>
      <c r="AP121" s="40">
        <f t="shared" ref="AP121:AS121" si="283">AP8</f>
        <v>-171</v>
      </c>
      <c r="AQ121" s="630">
        <f t="shared" si="283"/>
        <v>-183</v>
      </c>
      <c r="AR121" s="653">
        <f t="shared" si="283"/>
        <v>-354</v>
      </c>
      <c r="AS121" s="40">
        <f t="shared" si="283"/>
        <v>-193</v>
      </c>
      <c r="AT121" s="630">
        <f t="shared" ref="AT121:AU121" si="284">AT8</f>
        <v>-203</v>
      </c>
      <c r="AU121" s="653">
        <f t="shared" si="284"/>
        <v>-396</v>
      </c>
      <c r="AV121" s="40">
        <f t="shared" si="280"/>
        <v>-213</v>
      </c>
      <c r="AW121" s="216">
        <f t="shared" si="280"/>
        <v>-219</v>
      </c>
      <c r="AX121" s="556">
        <f t="shared" si="280"/>
        <v>-432</v>
      </c>
      <c r="AY121" s="40">
        <f t="shared" ref="AY121" si="285">AY8</f>
        <v>-199</v>
      </c>
      <c r="AZ121" s="236">
        <f t="shared" si="280"/>
        <v>-242.29332595871881</v>
      </c>
      <c r="BA121" s="605">
        <f t="shared" si="280"/>
        <v>-441.29332595871881</v>
      </c>
      <c r="BB121" s="56">
        <f t="shared" si="280"/>
        <v>-232.18663102104838</v>
      </c>
      <c r="BC121" s="236">
        <f t="shared" si="280"/>
        <v>-228.59629281115363</v>
      </c>
      <c r="BD121" s="605">
        <f t="shared" si="280"/>
        <v>-460.78292383220202</v>
      </c>
      <c r="BE121" s="56">
        <f t="shared" si="280"/>
        <v>-227.36999430110808</v>
      </c>
      <c r="BF121" s="236">
        <f t="shared" si="280"/>
        <v>-229.93782484049143</v>
      </c>
      <c r="BG121" s="605">
        <f t="shared" si="280"/>
        <v>-457.30781914159951</v>
      </c>
      <c r="BH121" s="56">
        <f t="shared" si="280"/>
        <v>-228.69817587227556</v>
      </c>
      <c r="BI121" s="236">
        <f t="shared" si="280"/>
        <v>-229.3917025980374</v>
      </c>
      <c r="BJ121" s="605">
        <f t="shared" si="280"/>
        <v>-458.08987847031295</v>
      </c>
      <c r="BK121" s="56">
        <f t="shared" si="280"/>
        <v>-226.6951816870743</v>
      </c>
      <c r="BL121" s="236">
        <f t="shared" si="280"/>
        <v>-224.42108137713683</v>
      </c>
      <c r="BM121" s="605">
        <f t="shared" si="280"/>
        <v>-451.11626306421113</v>
      </c>
      <c r="BN121" s="439"/>
    </row>
    <row r="122" spans="1:67" ht="11.4">
      <c r="A122" s="93" t="s">
        <v>290</v>
      </c>
      <c r="B122" s="40"/>
      <c r="C122" s="40"/>
      <c r="D122" s="40"/>
      <c r="E122" s="40"/>
      <c r="F122" s="40"/>
      <c r="G122" s="40"/>
      <c r="H122" s="40"/>
      <c r="I122" s="40"/>
      <c r="J122" s="40"/>
      <c r="K122" s="40"/>
      <c r="L122" s="40"/>
      <c r="M122" s="40"/>
      <c r="N122" s="40"/>
      <c r="O122" s="40"/>
      <c r="P122" s="40"/>
      <c r="Q122" s="40"/>
      <c r="R122" s="40"/>
      <c r="S122" s="630"/>
      <c r="T122" s="653">
        <v>-570</v>
      </c>
      <c r="U122" s="40"/>
      <c r="V122" s="630"/>
      <c r="W122" s="653">
        <v>-650</v>
      </c>
      <c r="X122" s="40"/>
      <c r="Y122" s="630"/>
      <c r="Z122" s="653"/>
      <c r="AA122" s="40"/>
      <c r="AB122" s="630"/>
      <c r="AC122" s="653">
        <f>AC11</f>
        <v>-332</v>
      </c>
      <c r="AD122" s="40"/>
      <c r="AE122" s="630"/>
      <c r="AF122" s="653">
        <f t="shared" ref="AF122:BM122" si="286">AF11</f>
        <v>-374</v>
      </c>
      <c r="AG122" s="40"/>
      <c r="AH122" s="630"/>
      <c r="AI122" s="653">
        <f t="shared" si="286"/>
        <v>-407</v>
      </c>
      <c r="AJ122" s="40">
        <f t="shared" ref="AJ122:AK122" si="287">AJ11</f>
        <v>-237</v>
      </c>
      <c r="AK122" s="630">
        <f t="shared" si="287"/>
        <v>-197</v>
      </c>
      <c r="AL122" s="653">
        <f t="shared" si="286"/>
        <v>-434</v>
      </c>
      <c r="AM122" s="40">
        <f t="shared" si="286"/>
        <v>-202</v>
      </c>
      <c r="AN122" s="630">
        <f t="shared" ref="AN122" si="288">AN11</f>
        <v>-250</v>
      </c>
      <c r="AO122" s="653">
        <f t="shared" si="286"/>
        <v>-452</v>
      </c>
      <c r="AP122" s="40">
        <f t="shared" ref="AP122:AU122" si="289">AP11</f>
        <v>-195</v>
      </c>
      <c r="AQ122" s="630">
        <f t="shared" si="289"/>
        <v>-148</v>
      </c>
      <c r="AR122" s="653">
        <f t="shared" si="289"/>
        <v>-343</v>
      </c>
      <c r="AS122" s="40">
        <f t="shared" si="289"/>
        <v>-135</v>
      </c>
      <c r="AT122" s="630">
        <f t="shared" si="289"/>
        <v>-117</v>
      </c>
      <c r="AU122" s="653">
        <f t="shared" si="289"/>
        <v>-252</v>
      </c>
      <c r="AV122" s="40">
        <f t="shared" si="286"/>
        <v>-138</v>
      </c>
      <c r="AW122" s="216">
        <f t="shared" si="286"/>
        <v>-129</v>
      </c>
      <c r="AX122" s="556">
        <f t="shared" si="286"/>
        <v>-267</v>
      </c>
      <c r="AY122" s="40">
        <f t="shared" ref="AY122" si="290">AY11</f>
        <v>-128</v>
      </c>
      <c r="AZ122" s="236">
        <f t="shared" si="286"/>
        <v>-155.68856668774777</v>
      </c>
      <c r="BA122" s="605">
        <f t="shared" si="286"/>
        <v>-283.68856668774777</v>
      </c>
      <c r="BB122" s="56">
        <f t="shared" si="286"/>
        <v>-142.88408062833747</v>
      </c>
      <c r="BC122" s="236">
        <f t="shared" si="286"/>
        <v>-140.67464172994067</v>
      </c>
      <c r="BD122" s="605">
        <f t="shared" si="286"/>
        <v>-283.55872235827815</v>
      </c>
      <c r="BE122" s="56">
        <f t="shared" si="286"/>
        <v>-189.47499525092343</v>
      </c>
      <c r="BF122" s="236">
        <f t="shared" si="286"/>
        <v>-191.61485403374286</v>
      </c>
      <c r="BG122" s="605">
        <f t="shared" si="286"/>
        <v>-381.08984928466629</v>
      </c>
      <c r="BH122" s="56">
        <f t="shared" si="286"/>
        <v>-207.90743261115961</v>
      </c>
      <c r="BI122" s="236">
        <f t="shared" si="286"/>
        <v>-208.53791145276125</v>
      </c>
      <c r="BJ122" s="605">
        <f t="shared" si="286"/>
        <v>-416.44534406392086</v>
      </c>
      <c r="BK122" s="56">
        <f t="shared" si="286"/>
        <v>-226.6951816870743</v>
      </c>
      <c r="BL122" s="236">
        <f t="shared" si="286"/>
        <v>-224.42108137713683</v>
      </c>
      <c r="BM122" s="605">
        <f t="shared" si="286"/>
        <v>-451.11626306421113</v>
      </c>
      <c r="BN122" s="439"/>
    </row>
    <row r="123" spans="1:67" ht="11.4">
      <c r="A123" s="93" t="s">
        <v>691</v>
      </c>
      <c r="B123" s="40"/>
      <c r="C123" s="40"/>
      <c r="D123" s="40"/>
      <c r="E123" s="40"/>
      <c r="F123" s="40"/>
      <c r="G123" s="40"/>
      <c r="H123" s="40"/>
      <c r="I123" s="40"/>
      <c r="J123" s="40"/>
      <c r="K123" s="40"/>
      <c r="L123" s="40"/>
      <c r="M123" s="40"/>
      <c r="N123" s="40"/>
      <c r="O123" s="40"/>
      <c r="P123" s="40"/>
      <c r="Q123" s="40"/>
      <c r="R123" s="40"/>
      <c r="S123" s="630"/>
      <c r="T123" s="653">
        <v>-380</v>
      </c>
      <c r="U123" s="40"/>
      <c r="V123" s="630"/>
      <c r="W123" s="653">
        <v>-520</v>
      </c>
      <c r="X123" s="40"/>
      <c r="Y123" s="630"/>
      <c r="Z123" s="653"/>
      <c r="AA123" s="40"/>
      <c r="AB123" s="630"/>
      <c r="AC123" s="653">
        <f>+W123-133</f>
        <v>-653</v>
      </c>
      <c r="AD123" s="40"/>
      <c r="AE123" s="630"/>
      <c r="AF123" s="653">
        <f>AC123*(1-10%)</f>
        <v>-587.70000000000005</v>
      </c>
      <c r="AG123" s="40"/>
      <c r="AH123" s="630"/>
      <c r="AI123" s="653">
        <v>-400</v>
      </c>
      <c r="AJ123" s="40">
        <f>AL123/2</f>
        <v>-250</v>
      </c>
      <c r="AK123" s="630">
        <f>AL123-AJ123</f>
        <v>-250</v>
      </c>
      <c r="AL123" s="653">
        <v>-500</v>
      </c>
      <c r="AM123" s="40">
        <f>AO123/2</f>
        <v>-250</v>
      </c>
      <c r="AN123" s="630">
        <f>AO123-AM123</f>
        <v>-250</v>
      </c>
      <c r="AO123" s="653">
        <v>-500</v>
      </c>
      <c r="AP123" s="40">
        <v>-250</v>
      </c>
      <c r="AQ123" s="216">
        <f>AR123-AP123</f>
        <v>-250</v>
      </c>
      <c r="AR123" s="556">
        <v>-500</v>
      </c>
      <c r="AS123" s="40">
        <v>-275</v>
      </c>
      <c r="AT123" s="216">
        <f>AU123-AS123</f>
        <v>-275</v>
      </c>
      <c r="AU123" s="556">
        <f>-550</f>
        <v>-550</v>
      </c>
      <c r="AV123" s="40">
        <f>AX123/2</f>
        <v>-300</v>
      </c>
      <c r="AW123" s="216">
        <f>AX123-AV123</f>
        <v>-300</v>
      </c>
      <c r="AX123" s="556">
        <v>-600</v>
      </c>
      <c r="AY123" s="40">
        <f>BA123/2</f>
        <v>-300</v>
      </c>
      <c r="AZ123" s="236">
        <f>BA123-AY123</f>
        <v>-300</v>
      </c>
      <c r="BA123" s="605">
        <f>+AX123</f>
        <v>-600</v>
      </c>
      <c r="BB123" s="56">
        <f>BD123/2</f>
        <v>-300</v>
      </c>
      <c r="BC123" s="236">
        <f>BD123-BB123</f>
        <v>-300</v>
      </c>
      <c r="BD123" s="605">
        <f>+BA123</f>
        <v>-600</v>
      </c>
      <c r="BE123" s="56">
        <f>BG123/2</f>
        <v>-300</v>
      </c>
      <c r="BF123" s="236">
        <f>BG123-BE123</f>
        <v>-300</v>
      </c>
      <c r="BG123" s="605">
        <f>+BD123</f>
        <v>-600</v>
      </c>
      <c r="BH123" s="56">
        <f>BJ123/2</f>
        <v>-300</v>
      </c>
      <c r="BI123" s="236">
        <f>BJ123-BH123</f>
        <v>-300</v>
      </c>
      <c r="BJ123" s="605">
        <f>+BG123</f>
        <v>-600</v>
      </c>
      <c r="BK123" s="56">
        <f>BM123/2</f>
        <v>-300</v>
      </c>
      <c r="BL123" s="236">
        <f>BM123-BK123</f>
        <v>-300</v>
      </c>
      <c r="BM123" s="605">
        <f t="shared" ref="BM123" si="291">+BJ123</f>
        <v>-600</v>
      </c>
      <c r="BN123" s="439"/>
    </row>
    <row r="124" spans="1:67" ht="11.4">
      <c r="A124" s="93" t="s">
        <v>692</v>
      </c>
      <c r="B124" s="40"/>
      <c r="C124" s="40"/>
      <c r="D124" s="40"/>
      <c r="E124" s="40"/>
      <c r="F124" s="40"/>
      <c r="G124" s="40"/>
      <c r="H124" s="40"/>
      <c r="I124" s="40"/>
      <c r="J124" s="40"/>
      <c r="K124" s="40"/>
      <c r="L124" s="40"/>
      <c r="M124" s="40"/>
      <c r="N124" s="40"/>
      <c r="O124" s="40"/>
      <c r="P124" s="40"/>
      <c r="Q124" s="40"/>
      <c r="R124" s="40"/>
      <c r="S124" s="630"/>
      <c r="T124" s="653">
        <v>300</v>
      </c>
      <c r="U124" s="40"/>
      <c r="V124" s="630"/>
      <c r="W124" s="653">
        <v>448</v>
      </c>
      <c r="X124" s="40"/>
      <c r="Y124" s="630"/>
      <c r="Z124" s="653"/>
      <c r="AA124" s="40"/>
      <c r="AB124" s="630"/>
      <c r="AC124" s="653">
        <v>667</v>
      </c>
      <c r="AD124" s="40"/>
      <c r="AE124" s="630"/>
      <c r="AF124" s="653">
        <v>450</v>
      </c>
      <c r="AG124" s="40"/>
      <c r="AH124" s="630"/>
      <c r="AI124" s="653">
        <f t="shared" ref="AI124:AP124" si="292">AI125-AI123-AI122-AI121-AI120</f>
        <v>-3534.1698802018673</v>
      </c>
      <c r="AJ124" s="40">
        <f t="shared" si="292"/>
        <v>-661.50315055039539</v>
      </c>
      <c r="AK124" s="630">
        <f t="shared" si="292"/>
        <v>-434.94475372492082</v>
      </c>
      <c r="AL124" s="653">
        <f t="shared" si="292"/>
        <v>-1096.447904275316</v>
      </c>
      <c r="AM124" s="40">
        <f t="shared" si="292"/>
        <v>323.00609794456852</v>
      </c>
      <c r="AN124" s="630">
        <f t="shared" si="292"/>
        <v>105.06335534628784</v>
      </c>
      <c r="AO124" s="653">
        <f t="shared" si="292"/>
        <v>428.06945329085647</v>
      </c>
      <c r="AP124" s="40">
        <f t="shared" si="292"/>
        <v>357.08019889300158</v>
      </c>
      <c r="AQ124" s="630">
        <f t="shared" ref="AQ124:AU124" si="293">AQ125-AQ123-AQ122-AQ121-AQ120</f>
        <v>-65.19884649607593</v>
      </c>
      <c r="AR124" s="653">
        <f t="shared" si="293"/>
        <v>291.88135239692565</v>
      </c>
      <c r="AS124" s="40">
        <f t="shared" si="293"/>
        <v>698.4107855155155</v>
      </c>
      <c r="AT124" s="630">
        <f t="shared" si="293"/>
        <v>376.39618856923357</v>
      </c>
      <c r="AU124" s="653">
        <f t="shared" si="293"/>
        <v>1074.8069740847491</v>
      </c>
      <c r="AV124" s="40">
        <f t="shared" ref="AV124" si="294">AV125-AV123-AV122-AV121-AV120</f>
        <v>527.14047196390629</v>
      </c>
      <c r="AW124" s="216">
        <f>AX124-AV124</f>
        <v>450.52916608061241</v>
      </c>
      <c r="AX124" s="653">
        <f t="shared" ref="AX124:AY124" si="295">AX125-AX123-AX122-AX121-AX120</f>
        <v>977.66963804451871</v>
      </c>
      <c r="AY124" s="40">
        <f t="shared" si="295"/>
        <v>-36.747809761380267</v>
      </c>
      <c r="AZ124" s="236">
        <f>BA124-AY124</f>
        <v>1014.417447805899</v>
      </c>
      <c r="BA124" s="605">
        <f>AX124</f>
        <v>977.66963804451871</v>
      </c>
      <c r="BB124" s="56">
        <f>BD124/2</f>
        <v>488.83481902225935</v>
      </c>
      <c r="BC124" s="236">
        <f>BD124-BB124</f>
        <v>488.83481902225935</v>
      </c>
      <c r="BD124" s="605">
        <f>BA124</f>
        <v>977.66963804451871</v>
      </c>
      <c r="BE124" s="56">
        <f>BG124/2</f>
        <v>488.83481902225935</v>
      </c>
      <c r="BF124" s="236">
        <f>BG124-BE124</f>
        <v>488.83481902225935</v>
      </c>
      <c r="BG124" s="605">
        <f>BD124</f>
        <v>977.66963804451871</v>
      </c>
      <c r="BH124" s="56">
        <f>BJ124/2</f>
        <v>488.83481902225935</v>
      </c>
      <c r="BI124" s="236">
        <f>BJ124-BH124</f>
        <v>488.83481902225935</v>
      </c>
      <c r="BJ124" s="605">
        <f>BG124</f>
        <v>977.66963804451871</v>
      </c>
      <c r="BK124" s="56">
        <f>BM124/2</f>
        <v>488.83481902225935</v>
      </c>
      <c r="BL124" s="236">
        <f>BM124-BK124</f>
        <v>488.83481902225935</v>
      </c>
      <c r="BM124" s="605">
        <f>BJ124</f>
        <v>977.66963804451871</v>
      </c>
      <c r="BN124" s="439"/>
    </row>
    <row r="125" spans="1:67">
      <c r="A125" s="31" t="s">
        <v>182</v>
      </c>
      <c r="B125" s="40"/>
      <c r="C125" s="40"/>
      <c r="D125" s="40"/>
      <c r="E125" s="40"/>
      <c r="F125" s="40"/>
      <c r="G125" s="40"/>
      <c r="H125" s="40"/>
      <c r="I125" s="40"/>
      <c r="J125" s="40"/>
      <c r="K125" s="40"/>
      <c r="L125" s="40"/>
      <c r="M125" s="40"/>
      <c r="N125" s="40"/>
      <c r="O125" s="40"/>
      <c r="P125" s="40"/>
      <c r="Q125" s="40"/>
      <c r="R125" s="51"/>
      <c r="S125" s="629"/>
      <c r="T125" s="652">
        <f>+SUM(T120:T124)</f>
        <v>-478.20000000000005</v>
      </c>
      <c r="U125" s="51"/>
      <c r="V125" s="629"/>
      <c r="W125" s="652">
        <f>+SUM(W120:W124)</f>
        <v>-1182.6219457013576</v>
      </c>
      <c r="X125" s="51"/>
      <c r="Y125" s="629"/>
      <c r="Z125" s="652"/>
      <c r="AA125" s="51"/>
      <c r="AB125" s="629"/>
      <c r="AC125" s="652">
        <f t="shared" ref="AC125:BM125" si="296">+SUM(AC120:AC124)</f>
        <v>-856.89775582608672</v>
      </c>
      <c r="AD125" s="51"/>
      <c r="AE125" s="629"/>
      <c r="AF125" s="652">
        <f t="shared" si="296"/>
        <v>432.47030248703595</v>
      </c>
      <c r="AG125" s="51"/>
      <c r="AH125" s="629"/>
      <c r="AI125" s="652">
        <f t="shared" ref="AI125:AP125" si="297">AI141</f>
        <v>-4510</v>
      </c>
      <c r="AJ125" s="51">
        <f t="shared" si="297"/>
        <v>-1064</v>
      </c>
      <c r="AK125" s="629">
        <f t="shared" si="297"/>
        <v>-606</v>
      </c>
      <c r="AL125" s="652">
        <f t="shared" si="297"/>
        <v>-1670</v>
      </c>
      <c r="AM125" s="51">
        <f t="shared" si="297"/>
        <v>63</v>
      </c>
      <c r="AN125" s="629">
        <f t="shared" si="297"/>
        <v>163</v>
      </c>
      <c r="AO125" s="652">
        <f t="shared" si="297"/>
        <v>226</v>
      </c>
      <c r="AP125" s="51">
        <f t="shared" si="297"/>
        <v>401</v>
      </c>
      <c r="AQ125" s="629">
        <f t="shared" ref="AQ125:AU125" si="298">AQ141</f>
        <v>225</v>
      </c>
      <c r="AR125" s="652">
        <f t="shared" si="298"/>
        <v>626</v>
      </c>
      <c r="AS125" s="51">
        <f t="shared" si="298"/>
        <v>1038</v>
      </c>
      <c r="AT125" s="629">
        <f t="shared" si="298"/>
        <v>992</v>
      </c>
      <c r="AU125" s="652">
        <f t="shared" si="298"/>
        <v>2030</v>
      </c>
      <c r="AV125" s="51">
        <f t="shared" ref="AV125:AX125" si="299">AV141</f>
        <v>1111</v>
      </c>
      <c r="AW125" s="218">
        <f t="shared" si="299"/>
        <v>1401</v>
      </c>
      <c r="AX125" s="553">
        <f t="shared" si="299"/>
        <v>2512</v>
      </c>
      <c r="AY125" s="51">
        <f t="shared" ref="AY125" si="300">AY141</f>
        <v>1458</v>
      </c>
      <c r="AZ125" s="237">
        <f t="shared" si="296"/>
        <v>2158.4379463111104</v>
      </c>
      <c r="BA125" s="576">
        <f t="shared" si="296"/>
        <v>3616.4379463111113</v>
      </c>
      <c r="BB125" s="48">
        <f t="shared" si="296"/>
        <v>1934.0608298419072</v>
      </c>
      <c r="BC125" s="237">
        <f t="shared" si="296"/>
        <v>1857.7188165375235</v>
      </c>
      <c r="BD125" s="576">
        <f t="shared" si="296"/>
        <v>3791.7796463794307</v>
      </c>
      <c r="BE125" s="48">
        <f t="shared" si="296"/>
        <v>2009.689859238478</v>
      </c>
      <c r="BF125" s="237">
        <f t="shared" si="296"/>
        <v>1980.2231308595847</v>
      </c>
      <c r="BG125" s="576">
        <f t="shared" si="296"/>
        <v>3989.9129900980633</v>
      </c>
      <c r="BH125" s="48">
        <f t="shared" si="296"/>
        <v>2225.7036192121959</v>
      </c>
      <c r="BI125" s="237">
        <f t="shared" si="296"/>
        <v>2190.239139495925</v>
      </c>
      <c r="BJ125" s="576">
        <f t="shared" si="296"/>
        <v>4415.9427587081209</v>
      </c>
      <c r="BK125" s="48">
        <f t="shared" si="296"/>
        <v>2498.9985444214699</v>
      </c>
      <c r="BL125" s="237">
        <f t="shared" si="296"/>
        <v>2444.2103226674935</v>
      </c>
      <c r="BM125" s="576">
        <f t="shared" si="296"/>
        <v>4943.2088670889643</v>
      </c>
      <c r="BO125" s="49"/>
    </row>
    <row r="126" spans="1:67" ht="11.4">
      <c r="A126" s="65" t="s">
        <v>699</v>
      </c>
      <c r="B126" s="40"/>
      <c r="C126" s="40"/>
      <c r="D126" s="40"/>
      <c r="E126" s="40"/>
      <c r="F126" s="40"/>
      <c r="G126" s="40"/>
      <c r="H126" s="40"/>
      <c r="I126" s="40"/>
      <c r="J126" s="40"/>
      <c r="K126" s="40"/>
      <c r="L126" s="40"/>
      <c r="M126" s="40"/>
      <c r="N126" s="40"/>
      <c r="O126" s="40"/>
      <c r="P126" s="40"/>
      <c r="Q126" s="40"/>
      <c r="R126" s="103"/>
      <c r="S126" s="637"/>
      <c r="T126" s="660">
        <f>+T125/T104</f>
        <v>-8.0006692320562164E-2</v>
      </c>
      <c r="U126" s="103"/>
      <c r="V126" s="637"/>
      <c r="W126" s="660">
        <f>+W125/W104</f>
        <v>-0.17401735516500258</v>
      </c>
      <c r="X126" s="103"/>
      <c r="Y126" s="637"/>
      <c r="Z126" s="653"/>
      <c r="AA126" s="50"/>
      <c r="AB126" s="647"/>
      <c r="AC126" s="671">
        <f t="shared" ref="AC126:BM126" si="301">+AC125/AC104</f>
        <v>-0.11583868733819698</v>
      </c>
      <c r="AD126" s="50"/>
      <c r="AE126" s="647"/>
      <c r="AF126" s="671">
        <f t="shared" si="301"/>
        <v>4.9419529480863436E-2</v>
      </c>
      <c r="AG126" s="50"/>
      <c r="AH126" s="647"/>
      <c r="AI126" s="671">
        <f t="shared" si="301"/>
        <v>-0.81305210023436092</v>
      </c>
      <c r="AJ126" s="952">
        <f t="shared" ref="AJ126:AK126" si="302">+AJ125/AJ104</f>
        <v>-0.51650485436893201</v>
      </c>
      <c r="AK126" s="647">
        <f t="shared" si="302"/>
        <v>-0.23839496459480725</v>
      </c>
      <c r="AL126" s="671">
        <f t="shared" si="301"/>
        <v>-0.36288570186875274</v>
      </c>
      <c r="AM126" s="952">
        <f t="shared" si="301"/>
        <v>2.2727272727272728E-2</v>
      </c>
      <c r="AN126" s="647">
        <f t="shared" ref="AN126" si="303">+AN125/AN104</f>
        <v>4.3982730706961688E-2</v>
      </c>
      <c r="AO126" s="671">
        <f t="shared" si="301"/>
        <v>3.4887310898425443E-2</v>
      </c>
      <c r="AP126" s="952">
        <f t="shared" ref="AP126:AR126" si="304">+AP125/AP104</f>
        <v>0.10065261044176707</v>
      </c>
      <c r="AQ126" s="647">
        <f t="shared" si="304"/>
        <v>4.7923322683706068E-2</v>
      </c>
      <c r="AR126" s="671">
        <f t="shared" si="304"/>
        <v>7.2128125360064521E-2</v>
      </c>
      <c r="AS126" s="952">
        <f t="shared" ref="AS126:AU126" si="305">+AS125/AS104</f>
        <v>0.21472900289615227</v>
      </c>
      <c r="AT126" s="647">
        <f t="shared" si="305"/>
        <v>0.19390148553557468</v>
      </c>
      <c r="AU126" s="671">
        <f t="shared" si="305"/>
        <v>0.20402010050251257</v>
      </c>
      <c r="AV126" s="952">
        <f t="shared" ref="AV126" si="306">+AV125/AV104</f>
        <v>0.21255022001147886</v>
      </c>
      <c r="AW126" s="217">
        <f t="shared" si="301"/>
        <v>0.24770155586987269</v>
      </c>
      <c r="AX126" s="554">
        <f t="shared" si="301"/>
        <v>0.23081870807681706</v>
      </c>
      <c r="AY126" s="952">
        <f t="shared" si="301"/>
        <v>0.23150206414734836</v>
      </c>
      <c r="AZ126" s="252">
        <f t="shared" si="301"/>
        <v>0.30456517050935028</v>
      </c>
      <c r="BA126" s="577">
        <f t="shared" si="301"/>
        <v>0.27018689751002001</v>
      </c>
      <c r="BB126" s="251">
        <f t="shared" si="301"/>
        <v>0.2636001084403195</v>
      </c>
      <c r="BC126" s="252">
        <f t="shared" si="301"/>
        <v>0.24300857399949627</v>
      </c>
      <c r="BD126" s="577">
        <f t="shared" si="301"/>
        <v>0.25309297858636454</v>
      </c>
      <c r="BE126" s="251">
        <f t="shared" si="301"/>
        <v>0.25354738199629412</v>
      </c>
      <c r="BF126" s="252">
        <f t="shared" si="301"/>
        <v>0.23861859707859159</v>
      </c>
      <c r="BG126" s="577">
        <f t="shared" si="301"/>
        <v>0.24591166186326774</v>
      </c>
      <c r="BH126" s="251">
        <f t="shared" si="301"/>
        <v>0.25630644022410259</v>
      </c>
      <c r="BI126" s="252">
        <f t="shared" si="301"/>
        <v>0.24362696749994034</v>
      </c>
      <c r="BJ126" s="577">
        <f t="shared" si="301"/>
        <v>0.24985680551906536</v>
      </c>
      <c r="BK126" s="251">
        <f t="shared" si="301"/>
        <v>0.26307718669546648</v>
      </c>
      <c r="BL126" s="252">
        <f t="shared" si="301"/>
        <v>0.25251410377134614</v>
      </c>
      <c r="BM126" s="577">
        <f t="shared" si="301"/>
        <v>0.25774596747394019</v>
      </c>
      <c r="BN126" s="38"/>
    </row>
    <row r="127" spans="1:67" s="170" customFormat="1" ht="11.4">
      <c r="A127" s="465" t="s">
        <v>921</v>
      </c>
      <c r="B127" s="270"/>
      <c r="C127" s="270"/>
      <c r="D127" s="270"/>
      <c r="E127" s="270"/>
      <c r="F127" s="270"/>
      <c r="G127" s="270"/>
      <c r="H127" s="270"/>
      <c r="I127" s="270"/>
      <c r="J127" s="270"/>
      <c r="K127" s="270"/>
      <c r="L127" s="270"/>
      <c r="M127" s="270"/>
      <c r="N127" s="270"/>
      <c r="O127" s="270"/>
      <c r="P127" s="270"/>
      <c r="Q127" s="270"/>
      <c r="R127" s="270"/>
      <c r="S127" s="742"/>
      <c r="T127" s="746"/>
      <c r="U127" s="270"/>
      <c r="V127" s="742"/>
      <c r="W127" s="746"/>
      <c r="X127" s="270"/>
      <c r="Y127" s="742"/>
      <c r="Z127" s="746"/>
      <c r="AA127" s="269"/>
      <c r="AB127" s="735"/>
      <c r="AC127" s="739">
        <f>AC125-AC14</f>
        <v>-694.89775582608672</v>
      </c>
      <c r="AD127" s="269"/>
      <c r="AE127" s="735"/>
      <c r="AF127" s="739">
        <f>AF125-AF14</f>
        <v>388.47030248703595</v>
      </c>
      <c r="AG127" s="269"/>
      <c r="AH127" s="735"/>
      <c r="AI127" s="739">
        <f t="shared" ref="AI127:AP127" si="307">AI125-AI14</f>
        <v>-1975</v>
      </c>
      <c r="AJ127" s="515">
        <f t="shared" si="307"/>
        <v>-1103</v>
      </c>
      <c r="AK127" s="735">
        <f t="shared" si="307"/>
        <v>-395</v>
      </c>
      <c r="AL127" s="739">
        <f t="shared" si="307"/>
        <v>-1498</v>
      </c>
      <c r="AM127" s="515">
        <f t="shared" si="307"/>
        <v>142</v>
      </c>
      <c r="AN127" s="735">
        <f t="shared" si="307"/>
        <v>-59</v>
      </c>
      <c r="AO127" s="739">
        <f t="shared" si="307"/>
        <v>83</v>
      </c>
      <c r="AP127" s="515">
        <f t="shared" si="307"/>
        <v>-4</v>
      </c>
      <c r="AQ127" s="735">
        <f t="shared" ref="AQ127:AS127" si="308">AQ125-AQ14</f>
        <v>-220</v>
      </c>
      <c r="AR127" s="739">
        <f t="shared" si="308"/>
        <v>-224</v>
      </c>
      <c r="AS127" s="515">
        <f t="shared" si="308"/>
        <v>298</v>
      </c>
      <c r="AT127" s="735">
        <f t="shared" ref="AT127:AV127" si="309">AT125-AT14</f>
        <v>227</v>
      </c>
      <c r="AU127" s="739">
        <f t="shared" si="309"/>
        <v>525</v>
      </c>
      <c r="AV127" s="515">
        <f t="shared" si="309"/>
        <v>-82</v>
      </c>
      <c r="AW127" s="735">
        <f t="shared" ref="AW127:BM127" si="310">AW125-AW14</f>
        <v>464</v>
      </c>
      <c r="AX127" s="739">
        <f t="shared" si="310"/>
        <v>382</v>
      </c>
      <c r="AY127" s="515">
        <f t="shared" si="310"/>
        <v>-109</v>
      </c>
      <c r="AZ127" s="721">
        <f t="shared" si="310"/>
        <v>836.66963804451825</v>
      </c>
      <c r="BA127" s="730">
        <f t="shared" si="310"/>
        <v>727.66963804451962</v>
      </c>
      <c r="BB127" s="979">
        <f t="shared" si="310"/>
        <v>263.83481902225935</v>
      </c>
      <c r="BC127" s="721">
        <f t="shared" si="310"/>
        <v>263.83481902225935</v>
      </c>
      <c r="BD127" s="730">
        <f t="shared" si="310"/>
        <v>527.66963804451871</v>
      </c>
      <c r="BE127" s="979">
        <f t="shared" si="310"/>
        <v>163.8348190222589</v>
      </c>
      <c r="BF127" s="721">
        <f t="shared" si="310"/>
        <v>163.83481902225935</v>
      </c>
      <c r="BG127" s="730">
        <f t="shared" si="310"/>
        <v>327.66963804451871</v>
      </c>
      <c r="BH127" s="979">
        <f t="shared" si="310"/>
        <v>113.83481902225913</v>
      </c>
      <c r="BI127" s="721">
        <f t="shared" si="310"/>
        <v>113.83481902225958</v>
      </c>
      <c r="BJ127" s="730">
        <f t="shared" si="310"/>
        <v>227.66963804451916</v>
      </c>
      <c r="BK127" s="979">
        <f t="shared" si="310"/>
        <v>113.83481902225958</v>
      </c>
      <c r="BL127" s="721">
        <f t="shared" si="310"/>
        <v>113.83481902225958</v>
      </c>
      <c r="BM127" s="730">
        <f t="shared" si="310"/>
        <v>227.66963804452007</v>
      </c>
      <c r="BN127" s="466"/>
    </row>
    <row r="128" spans="1:67" s="170" customFormat="1" ht="11.4">
      <c r="A128" s="465" t="s">
        <v>943</v>
      </c>
      <c r="B128" s="270"/>
      <c r="C128" s="270"/>
      <c r="D128" s="270"/>
      <c r="E128" s="270"/>
      <c r="F128" s="270"/>
      <c r="G128" s="270"/>
      <c r="H128" s="270"/>
      <c r="I128" s="270"/>
      <c r="J128" s="270"/>
      <c r="K128" s="270"/>
      <c r="L128" s="270"/>
      <c r="M128" s="270"/>
      <c r="N128" s="270"/>
      <c r="O128" s="270"/>
      <c r="P128" s="270"/>
      <c r="Q128" s="270"/>
      <c r="R128" s="270"/>
      <c r="S128" s="742"/>
      <c r="T128" s="746"/>
      <c r="U128" s="270"/>
      <c r="V128" s="742"/>
      <c r="W128" s="746"/>
      <c r="X128" s="270"/>
      <c r="Y128" s="742"/>
      <c r="Z128" s="746"/>
      <c r="AA128" s="50"/>
      <c r="AB128" s="647"/>
      <c r="AC128" s="671">
        <f>AC125/AC14</f>
        <v>5.2894923199141157</v>
      </c>
      <c r="AD128" s="50"/>
      <c r="AE128" s="647"/>
      <c r="AF128" s="671">
        <f t="shared" ref="AF128:BM128" si="311">AF125/AF14</f>
        <v>9.8288705110689989</v>
      </c>
      <c r="AG128" s="50"/>
      <c r="AH128" s="647"/>
      <c r="AI128" s="671">
        <f t="shared" si="311"/>
        <v>1.7790927021696252</v>
      </c>
      <c r="AJ128" s="952">
        <f t="shared" ref="AJ128:AK128" si="312">AJ125/AJ14</f>
        <v>-27.282051282051281</v>
      </c>
      <c r="AK128" s="647">
        <f t="shared" si="312"/>
        <v>2.8720379146919433</v>
      </c>
      <c r="AL128" s="671">
        <f t="shared" si="311"/>
        <v>9.7093023255813957</v>
      </c>
      <c r="AM128" s="952">
        <f t="shared" si="311"/>
        <v>-0.79746835443037978</v>
      </c>
      <c r="AN128" s="647">
        <f t="shared" ref="AN128" si="313">AN125/AN14</f>
        <v>0.73423423423423428</v>
      </c>
      <c r="AO128" s="671">
        <f t="shared" si="311"/>
        <v>1.5804195804195804</v>
      </c>
      <c r="AP128" s="952">
        <f t="shared" ref="AP128:AR128" si="314">AP125/AP14</f>
        <v>0.99012345679012348</v>
      </c>
      <c r="AQ128" s="647">
        <f t="shared" si="314"/>
        <v>0.5056179775280899</v>
      </c>
      <c r="AR128" s="671">
        <f t="shared" si="314"/>
        <v>0.7364705882352941</v>
      </c>
      <c r="AS128" s="952">
        <f t="shared" ref="AS128:AU128" si="315">AS125/AS14</f>
        <v>1.4027027027027028</v>
      </c>
      <c r="AT128" s="647">
        <f t="shared" si="315"/>
        <v>1.2967320261437909</v>
      </c>
      <c r="AU128" s="671">
        <f t="shared" si="315"/>
        <v>1.3488372093023255</v>
      </c>
      <c r="AV128" s="952">
        <f t="shared" ref="AV128" si="316">AV125/AV14</f>
        <v>0.93126571668063707</v>
      </c>
      <c r="AW128" s="647">
        <f t="shared" si="311"/>
        <v>1.4951974386339382</v>
      </c>
      <c r="AX128" s="671">
        <f t="shared" si="311"/>
        <v>1.1793427230046949</v>
      </c>
      <c r="AY128" s="952">
        <f t="shared" si="311"/>
        <v>0.93044033184428843</v>
      </c>
      <c r="AZ128" s="599">
        <f t="shared" si="311"/>
        <v>1.6329926605228966</v>
      </c>
      <c r="BA128" s="623">
        <f t="shared" si="311"/>
        <v>1.2518961579446151</v>
      </c>
      <c r="BB128" s="435">
        <f t="shared" si="311"/>
        <v>1.1579635434445095</v>
      </c>
      <c r="BC128" s="599">
        <f t="shared" si="311"/>
        <v>1.1655294986545799</v>
      </c>
      <c r="BD128" s="623">
        <f t="shared" si="311"/>
        <v>1.1616580436005874</v>
      </c>
      <c r="BE128" s="435">
        <f t="shared" si="311"/>
        <v>1.0887582261080846</v>
      </c>
      <c r="BF128" s="599">
        <f t="shared" si="311"/>
        <v>1.0901981244619088</v>
      </c>
      <c r="BG128" s="623">
        <f t="shared" si="311"/>
        <v>1.0894723825113324</v>
      </c>
      <c r="BH128" s="435">
        <f t="shared" si="311"/>
        <v>1.0539024105152843</v>
      </c>
      <c r="BI128" s="599">
        <f t="shared" si="311"/>
        <v>1.0548230505493708</v>
      </c>
      <c r="BJ128" s="623">
        <f t="shared" si="311"/>
        <v>1.0543588327421318</v>
      </c>
      <c r="BK128" s="435">
        <f t="shared" si="311"/>
        <v>1.0477262075596956</v>
      </c>
      <c r="BL128" s="599">
        <f t="shared" si="311"/>
        <v>1.0488482730977029</v>
      </c>
      <c r="BM128" s="623">
        <f t="shared" si="311"/>
        <v>1.0482807218827135</v>
      </c>
      <c r="BN128" s="466"/>
    </row>
    <row r="129" spans="1:66" ht="11.4">
      <c r="A129" s="150"/>
      <c r="S129" s="595"/>
      <c r="T129" s="619"/>
      <c r="V129" s="595"/>
      <c r="W129" s="619"/>
      <c r="Y129" s="595"/>
      <c r="Z129" s="619"/>
      <c r="AA129" s="32"/>
      <c r="AB129" s="736"/>
      <c r="AC129" s="740"/>
      <c r="AD129" s="32"/>
      <c r="AE129" s="736"/>
      <c r="AF129" s="740"/>
      <c r="AG129" s="32"/>
      <c r="AH129" s="736"/>
      <c r="AI129" s="740"/>
      <c r="AJ129" s="32"/>
      <c r="AK129" s="736"/>
      <c r="AL129" s="740"/>
      <c r="AM129" s="32"/>
      <c r="AN129" s="736"/>
      <c r="AO129" s="740"/>
      <c r="AP129" s="32"/>
      <c r="AQ129" s="590"/>
      <c r="AR129" s="609"/>
      <c r="AS129" s="32"/>
      <c r="AT129" s="590"/>
      <c r="AU129" s="609"/>
      <c r="AV129" s="176"/>
      <c r="AW129" s="590"/>
      <c r="AX129" s="609"/>
      <c r="AY129" s="176"/>
      <c r="AZ129" s="590"/>
      <c r="BA129" s="609"/>
      <c r="BB129" s="176"/>
      <c r="BC129" s="590"/>
      <c r="BD129" s="609"/>
      <c r="BE129" s="176"/>
      <c r="BF129" s="590"/>
      <c r="BG129" s="609"/>
      <c r="BH129" s="176"/>
      <c r="BI129" s="590"/>
      <c r="BJ129" s="609"/>
      <c r="BK129" s="176"/>
      <c r="BL129" s="590"/>
      <c r="BM129" s="609"/>
      <c r="BN129" s="38"/>
    </row>
    <row r="130" spans="1:66">
      <c r="A130" s="310" t="s">
        <v>182</v>
      </c>
      <c r="B130" s="311"/>
      <c r="C130" s="311"/>
      <c r="D130" s="311"/>
      <c r="E130" s="311"/>
      <c r="F130" s="311"/>
      <c r="G130" s="311"/>
      <c r="H130" s="311"/>
      <c r="I130" s="311"/>
      <c r="J130" s="311"/>
      <c r="K130" s="311"/>
      <c r="L130" s="311"/>
      <c r="M130" s="311"/>
      <c r="N130" s="311"/>
      <c r="O130" s="311"/>
      <c r="P130" s="310"/>
      <c r="Q130" s="310"/>
      <c r="R130" s="533"/>
      <c r="S130" s="743"/>
      <c r="T130" s="747"/>
      <c r="U130" s="533"/>
      <c r="V130" s="743"/>
      <c r="W130" s="747"/>
      <c r="X130" s="533"/>
      <c r="Y130" s="743"/>
      <c r="Z130" s="551"/>
      <c r="AA130" s="525"/>
      <c r="AB130" s="317"/>
      <c r="AC130" s="551"/>
      <c r="AD130" s="525"/>
      <c r="AE130" s="317"/>
      <c r="AF130" s="551"/>
      <c r="AG130" s="525"/>
      <c r="AH130" s="317"/>
      <c r="AI130" s="551"/>
      <c r="AJ130" s="525"/>
      <c r="AK130" s="317"/>
      <c r="AL130" s="551"/>
      <c r="AM130" s="525"/>
      <c r="AN130" s="317"/>
      <c r="AO130" s="551"/>
      <c r="AP130" s="525"/>
      <c r="AQ130" s="317"/>
      <c r="AR130" s="551"/>
      <c r="AS130" s="525"/>
      <c r="AT130" s="317"/>
      <c r="AU130" s="551"/>
      <c r="AV130" s="525"/>
      <c r="AW130" s="317"/>
      <c r="AX130" s="551"/>
      <c r="AY130" s="525"/>
      <c r="AZ130" s="215"/>
      <c r="BA130" s="574"/>
      <c r="BB130" s="179"/>
      <c r="BC130" s="215"/>
      <c r="BD130" s="574"/>
      <c r="BE130" s="179"/>
      <c r="BF130" s="215"/>
      <c r="BG130" s="574"/>
      <c r="BH130" s="179"/>
      <c r="BI130" s="215"/>
      <c r="BJ130" s="574"/>
      <c r="BK130" s="179"/>
      <c r="BL130" s="215"/>
      <c r="BM130" s="574"/>
    </row>
    <row r="131" spans="1:66">
      <c r="B131" s="40"/>
      <c r="C131" s="40"/>
      <c r="D131" s="40"/>
      <c r="E131" s="40"/>
      <c r="F131" s="40"/>
      <c r="G131" s="40"/>
      <c r="H131" s="40"/>
      <c r="I131" s="40"/>
      <c r="J131" s="40"/>
      <c r="K131" s="40"/>
      <c r="L131" s="40"/>
      <c r="M131" s="40"/>
      <c r="N131" s="40"/>
      <c r="O131" s="40"/>
      <c r="P131" s="40"/>
      <c r="Q131" s="40"/>
      <c r="R131" s="40"/>
      <c r="S131" s="630"/>
      <c r="T131" s="653"/>
      <c r="U131" s="40"/>
      <c r="V131" s="630"/>
      <c r="W131" s="653"/>
      <c r="X131" s="40"/>
      <c r="Y131" s="630"/>
      <c r="Z131" s="653"/>
      <c r="AA131" s="40"/>
      <c r="AB131" s="630"/>
      <c r="AC131" s="653"/>
      <c r="AD131" s="40"/>
      <c r="AE131" s="630"/>
      <c r="AF131" s="653"/>
      <c r="AG131" s="40"/>
      <c r="AH131" s="630"/>
      <c r="AI131" s="653"/>
      <c r="AJ131" s="40"/>
      <c r="AK131" s="630"/>
      <c r="AL131" s="653"/>
      <c r="AM131" s="40"/>
      <c r="AN131" s="630"/>
      <c r="AO131" s="653"/>
      <c r="AP131" s="40"/>
      <c r="AQ131" s="539"/>
      <c r="AR131" s="550"/>
      <c r="AS131"/>
      <c r="AT131" s="539"/>
      <c r="AU131" s="550"/>
      <c r="AV131"/>
      <c r="AW131" s="539"/>
      <c r="AX131" s="550"/>
      <c r="AY131"/>
      <c r="AZ131" s="539"/>
      <c r="BA131" s="550"/>
      <c r="BB131"/>
      <c r="BC131" s="539"/>
      <c r="BD131" s="550"/>
      <c r="BE131"/>
      <c r="BF131" s="539"/>
      <c r="BG131" s="550"/>
      <c r="BH131"/>
      <c r="BI131" s="539"/>
      <c r="BJ131" s="550"/>
      <c r="BK131"/>
      <c r="BL131" s="539"/>
      <c r="BM131" s="550"/>
    </row>
    <row r="132" spans="1:66" ht="12">
      <c r="A132" s="31" t="s">
        <v>291</v>
      </c>
      <c r="B132" s="51"/>
      <c r="C132" s="51"/>
      <c r="D132" s="51"/>
      <c r="E132" s="51"/>
      <c r="F132" s="51"/>
      <c r="G132" s="51"/>
      <c r="H132" s="51"/>
      <c r="I132" s="51"/>
      <c r="J132" s="51"/>
      <c r="K132" s="51"/>
      <c r="L132" s="51"/>
      <c r="M132" s="51"/>
      <c r="N132" s="51"/>
      <c r="O132" s="337"/>
      <c r="P132" s="51">
        <f>P14</f>
        <v>942</v>
      </c>
      <c r="Q132" s="51">
        <f>Q14</f>
        <v>812</v>
      </c>
      <c r="R132" s="51"/>
      <c r="S132" s="629"/>
      <c r="T132" s="652">
        <f>T14</f>
        <v>367</v>
      </c>
      <c r="U132" s="51"/>
      <c r="V132" s="629"/>
      <c r="W132" s="652"/>
      <c r="X132" s="51"/>
      <c r="Y132" s="629"/>
      <c r="Z132" s="652"/>
      <c r="AA132" s="51"/>
      <c r="AB132" s="629"/>
      <c r="AC132" s="652"/>
      <c r="AD132" s="51"/>
      <c r="AE132" s="629"/>
      <c r="AF132" s="652"/>
      <c r="AG132" s="51"/>
      <c r="AH132" s="629"/>
      <c r="AI132" s="652"/>
      <c r="AJ132" s="51"/>
      <c r="AK132" s="629"/>
      <c r="AL132" s="652"/>
      <c r="AM132" s="51"/>
      <c r="AN132" s="629"/>
      <c r="AO132" s="652"/>
      <c r="AP132" s="51"/>
      <c r="AQ132" s="539"/>
      <c r="AR132" s="550"/>
      <c r="AS132"/>
      <c r="AT132" s="539"/>
      <c r="AU132" s="550"/>
      <c r="AV132"/>
      <c r="AW132" s="539"/>
      <c r="AX132" s="550"/>
      <c r="AY132"/>
      <c r="AZ132" s="539"/>
      <c r="BA132" s="550"/>
      <c r="BB132"/>
      <c r="BC132" s="539"/>
      <c r="BD132" s="550"/>
      <c r="BE132"/>
      <c r="BF132" s="539"/>
      <c r="BG132" s="550"/>
      <c r="BH132"/>
      <c r="BI132" s="539"/>
      <c r="BJ132" s="550"/>
      <c r="BK132"/>
      <c r="BL132" s="539"/>
      <c r="BM132" s="550"/>
    </row>
    <row r="133" spans="1:66">
      <c r="A133" s="25" t="s">
        <v>179</v>
      </c>
      <c r="B133" s="40"/>
      <c r="C133" s="40"/>
      <c r="D133" s="40"/>
      <c r="E133" s="40"/>
      <c r="F133" s="40"/>
      <c r="G133" s="40"/>
      <c r="H133" s="40"/>
      <c r="I133" s="40"/>
      <c r="J133" s="40"/>
      <c r="K133" s="40"/>
      <c r="L133" s="40"/>
      <c r="M133" s="40"/>
      <c r="N133" s="40"/>
      <c r="O133" s="40"/>
      <c r="P133" s="40">
        <v>381</v>
      </c>
      <c r="Q133" s="40">
        <v>410</v>
      </c>
      <c r="R133" s="40"/>
      <c r="S133" s="630"/>
      <c r="T133" s="653">
        <v>491</v>
      </c>
      <c r="U133" s="40"/>
      <c r="V133" s="630"/>
      <c r="W133" s="653"/>
      <c r="X133" s="40"/>
      <c r="Y133" s="630"/>
      <c r="Z133" s="653"/>
      <c r="AA133" s="40"/>
      <c r="AB133" s="630"/>
      <c r="AC133" s="653"/>
      <c r="AD133" s="40"/>
      <c r="AE133" s="630"/>
      <c r="AF133" s="653"/>
      <c r="AG133" s="40"/>
      <c r="AH133" s="630"/>
      <c r="AI133" s="653"/>
      <c r="AJ133" s="40"/>
      <c r="AK133" s="630"/>
      <c r="AL133" s="653"/>
      <c r="AM133" s="40"/>
      <c r="AN133" s="630"/>
      <c r="AO133" s="653"/>
      <c r="AP133" s="40"/>
      <c r="AQ133" s="539"/>
      <c r="AR133" s="550"/>
      <c r="AS133"/>
      <c r="AT133" s="539"/>
      <c r="AU133" s="550"/>
      <c r="AV133"/>
      <c r="AW133" s="539"/>
      <c r="AX133" s="550"/>
      <c r="AY133"/>
      <c r="AZ133" s="539"/>
      <c r="BA133" s="550"/>
      <c r="BB133"/>
      <c r="BC133" s="539"/>
      <c r="BD133" s="550"/>
      <c r="BE133"/>
      <c r="BF133" s="539"/>
      <c r="BG133" s="550"/>
      <c r="BH133"/>
      <c r="BI133" s="539"/>
      <c r="BJ133" s="550"/>
      <c r="BK133"/>
      <c r="BL133" s="539"/>
      <c r="BM133" s="550"/>
    </row>
    <row r="134" spans="1:66" ht="12">
      <c r="A134" s="31" t="s">
        <v>455</v>
      </c>
      <c r="B134" s="51"/>
      <c r="C134" s="51"/>
      <c r="D134" s="51"/>
      <c r="E134" s="51"/>
      <c r="F134" s="51"/>
      <c r="G134" s="51"/>
      <c r="H134" s="51"/>
      <c r="I134" s="51"/>
      <c r="J134" s="51"/>
      <c r="K134" s="51"/>
      <c r="L134" s="51"/>
      <c r="M134" s="51"/>
      <c r="N134" s="51"/>
      <c r="O134" s="337"/>
      <c r="P134" s="51">
        <f>P132+P133</f>
        <v>1323</v>
      </c>
      <c r="Q134" s="51">
        <f>Q132+Q133</f>
        <v>1222</v>
      </c>
      <c r="R134" s="51"/>
      <c r="S134" s="629"/>
      <c r="T134" s="653">
        <f>T132+T133</f>
        <v>858</v>
      </c>
      <c r="U134" s="51"/>
      <c r="V134" s="629"/>
      <c r="W134" s="653"/>
      <c r="X134" s="40"/>
      <c r="Y134" s="630"/>
      <c r="Z134" s="652"/>
      <c r="AA134" s="51"/>
      <c r="AB134" s="629"/>
      <c r="AC134" s="652"/>
      <c r="AD134" s="51"/>
      <c r="AE134" s="629"/>
      <c r="AF134" s="652"/>
      <c r="AG134" s="51"/>
      <c r="AH134" s="629"/>
      <c r="AI134" s="652"/>
      <c r="AJ134" s="51"/>
      <c r="AK134" s="629"/>
      <c r="AL134" s="652"/>
      <c r="AM134" s="51"/>
      <c r="AN134" s="629"/>
      <c r="AO134" s="652"/>
      <c r="AP134" s="51"/>
      <c r="AQ134" s="541"/>
      <c r="AR134" s="578"/>
      <c r="AS134" s="2"/>
      <c r="AT134" s="541"/>
      <c r="AU134" s="578"/>
      <c r="AV134" s="2"/>
      <c r="AW134" s="541"/>
      <c r="AX134" s="578"/>
      <c r="AY134" s="2"/>
      <c r="AZ134" s="541"/>
      <c r="BA134" s="578"/>
      <c r="BB134" s="2"/>
      <c r="BC134" s="541"/>
      <c r="BD134" s="578"/>
      <c r="BE134" s="2"/>
      <c r="BF134" s="541"/>
      <c r="BG134" s="578"/>
      <c r="BH134" s="2"/>
      <c r="BI134" s="541"/>
      <c r="BJ134" s="578"/>
      <c r="BK134" s="2"/>
      <c r="BL134" s="541"/>
      <c r="BM134" s="578"/>
    </row>
    <row r="135" spans="1:66">
      <c r="A135" s="25" t="s">
        <v>292</v>
      </c>
      <c r="B135" s="40"/>
      <c r="C135" s="40"/>
      <c r="D135" s="40"/>
      <c r="E135" s="40"/>
      <c r="F135" s="40"/>
      <c r="G135" s="40"/>
      <c r="H135" s="40"/>
      <c r="I135" s="40"/>
      <c r="J135" s="40"/>
      <c r="K135" s="40"/>
      <c r="L135" s="40"/>
      <c r="M135" s="40"/>
      <c r="N135" s="40"/>
      <c r="O135" s="40"/>
      <c r="P135" s="40">
        <v>-86</v>
      </c>
      <c r="Q135" s="40">
        <v>-161</v>
      </c>
      <c r="R135" s="40"/>
      <c r="S135" s="630"/>
      <c r="T135" s="653">
        <v>-208</v>
      </c>
      <c r="U135" s="40"/>
      <c r="V135" s="630"/>
      <c r="W135" s="653"/>
      <c r="X135" s="40"/>
      <c r="Y135" s="630"/>
      <c r="Z135" s="653"/>
      <c r="AA135" s="40"/>
      <c r="AB135" s="630"/>
      <c r="AC135" s="653"/>
      <c r="AD135" s="40"/>
      <c r="AE135" s="630"/>
      <c r="AF135" s="653"/>
      <c r="AG135" s="40"/>
      <c r="AH135" s="630"/>
      <c r="AI135" s="653"/>
      <c r="AJ135" s="40"/>
      <c r="AK135" s="630"/>
      <c r="AL135" s="653"/>
      <c r="AM135" s="40"/>
      <c r="AN135" s="630"/>
      <c r="AO135" s="653"/>
      <c r="AP135" s="40"/>
      <c r="AQ135" s="539"/>
      <c r="AR135" s="550"/>
      <c r="AS135"/>
      <c r="AT135" s="539"/>
      <c r="AU135" s="550"/>
      <c r="AV135"/>
      <c r="AW135" s="539"/>
      <c r="AX135" s="550"/>
      <c r="AY135"/>
      <c r="AZ135" s="539"/>
      <c r="BA135" s="550"/>
      <c r="BB135"/>
      <c r="BC135" s="539"/>
      <c r="BD135" s="550"/>
      <c r="BE135"/>
      <c r="BF135" s="539"/>
      <c r="BG135" s="550"/>
      <c r="BH135"/>
      <c r="BI135" s="539"/>
      <c r="BJ135" s="550"/>
      <c r="BK135"/>
      <c r="BL135" s="539"/>
      <c r="BM135" s="550"/>
    </row>
    <row r="136" spans="1:66">
      <c r="A136" s="25" t="s">
        <v>293</v>
      </c>
      <c r="B136" s="40"/>
      <c r="C136" s="40"/>
      <c r="D136" s="40"/>
      <c r="E136" s="40"/>
      <c r="F136" s="40"/>
      <c r="G136" s="40"/>
      <c r="H136" s="40"/>
      <c r="I136" s="40"/>
      <c r="J136" s="40"/>
      <c r="K136" s="40"/>
      <c r="L136" s="40"/>
      <c r="M136" s="40"/>
      <c r="N136" s="40"/>
      <c r="O136" s="40"/>
      <c r="P136" s="40">
        <v>-748</v>
      </c>
      <c r="Q136" s="40">
        <v>-502</v>
      </c>
      <c r="R136" s="40"/>
      <c r="S136" s="630"/>
      <c r="T136" s="653">
        <v>-739</v>
      </c>
      <c r="U136" s="40"/>
      <c r="V136" s="630"/>
      <c r="W136" s="653"/>
      <c r="X136" s="40"/>
      <c r="Y136" s="630"/>
      <c r="Z136" s="653"/>
      <c r="AA136" s="40"/>
      <c r="AB136" s="630"/>
      <c r="AC136" s="653"/>
      <c r="AD136" s="40"/>
      <c r="AE136" s="630"/>
      <c r="AF136" s="653"/>
      <c r="AG136" s="40"/>
      <c r="AH136" s="630"/>
      <c r="AI136" s="653"/>
      <c r="AJ136" s="40"/>
      <c r="AK136" s="630"/>
      <c r="AL136" s="653"/>
      <c r="AM136" s="40"/>
      <c r="AN136" s="630"/>
      <c r="AO136" s="653"/>
      <c r="AP136" s="40"/>
      <c r="AQ136" s="539"/>
      <c r="AR136" s="550"/>
      <c r="AS136"/>
      <c r="AT136" s="539"/>
      <c r="AU136" s="550"/>
      <c r="AV136"/>
      <c r="AW136" s="539"/>
      <c r="AX136" s="550"/>
      <c r="AY136"/>
      <c r="AZ136" s="539"/>
      <c r="BA136" s="550"/>
      <c r="BB136"/>
      <c r="BC136" s="539"/>
      <c r="BD136" s="550"/>
      <c r="BE136"/>
      <c r="BF136" s="539"/>
      <c r="BG136" s="550"/>
      <c r="BH136"/>
      <c r="BI136" s="539"/>
      <c r="BJ136" s="550"/>
      <c r="BK136"/>
      <c r="BL136" s="539"/>
      <c r="BM136" s="550"/>
    </row>
    <row r="137" spans="1:66">
      <c r="A137" s="25" t="s">
        <v>294</v>
      </c>
      <c r="B137" s="40"/>
      <c r="C137" s="40"/>
      <c r="D137" s="40"/>
      <c r="E137" s="40"/>
      <c r="F137" s="40"/>
      <c r="G137" s="40"/>
      <c r="H137" s="40"/>
      <c r="I137" s="40"/>
      <c r="J137" s="40"/>
      <c r="K137" s="40"/>
      <c r="L137" s="40"/>
      <c r="M137" s="40"/>
      <c r="N137" s="40"/>
      <c r="O137" s="40"/>
      <c r="P137" s="40">
        <v>-53</v>
      </c>
      <c r="Q137" s="40">
        <v>-75</v>
      </c>
      <c r="R137" s="40"/>
      <c r="S137" s="630"/>
      <c r="T137" s="653">
        <v>111</v>
      </c>
      <c r="U137" s="40"/>
      <c r="V137" s="630"/>
      <c r="W137" s="653"/>
      <c r="X137" s="40"/>
      <c r="Y137" s="630"/>
      <c r="Z137" s="653"/>
      <c r="AA137" s="40"/>
      <c r="AB137" s="630"/>
      <c r="AC137" s="653"/>
      <c r="AD137" s="40"/>
      <c r="AE137" s="630"/>
      <c r="AF137" s="653"/>
      <c r="AG137" s="40"/>
      <c r="AH137" s="630"/>
      <c r="AI137" s="653"/>
      <c r="AJ137" s="40"/>
      <c r="AK137" s="630"/>
      <c r="AL137" s="653"/>
      <c r="AM137" s="40"/>
      <c r="AN137" s="630"/>
      <c r="AO137" s="653"/>
      <c r="AP137" s="40"/>
      <c r="AQ137" s="539"/>
      <c r="AR137" s="550"/>
      <c r="AS137"/>
      <c r="AT137" s="539"/>
      <c r="AU137" s="550"/>
      <c r="AV137"/>
      <c r="AW137" s="539"/>
      <c r="AX137" s="550"/>
      <c r="AY137"/>
      <c r="AZ137" s="539"/>
      <c r="BA137" s="550"/>
      <c r="BB137"/>
      <c r="BC137" s="539"/>
      <c r="BD137" s="550"/>
      <c r="BE137"/>
      <c r="BF137" s="539"/>
      <c r="BG137" s="550"/>
      <c r="BH137"/>
      <c r="BI137" s="539"/>
      <c r="BJ137" s="550"/>
      <c r="BK137"/>
      <c r="BL137" s="539"/>
      <c r="BM137" s="550"/>
    </row>
    <row r="138" spans="1:66" ht="12">
      <c r="A138" s="31" t="s">
        <v>295</v>
      </c>
      <c r="B138" s="51"/>
      <c r="C138" s="51"/>
      <c r="D138" s="51"/>
      <c r="E138" s="51"/>
      <c r="F138" s="51"/>
      <c r="G138" s="51"/>
      <c r="H138" s="51"/>
      <c r="I138" s="51"/>
      <c r="J138" s="51"/>
      <c r="K138" s="51"/>
      <c r="L138" s="51"/>
      <c r="M138" s="51"/>
      <c r="N138" s="51"/>
      <c r="O138" s="337"/>
      <c r="P138" s="51">
        <f>P134+P135+P136+P137</f>
        <v>436</v>
      </c>
      <c r="Q138" s="51">
        <f>Q134+Q135+Q136+Q137</f>
        <v>484</v>
      </c>
      <c r="R138" s="51"/>
      <c r="S138" s="629"/>
      <c r="T138" s="653">
        <f>T134+T135+T136+T137</f>
        <v>22</v>
      </c>
      <c r="U138" s="51"/>
      <c r="V138" s="629"/>
      <c r="W138" s="653"/>
      <c r="X138" s="40"/>
      <c r="Y138" s="630"/>
      <c r="Z138" s="652"/>
      <c r="AA138" s="51"/>
      <c r="AB138" s="629"/>
      <c r="AC138" s="652"/>
      <c r="AD138" s="51"/>
      <c r="AE138" s="629"/>
      <c r="AF138" s="652"/>
      <c r="AG138" s="51"/>
      <c r="AH138" s="629"/>
      <c r="AI138" s="652"/>
      <c r="AJ138" s="51"/>
      <c r="AK138" s="629"/>
      <c r="AL138" s="652"/>
      <c r="AM138" s="51"/>
      <c r="AN138" s="629"/>
      <c r="AO138" s="652"/>
      <c r="AP138" s="51"/>
      <c r="AQ138" s="541"/>
      <c r="AR138" s="578"/>
      <c r="AS138" s="2"/>
      <c r="AT138" s="541"/>
      <c r="AU138" s="578"/>
      <c r="AV138" s="2"/>
      <c r="AW138" s="541"/>
      <c r="AX138" s="578"/>
      <c r="AY138" s="2"/>
      <c r="AZ138" s="541"/>
      <c r="BA138" s="578"/>
      <c r="BB138" s="2"/>
      <c r="BC138" s="541"/>
      <c r="BD138" s="578"/>
      <c r="BE138" s="2"/>
      <c r="BF138" s="541"/>
      <c r="BG138" s="578"/>
      <c r="BH138" s="2"/>
      <c r="BI138" s="541"/>
      <c r="BJ138" s="578"/>
      <c r="BK138" s="2"/>
      <c r="BL138" s="541"/>
      <c r="BM138" s="578"/>
    </row>
    <row r="139" spans="1:66">
      <c r="A139" s="25" t="s">
        <v>296</v>
      </c>
      <c r="B139" s="40"/>
      <c r="C139" s="40"/>
      <c r="D139" s="40"/>
      <c r="E139" s="40"/>
      <c r="F139" s="40"/>
      <c r="G139" s="40"/>
      <c r="H139" s="40"/>
      <c r="I139" s="40"/>
      <c r="J139" s="40"/>
      <c r="K139" s="40"/>
      <c r="L139" s="40"/>
      <c r="M139" s="40"/>
      <c r="N139" s="40"/>
      <c r="O139" s="40"/>
      <c r="P139" s="40">
        <v>-463</v>
      </c>
      <c r="Q139" s="40">
        <v>-406</v>
      </c>
      <c r="R139" s="40"/>
      <c r="S139" s="630"/>
      <c r="T139" s="653">
        <v>-246</v>
      </c>
      <c r="U139" s="40"/>
      <c r="V139" s="630"/>
      <c r="W139" s="653"/>
      <c r="X139" s="40"/>
      <c r="Y139" s="630"/>
      <c r="Z139" s="653"/>
      <c r="AA139" s="40"/>
      <c r="AB139" s="630"/>
      <c r="AC139" s="653"/>
      <c r="AD139" s="40"/>
      <c r="AE139" s="630"/>
      <c r="AF139" s="653"/>
      <c r="AG139" s="40"/>
      <c r="AH139" s="630"/>
      <c r="AI139" s="653"/>
      <c r="AJ139" s="40"/>
      <c r="AK139" s="630"/>
      <c r="AL139" s="653"/>
      <c r="AM139" s="40"/>
      <c r="AN139" s="630"/>
      <c r="AO139" s="653"/>
      <c r="AP139" s="40"/>
      <c r="AQ139" s="539"/>
      <c r="AR139" s="550"/>
      <c r="AS139"/>
      <c r="AT139" s="539"/>
      <c r="AU139" s="550"/>
      <c r="AV139"/>
      <c r="AW139" s="539"/>
      <c r="AX139" s="550"/>
      <c r="AY139"/>
      <c r="AZ139" s="539"/>
      <c r="BA139" s="550"/>
      <c r="BB139"/>
      <c r="BC139" s="539"/>
      <c r="BD139" s="550"/>
      <c r="BE139"/>
      <c r="BF139" s="539"/>
      <c r="BG139" s="550"/>
      <c r="BH139"/>
      <c r="BI139" s="539"/>
      <c r="BJ139" s="550"/>
      <c r="BK139"/>
      <c r="BL139" s="539"/>
      <c r="BM139" s="550"/>
    </row>
    <row r="140" spans="1:66" ht="11.4">
      <c r="A140" s="25" t="s">
        <v>297</v>
      </c>
      <c r="B140" s="40"/>
      <c r="C140" s="40"/>
      <c r="D140" s="40"/>
      <c r="E140" s="40"/>
      <c r="F140" s="40"/>
      <c r="G140" s="40"/>
      <c r="H140" s="40"/>
      <c r="I140" s="40"/>
      <c r="J140" s="40"/>
      <c r="K140" s="40"/>
      <c r="L140" s="40"/>
      <c r="M140" s="40"/>
      <c r="N140" s="40"/>
      <c r="O140" s="40"/>
      <c r="P140" s="40">
        <v>208</v>
      </c>
      <c r="Q140" s="40">
        <v>-78</v>
      </c>
      <c r="R140" s="40"/>
      <c r="S140" s="630"/>
      <c r="T140" s="653">
        <v>267</v>
      </c>
      <c r="U140" s="40"/>
      <c r="V140" s="630"/>
      <c r="W140" s="653"/>
      <c r="X140" s="40"/>
      <c r="Y140" s="630"/>
      <c r="Z140" s="679"/>
      <c r="AA140" s="108"/>
      <c r="AB140" s="676"/>
      <c r="AC140" s="679"/>
      <c r="AD140" s="108"/>
      <c r="AE140" s="676"/>
      <c r="AF140" s="679"/>
      <c r="AG140" s="108"/>
      <c r="AH140" s="676"/>
      <c r="AI140" s="679"/>
      <c r="AJ140" s="108"/>
      <c r="AK140" s="676"/>
      <c r="AL140" s="679"/>
      <c r="AM140" s="108"/>
      <c r="AN140" s="676"/>
      <c r="AO140" s="679"/>
      <c r="AP140" s="108"/>
      <c r="AQ140" s="688"/>
      <c r="AR140" s="685"/>
      <c r="AS140" s="19"/>
      <c r="AT140" s="688"/>
      <c r="AU140" s="685"/>
      <c r="AV140" s="19"/>
      <c r="AW140" s="688"/>
      <c r="AX140" s="685"/>
      <c r="AY140" s="19"/>
      <c r="AZ140" s="688"/>
      <c r="BA140" s="685"/>
      <c r="BB140" s="19"/>
      <c r="BC140" s="688"/>
      <c r="BD140" s="685"/>
      <c r="BE140" s="19"/>
      <c r="BF140" s="688"/>
      <c r="BG140" s="685"/>
      <c r="BH140" s="19"/>
      <c r="BI140" s="688"/>
      <c r="BJ140" s="685"/>
      <c r="BK140" s="19"/>
      <c r="BL140" s="688"/>
      <c r="BM140" s="685"/>
    </row>
    <row r="141" spans="1:66" ht="12">
      <c r="A141" s="37" t="s">
        <v>298</v>
      </c>
      <c r="B141" s="339"/>
      <c r="C141" s="339"/>
      <c r="D141" s="339"/>
      <c r="E141" s="339"/>
      <c r="F141" s="339"/>
      <c r="G141" s="339"/>
      <c r="H141" s="339"/>
      <c r="I141" s="339"/>
      <c r="J141" s="339"/>
      <c r="K141" s="339"/>
      <c r="L141" s="339"/>
      <c r="M141" s="339"/>
      <c r="N141" s="339"/>
      <c r="O141" s="339"/>
      <c r="P141" s="84">
        <f>P138+P139+P140</f>
        <v>181</v>
      </c>
      <c r="Q141" s="84">
        <f>Q138+Q139+Q140</f>
        <v>0</v>
      </c>
      <c r="R141" s="84"/>
      <c r="S141" s="632"/>
      <c r="T141" s="655">
        <f>T138+T139+T140</f>
        <v>43</v>
      </c>
      <c r="U141" s="84"/>
      <c r="V141" s="632"/>
      <c r="W141" s="655">
        <v>38</v>
      </c>
      <c r="X141" s="84"/>
      <c r="Y141" s="632"/>
      <c r="Z141" s="655">
        <v>38</v>
      </c>
      <c r="AA141" s="84"/>
      <c r="AB141" s="632"/>
      <c r="AC141" s="655">
        <v>201</v>
      </c>
      <c r="AD141" s="84"/>
      <c r="AE141" s="632"/>
      <c r="AF141" s="655">
        <v>419</v>
      </c>
      <c r="AG141" s="84"/>
      <c r="AH141" s="632"/>
      <c r="AI141" s="655">
        <v>-4510</v>
      </c>
      <c r="AJ141" s="84">
        <v>-1064</v>
      </c>
      <c r="AK141" s="632">
        <f>AL141-AJ141</f>
        <v>-606</v>
      </c>
      <c r="AL141" s="655">
        <v>-1670</v>
      </c>
      <c r="AM141" s="84">
        <v>63</v>
      </c>
      <c r="AN141" s="632">
        <f>AO141-AM141</f>
        <v>163</v>
      </c>
      <c r="AO141" s="655">
        <v>226</v>
      </c>
      <c r="AP141" s="84">
        <v>401</v>
      </c>
      <c r="AQ141" s="632">
        <f>AR141-AP141</f>
        <v>225</v>
      </c>
      <c r="AR141" s="655">
        <v>626</v>
      </c>
      <c r="AS141" s="84">
        <v>1038</v>
      </c>
      <c r="AT141" s="632">
        <f>AU141-AS141</f>
        <v>992</v>
      </c>
      <c r="AU141" s="655">
        <v>2030</v>
      </c>
      <c r="AV141" s="84">
        <v>1111</v>
      </c>
      <c r="AW141" s="632">
        <f>AX141-AV141</f>
        <v>1401</v>
      </c>
      <c r="AX141" s="655">
        <v>2512</v>
      </c>
      <c r="AY141" s="84">
        <v>1458</v>
      </c>
      <c r="AZ141" s="722"/>
      <c r="BA141" s="731"/>
      <c r="BB141" s="341"/>
      <c r="BC141" s="722"/>
      <c r="BD141" s="731"/>
      <c r="BE141" s="341"/>
      <c r="BF141" s="722"/>
      <c r="BG141" s="731"/>
      <c r="BH141" s="341"/>
      <c r="BI141" s="722"/>
      <c r="BJ141" s="731"/>
      <c r="BK141" s="341"/>
      <c r="BL141" s="722"/>
      <c r="BM141" s="731"/>
    </row>
    <row r="142" spans="1:66" ht="11.4">
      <c r="S142" s="595"/>
      <c r="T142" s="619"/>
      <c r="V142" s="595"/>
      <c r="W142" s="619"/>
      <c r="Y142" s="595"/>
      <c r="Z142" s="741"/>
      <c r="AA142" s="38"/>
      <c r="AB142" s="737"/>
      <c r="AC142" s="741"/>
      <c r="AD142" s="38"/>
      <c r="AE142" s="737"/>
      <c r="AF142" s="741"/>
      <c r="AG142" s="38"/>
      <c r="AH142" s="737"/>
      <c r="AI142" s="741"/>
      <c r="AJ142" s="38"/>
      <c r="AK142" s="737"/>
      <c r="AL142" s="741"/>
      <c r="AM142" s="38"/>
      <c r="AN142" s="737"/>
      <c r="AO142" s="741"/>
      <c r="AP142" s="38"/>
      <c r="AQ142" s="688"/>
      <c r="AR142" s="685"/>
      <c r="AS142" s="19"/>
      <c r="AT142" s="688"/>
      <c r="AU142" s="685"/>
      <c r="AV142" s="19"/>
      <c r="AW142" s="688"/>
      <c r="AX142" s="685"/>
      <c r="AY142" s="19"/>
      <c r="AZ142" s="688"/>
      <c r="BA142" s="685"/>
      <c r="BB142" s="19"/>
      <c r="BC142" s="688"/>
      <c r="BD142" s="685"/>
      <c r="BE142" s="19"/>
      <c r="BF142" s="688"/>
      <c r="BG142" s="685"/>
      <c r="BH142" s="19"/>
      <c r="BI142" s="688"/>
      <c r="BJ142" s="685"/>
      <c r="BK142" s="19"/>
      <c r="BL142" s="688"/>
      <c r="BM142" s="685"/>
    </row>
    <row r="143" spans="1:66">
      <c r="A143" s="310" t="s">
        <v>401</v>
      </c>
      <c r="B143" s="311"/>
      <c r="C143" s="311"/>
      <c r="D143" s="311"/>
      <c r="E143" s="311"/>
      <c r="F143" s="311"/>
      <c r="G143" s="311"/>
      <c r="H143" s="311"/>
      <c r="I143" s="311"/>
      <c r="J143" s="311"/>
      <c r="K143" s="311"/>
      <c r="L143" s="311"/>
      <c r="M143" s="311"/>
      <c r="N143" s="311"/>
      <c r="O143" s="311"/>
      <c r="P143" s="311"/>
      <c r="Q143" s="311"/>
      <c r="R143" s="307"/>
      <c r="S143" s="316"/>
      <c r="T143" s="566"/>
      <c r="U143" s="307"/>
      <c r="V143" s="316"/>
      <c r="W143" s="566"/>
      <c r="X143" s="307"/>
      <c r="Y143" s="316"/>
      <c r="Z143" s="551"/>
      <c r="AA143" s="525"/>
      <c r="AB143" s="317"/>
      <c r="AC143" s="551"/>
      <c r="AD143" s="525"/>
      <c r="AE143" s="317"/>
      <c r="AF143" s="551"/>
      <c r="AG143" s="525"/>
      <c r="AH143" s="317"/>
      <c r="AI143" s="551"/>
      <c r="AJ143" s="525"/>
      <c r="AK143" s="317"/>
      <c r="AL143" s="551"/>
      <c r="AM143" s="525"/>
      <c r="AN143" s="317"/>
      <c r="AO143" s="551"/>
      <c r="AP143" s="525"/>
      <c r="AQ143" s="317"/>
      <c r="AR143" s="551"/>
      <c r="AS143" s="525"/>
      <c r="AT143" s="317"/>
      <c r="AU143" s="551"/>
      <c r="AV143" s="525"/>
      <c r="AW143" s="317"/>
      <c r="AX143" s="551"/>
      <c r="AY143" s="525"/>
      <c r="AZ143" s="215"/>
      <c r="BA143" s="574"/>
      <c r="BB143" s="179"/>
      <c r="BC143" s="215"/>
      <c r="BD143" s="574"/>
      <c r="BE143" s="179"/>
      <c r="BF143" s="215"/>
      <c r="BG143" s="574"/>
      <c r="BH143" s="179"/>
      <c r="BI143" s="215"/>
      <c r="BJ143" s="574"/>
      <c r="BK143" s="179"/>
      <c r="BL143" s="215"/>
      <c r="BM143" s="574"/>
    </row>
    <row r="144" spans="1:66">
      <c r="B144" s="40"/>
      <c r="C144" s="40"/>
      <c r="D144" s="40"/>
      <c r="E144" s="40"/>
      <c r="F144" s="40"/>
      <c r="G144" s="40"/>
      <c r="H144" s="40"/>
      <c r="I144" s="40"/>
      <c r="J144" s="40"/>
      <c r="K144" s="40"/>
      <c r="L144" s="40"/>
      <c r="M144" s="40"/>
      <c r="N144" s="40"/>
      <c r="O144" s="40"/>
      <c r="P144" s="40"/>
      <c r="Q144" s="40"/>
      <c r="R144" s="40"/>
      <c r="S144" s="630"/>
      <c r="T144" s="653"/>
      <c r="U144" s="40"/>
      <c r="V144" s="630"/>
      <c r="W144" s="653"/>
      <c r="X144" s="40"/>
      <c r="Y144" s="630"/>
      <c r="Z144" s="653"/>
      <c r="AA144" s="40"/>
      <c r="AB144" s="630"/>
      <c r="AC144" s="653"/>
      <c r="AD144" s="40"/>
      <c r="AE144" s="630"/>
      <c r="AF144" s="653"/>
      <c r="AG144" s="40"/>
      <c r="AH144" s="630"/>
      <c r="AI144" s="653"/>
      <c r="AJ144" s="40"/>
      <c r="AK144" s="630"/>
      <c r="AL144" s="653"/>
      <c r="AM144" s="40"/>
      <c r="AN144" s="630"/>
      <c r="AO144" s="653"/>
      <c r="AP144" s="40"/>
      <c r="AQ144" s="539"/>
      <c r="AR144" s="550"/>
      <c r="AS144"/>
      <c r="AT144" s="539"/>
      <c r="AU144" s="550"/>
      <c r="AV144"/>
      <c r="AW144" s="539"/>
      <c r="AX144" s="550"/>
      <c r="AY144"/>
      <c r="AZ144" s="539"/>
      <c r="BA144" s="550"/>
      <c r="BB144"/>
      <c r="BC144" s="539"/>
      <c r="BD144" s="550"/>
      <c r="BE144"/>
      <c r="BF144" s="539"/>
      <c r="BG144" s="550"/>
      <c r="BH144"/>
      <c r="BI144" s="539"/>
      <c r="BJ144" s="550"/>
      <c r="BK144"/>
      <c r="BL144" s="539"/>
      <c r="BM144" s="550"/>
    </row>
    <row r="145" spans="1:65" hidden="1" outlineLevel="1">
      <c r="A145" s="31" t="s">
        <v>643</v>
      </c>
      <c r="B145" s="40"/>
      <c r="C145" s="40"/>
      <c r="D145" s="40"/>
      <c r="E145" s="40"/>
      <c r="F145" s="40"/>
      <c r="G145" s="40"/>
      <c r="H145" s="40"/>
      <c r="I145" s="40"/>
      <c r="J145" s="40"/>
      <c r="K145" s="40"/>
      <c r="L145" s="40"/>
      <c r="M145" s="40"/>
      <c r="N145" s="40"/>
      <c r="O145" s="40"/>
      <c r="P145" s="40"/>
      <c r="Q145" s="40"/>
      <c r="R145" s="40"/>
      <c r="S145" s="630"/>
      <c r="T145" s="653"/>
      <c r="U145" s="40"/>
      <c r="V145" s="630"/>
      <c r="W145" s="653"/>
      <c r="X145" s="40"/>
      <c r="Y145" s="630"/>
      <c r="Z145" s="653"/>
      <c r="AA145" s="40"/>
      <c r="AB145" s="630"/>
      <c r="AC145" s="653"/>
      <c r="AD145" s="40"/>
      <c r="AE145" s="630"/>
      <c r="AF145" s="653"/>
      <c r="AG145" s="40"/>
      <c r="AH145" s="630"/>
      <c r="AI145" s="653"/>
      <c r="AJ145" s="40"/>
      <c r="AK145" s="630"/>
      <c r="AL145" s="653"/>
      <c r="AM145" s="40"/>
      <c r="AN145" s="630"/>
      <c r="AO145" s="653"/>
      <c r="AP145" s="40"/>
      <c r="AQ145" s="539"/>
      <c r="AR145" s="550"/>
      <c r="AS145"/>
      <c r="AT145" s="539"/>
      <c r="AU145" s="550"/>
      <c r="AV145"/>
      <c r="AW145" s="539"/>
      <c r="AX145" s="550"/>
      <c r="AY145"/>
      <c r="AZ145" s="539"/>
      <c r="BA145" s="550"/>
      <c r="BB145"/>
      <c r="BC145" s="539"/>
      <c r="BD145" s="550"/>
      <c r="BE145"/>
      <c r="BF145" s="539"/>
      <c r="BG145" s="550"/>
      <c r="BH145"/>
      <c r="BI145" s="539"/>
      <c r="BJ145" s="550"/>
      <c r="BK145"/>
      <c r="BL145" s="539"/>
      <c r="BM145" s="550"/>
    </row>
    <row r="146" spans="1:65" hidden="1" outlineLevel="1">
      <c r="A146" s="25" t="s">
        <v>473</v>
      </c>
      <c r="B146" s="40"/>
      <c r="C146" s="40"/>
      <c r="D146" s="40"/>
      <c r="E146" s="40"/>
      <c r="F146" s="40"/>
      <c r="G146" s="40">
        <f>BS!F119</f>
        <v>115</v>
      </c>
      <c r="H146" s="40">
        <f>BS!G119</f>
        <v>119</v>
      </c>
      <c r="I146" s="40">
        <f>BS!H119</f>
        <v>153</v>
      </c>
      <c r="J146" s="40">
        <f>BS!I119</f>
        <v>162</v>
      </c>
      <c r="K146" s="40">
        <f>BS!J119</f>
        <v>213</v>
      </c>
      <c r="L146" s="40">
        <f>BS!K119</f>
        <v>290</v>
      </c>
      <c r="M146" s="40">
        <f>BS!L119</f>
        <v>346</v>
      </c>
      <c r="N146" s="40">
        <f>BS!M119</f>
        <v>233</v>
      </c>
      <c r="O146" s="40">
        <f>BS!N119</f>
        <v>204</v>
      </c>
      <c r="P146" s="40">
        <f>BS!O119</f>
        <v>228</v>
      </c>
      <c r="Q146" s="40">
        <f>BS!P119</f>
        <v>249</v>
      </c>
      <c r="R146" s="40"/>
      <c r="S146" s="630"/>
      <c r="T146" s="653">
        <f>BS!Q119</f>
        <v>405</v>
      </c>
      <c r="U146" s="40"/>
      <c r="V146" s="630"/>
      <c r="W146" s="653">
        <f>BS!T119</f>
        <v>574</v>
      </c>
      <c r="X146" s="40"/>
      <c r="Y146" s="630"/>
      <c r="Z146" s="653"/>
      <c r="AA146" s="40"/>
      <c r="AB146" s="630"/>
      <c r="AC146" s="653"/>
      <c r="AD146" s="40"/>
      <c r="AE146" s="630"/>
      <c r="AF146" s="653"/>
      <c r="AG146" s="40"/>
      <c r="AH146" s="630"/>
      <c r="AI146" s="653"/>
      <c r="AJ146" s="40"/>
      <c r="AK146" s="630"/>
      <c r="AL146" s="653"/>
      <c r="AM146" s="40"/>
      <c r="AN146" s="630"/>
      <c r="AO146" s="653"/>
      <c r="AP146" s="40"/>
      <c r="AQ146" s="539"/>
      <c r="AR146" s="550"/>
      <c r="AS146"/>
      <c r="AT146" s="539"/>
      <c r="AU146" s="550"/>
      <c r="AV146"/>
      <c r="AW146" s="539"/>
      <c r="AX146" s="550"/>
      <c r="AY146"/>
      <c r="AZ146" s="539"/>
      <c r="BA146" s="550"/>
      <c r="BB146"/>
      <c r="BC146" s="539"/>
      <c r="BD146" s="550"/>
      <c r="BE146"/>
      <c r="BF146" s="539"/>
      <c r="BG146" s="550"/>
      <c r="BH146"/>
      <c r="BI146" s="539"/>
      <c r="BJ146" s="550"/>
      <c r="BK146"/>
      <c r="BL146" s="539"/>
      <c r="BM146" s="550"/>
    </row>
    <row r="147" spans="1:65" hidden="1" outlineLevel="1">
      <c r="A147" s="25" t="s">
        <v>292</v>
      </c>
      <c r="B147" s="40"/>
      <c r="C147" s="40"/>
      <c r="D147" s="40"/>
      <c r="E147" s="40"/>
      <c r="F147" s="40">
        <f>BS!F131</f>
        <v>21</v>
      </c>
      <c r="G147" s="40">
        <f>BS!G131</f>
        <v>36</v>
      </c>
      <c r="H147" s="40">
        <f>BS!H131</f>
        <v>64</v>
      </c>
      <c r="I147" s="40">
        <f>BS!I131</f>
        <v>37</v>
      </c>
      <c r="J147" s="40">
        <f>BS!J131</f>
        <v>97</v>
      </c>
      <c r="K147" s="40">
        <f>BS!K131</f>
        <v>123</v>
      </c>
      <c r="L147" s="40">
        <f>BS!L131</f>
        <v>111</v>
      </c>
      <c r="M147" s="40">
        <f>BS!M131</f>
        <v>135</v>
      </c>
      <c r="N147" s="40">
        <f>BS!N131</f>
        <v>35</v>
      </c>
      <c r="O147" s="40">
        <f>BS!O131</f>
        <v>52</v>
      </c>
      <c r="P147" s="40">
        <f>BS!P131</f>
        <v>93</v>
      </c>
      <c r="Q147" s="40">
        <f>BS!Q131</f>
        <v>161</v>
      </c>
      <c r="R147" s="40"/>
      <c r="S147" s="630"/>
      <c r="T147" s="653">
        <f>BS!T131</f>
        <v>208</v>
      </c>
      <c r="U147" s="40"/>
      <c r="V147" s="630"/>
      <c r="W147" s="653">
        <f>BS!W131</f>
        <v>286</v>
      </c>
      <c r="X147" s="40"/>
      <c r="Y147" s="630"/>
      <c r="Z147" s="653"/>
      <c r="AA147" s="40"/>
      <c r="AB147" s="630"/>
      <c r="AC147" s="653"/>
      <c r="AD147" s="40"/>
      <c r="AE147" s="630"/>
      <c r="AF147" s="653"/>
      <c r="AG147" s="40"/>
      <c r="AH147" s="630"/>
      <c r="AI147" s="653"/>
      <c r="AJ147" s="40"/>
      <c r="AK147" s="630"/>
      <c r="AL147" s="653"/>
      <c r="AM147" s="40"/>
      <c r="AN147" s="630"/>
      <c r="AO147" s="653"/>
      <c r="AP147" s="40"/>
      <c r="AQ147" s="539"/>
      <c r="AR147" s="550"/>
      <c r="AS147"/>
      <c r="AT147" s="539"/>
      <c r="AU147" s="550"/>
      <c r="AV147"/>
      <c r="AW147" s="539"/>
      <c r="AX147" s="550"/>
      <c r="AY147"/>
      <c r="AZ147" s="539"/>
      <c r="BA147" s="550"/>
      <c r="BB147"/>
      <c r="BC147" s="539"/>
      <c r="BD147" s="550"/>
      <c r="BE147"/>
      <c r="BF147" s="539"/>
      <c r="BG147" s="550"/>
      <c r="BH147"/>
      <c r="BI147" s="539"/>
      <c r="BJ147" s="550"/>
      <c r="BK147"/>
      <c r="BL147" s="539"/>
      <c r="BM147" s="550"/>
    </row>
    <row r="148" spans="1:65" hidden="1" outlineLevel="1">
      <c r="A148" s="25" t="s">
        <v>430</v>
      </c>
      <c r="B148" s="40"/>
      <c r="C148" s="40"/>
      <c r="D148" s="40"/>
      <c r="E148" s="40"/>
      <c r="F148" s="40">
        <f>-BS!F144</f>
        <v>-26</v>
      </c>
      <c r="G148" s="40">
        <f>-BS!G144</f>
        <v>-32</v>
      </c>
      <c r="H148" s="40">
        <f>-BS!H144</f>
        <v>-30</v>
      </c>
      <c r="I148" s="40">
        <f>-BS!I144</f>
        <v>-28</v>
      </c>
      <c r="J148" s="40">
        <f>-BS!J144</f>
        <v>-46</v>
      </c>
      <c r="K148" s="40">
        <f>-BS!K144</f>
        <v>-46</v>
      </c>
      <c r="L148" s="40">
        <f>-BS!L144</f>
        <v>-55</v>
      </c>
      <c r="M148" s="40">
        <f>-BS!M144</f>
        <v>-62</v>
      </c>
      <c r="N148" s="40">
        <f>-BS!N144</f>
        <v>-64</v>
      </c>
      <c r="O148" s="40">
        <f>-BS!O144</f>
        <v>-28</v>
      </c>
      <c r="P148" s="40">
        <f>-BS!P144</f>
        <v>-37</v>
      </c>
      <c r="Q148" s="40">
        <f>-BS!Q144</f>
        <v>-55</v>
      </c>
      <c r="R148" s="40"/>
      <c r="S148" s="630"/>
      <c r="T148" s="653">
        <f>-BS!T144</f>
        <v>-39</v>
      </c>
      <c r="U148" s="40"/>
      <c r="V148" s="630"/>
      <c r="W148" s="653">
        <f>-BS!W144</f>
        <v>-57</v>
      </c>
      <c r="X148" s="40"/>
      <c r="Y148" s="630"/>
      <c r="Z148" s="653"/>
      <c r="AA148" s="40"/>
      <c r="AB148" s="630"/>
      <c r="AC148" s="653"/>
      <c r="AD148" s="40"/>
      <c r="AE148" s="630"/>
      <c r="AF148" s="653"/>
      <c r="AG148" s="40"/>
      <c r="AH148" s="630"/>
      <c r="AI148" s="653"/>
      <c r="AJ148" s="40"/>
      <c r="AK148" s="630"/>
      <c r="AL148" s="653"/>
      <c r="AM148" s="40"/>
      <c r="AN148" s="630"/>
      <c r="AO148" s="653"/>
      <c r="AP148" s="40"/>
      <c r="AQ148" s="539"/>
      <c r="AR148" s="550"/>
      <c r="AS148"/>
      <c r="AT148" s="539"/>
      <c r="AU148" s="550"/>
      <c r="AV148"/>
      <c r="AW148" s="539"/>
      <c r="AX148" s="550"/>
      <c r="AY148"/>
      <c r="AZ148" s="539"/>
      <c r="BA148" s="550"/>
      <c r="BB148"/>
      <c r="BC148" s="539"/>
      <c r="BD148" s="550"/>
      <c r="BE148"/>
      <c r="BF148" s="539"/>
      <c r="BG148" s="550"/>
      <c r="BH148"/>
      <c r="BI148" s="539"/>
      <c r="BJ148" s="550"/>
      <c r="BK148"/>
      <c r="BL148" s="539"/>
      <c r="BM148" s="550"/>
    </row>
    <row r="149" spans="1:65" hidden="1" outlineLevel="1">
      <c r="A149" s="25" t="s">
        <v>438</v>
      </c>
      <c r="B149" s="40"/>
      <c r="C149" s="40"/>
      <c r="D149" s="40"/>
      <c r="E149" s="40"/>
      <c r="F149" s="40"/>
      <c r="G149" s="40">
        <f t="shared" ref="G149:Q149" si="317">G150-G148-G147-G146</f>
        <v>0</v>
      </c>
      <c r="H149" s="40">
        <f t="shared" si="317"/>
        <v>0</v>
      </c>
      <c r="I149" s="40">
        <f t="shared" si="317"/>
        <v>0</v>
      </c>
      <c r="J149" s="40">
        <f t="shared" si="317"/>
        <v>0</v>
      </c>
      <c r="K149" s="40">
        <f t="shared" si="317"/>
        <v>0</v>
      </c>
      <c r="L149" s="40">
        <f t="shared" si="317"/>
        <v>0</v>
      </c>
      <c r="M149" s="40">
        <f t="shared" si="317"/>
        <v>-186</v>
      </c>
      <c r="N149" s="40">
        <f t="shared" si="317"/>
        <v>0</v>
      </c>
      <c r="O149" s="40">
        <f t="shared" si="317"/>
        <v>0</v>
      </c>
      <c r="P149" s="40">
        <f t="shared" si="317"/>
        <v>-35</v>
      </c>
      <c r="Q149" s="40">
        <f t="shared" si="317"/>
        <v>50</v>
      </c>
      <c r="R149" s="40"/>
      <c r="S149" s="630"/>
      <c r="T149" s="653">
        <f>T150-T148-T147-T146</f>
        <v>0</v>
      </c>
      <c r="U149" s="40"/>
      <c r="V149" s="630"/>
      <c r="W149" s="653">
        <f>W150-W148-W147-W146</f>
        <v>70</v>
      </c>
      <c r="X149" s="40"/>
      <c r="Y149" s="630"/>
      <c r="Z149" s="653"/>
      <c r="AA149" s="40"/>
      <c r="AB149" s="630"/>
      <c r="AC149" s="653"/>
      <c r="AD149" s="40"/>
      <c r="AE149" s="630"/>
      <c r="AF149" s="653"/>
      <c r="AG149" s="40"/>
      <c r="AH149" s="630"/>
      <c r="AI149" s="653"/>
      <c r="AJ149" s="40"/>
      <c r="AK149" s="630"/>
      <c r="AL149" s="653"/>
      <c r="AM149" s="40"/>
      <c r="AN149" s="630"/>
      <c r="AO149" s="653"/>
      <c r="AP149" s="40"/>
      <c r="AQ149" s="542"/>
      <c r="AR149" s="580"/>
      <c r="AS149" s="21"/>
      <c r="AT149" s="542"/>
      <c r="AU149" s="580"/>
      <c r="AV149" s="21"/>
      <c r="AW149" s="542"/>
      <c r="AX149" s="580"/>
      <c r="AY149" s="21"/>
      <c r="AZ149" s="542"/>
      <c r="BA149" s="580"/>
      <c r="BB149" s="21"/>
      <c r="BC149" s="542"/>
      <c r="BD149" s="580"/>
      <c r="BE149" s="21"/>
      <c r="BF149" s="542"/>
      <c r="BG149" s="580"/>
      <c r="BH149" s="21"/>
      <c r="BI149" s="542"/>
      <c r="BJ149" s="580"/>
      <c r="BK149" s="21"/>
      <c r="BL149" s="542"/>
      <c r="BM149" s="580"/>
    </row>
    <row r="150" spans="1:65" hidden="1" outlineLevel="1">
      <c r="A150" s="68" t="s">
        <v>472</v>
      </c>
      <c r="B150" s="46"/>
      <c r="C150" s="46"/>
      <c r="D150" s="46"/>
      <c r="E150" s="46"/>
      <c r="F150" s="46">
        <f>BS!F119</f>
        <v>115</v>
      </c>
      <c r="G150" s="46">
        <f>BS!G119</f>
        <v>119</v>
      </c>
      <c r="H150" s="46">
        <f>BS!H119</f>
        <v>153</v>
      </c>
      <c r="I150" s="46">
        <f>BS!I119</f>
        <v>162</v>
      </c>
      <c r="J150" s="46">
        <f>BS!J119</f>
        <v>213</v>
      </c>
      <c r="K150" s="46">
        <f>BS!K119</f>
        <v>290</v>
      </c>
      <c r="L150" s="46">
        <f>BS!L119</f>
        <v>346</v>
      </c>
      <c r="M150" s="46">
        <f>BS!M119</f>
        <v>233</v>
      </c>
      <c r="N150" s="46">
        <f>BS!N119</f>
        <v>204</v>
      </c>
      <c r="O150" s="46">
        <f>BS!O119</f>
        <v>228</v>
      </c>
      <c r="P150" s="46">
        <f>BS!P119</f>
        <v>249</v>
      </c>
      <c r="Q150" s="46">
        <f>BS!Q119</f>
        <v>405</v>
      </c>
      <c r="R150" s="46"/>
      <c r="S150" s="643"/>
      <c r="T150" s="667">
        <f>BS!T119</f>
        <v>574</v>
      </c>
      <c r="U150" s="46"/>
      <c r="V150" s="643"/>
      <c r="W150" s="667">
        <f>BS!W119</f>
        <v>873</v>
      </c>
      <c r="X150" s="46"/>
      <c r="Y150" s="643"/>
      <c r="Z150" s="667"/>
      <c r="AA150" s="46"/>
      <c r="AB150" s="643"/>
      <c r="AC150" s="667"/>
      <c r="AD150" s="46"/>
      <c r="AE150" s="643"/>
      <c r="AF150" s="667"/>
      <c r="AG150" s="46"/>
      <c r="AH150" s="643"/>
      <c r="AI150" s="667"/>
      <c r="AJ150" s="46"/>
      <c r="AK150" s="643"/>
      <c r="AL150" s="667"/>
      <c r="AM150" s="46"/>
      <c r="AN150" s="643"/>
      <c r="AO150" s="667"/>
      <c r="AP150" s="46"/>
      <c r="AQ150" s="723"/>
      <c r="AR150" s="732"/>
      <c r="AS150" s="4"/>
      <c r="AT150" s="723"/>
      <c r="AU150" s="732"/>
      <c r="AV150" s="4"/>
      <c r="AW150" s="723"/>
      <c r="AX150" s="732"/>
      <c r="AY150" s="4"/>
      <c r="AZ150" s="723"/>
      <c r="BA150" s="732"/>
      <c r="BB150" s="4"/>
      <c r="BC150" s="723"/>
      <c r="BD150" s="732"/>
      <c r="BE150" s="4"/>
      <c r="BF150" s="723"/>
      <c r="BG150" s="732"/>
      <c r="BH150" s="4"/>
      <c r="BI150" s="723"/>
      <c r="BJ150" s="732"/>
      <c r="BK150" s="4"/>
      <c r="BL150" s="723"/>
      <c r="BM150" s="732"/>
    </row>
    <row r="151" spans="1:65" hidden="1" outlineLevel="1">
      <c r="A151" s="25" t="s">
        <v>443</v>
      </c>
      <c r="B151" s="51"/>
      <c r="C151" s="51"/>
      <c r="D151" s="51"/>
      <c r="E151" s="51"/>
      <c r="F151" s="40"/>
      <c r="G151" s="40">
        <f t="shared" ref="G151:Q151" si="318">G150-G146</f>
        <v>4</v>
      </c>
      <c r="H151" s="40">
        <f t="shared" si="318"/>
        <v>34</v>
      </c>
      <c r="I151" s="40">
        <f t="shared" si="318"/>
        <v>9</v>
      </c>
      <c r="J151" s="40">
        <f t="shared" si="318"/>
        <v>51</v>
      </c>
      <c r="K151" s="40">
        <f t="shared" si="318"/>
        <v>77</v>
      </c>
      <c r="L151" s="40">
        <f t="shared" si="318"/>
        <v>56</v>
      </c>
      <c r="M151" s="40">
        <f t="shared" si="318"/>
        <v>-113</v>
      </c>
      <c r="N151" s="40">
        <f t="shared" si="318"/>
        <v>-29</v>
      </c>
      <c r="O151" s="40">
        <f t="shared" si="318"/>
        <v>24</v>
      </c>
      <c r="P151" s="40">
        <f t="shared" si="318"/>
        <v>21</v>
      </c>
      <c r="Q151" s="40">
        <f t="shared" si="318"/>
        <v>156</v>
      </c>
      <c r="R151" s="40"/>
      <c r="S151" s="630"/>
      <c r="T151" s="653">
        <f>T150-T146</f>
        <v>169</v>
      </c>
      <c r="U151" s="40"/>
      <c r="V151" s="630"/>
      <c r="W151" s="653">
        <f>W150-W146</f>
        <v>299</v>
      </c>
      <c r="X151" s="40"/>
      <c r="Y151" s="630"/>
      <c r="Z151" s="653"/>
      <c r="AA151" s="40"/>
      <c r="AB151" s="630"/>
      <c r="AC151" s="653"/>
      <c r="AD151" s="40"/>
      <c r="AE151" s="630"/>
      <c r="AF151" s="653"/>
      <c r="AG151" s="40"/>
      <c r="AH151" s="630"/>
      <c r="AI151" s="653"/>
      <c r="AJ151" s="40"/>
      <c r="AK151" s="630"/>
      <c r="AL151" s="653"/>
      <c r="AM151" s="40"/>
      <c r="AN151" s="630"/>
      <c r="AO151" s="653"/>
      <c r="AP151" s="40"/>
      <c r="AQ151" s="539"/>
      <c r="AR151" s="550"/>
      <c r="AS151"/>
      <c r="AT151" s="539"/>
      <c r="AU151" s="550"/>
      <c r="AV151"/>
      <c r="AW151" s="539"/>
      <c r="AX151" s="550"/>
      <c r="AY151"/>
      <c r="AZ151" s="539"/>
      <c r="BA151" s="550"/>
      <c r="BB151"/>
      <c r="BC151" s="539"/>
      <c r="BD151" s="550"/>
      <c r="BE151"/>
      <c r="BF151" s="539"/>
      <c r="BG151" s="550"/>
      <c r="BH151"/>
      <c r="BI151" s="539"/>
      <c r="BJ151" s="550"/>
      <c r="BK151"/>
      <c r="BL151" s="539"/>
      <c r="BM151" s="550"/>
    </row>
    <row r="152" spans="1:65" hidden="1" outlineLevel="1">
      <c r="A152" s="31"/>
      <c r="B152" s="51"/>
      <c r="C152" s="40"/>
      <c r="D152" s="40"/>
      <c r="E152" s="40"/>
      <c r="F152" s="40"/>
      <c r="G152" s="40"/>
      <c r="H152" s="40"/>
      <c r="I152" s="40"/>
      <c r="J152" s="40"/>
      <c r="K152" s="40"/>
      <c r="L152" s="40"/>
      <c r="M152" s="40"/>
      <c r="N152" s="40"/>
      <c r="O152" s="40"/>
      <c r="P152" s="40"/>
      <c r="Q152" s="40"/>
      <c r="R152" s="40"/>
      <c r="S152" s="630"/>
      <c r="T152" s="653"/>
      <c r="U152" s="40"/>
      <c r="V152" s="630"/>
      <c r="W152" s="653"/>
      <c r="X152" s="40"/>
      <c r="Y152" s="630"/>
      <c r="Z152" s="653"/>
      <c r="AA152" s="40"/>
      <c r="AB152" s="630"/>
      <c r="AC152" s="653"/>
      <c r="AD152" s="40"/>
      <c r="AE152" s="630"/>
      <c r="AF152" s="653"/>
      <c r="AG152" s="40"/>
      <c r="AH152" s="630"/>
      <c r="AI152" s="653"/>
      <c r="AJ152" s="40"/>
      <c r="AK152" s="630"/>
      <c r="AL152" s="653"/>
      <c r="AM152" s="40"/>
      <c r="AN152" s="630"/>
      <c r="AO152" s="653"/>
      <c r="AP152" s="40"/>
      <c r="AQ152" s="539"/>
      <c r="AR152" s="550"/>
      <c r="AS152"/>
      <c r="AT152" s="539"/>
      <c r="AU152" s="550"/>
      <c r="AV152"/>
      <c r="AW152" s="539"/>
      <c r="AX152" s="550"/>
      <c r="AY152"/>
      <c r="AZ152" s="539"/>
      <c r="BA152" s="550"/>
      <c r="BB152"/>
      <c r="BC152" s="539"/>
      <c r="BD152" s="550"/>
      <c r="BE152"/>
      <c r="BF152" s="539"/>
      <c r="BG152" s="550"/>
      <c r="BH152"/>
      <c r="BI152" s="539"/>
      <c r="BJ152" s="550"/>
      <c r="BK152"/>
      <c r="BL152" s="539"/>
      <c r="BM152" s="550"/>
    </row>
    <row r="153" spans="1:65" hidden="1" outlineLevel="1">
      <c r="A153" s="31" t="s">
        <v>317</v>
      </c>
      <c r="B153" s="51"/>
      <c r="C153" s="40"/>
      <c r="D153" s="40"/>
      <c r="E153" s="40"/>
      <c r="F153" s="40"/>
      <c r="G153" s="40"/>
      <c r="H153" s="40"/>
      <c r="I153" s="40"/>
      <c r="J153" s="40"/>
      <c r="K153" s="40"/>
      <c r="L153" s="40"/>
      <c r="M153" s="40"/>
      <c r="N153" s="40"/>
      <c r="O153" s="40"/>
      <c r="P153" s="40"/>
      <c r="Q153" s="40"/>
      <c r="R153" s="40"/>
      <c r="S153" s="630"/>
      <c r="T153" s="653"/>
      <c r="U153" s="40"/>
      <c r="V153" s="630"/>
      <c r="W153" s="653"/>
      <c r="X153" s="40"/>
      <c r="Y153" s="630"/>
      <c r="Z153" s="653"/>
      <c r="AA153" s="40"/>
      <c r="AB153" s="630"/>
      <c r="AC153" s="653"/>
      <c r="AD153" s="40"/>
      <c r="AE153" s="630"/>
      <c r="AF153" s="653"/>
      <c r="AG153" s="40"/>
      <c r="AH153" s="630"/>
      <c r="AI153" s="653"/>
      <c r="AJ153" s="40"/>
      <c r="AK153" s="630"/>
      <c r="AL153" s="653"/>
      <c r="AM153" s="40"/>
      <c r="AN153" s="630"/>
      <c r="AO153" s="653"/>
      <c r="AP153" s="40"/>
      <c r="AQ153" s="539"/>
      <c r="AR153" s="550"/>
      <c r="AS153"/>
      <c r="AT153" s="539"/>
      <c r="AU153" s="550"/>
      <c r="AV153"/>
      <c r="AW153" s="539"/>
      <c r="AX153" s="550"/>
      <c r="AY153"/>
      <c r="AZ153" s="539"/>
      <c r="BA153" s="550"/>
      <c r="BB153"/>
      <c r="BC153" s="539"/>
      <c r="BD153" s="550"/>
      <c r="BE153"/>
      <c r="BF153" s="539"/>
      <c r="BG153" s="550"/>
      <c r="BH153"/>
      <c r="BI153" s="539"/>
      <c r="BJ153" s="550"/>
      <c r="BK153"/>
      <c r="BL153" s="539"/>
      <c r="BM153" s="550"/>
    </row>
    <row r="154" spans="1:65" hidden="1" outlineLevel="1">
      <c r="A154" s="25" t="s">
        <v>440</v>
      </c>
      <c r="B154" s="40"/>
      <c r="C154" s="40"/>
      <c r="D154" s="40"/>
      <c r="E154" s="40"/>
      <c r="F154" s="40"/>
      <c r="G154" s="40"/>
      <c r="H154" s="40"/>
      <c r="I154" s="40"/>
      <c r="J154" s="40"/>
      <c r="K154" s="40"/>
      <c r="L154" s="40"/>
      <c r="M154" s="40"/>
      <c r="N154" s="40"/>
      <c r="O154" s="40">
        <f>BS!N83</f>
        <v>1629</v>
      </c>
      <c r="P154" s="40">
        <f>BS!O83</f>
        <v>1901</v>
      </c>
      <c r="Q154" s="40">
        <f>BS!P83</f>
        <v>2492</v>
      </c>
      <c r="R154" s="40"/>
      <c r="S154" s="630"/>
      <c r="T154" s="653">
        <f>BS!Q83</f>
        <v>2994</v>
      </c>
      <c r="U154" s="40"/>
      <c r="V154" s="630"/>
      <c r="W154" s="653">
        <f>T161</f>
        <v>3348</v>
      </c>
      <c r="X154" s="40"/>
      <c r="Y154" s="630"/>
      <c r="Z154" s="653"/>
      <c r="AA154" s="40"/>
      <c r="AB154" s="630"/>
      <c r="AC154" s="653"/>
      <c r="AD154" s="40"/>
      <c r="AE154" s="630"/>
      <c r="AF154" s="653"/>
      <c r="AG154" s="40"/>
      <c r="AH154" s="630"/>
      <c r="AI154" s="653"/>
      <c r="AJ154" s="40"/>
      <c r="AK154" s="630"/>
      <c r="AL154" s="653"/>
      <c r="AM154" s="40"/>
      <c r="AN154" s="630"/>
      <c r="AO154" s="653"/>
      <c r="AP154" s="40"/>
      <c r="AQ154" s="539"/>
      <c r="AR154" s="550"/>
      <c r="AS154"/>
      <c r="AT154" s="539"/>
      <c r="AU154" s="550"/>
      <c r="AV154"/>
      <c r="AW154" s="539"/>
      <c r="AX154" s="550"/>
      <c r="AY154"/>
      <c r="AZ154" s="539"/>
      <c r="BA154" s="550"/>
      <c r="BB154"/>
      <c r="BC154" s="539"/>
      <c r="BD154" s="550"/>
      <c r="BE154"/>
      <c r="BF154" s="539"/>
      <c r="BG154" s="550"/>
      <c r="BH154"/>
      <c r="BI154" s="539"/>
      <c r="BJ154" s="550"/>
      <c r="BK154"/>
      <c r="BL154" s="539"/>
      <c r="BM154" s="550"/>
    </row>
    <row r="155" spans="1:65" hidden="1" outlineLevel="1">
      <c r="A155" s="25" t="s">
        <v>441</v>
      </c>
      <c r="B155" s="40"/>
      <c r="C155" s="40"/>
      <c r="D155" s="40"/>
      <c r="E155" s="40"/>
      <c r="F155" s="40"/>
      <c r="G155" s="40"/>
      <c r="H155" s="40"/>
      <c r="I155" s="40"/>
      <c r="J155" s="40"/>
      <c r="K155" s="40"/>
      <c r="L155" s="40"/>
      <c r="M155" s="40"/>
      <c r="N155" s="40"/>
      <c r="O155" s="40"/>
      <c r="P155" s="40">
        <v>588</v>
      </c>
      <c r="Q155" s="40">
        <f>Q156+Q157</f>
        <v>521</v>
      </c>
      <c r="R155" s="40"/>
      <c r="S155" s="630"/>
      <c r="T155" s="653">
        <f>T156+T157</f>
        <v>432</v>
      </c>
      <c r="U155" s="40"/>
      <c r="V155" s="630"/>
      <c r="W155" s="653">
        <f>W156+W157</f>
        <v>612</v>
      </c>
      <c r="X155" s="40"/>
      <c r="Y155" s="630"/>
      <c r="Z155" s="653"/>
      <c r="AA155" s="40"/>
      <c r="AB155" s="630"/>
      <c r="AC155" s="653"/>
      <c r="AD155" s="40"/>
      <c r="AE155" s="630"/>
      <c r="AF155" s="653"/>
      <c r="AG155" s="40"/>
      <c r="AH155" s="630"/>
      <c r="AI155" s="653"/>
      <c r="AJ155" s="40"/>
      <c r="AK155" s="630"/>
      <c r="AL155" s="653"/>
      <c r="AM155" s="40"/>
      <c r="AN155" s="630"/>
      <c r="AO155" s="653"/>
      <c r="AP155" s="40"/>
      <c r="AQ155" s="539"/>
      <c r="AR155" s="550"/>
      <c r="AS155"/>
      <c r="AT155" s="539"/>
      <c r="AU155" s="550"/>
      <c r="AV155"/>
      <c r="AW155" s="539"/>
      <c r="AX155" s="550"/>
      <c r="AY155"/>
      <c r="AZ155" s="539"/>
      <c r="BA155" s="550"/>
      <c r="BB155"/>
      <c r="BC155" s="539"/>
      <c r="BD155" s="550"/>
      <c r="BE155"/>
      <c r="BF155" s="539"/>
      <c r="BG155" s="550"/>
      <c r="BH155"/>
      <c r="BI155" s="539"/>
      <c r="BJ155" s="550"/>
      <c r="BK155"/>
      <c r="BL155" s="539"/>
      <c r="BM155" s="550"/>
    </row>
    <row r="156" spans="1:65" hidden="1" outlineLevel="1">
      <c r="A156" s="122" t="s">
        <v>444</v>
      </c>
      <c r="B156" s="40"/>
      <c r="C156" s="40"/>
      <c r="D156" s="40"/>
      <c r="E156" s="40"/>
      <c r="F156" s="40"/>
      <c r="G156" s="40"/>
      <c r="H156" s="40"/>
      <c r="I156" s="40"/>
      <c r="J156" s="40"/>
      <c r="K156" s="40"/>
      <c r="L156" s="40"/>
      <c r="M156" s="40"/>
      <c r="N156" s="40"/>
      <c r="O156" s="40"/>
      <c r="P156" s="40"/>
      <c r="Q156" s="40">
        <v>151</v>
      </c>
      <c r="R156" s="40"/>
      <c r="S156" s="630"/>
      <c r="T156" s="653">
        <v>285</v>
      </c>
      <c r="U156" s="40"/>
      <c r="V156" s="630"/>
      <c r="W156" s="653">
        <v>418</v>
      </c>
      <c r="X156" s="40"/>
      <c r="Y156" s="630"/>
      <c r="Z156" s="653"/>
      <c r="AA156" s="40"/>
      <c r="AB156" s="630"/>
      <c r="AC156" s="653"/>
      <c r="AD156" s="40"/>
      <c r="AE156" s="630"/>
      <c r="AF156" s="653"/>
      <c r="AG156" s="40"/>
      <c r="AH156" s="630"/>
      <c r="AI156" s="653"/>
      <c r="AJ156" s="40"/>
      <c r="AK156" s="630"/>
      <c r="AL156" s="653"/>
      <c r="AM156" s="40"/>
      <c r="AN156" s="630"/>
      <c r="AO156" s="653"/>
      <c r="AP156" s="40"/>
      <c r="AQ156" s="539"/>
      <c r="AR156" s="550"/>
      <c r="AS156"/>
      <c r="AT156" s="539"/>
      <c r="AU156" s="550"/>
      <c r="AV156"/>
      <c r="AW156" s="539"/>
      <c r="AX156" s="550"/>
      <c r="AY156"/>
      <c r="AZ156" s="539"/>
      <c r="BA156" s="550"/>
      <c r="BB156"/>
      <c r="BC156" s="539"/>
      <c r="BD156" s="550"/>
      <c r="BE156"/>
      <c r="BF156" s="539"/>
      <c r="BG156" s="550"/>
      <c r="BH156"/>
      <c r="BI156" s="539"/>
      <c r="BJ156" s="550"/>
      <c r="BK156"/>
      <c r="BL156" s="539"/>
      <c r="BM156" s="550"/>
    </row>
    <row r="157" spans="1:65" hidden="1" outlineLevel="1">
      <c r="A157" s="122" t="s">
        <v>445</v>
      </c>
      <c r="B157" s="40"/>
      <c r="C157" s="40"/>
      <c r="D157" s="40"/>
      <c r="E157" s="40"/>
      <c r="F157" s="40"/>
      <c r="G157" s="40"/>
      <c r="H157" s="40"/>
      <c r="I157" s="40"/>
      <c r="J157" s="40"/>
      <c r="K157" s="40"/>
      <c r="L157" s="40"/>
      <c r="M157" s="40"/>
      <c r="N157" s="40"/>
      <c r="O157" s="40"/>
      <c r="P157" s="40"/>
      <c r="Q157" s="40">
        <v>370</v>
      </c>
      <c r="R157" s="40"/>
      <c r="S157" s="630"/>
      <c r="T157" s="653">
        <v>147</v>
      </c>
      <c r="U157" s="40"/>
      <c r="V157" s="630"/>
      <c r="W157" s="653">
        <v>194</v>
      </c>
      <c r="X157" s="40"/>
      <c r="Y157" s="630"/>
      <c r="Z157" s="653"/>
      <c r="AA157" s="40"/>
      <c r="AB157" s="630"/>
      <c r="AC157" s="653"/>
      <c r="AD157" s="40"/>
      <c r="AE157" s="630"/>
      <c r="AF157" s="653"/>
      <c r="AG157" s="40"/>
      <c r="AH157" s="630"/>
      <c r="AI157" s="653"/>
      <c r="AJ157" s="40"/>
      <c r="AK157" s="630"/>
      <c r="AL157" s="653"/>
      <c r="AM157" s="40"/>
      <c r="AN157" s="630"/>
      <c r="AO157" s="653"/>
      <c r="AP157" s="40"/>
      <c r="AQ157" s="539"/>
      <c r="AR157" s="550"/>
      <c r="AS157"/>
      <c r="AT157" s="539"/>
      <c r="AU157" s="550"/>
      <c r="AV157"/>
      <c r="AW157" s="539"/>
      <c r="AX157" s="550"/>
      <c r="AY157"/>
      <c r="AZ157" s="539"/>
      <c r="BA157" s="550"/>
      <c r="BB157"/>
      <c r="BC157" s="539"/>
      <c r="BD157" s="550"/>
      <c r="BE157"/>
      <c r="BF157" s="539"/>
      <c r="BG157" s="550"/>
      <c r="BH157"/>
      <c r="BI157" s="539"/>
      <c r="BJ157" s="550"/>
      <c r="BK157"/>
      <c r="BL157" s="539"/>
      <c r="BM157" s="550"/>
    </row>
    <row r="158" spans="1:65" hidden="1" outlineLevel="1">
      <c r="A158" s="25" t="s">
        <v>518</v>
      </c>
      <c r="B158" s="40"/>
      <c r="C158" s="40"/>
      <c r="D158" s="40"/>
      <c r="E158" s="40"/>
      <c r="F158" s="40"/>
      <c r="G158" s="40"/>
      <c r="H158" s="40"/>
      <c r="I158" s="40"/>
      <c r="J158" s="40"/>
      <c r="K158" s="40"/>
      <c r="L158" s="40"/>
      <c r="M158" s="40"/>
      <c r="N158" s="40"/>
      <c r="O158" s="40"/>
      <c r="P158" s="40"/>
      <c r="Q158" s="40">
        <v>-268</v>
      </c>
      <c r="R158" s="40"/>
      <c r="S158" s="630"/>
      <c r="T158" s="653">
        <v>-276</v>
      </c>
      <c r="U158" s="40"/>
      <c r="V158" s="630"/>
      <c r="W158" s="653">
        <v>-353</v>
      </c>
      <c r="X158" s="40"/>
      <c r="Y158" s="630"/>
      <c r="Z158" s="653"/>
      <c r="AA158" s="40"/>
      <c r="AB158" s="630"/>
      <c r="AC158" s="653"/>
      <c r="AD158" s="40"/>
      <c r="AE158" s="630"/>
      <c r="AF158" s="653"/>
      <c r="AG158" s="40"/>
      <c r="AH158" s="630"/>
      <c r="AI158" s="653"/>
      <c r="AJ158" s="40"/>
      <c r="AK158" s="630"/>
      <c r="AL158" s="653"/>
      <c r="AM158" s="40"/>
      <c r="AN158" s="630"/>
      <c r="AO158" s="653"/>
      <c r="AP158" s="40"/>
      <c r="AQ158" s="542"/>
      <c r="AR158" s="580"/>
      <c r="AS158" s="21"/>
      <c r="AT158" s="542"/>
      <c r="AU158" s="580"/>
      <c r="AV158" s="21"/>
      <c r="AW158" s="542"/>
      <c r="AX158" s="580"/>
      <c r="AY158" s="21"/>
      <c r="AZ158" s="542"/>
      <c r="BA158" s="580"/>
      <c r="BB158" s="21"/>
      <c r="BC158" s="542"/>
      <c r="BD158" s="580"/>
      <c r="BE158" s="21"/>
      <c r="BF158" s="542"/>
      <c r="BG158" s="580"/>
      <c r="BH158" s="21"/>
      <c r="BI158" s="542"/>
      <c r="BJ158" s="580"/>
      <c r="BK158" s="21"/>
      <c r="BL158" s="542"/>
      <c r="BM158" s="580"/>
    </row>
    <row r="159" spans="1:65" hidden="1" outlineLevel="1">
      <c r="A159" s="25" t="s">
        <v>446</v>
      </c>
      <c r="B159" s="40"/>
      <c r="C159" s="40"/>
      <c r="D159" s="40"/>
      <c r="E159" s="40"/>
      <c r="F159" s="40"/>
      <c r="G159" s="40"/>
      <c r="H159" s="40"/>
      <c r="I159" s="40"/>
      <c r="J159" s="40"/>
      <c r="K159" s="40"/>
      <c r="L159" s="40"/>
      <c r="M159" s="40"/>
      <c r="N159" s="40"/>
      <c r="O159" s="40">
        <f>O175</f>
        <v>-110</v>
      </c>
      <c r="P159" s="40">
        <f>P175</f>
        <v>150</v>
      </c>
      <c r="Q159" s="40">
        <f>Q175</f>
        <v>222</v>
      </c>
      <c r="R159" s="40"/>
      <c r="S159" s="630"/>
      <c r="T159" s="653">
        <f>T175</f>
        <v>90</v>
      </c>
      <c r="U159" s="40"/>
      <c r="V159" s="630"/>
      <c r="W159" s="653">
        <f>W175</f>
        <v>-18</v>
      </c>
      <c r="X159" s="40"/>
      <c r="Y159" s="630"/>
      <c r="Z159" s="653"/>
      <c r="AA159" s="40"/>
      <c r="AB159" s="630"/>
      <c r="AC159" s="653"/>
      <c r="AD159" s="40"/>
      <c r="AE159" s="630"/>
      <c r="AF159" s="653"/>
      <c r="AG159" s="40"/>
      <c r="AH159" s="630"/>
      <c r="AI159" s="653"/>
      <c r="AJ159" s="40"/>
      <c r="AK159" s="630"/>
      <c r="AL159" s="653"/>
      <c r="AM159" s="40"/>
      <c r="AN159" s="630"/>
      <c r="AO159" s="653"/>
      <c r="AP159" s="40"/>
      <c r="AQ159" s="216"/>
      <c r="AR159" s="556"/>
      <c r="AS159" s="10"/>
      <c r="AT159" s="216"/>
      <c r="AU159" s="556"/>
      <c r="AV159" s="10"/>
      <c r="AW159" s="216"/>
      <c r="AX159" s="556"/>
      <c r="AY159" s="10"/>
      <c r="AZ159" s="216"/>
      <c r="BA159" s="556"/>
      <c r="BB159" s="10"/>
      <c r="BC159" s="216"/>
      <c r="BD159" s="556"/>
      <c r="BE159" s="10"/>
      <c r="BF159" s="216"/>
      <c r="BG159" s="556"/>
      <c r="BH159" s="10"/>
      <c r="BI159" s="216"/>
      <c r="BJ159" s="556"/>
      <c r="BK159" s="10"/>
      <c r="BL159" s="216"/>
      <c r="BM159" s="556"/>
    </row>
    <row r="160" spans="1:65" hidden="1" outlineLevel="1">
      <c r="A160" s="25" t="s">
        <v>601</v>
      </c>
      <c r="B160" s="40"/>
      <c r="C160" s="40"/>
      <c r="D160" s="40"/>
      <c r="E160" s="40"/>
      <c r="F160" s="40"/>
      <c r="G160" s="40"/>
      <c r="H160" s="40"/>
      <c r="I160" s="40"/>
      <c r="J160" s="40"/>
      <c r="K160" s="40"/>
      <c r="L160" s="40"/>
      <c r="M160" s="40"/>
      <c r="N160" s="40"/>
      <c r="O160" s="40"/>
      <c r="P160" s="40"/>
      <c r="Q160" s="40">
        <f>Q161-Q159-Q158-Q155-Q154</f>
        <v>27</v>
      </c>
      <c r="R160" s="40"/>
      <c r="S160" s="630"/>
      <c r="T160" s="653">
        <f>T161-T159-T158-T155-T154</f>
        <v>108</v>
      </c>
      <c r="U160" s="40"/>
      <c r="V160" s="630"/>
      <c r="W160" s="653">
        <f>W161-W159-W158-W155-W154</f>
        <v>-53</v>
      </c>
      <c r="X160" s="40"/>
      <c r="Y160" s="630"/>
      <c r="Z160" s="653"/>
      <c r="AA160" s="40"/>
      <c r="AB160" s="630"/>
      <c r="AC160" s="653"/>
      <c r="AD160" s="40"/>
      <c r="AE160" s="630"/>
      <c r="AF160" s="653"/>
      <c r="AG160" s="40"/>
      <c r="AH160" s="630"/>
      <c r="AI160" s="653"/>
      <c r="AJ160" s="40"/>
      <c r="AK160" s="630"/>
      <c r="AL160" s="653"/>
      <c r="AM160" s="40"/>
      <c r="AN160" s="630"/>
      <c r="AO160" s="653"/>
      <c r="AP160" s="40"/>
      <c r="AQ160" s="542"/>
      <c r="AR160" s="580"/>
      <c r="AS160" s="21"/>
      <c r="AT160" s="542"/>
      <c r="AU160" s="580"/>
      <c r="AV160" s="21"/>
      <c r="AW160" s="542"/>
      <c r="AX160" s="580"/>
      <c r="AY160" s="21"/>
      <c r="AZ160" s="542"/>
      <c r="BA160" s="580"/>
      <c r="BB160" s="21"/>
      <c r="BC160" s="542"/>
      <c r="BD160" s="580"/>
      <c r="BE160" s="21"/>
      <c r="BF160" s="542"/>
      <c r="BG160" s="580"/>
      <c r="BH160" s="21"/>
      <c r="BI160" s="542"/>
      <c r="BJ160" s="580"/>
      <c r="BK160" s="21"/>
      <c r="BL160" s="542"/>
      <c r="BM160" s="580"/>
    </row>
    <row r="161" spans="1:65" hidden="1" outlineLevel="1">
      <c r="A161" s="31" t="s">
        <v>442</v>
      </c>
      <c r="B161" s="51"/>
      <c r="C161" s="51"/>
      <c r="D161" s="51"/>
      <c r="E161" s="51"/>
      <c r="F161" s="51"/>
      <c r="G161" s="51"/>
      <c r="H161" s="51"/>
      <c r="I161" s="51"/>
      <c r="J161" s="51"/>
      <c r="K161" s="51"/>
      <c r="L161" s="51"/>
      <c r="M161" s="51"/>
      <c r="N161" s="51">
        <f>BS!N83</f>
        <v>1629</v>
      </c>
      <c r="O161" s="51">
        <f>BS!O83</f>
        <v>1901</v>
      </c>
      <c r="P161" s="51">
        <f>BS!P83</f>
        <v>2492</v>
      </c>
      <c r="Q161" s="51">
        <f>BS!Q83</f>
        <v>2994</v>
      </c>
      <c r="R161" s="51"/>
      <c r="S161" s="629"/>
      <c r="T161" s="652">
        <f>BS!T83</f>
        <v>3348</v>
      </c>
      <c r="U161" s="51"/>
      <c r="V161" s="629"/>
      <c r="W161" s="652">
        <f>BS!W83</f>
        <v>3536</v>
      </c>
      <c r="X161" s="51"/>
      <c r="Y161" s="629"/>
      <c r="Z161" s="652"/>
      <c r="AA161" s="51"/>
      <c r="AB161" s="629"/>
      <c r="AC161" s="652">
        <f>BS!AC83</f>
        <v>1097</v>
      </c>
      <c r="AD161" s="51"/>
      <c r="AE161" s="629"/>
      <c r="AF161" s="652"/>
      <c r="AG161" s="51"/>
      <c r="AH161" s="629"/>
      <c r="AI161" s="652"/>
      <c r="AJ161" s="51"/>
      <c r="AK161" s="629"/>
      <c r="AL161" s="652"/>
      <c r="AM161" s="51"/>
      <c r="AN161" s="629"/>
      <c r="AO161" s="652"/>
      <c r="AP161" s="51"/>
      <c r="AQ161" s="541"/>
      <c r="AR161" s="578"/>
      <c r="AS161" s="2"/>
      <c r="AT161" s="541"/>
      <c r="AU161" s="578"/>
      <c r="AV161" s="2"/>
      <c r="AW161" s="541"/>
      <c r="AX161" s="578"/>
      <c r="AY161" s="2"/>
      <c r="AZ161" s="541"/>
      <c r="BA161" s="578"/>
      <c r="BB161" s="2"/>
      <c r="BC161" s="541"/>
      <c r="BD161" s="578"/>
      <c r="BE161" s="2"/>
      <c r="BF161" s="541"/>
      <c r="BG161" s="578"/>
      <c r="BH161" s="2"/>
      <c r="BI161" s="541"/>
      <c r="BJ161" s="578"/>
      <c r="BK161" s="2"/>
      <c r="BL161" s="541"/>
      <c r="BM161" s="578"/>
    </row>
    <row r="162" spans="1:65" hidden="1" outlineLevel="1">
      <c r="B162" s="40"/>
      <c r="C162" s="40"/>
      <c r="D162" s="40"/>
      <c r="E162" s="40"/>
      <c r="F162" s="40"/>
      <c r="G162" s="40"/>
      <c r="H162" s="40"/>
      <c r="I162" s="40"/>
      <c r="J162" s="40"/>
      <c r="K162" s="40"/>
      <c r="L162" s="40"/>
      <c r="M162" s="40"/>
      <c r="N162" s="40"/>
      <c r="O162" s="40"/>
      <c r="P162" s="40"/>
      <c r="Q162" s="40"/>
      <c r="R162" s="40"/>
      <c r="S162" s="630"/>
      <c r="T162" s="653"/>
      <c r="U162" s="40"/>
      <c r="V162" s="630"/>
      <c r="W162" s="653"/>
      <c r="X162" s="40"/>
      <c r="Y162" s="630"/>
      <c r="Z162" s="653"/>
      <c r="AA162" s="40"/>
      <c r="AB162" s="630"/>
      <c r="AC162" s="653"/>
      <c r="AD162" s="40"/>
      <c r="AE162" s="630"/>
      <c r="AF162" s="653"/>
      <c r="AG162" s="40"/>
      <c r="AH162" s="630"/>
      <c r="AI162" s="653"/>
      <c r="AJ162" s="40"/>
      <c r="AK162" s="630"/>
      <c r="AL162" s="653"/>
      <c r="AM162" s="40"/>
      <c r="AN162" s="630"/>
      <c r="AO162" s="653"/>
      <c r="AP162" s="40"/>
      <c r="AQ162" s="539"/>
      <c r="AR162" s="550"/>
      <c r="AS162"/>
      <c r="AT162" s="539"/>
      <c r="AU162" s="550"/>
      <c r="AV162"/>
      <c r="AW162" s="539"/>
      <c r="AX162" s="550"/>
      <c r="AY162"/>
      <c r="AZ162" s="539"/>
      <c r="BA162" s="550"/>
      <c r="BB162"/>
      <c r="BC162" s="539"/>
      <c r="BD162" s="550"/>
      <c r="BE162"/>
      <c r="BF162" s="539"/>
      <c r="BG162" s="550"/>
      <c r="BH162"/>
      <c r="BI162" s="539"/>
      <c r="BJ162" s="550"/>
      <c r="BK162"/>
      <c r="BL162" s="539"/>
      <c r="BM162" s="550"/>
    </row>
    <row r="163" spans="1:65" hidden="1" outlineLevel="1">
      <c r="A163" s="25" t="s">
        <v>517</v>
      </c>
      <c r="B163" s="40"/>
      <c r="C163" s="40"/>
      <c r="D163" s="40"/>
      <c r="E163" s="40"/>
      <c r="F163" s="40"/>
      <c r="G163" s="40"/>
      <c r="H163" s="40"/>
      <c r="I163" s="40"/>
      <c r="J163" s="40"/>
      <c r="K163" s="40"/>
      <c r="L163" s="40"/>
      <c r="M163" s="40"/>
      <c r="N163" s="40"/>
      <c r="O163" s="40">
        <f>BS!N84</f>
        <v>-317</v>
      </c>
      <c r="P163" s="40">
        <f>BS!O84</f>
        <v>-559</v>
      </c>
      <c r="Q163" s="40">
        <f>BS!P84</f>
        <v>-687</v>
      </c>
      <c r="R163" s="40"/>
      <c r="S163" s="630"/>
      <c r="T163" s="653">
        <f>BS!Q84</f>
        <v>-783</v>
      </c>
      <c r="U163" s="40"/>
      <c r="V163" s="630"/>
      <c r="W163" s="653">
        <f>BS!T84</f>
        <v>-907</v>
      </c>
      <c r="X163" s="40"/>
      <c r="Y163" s="630"/>
      <c r="Z163" s="653"/>
      <c r="AA163" s="40"/>
      <c r="AB163" s="630"/>
      <c r="AC163" s="653"/>
      <c r="AD163" s="40"/>
      <c r="AE163" s="630"/>
      <c r="AF163" s="653"/>
      <c r="AG163" s="40"/>
      <c r="AH163" s="630"/>
      <c r="AI163" s="653"/>
      <c r="AJ163" s="40"/>
      <c r="AK163" s="630"/>
      <c r="AL163" s="653"/>
      <c r="AM163" s="40"/>
      <c r="AN163" s="630"/>
      <c r="AO163" s="653"/>
      <c r="AP163" s="40"/>
      <c r="AQ163" s="539"/>
      <c r="AR163" s="550"/>
      <c r="AS163"/>
      <c r="AT163" s="539"/>
      <c r="AU163" s="550"/>
      <c r="AV163"/>
      <c r="AW163" s="539"/>
      <c r="AX163" s="550"/>
      <c r="AY163"/>
      <c r="AZ163" s="539"/>
      <c r="BA163" s="550"/>
      <c r="BB163"/>
      <c r="BC163" s="539"/>
      <c r="BD163" s="550"/>
      <c r="BE163"/>
      <c r="BF163" s="539"/>
      <c r="BG163" s="550"/>
      <c r="BH163"/>
      <c r="BI163" s="539"/>
      <c r="BJ163" s="550"/>
      <c r="BK163"/>
      <c r="BL163" s="539"/>
      <c r="BM163" s="550"/>
    </row>
    <row r="164" spans="1:65" hidden="1" outlineLevel="1">
      <c r="A164" s="25" t="s">
        <v>602</v>
      </c>
      <c r="B164" s="40"/>
      <c r="C164" s="40"/>
      <c r="D164" s="40"/>
      <c r="E164" s="40"/>
      <c r="F164" s="40"/>
      <c r="G164" s="40"/>
      <c r="H164" s="40"/>
      <c r="I164" s="40"/>
      <c r="J164" s="40"/>
      <c r="K164" s="40"/>
      <c r="L164" s="40"/>
      <c r="M164" s="40"/>
      <c r="N164" s="40"/>
      <c r="O164" s="40">
        <f>O165-O163</f>
        <v>-242</v>
      </c>
      <c r="P164" s="40">
        <f>P165-P163</f>
        <v>-128</v>
      </c>
      <c r="Q164" s="40">
        <f>Q165-Q163</f>
        <v>-96</v>
      </c>
      <c r="R164" s="40"/>
      <c r="S164" s="630"/>
      <c r="T164" s="653">
        <f>T165-T163</f>
        <v>-124</v>
      </c>
      <c r="U164" s="40"/>
      <c r="V164" s="630"/>
      <c r="W164" s="653">
        <f>W165-W163</f>
        <v>-126</v>
      </c>
      <c r="X164" s="40"/>
      <c r="Y164" s="630"/>
      <c r="Z164" s="653"/>
      <c r="AA164" s="40"/>
      <c r="AB164" s="630"/>
      <c r="AC164" s="653"/>
      <c r="AD164" s="40"/>
      <c r="AE164" s="630"/>
      <c r="AF164" s="653"/>
      <c r="AG164" s="40"/>
      <c r="AH164" s="630"/>
      <c r="AI164" s="653"/>
      <c r="AJ164" s="40"/>
      <c r="AK164" s="630"/>
      <c r="AL164" s="653"/>
      <c r="AM164" s="40"/>
      <c r="AN164" s="630"/>
      <c r="AO164" s="653"/>
      <c r="AP164" s="40"/>
      <c r="AQ164" s="542"/>
      <c r="AR164" s="580"/>
      <c r="AS164" s="21"/>
      <c r="AT164" s="542"/>
      <c r="AU164" s="580"/>
      <c r="AV164" s="21"/>
      <c r="AW164" s="542"/>
      <c r="AX164" s="580"/>
      <c r="AY164" s="21"/>
      <c r="AZ164" s="542"/>
      <c r="BA164" s="580"/>
      <c r="BB164" s="21"/>
      <c r="BC164" s="542"/>
      <c r="BD164" s="580"/>
      <c r="BE164" s="21"/>
      <c r="BF164" s="542"/>
      <c r="BG164" s="580"/>
      <c r="BH164" s="21"/>
      <c r="BI164" s="542"/>
      <c r="BJ164" s="580"/>
      <c r="BK164" s="21"/>
      <c r="BL164" s="542"/>
      <c r="BM164" s="580"/>
    </row>
    <row r="165" spans="1:65" hidden="1" outlineLevel="1">
      <c r="A165" s="31" t="s">
        <v>519</v>
      </c>
      <c r="B165" s="51"/>
      <c r="C165" s="51"/>
      <c r="D165" s="51"/>
      <c r="E165" s="51"/>
      <c r="F165" s="51"/>
      <c r="G165" s="51"/>
      <c r="H165" s="51"/>
      <c r="I165" s="51"/>
      <c r="J165" s="51"/>
      <c r="K165" s="51"/>
      <c r="L165" s="51"/>
      <c r="M165" s="51"/>
      <c r="N165" s="51">
        <f>BS!N84</f>
        <v>-317</v>
      </c>
      <c r="O165" s="51">
        <f>BS!O84</f>
        <v>-559</v>
      </c>
      <c r="P165" s="51">
        <f>BS!P84</f>
        <v>-687</v>
      </c>
      <c r="Q165" s="51">
        <f>BS!Q84</f>
        <v>-783</v>
      </c>
      <c r="R165" s="51"/>
      <c r="S165" s="629"/>
      <c r="T165" s="652">
        <f>BS!T84</f>
        <v>-907</v>
      </c>
      <c r="U165" s="51"/>
      <c r="V165" s="629"/>
      <c r="W165" s="652">
        <f>BS!W84</f>
        <v>-1033</v>
      </c>
      <c r="X165" s="51"/>
      <c r="Y165" s="629"/>
      <c r="Z165" s="652"/>
      <c r="AA165" s="51"/>
      <c r="AB165" s="629"/>
      <c r="AC165" s="652">
        <f>BS!AC84</f>
        <v>-5584</v>
      </c>
      <c r="AD165" s="51"/>
      <c r="AE165" s="629"/>
      <c r="AF165" s="652"/>
      <c r="AG165" s="51"/>
      <c r="AH165" s="629"/>
      <c r="AI165" s="652"/>
      <c r="AJ165" s="51"/>
      <c r="AK165" s="629"/>
      <c r="AL165" s="652"/>
      <c r="AM165" s="51"/>
      <c r="AN165" s="629"/>
      <c r="AO165" s="652"/>
      <c r="AP165" s="51"/>
      <c r="AQ165" s="541"/>
      <c r="AR165" s="578"/>
      <c r="AS165" s="2"/>
      <c r="AT165" s="541"/>
      <c r="AU165" s="578"/>
      <c r="AV165" s="2"/>
      <c r="AW165" s="541"/>
      <c r="AX165" s="578"/>
      <c r="AY165" s="2"/>
      <c r="AZ165" s="541"/>
      <c r="BA165" s="578"/>
      <c r="BB165" s="2"/>
      <c r="BC165" s="541"/>
      <c r="BD165" s="578"/>
      <c r="BE165" s="2"/>
      <c r="BF165" s="541"/>
      <c r="BG165" s="578"/>
      <c r="BH165" s="2"/>
      <c r="BI165" s="541"/>
      <c r="BJ165" s="578"/>
      <c r="BK165" s="2"/>
      <c r="BL165" s="541"/>
      <c r="BM165" s="578"/>
    </row>
    <row r="166" spans="1:65" hidden="1" outlineLevel="1">
      <c r="B166" s="40"/>
      <c r="C166" s="40"/>
      <c r="D166" s="40"/>
      <c r="E166" s="40"/>
      <c r="F166" s="40"/>
      <c r="G166" s="40"/>
      <c r="H166" s="40"/>
      <c r="I166" s="40"/>
      <c r="J166" s="40"/>
      <c r="K166" s="40"/>
      <c r="L166" s="40"/>
      <c r="M166" s="40"/>
      <c r="N166" s="40"/>
      <c r="O166" s="40"/>
      <c r="P166" s="40"/>
      <c r="Q166" s="40"/>
      <c r="R166" s="40"/>
      <c r="S166" s="630"/>
      <c r="T166" s="653"/>
      <c r="U166" s="40"/>
      <c r="V166" s="630"/>
      <c r="W166" s="653"/>
      <c r="X166" s="40"/>
      <c r="Y166" s="630"/>
      <c r="Z166" s="653"/>
      <c r="AA166" s="40"/>
      <c r="AB166" s="630"/>
      <c r="AC166" s="653"/>
      <c r="AD166" s="40"/>
      <c r="AE166" s="630"/>
      <c r="AF166" s="653"/>
      <c r="AG166" s="40"/>
      <c r="AH166" s="630"/>
      <c r="AI166" s="653"/>
      <c r="AJ166" s="40"/>
      <c r="AK166" s="630"/>
      <c r="AL166" s="653"/>
      <c r="AM166" s="40"/>
      <c r="AN166" s="630"/>
      <c r="AO166" s="653"/>
      <c r="AP166" s="40"/>
      <c r="AQ166" s="539"/>
      <c r="AR166" s="550"/>
      <c r="AS166"/>
      <c r="AT166" s="539"/>
      <c r="AU166" s="550"/>
      <c r="AV166"/>
      <c r="AW166" s="539"/>
      <c r="AX166" s="550"/>
      <c r="AY166"/>
      <c r="AZ166" s="539"/>
      <c r="BA166" s="550"/>
      <c r="BB166"/>
      <c r="BC166" s="539"/>
      <c r="BD166" s="550"/>
      <c r="BE166"/>
      <c r="BF166" s="539"/>
      <c r="BG166" s="550"/>
      <c r="BH166"/>
      <c r="BI166" s="539"/>
      <c r="BJ166" s="550"/>
      <c r="BK166"/>
      <c r="BL166" s="539"/>
      <c r="BM166" s="550"/>
    </row>
    <row r="167" spans="1:65" hidden="1" outlineLevel="1">
      <c r="A167" s="68" t="s">
        <v>317</v>
      </c>
      <c r="B167" s="46"/>
      <c r="C167" s="46">
        <f>BS!C85</f>
        <v>268</v>
      </c>
      <c r="D167" s="46">
        <f>BS!D85</f>
        <v>384</v>
      </c>
      <c r="E167" s="46">
        <f>BS!E85</f>
        <v>454</v>
      </c>
      <c r="F167" s="46">
        <f>BS!F85</f>
        <v>389</v>
      </c>
      <c r="G167" s="46">
        <f>BS!G85</f>
        <v>367</v>
      </c>
      <c r="H167" s="46">
        <f>BS!H85</f>
        <v>393</v>
      </c>
      <c r="I167" s="46">
        <f>BS!I85</f>
        <v>550</v>
      </c>
      <c r="J167" s="46">
        <f>BS!J85</f>
        <v>848</v>
      </c>
      <c r="K167" s="46">
        <f>BS!K85</f>
        <v>970</v>
      </c>
      <c r="L167" s="46">
        <f>BS!L85</f>
        <v>920</v>
      </c>
      <c r="M167" s="46">
        <f>BS!M85</f>
        <v>956</v>
      </c>
      <c r="N167" s="46">
        <f t="shared" ref="N167:AC167" si="319">N165+N161</f>
        <v>1312</v>
      </c>
      <c r="O167" s="46">
        <f t="shared" si="319"/>
        <v>1342</v>
      </c>
      <c r="P167" s="46">
        <f t="shared" si="319"/>
        <v>1805</v>
      </c>
      <c r="Q167" s="46">
        <f t="shared" si="319"/>
        <v>2211</v>
      </c>
      <c r="R167" s="46"/>
      <c r="S167" s="643"/>
      <c r="T167" s="667">
        <f t="shared" si="319"/>
        <v>2441</v>
      </c>
      <c r="U167" s="46"/>
      <c r="V167" s="643"/>
      <c r="W167" s="667">
        <f t="shared" si="319"/>
        <v>2503</v>
      </c>
      <c r="X167" s="46"/>
      <c r="Y167" s="643"/>
      <c r="Z167" s="667"/>
      <c r="AA167" s="46"/>
      <c r="AB167" s="643"/>
      <c r="AC167" s="667">
        <f t="shared" si="319"/>
        <v>-4487</v>
      </c>
      <c r="AD167" s="46"/>
      <c r="AE167" s="643"/>
      <c r="AF167" s="667"/>
      <c r="AG167" s="46"/>
      <c r="AH167" s="643"/>
      <c r="AI167" s="667"/>
      <c r="AJ167" s="46"/>
      <c r="AK167" s="643"/>
      <c r="AL167" s="667"/>
      <c r="AM167" s="46"/>
      <c r="AN167" s="643"/>
      <c r="AO167" s="667"/>
      <c r="AP167" s="46"/>
      <c r="AQ167" s="723"/>
      <c r="AR167" s="732"/>
      <c r="AS167" s="4"/>
      <c r="AT167" s="723"/>
      <c r="AU167" s="732"/>
      <c r="AV167" s="4"/>
      <c r="AW167" s="723"/>
      <c r="AX167" s="732"/>
      <c r="AY167" s="4"/>
      <c r="AZ167" s="723"/>
      <c r="BA167" s="732"/>
      <c r="BB167" s="4"/>
      <c r="BC167" s="723"/>
      <c r="BD167" s="732"/>
      <c r="BE167" s="4"/>
      <c r="BF167" s="723"/>
      <c r="BG167" s="732"/>
      <c r="BH167" s="4"/>
      <c r="BI167" s="723"/>
      <c r="BJ167" s="732"/>
      <c r="BK167" s="4"/>
      <c r="BL167" s="723"/>
      <c r="BM167" s="732"/>
    </row>
    <row r="168" spans="1:65" hidden="1" outlineLevel="1">
      <c r="A168" s="25" t="s">
        <v>443</v>
      </c>
      <c r="B168" s="40"/>
      <c r="C168" s="40">
        <f t="shared" ref="C168:Q168" si="320">C167-B167</f>
        <v>268</v>
      </c>
      <c r="D168" s="40">
        <f t="shared" si="320"/>
        <v>116</v>
      </c>
      <c r="E168" s="40">
        <f t="shared" si="320"/>
        <v>70</v>
      </c>
      <c r="F168" s="40">
        <f t="shared" si="320"/>
        <v>-65</v>
      </c>
      <c r="G168" s="40">
        <f t="shared" si="320"/>
        <v>-22</v>
      </c>
      <c r="H168" s="40">
        <f t="shared" si="320"/>
        <v>26</v>
      </c>
      <c r="I168" s="40">
        <f t="shared" si="320"/>
        <v>157</v>
      </c>
      <c r="J168" s="40">
        <f t="shared" si="320"/>
        <v>298</v>
      </c>
      <c r="K168" s="40">
        <f t="shared" si="320"/>
        <v>122</v>
      </c>
      <c r="L168" s="40">
        <f t="shared" si="320"/>
        <v>-50</v>
      </c>
      <c r="M168" s="40">
        <f t="shared" si="320"/>
        <v>36</v>
      </c>
      <c r="N168" s="40">
        <f t="shared" si="320"/>
        <v>356</v>
      </c>
      <c r="O168" s="40">
        <f t="shared" si="320"/>
        <v>30</v>
      </c>
      <c r="P168" s="40">
        <f t="shared" si="320"/>
        <v>463</v>
      </c>
      <c r="Q168" s="40">
        <f t="shared" si="320"/>
        <v>406</v>
      </c>
      <c r="R168" s="40"/>
      <c r="S168" s="630"/>
      <c r="T168" s="653">
        <f>T167-Q167</f>
        <v>230</v>
      </c>
      <c r="U168" s="40"/>
      <c r="V168" s="630"/>
      <c r="W168" s="653">
        <f>W167-T167</f>
        <v>62</v>
      </c>
      <c r="X168" s="40"/>
      <c r="Y168" s="630"/>
      <c r="Z168" s="653"/>
      <c r="AA168" s="40"/>
      <c r="AB168" s="630"/>
      <c r="AC168" s="653"/>
      <c r="AD168" s="40"/>
      <c r="AE168" s="630"/>
      <c r="AF168" s="653"/>
      <c r="AG168" s="40"/>
      <c r="AH168" s="630"/>
      <c r="AI168" s="653"/>
      <c r="AJ168" s="40"/>
      <c r="AK168" s="630"/>
      <c r="AL168" s="653"/>
      <c r="AM168" s="40"/>
      <c r="AN168" s="630"/>
      <c r="AO168" s="653"/>
      <c r="AP168" s="40"/>
      <c r="AQ168" s="539"/>
      <c r="AR168" s="550"/>
      <c r="AS168"/>
      <c r="AT168" s="539"/>
      <c r="AU168" s="550"/>
      <c r="AV168"/>
      <c r="AW168" s="539"/>
      <c r="AX168" s="550"/>
      <c r="AY168"/>
      <c r="AZ168" s="539"/>
      <c r="BA168" s="550"/>
      <c r="BB168"/>
      <c r="BC168" s="539"/>
      <c r="BD168" s="550"/>
      <c r="BE168"/>
      <c r="BF168" s="539"/>
      <c r="BG168" s="550"/>
      <c r="BH168"/>
      <c r="BI168" s="539"/>
      <c r="BJ168" s="550"/>
      <c r="BK168"/>
      <c r="BL168" s="539"/>
      <c r="BM168" s="550"/>
    </row>
    <row r="169" spans="1:65" collapsed="1">
      <c r="B169" s="40"/>
      <c r="C169" s="40"/>
      <c r="D169" s="40"/>
      <c r="E169" s="40"/>
      <c r="F169" s="40"/>
      <c r="G169" s="40"/>
      <c r="H169" s="40"/>
      <c r="I169" s="40"/>
      <c r="J169" s="40"/>
      <c r="K169" s="40"/>
      <c r="L169" s="40"/>
      <c r="M169" s="40"/>
      <c r="N169" s="40"/>
      <c r="O169" s="40"/>
      <c r="P169" s="40"/>
      <c r="Q169" s="40"/>
      <c r="R169" s="40"/>
      <c r="S169" s="630"/>
      <c r="T169" s="653"/>
      <c r="U169" s="40"/>
      <c r="V169" s="630"/>
      <c r="W169" s="653"/>
      <c r="X169" s="40"/>
      <c r="Y169" s="630"/>
      <c r="Z169" s="653"/>
      <c r="AA169" s="40"/>
      <c r="AB169" s="630"/>
      <c r="AC169" s="653"/>
      <c r="AD169" s="40"/>
      <c r="AE169" s="630"/>
      <c r="AF169" s="653"/>
      <c r="AG169" s="40"/>
      <c r="AH169" s="630"/>
      <c r="AI169" s="653"/>
      <c r="AJ169" s="40"/>
      <c r="AK169" s="630"/>
      <c r="AL169" s="653"/>
      <c r="AM169" s="40"/>
      <c r="AN169" s="630"/>
      <c r="AO169" s="653"/>
      <c r="AP169" s="40"/>
      <c r="AQ169" s="539"/>
      <c r="AR169" s="550"/>
      <c r="AS169"/>
      <c r="AT169" s="539"/>
      <c r="AU169" s="550"/>
      <c r="AV169"/>
      <c r="AW169" s="539"/>
      <c r="AX169" s="550"/>
      <c r="AY169"/>
      <c r="AZ169" s="539"/>
      <c r="BA169" s="550"/>
      <c r="BB169"/>
      <c r="BC169" s="539"/>
      <c r="BD169" s="550"/>
      <c r="BE169"/>
      <c r="BF169" s="539"/>
      <c r="BG169" s="550"/>
      <c r="BH169"/>
      <c r="BI169" s="539"/>
      <c r="BJ169" s="550"/>
      <c r="BK169"/>
      <c r="BL169" s="539"/>
      <c r="BM169" s="550"/>
    </row>
    <row r="170" spans="1:65">
      <c r="A170" s="25" t="s">
        <v>447</v>
      </c>
      <c r="B170" s="40"/>
      <c r="C170" s="40"/>
      <c r="D170" s="40"/>
      <c r="E170" s="40"/>
      <c r="F170" s="40"/>
      <c r="G170" s="40"/>
      <c r="H170" s="40"/>
      <c r="I170" s="40"/>
      <c r="J170" s="40"/>
      <c r="K170" s="40"/>
      <c r="L170" s="40"/>
      <c r="M170" s="40"/>
      <c r="N170" s="40"/>
      <c r="O170" s="40"/>
      <c r="P170" s="40"/>
      <c r="Q170" s="40">
        <v>140</v>
      </c>
      <c r="R170" s="40"/>
      <c r="S170" s="630"/>
      <c r="T170" s="653">
        <v>217</v>
      </c>
      <c r="U170" s="40"/>
      <c r="V170" s="630"/>
      <c r="W170" s="653">
        <v>113</v>
      </c>
      <c r="X170" s="40"/>
      <c r="Y170" s="630"/>
      <c r="Z170" s="653">
        <v>17</v>
      </c>
      <c r="AA170" s="40"/>
      <c r="AB170" s="630"/>
      <c r="AC170" s="653">
        <v>38</v>
      </c>
      <c r="AD170" s="40"/>
      <c r="AE170" s="630"/>
      <c r="AF170" s="653"/>
      <c r="AG170" s="40"/>
      <c r="AH170" s="630"/>
      <c r="AI170" s="653"/>
      <c r="AJ170" s="40"/>
      <c r="AK170" s="630"/>
      <c r="AL170" s="653"/>
      <c r="AM170" s="40"/>
      <c r="AN170" s="630"/>
      <c r="AO170" s="653"/>
      <c r="AP170" s="40"/>
      <c r="AQ170" s="216"/>
      <c r="AR170" s="556"/>
      <c r="AS170" s="10"/>
      <c r="AT170" s="216"/>
      <c r="AU170" s="556"/>
      <c r="AV170" s="10"/>
      <c r="AW170" s="216"/>
      <c r="AX170" s="556"/>
      <c r="AY170" s="10"/>
      <c r="AZ170" s="216"/>
      <c r="BA170" s="556"/>
      <c r="BB170" s="10"/>
      <c r="BC170" s="216"/>
      <c r="BD170" s="556"/>
      <c r="BE170" s="10"/>
      <c r="BF170" s="216"/>
      <c r="BG170" s="556"/>
      <c r="BH170" s="10"/>
      <c r="BI170" s="216"/>
      <c r="BJ170" s="556"/>
      <c r="BK170" s="10"/>
      <c r="BL170" s="216"/>
      <c r="BM170" s="556"/>
    </row>
    <row r="171" spans="1:65">
      <c r="A171" s="25" t="s">
        <v>448</v>
      </c>
      <c r="B171" s="40"/>
      <c r="C171" s="40"/>
      <c r="D171" s="40"/>
      <c r="E171" s="40"/>
      <c r="F171" s="40"/>
      <c r="G171" s="40"/>
      <c r="H171" s="40"/>
      <c r="I171" s="40"/>
      <c r="J171" s="40"/>
      <c r="K171" s="40"/>
      <c r="L171" s="40"/>
      <c r="M171" s="40"/>
      <c r="N171" s="40"/>
      <c r="O171" s="40"/>
      <c r="P171" s="40"/>
      <c r="Q171" s="40">
        <v>-24</v>
      </c>
      <c r="R171" s="40"/>
      <c r="S171" s="630"/>
      <c r="T171" s="653">
        <v>-98</v>
      </c>
      <c r="U171" s="40"/>
      <c r="V171" s="630"/>
      <c r="W171" s="653">
        <v>-148</v>
      </c>
      <c r="X171" s="40"/>
      <c r="Y171" s="630"/>
      <c r="Z171" s="653">
        <v>-98</v>
      </c>
      <c r="AA171" s="40"/>
      <c r="AB171" s="630"/>
      <c r="AC171" s="653">
        <v>-80</v>
      </c>
      <c r="AD171" s="40"/>
      <c r="AE171" s="630"/>
      <c r="AF171" s="653"/>
      <c r="AG171" s="40"/>
      <c r="AH171" s="630"/>
      <c r="AI171" s="653"/>
      <c r="AJ171" s="40"/>
      <c r="AK171" s="630"/>
      <c r="AL171" s="653"/>
      <c r="AM171" s="40"/>
      <c r="AN171" s="630"/>
      <c r="AO171" s="653"/>
      <c r="AP171" s="40"/>
      <c r="AQ171" s="216"/>
      <c r="AR171" s="556"/>
      <c r="AS171" s="10"/>
      <c r="AT171" s="216"/>
      <c r="AU171" s="556"/>
      <c r="AV171" s="10"/>
      <c r="AW171" s="216"/>
      <c r="AX171" s="556"/>
      <c r="AY171" s="10"/>
      <c r="AZ171" s="216"/>
      <c r="BA171" s="556"/>
      <c r="BB171" s="10"/>
      <c r="BC171" s="216"/>
      <c r="BD171" s="556"/>
      <c r="BE171" s="10"/>
      <c r="BF171" s="216"/>
      <c r="BG171" s="556"/>
      <c r="BH171" s="10"/>
      <c r="BI171" s="216"/>
      <c r="BJ171" s="556"/>
      <c r="BK171" s="10"/>
      <c r="BL171" s="216"/>
      <c r="BM171" s="556"/>
    </row>
    <row r="172" spans="1:65">
      <c r="A172" s="25" t="s">
        <v>449</v>
      </c>
      <c r="B172" s="40"/>
      <c r="C172" s="40"/>
      <c r="D172" s="40"/>
      <c r="E172" s="40"/>
      <c r="F172" s="40"/>
      <c r="G172" s="40"/>
      <c r="H172" s="40"/>
      <c r="I172" s="40"/>
      <c r="J172" s="40"/>
      <c r="K172" s="40"/>
      <c r="L172" s="40"/>
      <c r="M172" s="40"/>
      <c r="N172" s="40"/>
      <c r="O172" s="40"/>
      <c r="P172" s="40"/>
      <c r="Q172" s="40">
        <v>0</v>
      </c>
      <c r="R172" s="40"/>
      <c r="S172" s="630"/>
      <c r="T172" s="653">
        <v>35</v>
      </c>
      <c r="U172" s="40"/>
      <c r="V172" s="630"/>
      <c r="W172" s="653">
        <f>'Civil AM'!W277</f>
        <v>0</v>
      </c>
      <c r="X172" s="40"/>
      <c r="Y172" s="630"/>
      <c r="Z172" s="653">
        <v>0</v>
      </c>
      <c r="AA172" s="40"/>
      <c r="AB172" s="630"/>
      <c r="AC172" s="653">
        <v>0</v>
      </c>
      <c r="AD172" s="40"/>
      <c r="AE172" s="630"/>
      <c r="AF172" s="653"/>
      <c r="AG172" s="40"/>
      <c r="AH172" s="630"/>
      <c r="AI172" s="653"/>
      <c r="AJ172" s="40"/>
      <c r="AK172" s="630"/>
      <c r="AL172" s="653"/>
      <c r="AM172" s="40"/>
      <c r="AN172" s="630"/>
      <c r="AO172" s="653"/>
      <c r="AP172" s="40"/>
      <c r="AQ172" s="216"/>
      <c r="AR172" s="556"/>
      <c r="AS172" s="10"/>
      <c r="AT172" s="216"/>
      <c r="AU172" s="556"/>
      <c r="AV172" s="10"/>
      <c r="AW172" s="216"/>
      <c r="AX172" s="556"/>
      <c r="AY172" s="10"/>
      <c r="AZ172" s="216"/>
      <c r="BA172" s="556"/>
      <c r="BB172" s="10"/>
      <c r="BC172" s="216"/>
      <c r="BD172" s="556"/>
      <c r="BE172" s="10"/>
      <c r="BF172" s="216"/>
      <c r="BG172" s="556"/>
      <c r="BH172" s="10"/>
      <c r="BI172" s="216"/>
      <c r="BJ172" s="556"/>
      <c r="BK172" s="10"/>
      <c r="BL172" s="216"/>
      <c r="BM172" s="556"/>
    </row>
    <row r="173" spans="1:65">
      <c r="A173" s="25" t="s">
        <v>450</v>
      </c>
      <c r="B173" s="40"/>
      <c r="C173" s="40"/>
      <c r="D173" s="40"/>
      <c r="E173" s="40"/>
      <c r="F173" s="40"/>
      <c r="G173" s="40"/>
      <c r="H173" s="40"/>
      <c r="I173" s="40"/>
      <c r="J173" s="40"/>
      <c r="K173" s="40"/>
      <c r="L173" s="40"/>
      <c r="M173" s="40"/>
      <c r="N173" s="40"/>
      <c r="O173" s="40"/>
      <c r="P173" s="40"/>
      <c r="Q173" s="40">
        <v>-83</v>
      </c>
      <c r="R173" s="40"/>
      <c r="S173" s="630"/>
      <c r="T173" s="653">
        <v>-64</v>
      </c>
      <c r="U173" s="40"/>
      <c r="V173" s="630"/>
      <c r="W173" s="653">
        <v>17</v>
      </c>
      <c r="X173" s="40"/>
      <c r="Y173" s="630"/>
      <c r="Z173" s="653">
        <v>-68</v>
      </c>
      <c r="AA173" s="40"/>
      <c r="AB173" s="630"/>
      <c r="AC173" s="653">
        <v>-234</v>
      </c>
      <c r="AD173" s="40"/>
      <c r="AE173" s="630"/>
      <c r="AF173" s="653"/>
      <c r="AG173" s="40"/>
      <c r="AH173" s="630"/>
      <c r="AI173" s="653"/>
      <c r="AJ173" s="40"/>
      <c r="AK173" s="630"/>
      <c r="AL173" s="653"/>
      <c r="AM173" s="40"/>
      <c r="AN173" s="630"/>
      <c r="AO173" s="653"/>
      <c r="AP173" s="40"/>
      <c r="AQ173" s="216"/>
      <c r="AR173" s="556"/>
      <c r="AS173" s="10"/>
      <c r="AT173" s="216"/>
      <c r="AU173" s="556"/>
      <c r="AV173" s="10"/>
      <c r="AW173" s="216"/>
      <c r="AX173" s="556"/>
      <c r="AY173" s="10"/>
      <c r="AZ173" s="216"/>
      <c r="BA173" s="556"/>
      <c r="BB173" s="10"/>
      <c r="BC173" s="216"/>
      <c r="BD173" s="556"/>
      <c r="BE173" s="10"/>
      <c r="BF173" s="216"/>
      <c r="BG173" s="556"/>
      <c r="BH173" s="10"/>
      <c r="BI173" s="216"/>
      <c r="BJ173" s="556"/>
      <c r="BK173" s="10"/>
      <c r="BL173" s="216"/>
      <c r="BM173" s="556"/>
    </row>
    <row r="174" spans="1:65">
      <c r="A174" s="25" t="s">
        <v>451</v>
      </c>
      <c r="B174" s="40"/>
      <c r="C174" s="40"/>
      <c r="D174" s="40"/>
      <c r="E174" s="40"/>
      <c r="F174" s="40"/>
      <c r="G174" s="40"/>
      <c r="H174" s="40"/>
      <c r="I174" s="40"/>
      <c r="J174" s="40"/>
      <c r="K174" s="40"/>
      <c r="L174" s="40"/>
      <c r="M174" s="40"/>
      <c r="N174" s="40"/>
      <c r="O174" s="40"/>
      <c r="P174" s="40"/>
      <c r="Q174" s="40">
        <v>189</v>
      </c>
      <c r="R174" s="40"/>
      <c r="S174" s="630"/>
      <c r="T174" s="653">
        <v>0</v>
      </c>
      <c r="U174" s="40"/>
      <c r="V174" s="630"/>
      <c r="W174" s="653">
        <f>'Civil AM'!W279</f>
        <v>0</v>
      </c>
      <c r="X174" s="40"/>
      <c r="Y174" s="630"/>
      <c r="Z174" s="653">
        <v>0</v>
      </c>
      <c r="AA174" s="40"/>
      <c r="AB174" s="630"/>
      <c r="AC174" s="653">
        <v>0</v>
      </c>
      <c r="AD174" s="40"/>
      <c r="AE174" s="630"/>
      <c r="AF174" s="653"/>
      <c r="AG174" s="40"/>
      <c r="AH174" s="630"/>
      <c r="AI174" s="653"/>
      <c r="AJ174" s="40"/>
      <c r="AK174" s="630"/>
      <c r="AL174" s="653"/>
      <c r="AM174" s="40"/>
      <c r="AN174" s="630"/>
      <c r="AO174" s="653"/>
      <c r="AP174" s="40"/>
      <c r="AQ174" s="216"/>
      <c r="AR174" s="556"/>
      <c r="AS174" s="10"/>
      <c r="AT174" s="216"/>
      <c r="AU174" s="556"/>
      <c r="AV174" s="10"/>
      <c r="AW174" s="216"/>
      <c r="AX174" s="556"/>
      <c r="AY174" s="10"/>
      <c r="AZ174" s="216"/>
      <c r="BA174" s="556"/>
      <c r="BB174" s="10"/>
      <c r="BC174" s="216"/>
      <c r="BD174" s="556"/>
      <c r="BE174" s="10"/>
      <c r="BF174" s="216"/>
      <c r="BG174" s="556"/>
      <c r="BH174" s="10"/>
      <c r="BI174" s="216"/>
      <c r="BJ174" s="556"/>
      <c r="BK174" s="10"/>
      <c r="BL174" s="216"/>
      <c r="BM174" s="556"/>
    </row>
    <row r="175" spans="1:65">
      <c r="A175" s="2" t="s">
        <v>446</v>
      </c>
      <c r="B175" s="27"/>
      <c r="C175" s="27"/>
      <c r="D175" s="27"/>
      <c r="E175" s="27"/>
      <c r="F175" s="27"/>
      <c r="G175" s="27"/>
      <c r="H175" s="27"/>
      <c r="I175" s="27"/>
      <c r="J175" s="27"/>
      <c r="K175" s="27"/>
      <c r="L175" s="27"/>
      <c r="M175" s="27"/>
      <c r="N175" s="27"/>
      <c r="O175" s="27">
        <v>-110</v>
      </c>
      <c r="P175" s="27">
        <v>150</v>
      </c>
      <c r="Q175" s="27">
        <f>SUM(Q170:Q174)</f>
        <v>222</v>
      </c>
      <c r="R175" s="27"/>
      <c r="S175" s="218"/>
      <c r="T175" s="553">
        <f>SUM(T170:T174)</f>
        <v>90</v>
      </c>
      <c r="U175" s="27"/>
      <c r="V175" s="218"/>
      <c r="W175" s="553">
        <f>SUM(W170:W174)</f>
        <v>-18</v>
      </c>
      <c r="X175" s="27">
        <v>-90</v>
      </c>
      <c r="Y175" s="218">
        <f>Z175-X175</f>
        <v>-59</v>
      </c>
      <c r="Z175" s="553">
        <f>SUM(Z170:Z174)</f>
        <v>-149</v>
      </c>
      <c r="AA175" s="27">
        <v>-154</v>
      </c>
      <c r="AB175" s="218">
        <f>AC175-AA175</f>
        <v>-122</v>
      </c>
      <c r="AC175" s="553">
        <f>SUM(AC170:AC174)</f>
        <v>-276</v>
      </c>
      <c r="AD175" s="27">
        <v>1</v>
      </c>
      <c r="AE175" s="218">
        <f>AF175-AD175</f>
        <v>-34</v>
      </c>
      <c r="AF175" s="553">
        <v>-33</v>
      </c>
      <c r="AG175" s="27">
        <v>-1218</v>
      </c>
      <c r="AH175" s="218">
        <f>AI175-AG175</f>
        <v>244</v>
      </c>
      <c r="AI175" s="553">
        <v>-974</v>
      </c>
      <c r="AJ175" s="27">
        <v>160</v>
      </c>
      <c r="AK175" s="218">
        <f>AL175-AJ175</f>
        <v>54</v>
      </c>
      <c r="AL175" s="553">
        <v>214</v>
      </c>
      <c r="AM175" s="27">
        <v>241</v>
      </c>
      <c r="AN175" s="218">
        <f>AO175-AM175</f>
        <v>119</v>
      </c>
      <c r="AO175" s="553">
        <v>360</v>
      </c>
      <c r="AP175" s="27">
        <v>23</v>
      </c>
      <c r="AQ175" s="218">
        <f>AR175-AP175</f>
        <v>81</v>
      </c>
      <c r="AR175" s="553">
        <v>104</v>
      </c>
      <c r="AS175" s="27">
        <v>258</v>
      </c>
      <c r="AT175" s="218">
        <f>AU175-AS175</f>
        <v>-569</v>
      </c>
      <c r="AU175" s="553">
        <v>-311</v>
      </c>
      <c r="AV175" s="27">
        <v>-126</v>
      </c>
      <c r="AW175" s="218">
        <f>AX175-AV175</f>
        <v>-153</v>
      </c>
      <c r="AX175" s="553">
        <v>-279</v>
      </c>
      <c r="AY175" s="27">
        <v>-356</v>
      </c>
      <c r="AZ175" s="237">
        <f>BA175-AY175</f>
        <v>-144</v>
      </c>
      <c r="BA175" s="586">
        <v>-500</v>
      </c>
      <c r="BB175" s="48">
        <f>BD175/2</f>
        <v>-150</v>
      </c>
      <c r="BC175" s="237">
        <f>BD175-BB175</f>
        <v>-150</v>
      </c>
      <c r="BD175" s="586">
        <v>-300</v>
      </c>
      <c r="BE175" s="48">
        <f>BG175/2</f>
        <v>-50</v>
      </c>
      <c r="BF175" s="237">
        <f>BG175-BE175</f>
        <v>-50</v>
      </c>
      <c r="BG175" s="586">
        <v>-100</v>
      </c>
      <c r="BH175" s="48">
        <f>BJ175/2</f>
        <v>0</v>
      </c>
      <c r="BI175" s="237">
        <f>BJ175-BH175</f>
        <v>0</v>
      </c>
      <c r="BJ175" s="586">
        <v>0</v>
      </c>
      <c r="BK175" s="48">
        <f>BM175/2</f>
        <v>0</v>
      </c>
      <c r="BL175" s="237">
        <f>BM175-BK175</f>
        <v>0</v>
      </c>
      <c r="BM175" s="586">
        <v>0</v>
      </c>
    </row>
    <row r="176" spans="1:65">
      <c r="S176" s="595"/>
      <c r="T176" s="619"/>
      <c r="V176" s="595"/>
      <c r="W176" s="619"/>
      <c r="Y176" s="595"/>
      <c r="Z176" s="619"/>
      <c r="AB176" s="595"/>
      <c r="AC176" s="619"/>
      <c r="AE176" s="595"/>
      <c r="AF176" s="619"/>
      <c r="AH176" s="595"/>
      <c r="AI176" s="619"/>
      <c r="AK176" s="595"/>
      <c r="AL176" s="619"/>
      <c r="AN176" s="595"/>
      <c r="AO176" s="619"/>
      <c r="AQ176" s="539"/>
      <c r="AR176" s="550"/>
      <c r="AS176"/>
      <c r="AT176" s="539"/>
      <c r="AU176" s="550"/>
      <c r="AV176"/>
      <c r="AW176" s="539"/>
      <c r="AX176" s="550"/>
      <c r="AY176"/>
      <c r="AZ176" s="539"/>
      <c r="BA176" s="550"/>
      <c r="BB176"/>
      <c r="BC176" s="539"/>
      <c r="BD176" s="550"/>
      <c r="BE176"/>
      <c r="BF176" s="539"/>
      <c r="BG176" s="550"/>
      <c r="BH176"/>
      <c r="BI176" s="539"/>
      <c r="BJ176" s="550"/>
      <c r="BK176"/>
      <c r="BL176" s="539"/>
      <c r="BM176" s="550"/>
    </row>
    <row r="177" spans="1:67">
      <c r="A177" s="310" t="s">
        <v>599</v>
      </c>
      <c r="B177" s="311"/>
      <c r="C177" s="311"/>
      <c r="D177" s="311"/>
      <c r="E177" s="311"/>
      <c r="F177" s="311"/>
      <c r="G177" s="311"/>
      <c r="H177" s="311"/>
      <c r="I177" s="311"/>
      <c r="J177" s="311"/>
      <c r="K177" s="311"/>
      <c r="L177" s="311"/>
      <c r="M177" s="311"/>
      <c r="N177" s="311"/>
      <c r="O177" s="311"/>
      <c r="P177" s="310"/>
      <c r="Q177" s="310"/>
      <c r="R177" s="533"/>
      <c r="S177" s="743"/>
      <c r="T177" s="747"/>
      <c r="U177" s="533"/>
      <c r="V177" s="743"/>
      <c r="W177" s="747"/>
      <c r="X177" s="533"/>
      <c r="Y177" s="743"/>
      <c r="Z177" s="551"/>
      <c r="AA177" s="525"/>
      <c r="AB177" s="317"/>
      <c r="AC177" s="551"/>
      <c r="AD177" s="525"/>
      <c r="AE177" s="317"/>
      <c r="AF177" s="551"/>
      <c r="AG177" s="525"/>
      <c r="AH177" s="317"/>
      <c r="AI177" s="551"/>
      <c r="AJ177" s="525"/>
      <c r="AK177" s="317"/>
      <c r="AL177" s="551"/>
      <c r="AM177" s="525"/>
      <c r="AN177" s="317"/>
      <c r="AO177" s="551"/>
      <c r="AP177" s="525"/>
      <c r="AQ177" s="317"/>
      <c r="AR177" s="551"/>
      <c r="AS177" s="525"/>
      <c r="AT177" s="317"/>
      <c r="AU177" s="551"/>
      <c r="AV177" s="525"/>
      <c r="AW177" s="317"/>
      <c r="AX177" s="551"/>
      <c r="AY177" s="525"/>
      <c r="AZ177" s="215"/>
      <c r="BA177" s="574"/>
      <c r="BB177" s="179"/>
      <c r="BC177" s="215"/>
      <c r="BD177" s="574"/>
      <c r="BE177" s="179"/>
      <c r="BF177" s="215"/>
      <c r="BG177" s="574"/>
      <c r="BH177" s="179"/>
      <c r="BI177" s="215"/>
      <c r="BJ177" s="574"/>
      <c r="BK177" s="179"/>
      <c r="BL177" s="215"/>
      <c r="BM177" s="574"/>
    </row>
    <row r="178" spans="1:67" ht="11.4" hidden="1" outlineLevel="1">
      <c r="B178" s="108"/>
      <c r="C178" s="108"/>
      <c r="D178" s="108"/>
      <c r="E178" s="108"/>
      <c r="F178" s="108"/>
      <c r="G178" s="108"/>
      <c r="H178" s="108"/>
      <c r="I178" s="108"/>
      <c r="J178" s="108"/>
      <c r="K178" s="108"/>
      <c r="L178" s="108"/>
      <c r="M178" s="108"/>
      <c r="N178" s="108"/>
      <c r="O178" s="108"/>
      <c r="P178" s="108"/>
      <c r="Q178" s="40"/>
      <c r="R178" s="40"/>
      <c r="S178" s="630"/>
      <c r="T178" s="653"/>
      <c r="U178" s="40"/>
      <c r="V178" s="630"/>
      <c r="W178" s="653"/>
      <c r="X178" s="40"/>
      <c r="Y178" s="630"/>
      <c r="Z178" s="679"/>
      <c r="AA178" s="108"/>
      <c r="AB178" s="676"/>
      <c r="AC178" s="679"/>
      <c r="AD178" s="108"/>
      <c r="AE178" s="676"/>
      <c r="AF178" s="679"/>
      <c r="AG178" s="108"/>
      <c r="AH178" s="676"/>
      <c r="AI178" s="679"/>
      <c r="AJ178" s="108"/>
      <c r="AK178" s="676"/>
      <c r="AL178" s="679"/>
      <c r="AM178" s="108"/>
      <c r="AN178" s="676"/>
      <c r="AO178" s="679"/>
      <c r="AP178" s="108"/>
      <c r="AQ178" s="688"/>
      <c r="AR178" s="685"/>
      <c r="AS178" s="19"/>
      <c r="AT178" s="688"/>
      <c r="AU178" s="685"/>
      <c r="AV178" s="19"/>
      <c r="AW178" s="688"/>
      <c r="AX178" s="685"/>
      <c r="AY178" s="19"/>
      <c r="AZ178" s="688"/>
      <c r="BA178" s="685"/>
      <c r="BB178" s="19"/>
      <c r="BC178" s="688"/>
      <c r="BD178" s="685"/>
      <c r="BE178" s="19"/>
      <c r="BF178" s="688"/>
      <c r="BG178" s="685"/>
      <c r="BH178" s="19"/>
      <c r="BI178" s="688"/>
      <c r="BJ178" s="685"/>
      <c r="BK178" s="19"/>
      <c r="BL178" s="688"/>
      <c r="BM178" s="685"/>
    </row>
    <row r="179" spans="1:67" ht="11.4" hidden="1" outlineLevel="1">
      <c r="A179" s="25" t="s">
        <v>576</v>
      </c>
      <c r="B179" s="108"/>
      <c r="C179" s="108"/>
      <c r="D179" s="108"/>
      <c r="E179" s="108"/>
      <c r="F179" s="108"/>
      <c r="G179" s="108"/>
      <c r="H179" s="108"/>
      <c r="I179" s="108"/>
      <c r="J179" s="108"/>
      <c r="K179" s="108"/>
      <c r="L179" s="108"/>
      <c r="M179" s="108"/>
      <c r="N179" s="108"/>
      <c r="O179" s="108"/>
      <c r="P179" s="108"/>
      <c r="Q179" s="40">
        <v>-370</v>
      </c>
      <c r="R179" s="40"/>
      <c r="S179" s="630"/>
      <c r="T179" s="653">
        <v>-147</v>
      </c>
      <c r="U179" s="40"/>
      <c r="V179" s="630"/>
      <c r="W179" s="653">
        <v>-194</v>
      </c>
      <c r="X179" s="40"/>
      <c r="Y179" s="630"/>
      <c r="Z179" s="679"/>
      <c r="AA179" s="108"/>
      <c r="AB179" s="676"/>
      <c r="AC179" s="679"/>
      <c r="AD179" s="108"/>
      <c r="AE179" s="676"/>
      <c r="AF179" s="679"/>
      <c r="AG179" s="108"/>
      <c r="AH179" s="676"/>
      <c r="AI179" s="679"/>
      <c r="AJ179" s="108"/>
      <c r="AK179" s="676"/>
      <c r="AL179" s="679"/>
      <c r="AM179" s="108"/>
      <c r="AN179" s="676"/>
      <c r="AO179" s="679"/>
      <c r="AP179" s="108"/>
      <c r="AQ179" s="688"/>
      <c r="AR179" s="685"/>
      <c r="AS179" s="19"/>
      <c r="AT179" s="688"/>
      <c r="AU179" s="685"/>
      <c r="AV179" s="19"/>
      <c r="AW179" s="688"/>
      <c r="AX179" s="685"/>
      <c r="AY179" s="19"/>
      <c r="AZ179" s="688"/>
      <c r="BA179" s="685"/>
      <c r="BB179" s="19"/>
      <c r="BC179" s="688"/>
      <c r="BD179" s="685"/>
      <c r="BE179" s="19"/>
      <c r="BF179" s="688"/>
      <c r="BG179" s="685"/>
      <c r="BH179" s="19"/>
      <c r="BI179" s="688"/>
      <c r="BJ179" s="685"/>
      <c r="BK179" s="19"/>
      <c r="BL179" s="688"/>
      <c r="BM179" s="685"/>
      <c r="BO179" s="38"/>
    </row>
    <row r="180" spans="1:67" ht="11.4" hidden="1" outlineLevel="1">
      <c r="A180" s="25" t="s">
        <v>577</v>
      </c>
      <c r="B180" s="40"/>
      <c r="C180" s="40"/>
      <c r="D180" s="40"/>
      <c r="E180" s="40"/>
      <c r="F180" s="40"/>
      <c r="G180" s="40"/>
      <c r="H180" s="40"/>
      <c r="I180" s="40"/>
      <c r="J180" s="40"/>
      <c r="K180" s="40"/>
      <c r="L180" s="40"/>
      <c r="M180" s="40"/>
      <c r="N180" s="40"/>
      <c r="O180" s="40"/>
      <c r="P180" s="40"/>
      <c r="Q180" s="40">
        <v>-151</v>
      </c>
      <c r="R180" s="40"/>
      <c r="S180" s="630"/>
      <c r="T180" s="653">
        <v>-285</v>
      </c>
      <c r="U180" s="40"/>
      <c r="V180" s="630"/>
      <c r="W180" s="653">
        <v>-418</v>
      </c>
      <c r="X180" s="40"/>
      <c r="Y180" s="630"/>
      <c r="Z180" s="679"/>
      <c r="AA180" s="108"/>
      <c r="AB180" s="676"/>
      <c r="AC180" s="679"/>
      <c r="AD180" s="108"/>
      <c r="AE180" s="676"/>
      <c r="AF180" s="679"/>
      <c r="AG180" s="108"/>
      <c r="AH180" s="676"/>
      <c r="AI180" s="679"/>
      <c r="AJ180" s="108"/>
      <c r="AK180" s="676"/>
      <c r="AL180" s="679"/>
      <c r="AM180" s="108"/>
      <c r="AN180" s="676"/>
      <c r="AO180" s="679"/>
      <c r="AP180" s="108"/>
      <c r="AQ180" s="688"/>
      <c r="AR180" s="685"/>
      <c r="AS180" s="19"/>
      <c r="AT180" s="688"/>
      <c r="AU180" s="685"/>
      <c r="AV180" s="19"/>
      <c r="AW180" s="688"/>
      <c r="AX180" s="685"/>
      <c r="AY180" s="19"/>
      <c r="AZ180" s="688"/>
      <c r="BA180" s="685"/>
      <c r="BB180" s="19"/>
      <c r="BC180" s="688"/>
      <c r="BD180" s="685"/>
      <c r="BE180" s="19"/>
      <c r="BF180" s="688"/>
      <c r="BG180" s="685"/>
      <c r="BH180" s="19"/>
      <c r="BI180" s="688"/>
      <c r="BJ180" s="685"/>
      <c r="BK180" s="19"/>
      <c r="BL180" s="688"/>
      <c r="BM180" s="685"/>
    </row>
    <row r="181" spans="1:67" ht="11.4" hidden="1" outlineLevel="1">
      <c r="A181" s="25" t="s">
        <v>578</v>
      </c>
      <c r="B181" s="40"/>
      <c r="C181" s="40"/>
      <c r="D181" s="40"/>
      <c r="E181" s="40"/>
      <c r="F181" s="40"/>
      <c r="G181" s="40"/>
      <c r="H181" s="40"/>
      <c r="I181" s="40"/>
      <c r="J181" s="40"/>
      <c r="K181" s="40"/>
      <c r="L181" s="40"/>
      <c r="M181" s="40"/>
      <c r="N181" s="40"/>
      <c r="O181" s="40"/>
      <c r="P181" s="40"/>
      <c r="Q181" s="40">
        <v>-161</v>
      </c>
      <c r="R181" s="40"/>
      <c r="S181" s="630"/>
      <c r="T181" s="653">
        <v>-208</v>
      </c>
      <c r="U181" s="40"/>
      <c r="V181" s="630"/>
      <c r="W181" s="653">
        <v>-286</v>
      </c>
      <c r="X181" s="40"/>
      <c r="Y181" s="630"/>
      <c r="Z181" s="679"/>
      <c r="AA181" s="108"/>
      <c r="AB181" s="676"/>
      <c r="AC181" s="679"/>
      <c r="AD181" s="108"/>
      <c r="AE181" s="676"/>
      <c r="AF181" s="679"/>
      <c r="AG181" s="108"/>
      <c r="AH181" s="676"/>
      <c r="AI181" s="679"/>
      <c r="AJ181" s="108"/>
      <c r="AK181" s="676"/>
      <c r="AL181" s="679"/>
      <c r="AM181" s="108"/>
      <c r="AN181" s="676"/>
      <c r="AO181" s="679"/>
      <c r="AP181" s="108"/>
      <c r="AQ181" s="688"/>
      <c r="AR181" s="685"/>
      <c r="AS181" s="19"/>
      <c r="AT181" s="688"/>
      <c r="AU181" s="685"/>
      <c r="AV181" s="19"/>
      <c r="AW181" s="688"/>
      <c r="AX181" s="685"/>
      <c r="AY181" s="19"/>
      <c r="AZ181" s="688"/>
      <c r="BA181" s="685"/>
      <c r="BB181" s="19"/>
      <c r="BC181" s="688"/>
      <c r="BD181" s="685"/>
      <c r="BE181" s="19"/>
      <c r="BF181" s="688"/>
      <c r="BG181" s="685"/>
      <c r="BH181" s="19"/>
      <c r="BI181" s="688"/>
      <c r="BJ181" s="685"/>
      <c r="BK181" s="19"/>
      <c r="BL181" s="688"/>
      <c r="BM181" s="685"/>
    </row>
    <row r="182" spans="1:67" ht="11.4" hidden="1" outlineLevel="1">
      <c r="A182" s="25" t="s">
        <v>579</v>
      </c>
      <c r="B182" s="40"/>
      <c r="C182" s="40"/>
      <c r="D182" s="40"/>
      <c r="E182" s="40"/>
      <c r="F182" s="40"/>
      <c r="G182" s="40"/>
      <c r="H182" s="40"/>
      <c r="I182" s="40"/>
      <c r="J182" s="40"/>
      <c r="K182" s="40"/>
      <c r="L182" s="40"/>
      <c r="M182" s="40"/>
      <c r="N182" s="40"/>
      <c r="O182" s="40"/>
      <c r="P182" s="40"/>
      <c r="Q182" s="40">
        <v>-106</v>
      </c>
      <c r="R182" s="40"/>
      <c r="S182" s="630"/>
      <c r="T182" s="653">
        <v>-71</v>
      </c>
      <c r="U182" s="40"/>
      <c r="V182" s="630"/>
      <c r="W182" s="653">
        <v>-13</v>
      </c>
      <c r="X182" s="40"/>
      <c r="Y182" s="630"/>
      <c r="Z182" s="679"/>
      <c r="AA182" s="108"/>
      <c r="AB182" s="676"/>
      <c r="AC182" s="679"/>
      <c r="AD182" s="108"/>
      <c r="AE182" s="676"/>
      <c r="AF182" s="679"/>
      <c r="AG182" s="108"/>
      <c r="AH182" s="676"/>
      <c r="AI182" s="679"/>
      <c r="AJ182" s="108"/>
      <c r="AK182" s="676"/>
      <c r="AL182" s="679"/>
      <c r="AM182" s="108"/>
      <c r="AN182" s="676"/>
      <c r="AO182" s="679"/>
      <c r="AP182" s="108"/>
      <c r="AQ182" s="688"/>
      <c r="AR182" s="685"/>
      <c r="AS182" s="19"/>
      <c r="AT182" s="688"/>
      <c r="AU182" s="685"/>
      <c r="AV182" s="19"/>
      <c r="AW182" s="688"/>
      <c r="AX182" s="685"/>
      <c r="AY182" s="19"/>
      <c r="AZ182" s="688"/>
      <c r="BA182" s="685"/>
      <c r="BB182" s="19"/>
      <c r="BC182" s="688"/>
      <c r="BD182" s="685"/>
      <c r="BE182" s="19"/>
      <c r="BF182" s="688"/>
      <c r="BG182" s="685"/>
      <c r="BH182" s="19"/>
      <c r="BI182" s="688"/>
      <c r="BJ182" s="685"/>
      <c r="BK182" s="19"/>
      <c r="BL182" s="688"/>
      <c r="BM182" s="685"/>
    </row>
    <row r="183" spans="1:67" ht="11.4" hidden="1" outlineLevel="1">
      <c r="A183" s="25" t="s">
        <v>580</v>
      </c>
      <c r="B183" s="40"/>
      <c r="C183" s="40"/>
      <c r="D183" s="40"/>
      <c r="E183" s="40"/>
      <c r="F183" s="40"/>
      <c r="G183" s="40"/>
      <c r="H183" s="40"/>
      <c r="I183" s="40"/>
      <c r="J183" s="40"/>
      <c r="K183" s="40"/>
      <c r="L183" s="40"/>
      <c r="M183" s="40"/>
      <c r="N183" s="40"/>
      <c r="O183" s="40"/>
      <c r="P183" s="40"/>
      <c r="Q183" s="40">
        <v>-100</v>
      </c>
      <c r="R183" s="40"/>
      <c r="S183" s="630"/>
      <c r="T183" s="653">
        <v>-105</v>
      </c>
      <c r="U183" s="40"/>
      <c r="V183" s="630"/>
      <c r="W183" s="653"/>
      <c r="X183" s="40"/>
      <c r="Y183" s="630"/>
      <c r="Z183" s="679"/>
      <c r="AA183" s="108"/>
      <c r="AB183" s="676"/>
      <c r="AC183" s="679"/>
      <c r="AD183" s="108"/>
      <c r="AE183" s="676"/>
      <c r="AF183" s="679"/>
      <c r="AG183" s="108"/>
      <c r="AH183" s="676"/>
      <c r="AI183" s="679"/>
      <c r="AJ183" s="108"/>
      <c r="AK183" s="676"/>
      <c r="AL183" s="679"/>
      <c r="AM183" s="108"/>
      <c r="AN183" s="676"/>
      <c r="AO183" s="679"/>
      <c r="AP183" s="108"/>
      <c r="AQ183" s="688"/>
      <c r="AR183" s="685"/>
      <c r="AS183" s="19"/>
      <c r="AT183" s="688"/>
      <c r="AU183" s="685"/>
      <c r="AV183" s="19"/>
      <c r="AW183" s="688"/>
      <c r="AX183" s="685"/>
      <c r="AY183" s="19"/>
      <c r="AZ183" s="688"/>
      <c r="BA183" s="685"/>
      <c r="BB183" s="19"/>
      <c r="BC183" s="688"/>
      <c r="BD183" s="685"/>
      <c r="BE183" s="19"/>
      <c r="BF183" s="688"/>
      <c r="BG183" s="685"/>
      <c r="BH183" s="19"/>
      <c r="BI183" s="688"/>
      <c r="BJ183" s="685"/>
      <c r="BK183" s="19"/>
      <c r="BL183" s="688"/>
      <c r="BM183" s="685"/>
    </row>
    <row r="184" spans="1:67" ht="11.4" hidden="1" outlineLevel="1">
      <c r="A184" s="25" t="s">
        <v>676</v>
      </c>
      <c r="B184" s="40"/>
      <c r="C184" s="40"/>
      <c r="D184" s="40"/>
      <c r="E184" s="40"/>
      <c r="F184" s="40"/>
      <c r="G184" s="40"/>
      <c r="H184" s="40"/>
      <c r="I184" s="40"/>
      <c r="J184" s="40"/>
      <c r="K184" s="40"/>
      <c r="L184" s="40"/>
      <c r="M184" s="40"/>
      <c r="N184" s="40"/>
      <c r="O184" s="40"/>
      <c r="P184" s="40"/>
      <c r="Q184" s="40"/>
      <c r="R184" s="40"/>
      <c r="S184" s="630"/>
      <c r="T184" s="653"/>
      <c r="U184" s="40"/>
      <c r="V184" s="630"/>
      <c r="W184" s="653">
        <v>-22</v>
      </c>
      <c r="X184" s="40"/>
      <c r="Y184" s="630"/>
      <c r="Z184" s="679"/>
      <c r="AA184" s="108"/>
      <c r="AB184" s="676"/>
      <c r="AC184" s="679"/>
      <c r="AD184" s="108"/>
      <c r="AE184" s="676"/>
      <c r="AF184" s="679"/>
      <c r="AG184" s="108"/>
      <c r="AH184" s="676"/>
      <c r="AI184" s="679"/>
      <c r="AJ184" s="108"/>
      <c r="AK184" s="676"/>
      <c r="AL184" s="679"/>
      <c r="AM184" s="108"/>
      <c r="AN184" s="676"/>
      <c r="AO184" s="679"/>
      <c r="AP184" s="108"/>
      <c r="AQ184" s="688"/>
      <c r="AR184" s="685"/>
      <c r="AS184" s="19"/>
      <c r="AT184" s="688"/>
      <c r="AU184" s="685"/>
      <c r="AV184" s="19"/>
      <c r="AW184" s="688"/>
      <c r="AX184" s="685"/>
      <c r="AY184" s="19"/>
      <c r="AZ184" s="688"/>
      <c r="BA184" s="685"/>
      <c r="BB184" s="19"/>
      <c r="BC184" s="688"/>
      <c r="BD184" s="685"/>
      <c r="BE184" s="19"/>
      <c r="BF184" s="688"/>
      <c r="BG184" s="685"/>
      <c r="BH184" s="19"/>
      <c r="BI184" s="688"/>
      <c r="BJ184" s="685"/>
      <c r="BK184" s="19"/>
      <c r="BL184" s="688"/>
      <c r="BM184" s="685"/>
    </row>
    <row r="185" spans="1:67" ht="11.4" hidden="1" outlineLevel="1">
      <c r="A185" s="25" t="s">
        <v>677</v>
      </c>
      <c r="B185" s="40"/>
      <c r="C185" s="40"/>
      <c r="D185" s="40"/>
      <c r="E185" s="40"/>
      <c r="F185" s="40"/>
      <c r="G185" s="40"/>
      <c r="H185" s="40"/>
      <c r="I185" s="40"/>
      <c r="J185" s="40"/>
      <c r="K185" s="40"/>
      <c r="L185" s="40"/>
      <c r="M185" s="40"/>
      <c r="N185" s="40"/>
      <c r="O185" s="40"/>
      <c r="P185" s="40"/>
      <c r="Q185" s="40"/>
      <c r="R185" s="40"/>
      <c r="S185" s="630"/>
      <c r="T185" s="653"/>
      <c r="U185" s="40"/>
      <c r="V185" s="630"/>
      <c r="W185" s="653">
        <v>20</v>
      </c>
      <c r="X185" s="40"/>
      <c r="Y185" s="630"/>
      <c r="Z185" s="679"/>
      <c r="AA185" s="108"/>
      <c r="AB185" s="676"/>
      <c r="AC185" s="679"/>
      <c r="AD185" s="108"/>
      <c r="AE185" s="676"/>
      <c r="AF185" s="679"/>
      <c r="AG185" s="108"/>
      <c r="AH185" s="676"/>
      <c r="AI185" s="679"/>
      <c r="AJ185" s="108"/>
      <c r="AK185" s="676"/>
      <c r="AL185" s="679"/>
      <c r="AM185" s="108"/>
      <c r="AN185" s="676"/>
      <c r="AO185" s="679"/>
      <c r="AP185" s="108"/>
      <c r="AQ185" s="688"/>
      <c r="AR185" s="685"/>
      <c r="AS185" s="19"/>
      <c r="AT185" s="688"/>
      <c r="AU185" s="685"/>
      <c r="AV185" s="19"/>
      <c r="AW185" s="688"/>
      <c r="AX185" s="685"/>
      <c r="AY185" s="19"/>
      <c r="AZ185" s="688"/>
      <c r="BA185" s="685"/>
      <c r="BB185" s="19"/>
      <c r="BC185" s="688"/>
      <c r="BD185" s="685"/>
      <c r="BE185" s="19"/>
      <c r="BF185" s="688"/>
      <c r="BG185" s="685"/>
      <c r="BH185" s="19"/>
      <c r="BI185" s="688"/>
      <c r="BJ185" s="685"/>
      <c r="BK185" s="19"/>
      <c r="BL185" s="688"/>
      <c r="BM185" s="685"/>
    </row>
    <row r="186" spans="1:67" ht="11.4" hidden="1" outlineLevel="1">
      <c r="A186" s="31" t="s">
        <v>581</v>
      </c>
      <c r="B186" s="40"/>
      <c r="C186" s="40"/>
      <c r="D186" s="40"/>
      <c r="E186" s="40"/>
      <c r="F186" s="40"/>
      <c r="G186" s="40"/>
      <c r="H186" s="40"/>
      <c r="I186" s="40"/>
      <c r="J186" s="40"/>
      <c r="K186" s="40"/>
      <c r="L186" s="40"/>
      <c r="M186" s="40"/>
      <c r="N186" s="40"/>
      <c r="O186" s="40"/>
      <c r="P186" s="40"/>
      <c r="Q186" s="51">
        <f>SUM(Q179:Q183)</f>
        <v>-888</v>
      </c>
      <c r="R186" s="51"/>
      <c r="S186" s="629"/>
      <c r="T186" s="652">
        <f>SUM(T179:T183)</f>
        <v>-816</v>
      </c>
      <c r="U186" s="51"/>
      <c r="V186" s="629"/>
      <c r="W186" s="652">
        <f>SUM(W179:W185)</f>
        <v>-913</v>
      </c>
      <c r="X186" s="51"/>
      <c r="Y186" s="629"/>
      <c r="Z186" s="679"/>
      <c r="AA186" s="108"/>
      <c r="AB186" s="676"/>
      <c r="AC186" s="679"/>
      <c r="AD186" s="108"/>
      <c r="AE186" s="676"/>
      <c r="AF186" s="679"/>
      <c r="AG186" s="108"/>
      <c r="AH186" s="676"/>
      <c r="AI186" s="679"/>
      <c r="AJ186" s="108"/>
      <c r="AK186" s="676"/>
      <c r="AL186" s="679"/>
      <c r="AM186" s="108"/>
      <c r="AN186" s="676"/>
      <c r="AO186" s="679"/>
      <c r="AP186" s="108"/>
      <c r="AQ186" s="688"/>
      <c r="AR186" s="685"/>
      <c r="AS186" s="19"/>
      <c r="AT186" s="688"/>
      <c r="AU186" s="685"/>
      <c r="AV186" s="19"/>
      <c r="AW186" s="688"/>
      <c r="AX186" s="685"/>
      <c r="AY186" s="19"/>
      <c r="AZ186" s="688"/>
      <c r="BA186" s="685"/>
      <c r="BB186" s="19"/>
      <c r="BC186" s="688"/>
      <c r="BD186" s="685"/>
      <c r="BE186" s="19"/>
      <c r="BF186" s="688"/>
      <c r="BG186" s="685"/>
      <c r="BH186" s="19"/>
      <c r="BI186" s="688"/>
      <c r="BJ186" s="685"/>
      <c r="BK186" s="19"/>
      <c r="BL186" s="688"/>
      <c r="BM186" s="685"/>
    </row>
    <row r="187" spans="1:67" ht="11.4" hidden="1" outlineLevel="1">
      <c r="B187" s="40"/>
      <c r="C187" s="40"/>
      <c r="D187" s="40"/>
      <c r="E187" s="40"/>
      <c r="F187" s="40"/>
      <c r="G187" s="40"/>
      <c r="H187" s="40"/>
      <c r="I187" s="40"/>
      <c r="J187" s="40"/>
      <c r="K187" s="40"/>
      <c r="L187" s="40"/>
      <c r="M187" s="40"/>
      <c r="N187" s="40"/>
      <c r="O187" s="40"/>
      <c r="P187" s="40"/>
      <c r="Q187" s="40"/>
      <c r="R187" s="40"/>
      <c r="S187" s="630"/>
      <c r="T187" s="653"/>
      <c r="U187" s="40"/>
      <c r="V187" s="630"/>
      <c r="W187" s="653"/>
      <c r="X187" s="40"/>
      <c r="Y187" s="630"/>
      <c r="Z187" s="679"/>
      <c r="AA187" s="108"/>
      <c r="AB187" s="676"/>
      <c r="AC187" s="679"/>
      <c r="AD187" s="108"/>
      <c r="AE187" s="676"/>
      <c r="AF187" s="679"/>
      <c r="AG187" s="108"/>
      <c r="AH187" s="676"/>
      <c r="AI187" s="679"/>
      <c r="AJ187" s="108"/>
      <c r="AK187" s="676"/>
      <c r="AL187" s="679"/>
      <c r="AM187" s="108"/>
      <c r="AN187" s="676"/>
      <c r="AO187" s="679"/>
      <c r="AP187" s="108"/>
      <c r="AQ187" s="688"/>
      <c r="AR187" s="685"/>
      <c r="AS187" s="19"/>
      <c r="AT187" s="688"/>
      <c r="AU187" s="685"/>
      <c r="AV187" s="19"/>
      <c r="AW187" s="688"/>
      <c r="AX187" s="685"/>
      <c r="AY187" s="19"/>
      <c r="AZ187" s="688"/>
      <c r="BA187" s="685"/>
      <c r="BB187" s="19"/>
      <c r="BC187" s="688"/>
      <c r="BD187" s="685"/>
      <c r="BE187" s="19"/>
      <c r="BF187" s="688"/>
      <c r="BG187" s="685"/>
      <c r="BH187" s="19"/>
      <c r="BI187" s="688"/>
      <c r="BJ187" s="685"/>
      <c r="BK187" s="19"/>
      <c r="BL187" s="688"/>
      <c r="BM187" s="685"/>
    </row>
    <row r="188" spans="1:67" ht="11.4" hidden="1" outlineLevel="1">
      <c r="A188" s="25" t="s">
        <v>544</v>
      </c>
      <c r="B188" s="40"/>
      <c r="C188" s="40"/>
      <c r="D188" s="40"/>
      <c r="E188" s="40"/>
      <c r="F188" s="40"/>
      <c r="G188" s="40"/>
      <c r="H188" s="40"/>
      <c r="I188" s="40"/>
      <c r="J188" s="40"/>
      <c r="K188" s="40"/>
      <c r="L188" s="40"/>
      <c r="M188" s="40"/>
      <c r="N188" s="40"/>
      <c r="O188" s="40"/>
      <c r="P188" s="40"/>
      <c r="Q188" s="40">
        <v>268</v>
      </c>
      <c r="R188" s="40"/>
      <c r="S188" s="630"/>
      <c r="T188" s="653">
        <v>276</v>
      </c>
      <c r="U188" s="40"/>
      <c r="V188" s="630"/>
      <c r="W188" s="653">
        <v>353</v>
      </c>
      <c r="X188" s="40"/>
      <c r="Y188" s="630"/>
      <c r="Z188" s="679"/>
      <c r="AA188" s="108"/>
      <c r="AB188" s="676"/>
      <c r="AC188" s="679"/>
      <c r="AD188" s="108"/>
      <c r="AE188" s="676"/>
      <c r="AF188" s="679"/>
      <c r="AG188" s="108"/>
      <c r="AH188" s="676"/>
      <c r="AI188" s="679"/>
      <c r="AJ188" s="108"/>
      <c r="AK188" s="676"/>
      <c r="AL188" s="679"/>
      <c r="AM188" s="108"/>
      <c r="AN188" s="676"/>
      <c r="AO188" s="679"/>
      <c r="AP188" s="108"/>
      <c r="AQ188" s="688"/>
      <c r="AR188" s="685"/>
      <c r="AS188" s="19"/>
      <c r="AT188" s="688"/>
      <c r="AU188" s="685"/>
      <c r="AV188" s="19"/>
      <c r="AW188" s="688"/>
      <c r="AX188" s="685"/>
      <c r="AY188" s="19"/>
      <c r="AZ188" s="688"/>
      <c r="BA188" s="685"/>
      <c r="BB188" s="19"/>
      <c r="BC188" s="688"/>
      <c r="BD188" s="685"/>
      <c r="BE188" s="19"/>
      <c r="BF188" s="688"/>
      <c r="BG188" s="685"/>
      <c r="BH188" s="19"/>
      <c r="BI188" s="688"/>
      <c r="BJ188" s="685"/>
      <c r="BK188" s="19"/>
      <c r="BL188" s="688"/>
      <c r="BM188" s="685"/>
    </row>
    <row r="189" spans="1:67" ht="11.4" hidden="1" outlineLevel="1">
      <c r="A189" s="25" t="s">
        <v>543</v>
      </c>
      <c r="B189" s="40"/>
      <c r="C189" s="40"/>
      <c r="D189" s="40"/>
      <c r="E189" s="40"/>
      <c r="F189" s="40"/>
      <c r="G189" s="40"/>
      <c r="H189" s="40"/>
      <c r="I189" s="40"/>
      <c r="J189" s="40"/>
      <c r="K189" s="40"/>
      <c r="L189" s="40"/>
      <c r="M189" s="40"/>
      <c r="N189" s="40"/>
      <c r="O189" s="40"/>
      <c r="P189" s="40"/>
      <c r="Q189" s="40">
        <v>-136</v>
      </c>
      <c r="R189" s="40"/>
      <c r="S189" s="630"/>
      <c r="T189" s="653">
        <v>0</v>
      </c>
      <c r="U189" s="40"/>
      <c r="V189" s="630"/>
      <c r="W189" s="653">
        <v>0</v>
      </c>
      <c r="X189" s="40"/>
      <c r="Y189" s="630"/>
      <c r="Z189" s="679"/>
      <c r="AA189" s="108"/>
      <c r="AB189" s="676"/>
      <c r="AC189" s="679"/>
      <c r="AD189" s="108"/>
      <c r="AE189" s="676"/>
      <c r="AF189" s="679"/>
      <c r="AG189" s="108"/>
      <c r="AH189" s="676"/>
      <c r="AI189" s="679"/>
      <c r="AJ189" s="108"/>
      <c r="AK189" s="676"/>
      <c r="AL189" s="679"/>
      <c r="AM189" s="108"/>
      <c r="AN189" s="676"/>
      <c r="AO189" s="679"/>
      <c r="AP189" s="108"/>
      <c r="AQ189" s="688"/>
      <c r="AR189" s="685"/>
      <c r="AS189" s="19"/>
      <c r="AT189" s="688"/>
      <c r="AU189" s="685"/>
      <c r="AV189" s="19"/>
      <c r="AW189" s="688"/>
      <c r="AX189" s="685"/>
      <c r="AY189" s="19"/>
      <c r="AZ189" s="688"/>
      <c r="BA189" s="685"/>
      <c r="BB189" s="19"/>
      <c r="BC189" s="688"/>
      <c r="BD189" s="685"/>
      <c r="BE189" s="19"/>
      <c r="BF189" s="688"/>
      <c r="BG189" s="685"/>
      <c r="BH189" s="19"/>
      <c r="BI189" s="688"/>
      <c r="BJ189" s="685"/>
      <c r="BK189" s="19"/>
      <c r="BL189" s="688"/>
      <c r="BM189" s="685"/>
    </row>
    <row r="190" spans="1:67" ht="11.4" hidden="1" outlineLevel="1">
      <c r="A190" s="25" t="s">
        <v>545</v>
      </c>
      <c r="B190" s="40"/>
      <c r="C190" s="40"/>
      <c r="D190" s="40"/>
      <c r="E190" s="40"/>
      <c r="F190" s="40"/>
      <c r="G190" s="40"/>
      <c r="H190" s="40"/>
      <c r="I190" s="40"/>
      <c r="J190" s="40"/>
      <c r="K190" s="40"/>
      <c r="L190" s="40"/>
      <c r="M190" s="40"/>
      <c r="N190" s="40"/>
      <c r="O190" s="40"/>
      <c r="P190" s="40"/>
      <c r="Q190" s="40">
        <v>-145</v>
      </c>
      <c r="R190" s="40"/>
      <c r="S190" s="630"/>
      <c r="T190" s="653">
        <v>-187</v>
      </c>
      <c r="U190" s="40"/>
      <c r="V190" s="630"/>
      <c r="W190" s="653">
        <v>-341</v>
      </c>
      <c r="X190" s="40"/>
      <c r="Y190" s="630"/>
      <c r="Z190" s="679"/>
      <c r="AA190" s="108"/>
      <c r="AB190" s="676"/>
      <c r="AC190" s="679"/>
      <c r="AD190" s="108"/>
      <c r="AE190" s="676"/>
      <c r="AF190" s="679"/>
      <c r="AG190" s="108"/>
      <c r="AH190" s="676"/>
      <c r="AI190" s="679"/>
      <c r="AJ190" s="108"/>
      <c r="AK190" s="676"/>
      <c r="AL190" s="679"/>
      <c r="AM190" s="108"/>
      <c r="AN190" s="676"/>
      <c r="AO190" s="679"/>
      <c r="AP190" s="108"/>
      <c r="AQ190" s="688"/>
      <c r="AR190" s="685"/>
      <c r="AS190" s="19"/>
      <c r="AT190" s="688"/>
      <c r="AU190" s="685"/>
      <c r="AV190" s="19"/>
      <c r="AW190" s="688"/>
      <c r="AX190" s="685"/>
      <c r="AY190" s="19"/>
      <c r="AZ190" s="688"/>
      <c r="BA190" s="685"/>
      <c r="BB190" s="19"/>
      <c r="BC190" s="688"/>
      <c r="BD190" s="685"/>
      <c r="BE190" s="19"/>
      <c r="BF190" s="688"/>
      <c r="BG190" s="685"/>
      <c r="BH190" s="19"/>
      <c r="BI190" s="688"/>
      <c r="BJ190" s="685"/>
      <c r="BK190" s="19"/>
      <c r="BL190" s="688"/>
      <c r="BM190" s="685"/>
    </row>
    <row r="191" spans="1:67" ht="11.4" hidden="1" outlineLevel="1">
      <c r="A191" s="25" t="s">
        <v>520</v>
      </c>
      <c r="B191" s="40"/>
      <c r="C191" s="40"/>
      <c r="D191" s="40"/>
      <c r="E191" s="40"/>
      <c r="F191" s="40"/>
      <c r="G191" s="40"/>
      <c r="H191" s="40"/>
      <c r="I191" s="40"/>
      <c r="J191" s="40"/>
      <c r="K191" s="40"/>
      <c r="L191" s="40"/>
      <c r="M191" s="40"/>
      <c r="N191" s="40"/>
      <c r="O191" s="40"/>
      <c r="P191" s="40"/>
      <c r="Q191" s="40">
        <v>-75</v>
      </c>
      <c r="R191" s="40"/>
      <c r="S191" s="630"/>
      <c r="T191" s="653">
        <v>-363</v>
      </c>
      <c r="U191" s="40"/>
      <c r="V191" s="630"/>
      <c r="W191" s="653">
        <v>-344</v>
      </c>
      <c r="X191" s="40"/>
      <c r="Y191" s="630"/>
      <c r="Z191" s="679"/>
      <c r="AA191" s="108"/>
      <c r="AB191" s="676"/>
      <c r="AC191" s="679"/>
      <c r="AD191" s="108"/>
      <c r="AE191" s="676"/>
      <c r="AF191" s="679"/>
      <c r="AG191" s="108"/>
      <c r="AH191" s="676"/>
      <c r="AI191" s="679"/>
      <c r="AJ191" s="108"/>
      <c r="AK191" s="676"/>
      <c r="AL191" s="679"/>
      <c r="AM191" s="108"/>
      <c r="AN191" s="676"/>
      <c r="AO191" s="679"/>
      <c r="AP191" s="108"/>
      <c r="AQ191" s="688"/>
      <c r="AR191" s="685"/>
      <c r="AS191" s="19"/>
      <c r="AT191" s="688"/>
      <c r="AU191" s="685"/>
      <c r="AV191" s="19"/>
      <c r="AW191" s="688"/>
      <c r="AX191" s="685"/>
      <c r="AY191" s="19"/>
      <c r="AZ191" s="688"/>
      <c r="BA191" s="685"/>
      <c r="BB191" s="19"/>
      <c r="BC191" s="688"/>
      <c r="BD191" s="685"/>
      <c r="BE191" s="19"/>
      <c r="BF191" s="688"/>
      <c r="BG191" s="685"/>
      <c r="BH191" s="19"/>
      <c r="BI191" s="688"/>
      <c r="BJ191" s="685"/>
      <c r="BK191" s="19"/>
      <c r="BL191" s="688"/>
      <c r="BM191" s="685"/>
    </row>
    <row r="192" spans="1:67" ht="11.4" hidden="1" outlineLevel="1">
      <c r="A192" s="25" t="s">
        <v>521</v>
      </c>
      <c r="B192" s="40"/>
      <c r="C192" s="40"/>
      <c r="D192" s="40"/>
      <c r="E192" s="40"/>
      <c r="F192" s="40"/>
      <c r="G192" s="40"/>
      <c r="H192" s="40"/>
      <c r="I192" s="40"/>
      <c r="J192" s="40"/>
      <c r="K192" s="40"/>
      <c r="L192" s="40"/>
      <c r="M192" s="40"/>
      <c r="N192" s="40"/>
      <c r="O192" s="40"/>
      <c r="P192" s="40"/>
      <c r="Q192" s="40">
        <v>-120</v>
      </c>
      <c r="R192" s="40"/>
      <c r="S192" s="630"/>
      <c r="T192" s="653">
        <v>-200</v>
      </c>
      <c r="U192" s="40"/>
      <c r="V192" s="630"/>
      <c r="W192" s="653">
        <v>-165</v>
      </c>
      <c r="X192" s="40"/>
      <c r="Y192" s="630"/>
      <c r="Z192" s="679"/>
      <c r="AA192" s="108"/>
      <c r="AB192" s="676"/>
      <c r="AC192" s="679"/>
      <c r="AD192" s="108"/>
      <c r="AE192" s="676"/>
      <c r="AF192" s="679"/>
      <c r="AG192" s="108"/>
      <c r="AH192" s="676"/>
      <c r="AI192" s="679"/>
      <c r="AJ192" s="108"/>
      <c r="AK192" s="676"/>
      <c r="AL192" s="679"/>
      <c r="AM192" s="108"/>
      <c r="AN192" s="676"/>
      <c r="AO192" s="679"/>
      <c r="AP192" s="108"/>
      <c r="AQ192" s="688"/>
      <c r="AR192" s="685"/>
      <c r="AS192" s="19"/>
      <c r="AT192" s="688"/>
      <c r="AU192" s="685"/>
      <c r="AV192" s="19"/>
      <c r="AW192" s="688"/>
      <c r="AX192" s="685"/>
      <c r="AY192" s="19"/>
      <c r="AZ192" s="688"/>
      <c r="BA192" s="685"/>
      <c r="BB192" s="19"/>
      <c r="BC192" s="688"/>
      <c r="BD192" s="685"/>
      <c r="BE192" s="19"/>
      <c r="BF192" s="688"/>
      <c r="BG192" s="685"/>
      <c r="BH192" s="19"/>
      <c r="BI192" s="688"/>
      <c r="BJ192" s="685"/>
      <c r="BK192" s="19"/>
      <c r="BL192" s="688"/>
      <c r="BM192" s="685"/>
    </row>
    <row r="193" spans="1:65" ht="11.4" hidden="1" outlineLevel="1">
      <c r="A193" s="31" t="s">
        <v>582</v>
      </c>
      <c r="B193" s="40"/>
      <c r="C193" s="40"/>
      <c r="D193" s="40"/>
      <c r="E193" s="40"/>
      <c r="F193" s="40"/>
      <c r="G193" s="40"/>
      <c r="H193" s="40"/>
      <c r="I193" s="40"/>
      <c r="J193" s="40"/>
      <c r="K193" s="40"/>
      <c r="L193" s="40"/>
      <c r="M193" s="40"/>
      <c r="N193" s="40"/>
      <c r="O193" s="40"/>
      <c r="P193" s="40"/>
      <c r="Q193" s="51">
        <f>SUM(Q188:Q192)</f>
        <v>-208</v>
      </c>
      <c r="R193" s="51"/>
      <c r="S193" s="629"/>
      <c r="T193" s="652">
        <f>SUM(T188:T192)</f>
        <v>-474</v>
      </c>
      <c r="U193" s="51"/>
      <c r="V193" s="629"/>
      <c r="W193" s="652">
        <f>SUM(W188:W192)</f>
        <v>-497</v>
      </c>
      <c r="X193" s="51"/>
      <c r="Y193" s="629"/>
      <c r="Z193" s="679"/>
      <c r="AA193" s="108"/>
      <c r="AB193" s="676"/>
      <c r="AC193" s="679"/>
      <c r="AD193" s="108"/>
      <c r="AE193" s="676"/>
      <c r="AF193" s="679"/>
      <c r="AG193" s="108"/>
      <c r="AH193" s="676"/>
      <c r="AI193" s="679"/>
      <c r="AJ193" s="108"/>
      <c r="AK193" s="676"/>
      <c r="AL193" s="679"/>
      <c r="AM193" s="108"/>
      <c r="AN193" s="676"/>
      <c r="AO193" s="679"/>
      <c r="AP193" s="108"/>
      <c r="AQ193" s="688"/>
      <c r="AR193" s="685"/>
      <c r="AS193" s="19"/>
      <c r="AT193" s="688"/>
      <c r="AU193" s="685"/>
      <c r="AV193" s="19"/>
      <c r="AW193" s="688"/>
      <c r="AX193" s="685"/>
      <c r="AY193" s="19"/>
      <c r="AZ193" s="688"/>
      <c r="BA193" s="685"/>
      <c r="BB193" s="19"/>
      <c r="BC193" s="688"/>
      <c r="BD193" s="685"/>
      <c r="BE193" s="19"/>
      <c r="BF193" s="688"/>
      <c r="BG193" s="685"/>
      <c r="BH193" s="19"/>
      <c r="BI193" s="688"/>
      <c r="BJ193" s="685"/>
      <c r="BK193" s="19"/>
      <c r="BL193" s="688"/>
      <c r="BM193" s="685"/>
    </row>
    <row r="194" spans="1:65" ht="11.4" hidden="1" outlineLevel="1">
      <c r="A194" s="31"/>
      <c r="B194" s="40"/>
      <c r="C194" s="40"/>
      <c r="D194" s="40"/>
      <c r="E194" s="40"/>
      <c r="F194" s="40"/>
      <c r="G194" s="40"/>
      <c r="H194" s="40"/>
      <c r="I194" s="40"/>
      <c r="J194" s="40"/>
      <c r="K194" s="40"/>
      <c r="L194" s="40"/>
      <c r="M194" s="40"/>
      <c r="N194" s="40"/>
      <c r="O194" s="40"/>
      <c r="P194" s="40"/>
      <c r="Q194" s="51"/>
      <c r="R194" s="51"/>
      <c r="S194" s="629"/>
      <c r="T194" s="653"/>
      <c r="U194" s="51"/>
      <c r="V194" s="629"/>
      <c r="W194" s="653"/>
      <c r="X194" s="40"/>
      <c r="Y194" s="630"/>
      <c r="Z194" s="679"/>
      <c r="AA194" s="108"/>
      <c r="AB194" s="676"/>
      <c r="AC194" s="679"/>
      <c r="AD194" s="108"/>
      <c r="AE194" s="676"/>
      <c r="AF194" s="679"/>
      <c r="AG194" s="108"/>
      <c r="AH194" s="676"/>
      <c r="AI194" s="679"/>
      <c r="AJ194" s="108"/>
      <c r="AK194" s="676"/>
      <c r="AL194" s="679"/>
      <c r="AM194" s="108"/>
      <c r="AN194" s="676"/>
      <c r="AO194" s="679"/>
      <c r="AP194" s="108"/>
      <c r="AQ194" s="688"/>
      <c r="AR194" s="685"/>
      <c r="AS194" s="19"/>
      <c r="AT194" s="688"/>
      <c r="AU194" s="685"/>
      <c r="AV194" s="19"/>
      <c r="AW194" s="688"/>
      <c r="AX194" s="685"/>
      <c r="AY194" s="19"/>
      <c r="AZ194" s="688"/>
      <c r="BA194" s="685"/>
      <c r="BB194" s="19"/>
      <c r="BC194" s="688"/>
      <c r="BD194" s="685"/>
      <c r="BE194" s="19"/>
      <c r="BF194" s="688"/>
      <c r="BG194" s="685"/>
      <c r="BH194" s="19"/>
      <c r="BI194" s="688"/>
      <c r="BJ194" s="685"/>
      <c r="BK194" s="19"/>
      <c r="BL194" s="688"/>
      <c r="BM194" s="685"/>
    </row>
    <row r="195" spans="1:65" ht="11.4" hidden="1" outlineLevel="1">
      <c r="A195" s="68" t="s">
        <v>592</v>
      </c>
      <c r="B195" s="336"/>
      <c r="C195" s="336"/>
      <c r="D195" s="336"/>
      <c r="E195" s="336"/>
      <c r="F195" s="336"/>
      <c r="G195" s="336"/>
      <c r="H195" s="336"/>
      <c r="I195" s="336"/>
      <c r="J195" s="336"/>
      <c r="K195" s="336"/>
      <c r="L195" s="336"/>
      <c r="M195" s="336"/>
      <c r="N195" s="336"/>
      <c r="O195" s="336"/>
      <c r="P195" s="336"/>
      <c r="Q195" s="46">
        <f>Q186+Q193</f>
        <v>-1096</v>
      </c>
      <c r="R195" s="46"/>
      <c r="S195" s="643"/>
      <c r="T195" s="667">
        <f>T186+T193</f>
        <v>-1290</v>
      </c>
      <c r="U195" s="46"/>
      <c r="V195" s="643"/>
      <c r="W195" s="667">
        <f>W186+W193</f>
        <v>-1410</v>
      </c>
      <c r="X195" s="46"/>
      <c r="Y195" s="643"/>
      <c r="Z195" s="715"/>
      <c r="AA195" s="336"/>
      <c r="AB195" s="713"/>
      <c r="AC195" s="715"/>
      <c r="AD195" s="336"/>
      <c r="AE195" s="713"/>
      <c r="AF195" s="715"/>
      <c r="AG195" s="336"/>
      <c r="AH195" s="713"/>
      <c r="AI195" s="715"/>
      <c r="AJ195" s="336"/>
      <c r="AK195" s="713"/>
      <c r="AL195" s="715"/>
      <c r="AM195" s="336"/>
      <c r="AN195" s="713"/>
      <c r="AO195" s="715"/>
      <c r="AP195" s="336"/>
      <c r="AQ195" s="724"/>
      <c r="AR195" s="733"/>
      <c r="AS195" s="342"/>
      <c r="AT195" s="724"/>
      <c r="AU195" s="733"/>
      <c r="AV195" s="342"/>
      <c r="AW195" s="724"/>
      <c r="AX195" s="733"/>
      <c r="AY195" s="342"/>
      <c r="AZ195" s="724"/>
      <c r="BA195" s="733"/>
      <c r="BB195" s="342"/>
      <c r="BC195" s="724"/>
      <c r="BD195" s="733"/>
      <c r="BE195" s="342"/>
      <c r="BF195" s="724"/>
      <c r="BG195" s="733"/>
      <c r="BH195" s="342"/>
      <c r="BI195" s="724"/>
      <c r="BJ195" s="733"/>
      <c r="BK195" s="342"/>
      <c r="BL195" s="724"/>
      <c r="BM195" s="733"/>
    </row>
    <row r="196" spans="1:65" ht="11.4" hidden="1" outlineLevel="1">
      <c r="A196" s="31"/>
      <c r="B196" s="40"/>
      <c r="C196" s="40"/>
      <c r="D196" s="40"/>
      <c r="E196" s="40"/>
      <c r="F196" s="40"/>
      <c r="G196" s="40"/>
      <c r="H196" s="40"/>
      <c r="I196" s="40"/>
      <c r="J196" s="40"/>
      <c r="K196" s="40"/>
      <c r="L196" s="40"/>
      <c r="M196" s="40"/>
      <c r="N196" s="40"/>
      <c r="O196" s="40"/>
      <c r="P196" s="40"/>
      <c r="Q196" s="40"/>
      <c r="R196" s="40"/>
      <c r="S196" s="630"/>
      <c r="T196" s="653"/>
      <c r="U196" s="40"/>
      <c r="V196" s="630"/>
      <c r="W196" s="653"/>
      <c r="X196" s="40"/>
      <c r="Y196" s="630"/>
      <c r="Z196" s="653"/>
      <c r="AA196" s="108"/>
      <c r="AB196" s="676"/>
      <c r="AC196" s="679"/>
      <c r="AD196" s="108"/>
      <c r="AE196" s="676"/>
      <c r="AF196" s="679"/>
      <c r="AG196" s="108"/>
      <c r="AH196" s="676"/>
      <c r="AI196" s="679"/>
      <c r="AJ196" s="108"/>
      <c r="AK196" s="676"/>
      <c r="AL196" s="679"/>
      <c r="AM196" s="108"/>
      <c r="AN196" s="676"/>
      <c r="AO196" s="679"/>
      <c r="AP196" s="108"/>
      <c r="AQ196" s="688"/>
      <c r="AR196" s="685"/>
      <c r="AS196" s="19"/>
      <c r="AT196" s="688"/>
      <c r="AU196" s="685"/>
      <c r="AV196" s="19"/>
      <c r="AW196" s="688"/>
      <c r="AX196" s="685"/>
      <c r="AY196" s="19"/>
      <c r="AZ196" s="688"/>
      <c r="BA196" s="685"/>
      <c r="BB196" s="19"/>
      <c r="BC196" s="688"/>
      <c r="BD196" s="685"/>
      <c r="BE196" s="19"/>
      <c r="BF196" s="688"/>
      <c r="BG196" s="685"/>
      <c r="BH196" s="19"/>
      <c r="BI196" s="688"/>
      <c r="BJ196" s="685"/>
      <c r="BK196" s="19"/>
      <c r="BL196" s="688"/>
      <c r="BM196" s="685"/>
    </row>
    <row r="197" spans="1:65" ht="11.4" hidden="1" outlineLevel="1">
      <c r="A197" s="25" t="s">
        <v>576</v>
      </c>
      <c r="B197" s="40"/>
      <c r="C197" s="40"/>
      <c r="D197" s="40"/>
      <c r="E197" s="40"/>
      <c r="F197" s="40"/>
      <c r="G197" s="40"/>
      <c r="H197" s="40"/>
      <c r="I197" s="40"/>
      <c r="J197" s="40"/>
      <c r="K197" s="40"/>
      <c r="L197" s="40"/>
      <c r="M197" s="40"/>
      <c r="N197" s="40"/>
      <c r="O197" s="40"/>
      <c r="P197" s="40"/>
      <c r="Q197" s="40">
        <v>-370</v>
      </c>
      <c r="R197" s="40"/>
      <c r="S197" s="630"/>
      <c r="T197" s="653">
        <v>-147</v>
      </c>
      <c r="U197" s="40"/>
      <c r="V197" s="630"/>
      <c r="W197" s="653">
        <v>-194</v>
      </c>
      <c r="X197" s="40"/>
      <c r="Y197" s="630"/>
      <c r="Z197" s="653"/>
      <c r="AA197" s="108"/>
      <c r="AB197" s="676"/>
      <c r="AC197" s="679"/>
      <c r="AD197" s="108"/>
      <c r="AE197" s="676"/>
      <c r="AF197" s="679"/>
      <c r="AG197" s="108"/>
      <c r="AH197" s="676"/>
      <c r="AI197" s="679"/>
      <c r="AJ197" s="108"/>
      <c r="AK197" s="676"/>
      <c r="AL197" s="679"/>
      <c r="AM197" s="108"/>
      <c r="AN197" s="676"/>
      <c r="AO197" s="679"/>
      <c r="AP197" s="108"/>
      <c r="AQ197" s="688"/>
      <c r="AR197" s="685"/>
      <c r="AS197" s="19"/>
      <c r="AT197" s="688"/>
      <c r="AU197" s="685"/>
      <c r="AV197" s="19"/>
      <c r="AW197" s="688"/>
      <c r="AX197" s="685"/>
      <c r="AY197" s="19"/>
      <c r="AZ197" s="688"/>
      <c r="BA197" s="685"/>
      <c r="BB197" s="19"/>
      <c r="BC197" s="688"/>
      <c r="BD197" s="685"/>
      <c r="BE197" s="19"/>
      <c r="BF197" s="688"/>
      <c r="BG197" s="685"/>
      <c r="BH197" s="19"/>
      <c r="BI197" s="688"/>
      <c r="BJ197" s="685"/>
      <c r="BK197" s="19"/>
      <c r="BL197" s="688"/>
      <c r="BM197" s="685"/>
    </row>
    <row r="198" spans="1:65" ht="11.4" hidden="1" outlineLevel="1">
      <c r="A198" s="25" t="s">
        <v>577</v>
      </c>
      <c r="B198" s="40"/>
      <c r="C198" s="40"/>
      <c r="D198" s="40"/>
      <c r="E198" s="40"/>
      <c r="F198" s="40"/>
      <c r="G198" s="40"/>
      <c r="H198" s="40"/>
      <c r="I198" s="40"/>
      <c r="J198" s="40"/>
      <c r="K198" s="40"/>
      <c r="L198" s="40"/>
      <c r="M198" s="40"/>
      <c r="N198" s="40"/>
      <c r="O198" s="40"/>
      <c r="P198" s="40"/>
      <c r="Q198" s="40">
        <v>-151</v>
      </c>
      <c r="R198" s="40"/>
      <c r="S198" s="630"/>
      <c r="T198" s="653">
        <v>-285</v>
      </c>
      <c r="U198" s="40"/>
      <c r="V198" s="630"/>
      <c r="W198" s="653">
        <v>-418</v>
      </c>
      <c r="X198" s="40"/>
      <c r="Y198" s="630"/>
      <c r="Z198" s="653"/>
      <c r="AA198" s="108"/>
      <c r="AB198" s="676"/>
      <c r="AC198" s="679"/>
      <c r="AD198" s="108"/>
      <c r="AE198" s="676"/>
      <c r="AF198" s="679"/>
      <c r="AG198" s="108"/>
      <c r="AH198" s="676"/>
      <c r="AI198" s="679"/>
      <c r="AJ198" s="108"/>
      <c r="AK198" s="676"/>
      <c r="AL198" s="679"/>
      <c r="AM198" s="108"/>
      <c r="AN198" s="676"/>
      <c r="AO198" s="679"/>
      <c r="AP198" s="108"/>
      <c r="AQ198" s="688"/>
      <c r="AR198" s="685"/>
      <c r="AS198" s="19"/>
      <c r="AT198" s="688"/>
      <c r="AU198" s="685"/>
      <c r="AV198" s="19"/>
      <c r="AW198" s="688"/>
      <c r="AX198" s="685"/>
      <c r="AY198" s="19"/>
      <c r="AZ198" s="688"/>
      <c r="BA198" s="685"/>
      <c r="BB198" s="19"/>
      <c r="BC198" s="688"/>
      <c r="BD198" s="685"/>
      <c r="BE198" s="19"/>
      <c r="BF198" s="688"/>
      <c r="BG198" s="685"/>
      <c r="BH198" s="19"/>
      <c r="BI198" s="688"/>
      <c r="BJ198" s="685"/>
      <c r="BK198" s="19"/>
      <c r="BL198" s="688"/>
      <c r="BM198" s="685"/>
    </row>
    <row r="199" spans="1:65" ht="11.4" hidden="1" outlineLevel="1">
      <c r="A199" s="25" t="s">
        <v>578</v>
      </c>
      <c r="B199" s="40"/>
      <c r="C199" s="40"/>
      <c r="D199" s="40"/>
      <c r="E199" s="40"/>
      <c r="F199" s="40"/>
      <c r="G199" s="40"/>
      <c r="H199" s="40"/>
      <c r="I199" s="40"/>
      <c r="J199" s="40"/>
      <c r="K199" s="40"/>
      <c r="L199" s="40"/>
      <c r="M199" s="40"/>
      <c r="N199" s="40"/>
      <c r="O199" s="40"/>
      <c r="P199" s="40"/>
      <c r="Q199" s="40">
        <v>-161</v>
      </c>
      <c r="R199" s="40"/>
      <c r="S199" s="630"/>
      <c r="T199" s="653">
        <v>-208</v>
      </c>
      <c r="U199" s="40"/>
      <c r="V199" s="630"/>
      <c r="W199" s="653">
        <v>-286</v>
      </c>
      <c r="X199" s="40"/>
      <c r="Y199" s="630"/>
      <c r="Z199" s="653"/>
      <c r="AA199" s="108"/>
      <c r="AB199" s="676"/>
      <c r="AC199" s="679"/>
      <c r="AD199" s="108"/>
      <c r="AE199" s="676"/>
      <c r="AF199" s="679"/>
      <c r="AG199" s="108"/>
      <c r="AH199" s="676"/>
      <c r="AI199" s="679"/>
      <c r="AJ199" s="108"/>
      <c r="AK199" s="676"/>
      <c r="AL199" s="679"/>
      <c r="AM199" s="108"/>
      <c r="AN199" s="676"/>
      <c r="AO199" s="679"/>
      <c r="AP199" s="108"/>
      <c r="AQ199" s="688"/>
      <c r="AR199" s="685"/>
      <c r="AS199" s="19"/>
      <c r="AT199" s="688"/>
      <c r="AU199" s="685"/>
      <c r="AV199" s="19"/>
      <c r="AW199" s="688"/>
      <c r="AX199" s="685"/>
      <c r="AY199" s="19"/>
      <c r="AZ199" s="688"/>
      <c r="BA199" s="685"/>
      <c r="BB199" s="19"/>
      <c r="BC199" s="688"/>
      <c r="BD199" s="685"/>
      <c r="BE199" s="19"/>
      <c r="BF199" s="688"/>
      <c r="BG199" s="685"/>
      <c r="BH199" s="19"/>
      <c r="BI199" s="688"/>
      <c r="BJ199" s="685"/>
      <c r="BK199" s="19"/>
      <c r="BL199" s="688"/>
      <c r="BM199" s="685"/>
    </row>
    <row r="200" spans="1:65" ht="11.4" hidden="1" outlineLevel="1">
      <c r="A200" s="25" t="s">
        <v>579</v>
      </c>
      <c r="B200" s="40"/>
      <c r="C200" s="40"/>
      <c r="D200" s="40"/>
      <c r="E200" s="40"/>
      <c r="F200" s="40"/>
      <c r="G200" s="40"/>
      <c r="H200" s="40"/>
      <c r="I200" s="40"/>
      <c r="J200" s="40"/>
      <c r="K200" s="40"/>
      <c r="L200" s="40"/>
      <c r="M200" s="40"/>
      <c r="N200" s="40"/>
      <c r="O200" s="40"/>
      <c r="P200" s="40"/>
      <c r="Q200" s="40">
        <v>-77</v>
      </c>
      <c r="R200" s="40"/>
      <c r="S200" s="630"/>
      <c r="T200" s="653">
        <v>-44</v>
      </c>
      <c r="U200" s="40"/>
      <c r="V200" s="630"/>
      <c r="W200" s="653">
        <v>5</v>
      </c>
      <c r="X200" s="40"/>
      <c r="Y200" s="630"/>
      <c r="Z200" s="653"/>
      <c r="AA200" s="108"/>
      <c r="AB200" s="676"/>
      <c r="AC200" s="679"/>
      <c r="AD200" s="108"/>
      <c r="AE200" s="676"/>
      <c r="AF200" s="679"/>
      <c r="AG200" s="108"/>
      <c r="AH200" s="676"/>
      <c r="AI200" s="679"/>
      <c r="AJ200" s="108"/>
      <c r="AK200" s="676"/>
      <c r="AL200" s="679"/>
      <c r="AM200" s="108"/>
      <c r="AN200" s="676"/>
      <c r="AO200" s="679"/>
      <c r="AP200" s="108"/>
      <c r="AQ200" s="688"/>
      <c r="AR200" s="685"/>
      <c r="AS200" s="19"/>
      <c r="AT200" s="688"/>
      <c r="AU200" s="685"/>
      <c r="AV200" s="19"/>
      <c r="AW200" s="688"/>
      <c r="AX200" s="685"/>
      <c r="AY200" s="19"/>
      <c r="AZ200" s="688"/>
      <c r="BA200" s="685"/>
      <c r="BB200" s="19"/>
      <c r="BC200" s="688"/>
      <c r="BD200" s="685"/>
      <c r="BE200" s="19"/>
      <c r="BF200" s="688"/>
      <c r="BG200" s="685"/>
      <c r="BH200" s="19"/>
      <c r="BI200" s="688"/>
      <c r="BJ200" s="685"/>
      <c r="BK200" s="19"/>
      <c r="BL200" s="688"/>
      <c r="BM200" s="685"/>
    </row>
    <row r="201" spans="1:65" ht="11.4" hidden="1" outlineLevel="1">
      <c r="A201" s="25" t="s">
        <v>583</v>
      </c>
      <c r="B201" s="40"/>
      <c r="C201" s="40"/>
      <c r="D201" s="40"/>
      <c r="E201" s="40"/>
      <c r="F201" s="40"/>
      <c r="G201" s="40"/>
      <c r="H201" s="40"/>
      <c r="I201" s="40"/>
      <c r="J201" s="40"/>
      <c r="K201" s="40"/>
      <c r="L201" s="40"/>
      <c r="M201" s="40"/>
      <c r="N201" s="40"/>
      <c r="O201" s="40"/>
      <c r="P201" s="40"/>
      <c r="Q201" s="40">
        <v>55</v>
      </c>
      <c r="R201" s="40"/>
      <c r="S201" s="630"/>
      <c r="T201" s="653">
        <v>39</v>
      </c>
      <c r="U201" s="40"/>
      <c r="V201" s="630"/>
      <c r="W201" s="653">
        <v>57</v>
      </c>
      <c r="X201" s="40"/>
      <c r="Y201" s="630"/>
      <c r="Z201" s="653"/>
      <c r="AA201" s="108"/>
      <c r="AB201" s="676"/>
      <c r="AC201" s="679"/>
      <c r="AD201" s="108"/>
      <c r="AE201" s="676"/>
      <c r="AF201" s="679"/>
      <c r="AG201" s="108"/>
      <c r="AH201" s="676"/>
      <c r="AI201" s="679"/>
      <c r="AJ201" s="108"/>
      <c r="AK201" s="676"/>
      <c r="AL201" s="679"/>
      <c r="AM201" s="108"/>
      <c r="AN201" s="676"/>
      <c r="AO201" s="679"/>
      <c r="AP201" s="108"/>
      <c r="AQ201" s="688"/>
      <c r="AR201" s="685"/>
      <c r="AS201" s="19"/>
      <c r="AT201" s="688"/>
      <c r="AU201" s="685"/>
      <c r="AV201" s="19"/>
      <c r="AW201" s="688"/>
      <c r="AX201" s="685"/>
      <c r="AY201" s="19"/>
      <c r="AZ201" s="688"/>
      <c r="BA201" s="685"/>
      <c r="BB201" s="19"/>
      <c r="BC201" s="688"/>
      <c r="BD201" s="685"/>
      <c r="BE201" s="19"/>
      <c r="BF201" s="688"/>
      <c r="BG201" s="685"/>
      <c r="BH201" s="19"/>
      <c r="BI201" s="688"/>
      <c r="BJ201" s="685"/>
      <c r="BK201" s="19"/>
      <c r="BL201" s="688"/>
      <c r="BM201" s="685"/>
    </row>
    <row r="202" spans="1:65" ht="11.4" hidden="1" outlineLevel="1">
      <c r="A202" s="25" t="s">
        <v>584</v>
      </c>
      <c r="B202" s="40"/>
      <c r="C202" s="40"/>
      <c r="D202" s="40"/>
      <c r="E202" s="40"/>
      <c r="F202" s="40"/>
      <c r="G202" s="40"/>
      <c r="H202" s="40"/>
      <c r="I202" s="40"/>
      <c r="J202" s="40"/>
      <c r="K202" s="40"/>
      <c r="L202" s="40"/>
      <c r="M202" s="40"/>
      <c r="N202" s="40"/>
      <c r="O202" s="40"/>
      <c r="P202" s="40"/>
      <c r="Q202" s="40">
        <v>-65</v>
      </c>
      <c r="R202" s="40"/>
      <c r="S202" s="630"/>
      <c r="T202" s="653">
        <v>0</v>
      </c>
      <c r="U202" s="40"/>
      <c r="V202" s="630"/>
      <c r="W202" s="653"/>
      <c r="X202" s="40"/>
      <c r="Y202" s="630"/>
      <c r="Z202" s="653"/>
      <c r="AA202" s="108"/>
      <c r="AB202" s="676"/>
      <c r="AC202" s="679"/>
      <c r="AD202" s="108"/>
      <c r="AE202" s="676"/>
      <c r="AF202" s="679"/>
      <c r="AG202" s="108"/>
      <c r="AH202" s="676"/>
      <c r="AI202" s="679"/>
      <c r="AJ202" s="108"/>
      <c r="AK202" s="676"/>
      <c r="AL202" s="679"/>
      <c r="AM202" s="108"/>
      <c r="AN202" s="676"/>
      <c r="AO202" s="679"/>
      <c r="AP202" s="108"/>
      <c r="AQ202" s="688"/>
      <c r="AR202" s="685"/>
      <c r="AS202" s="19"/>
      <c r="AT202" s="688"/>
      <c r="AU202" s="685"/>
      <c r="AV202" s="19"/>
      <c r="AW202" s="688"/>
      <c r="AX202" s="685"/>
      <c r="AY202" s="19"/>
      <c r="AZ202" s="688"/>
      <c r="BA202" s="685"/>
      <c r="BB202" s="19"/>
      <c r="BC202" s="688"/>
      <c r="BD202" s="685"/>
      <c r="BE202" s="19"/>
      <c r="BF202" s="688"/>
      <c r="BG202" s="685"/>
      <c r="BH202" s="19"/>
      <c r="BI202" s="688"/>
      <c r="BJ202" s="685"/>
      <c r="BK202" s="19"/>
      <c r="BL202" s="688"/>
      <c r="BM202" s="685"/>
    </row>
    <row r="203" spans="1:65" ht="11.4" hidden="1" outlineLevel="1">
      <c r="A203" s="25" t="s">
        <v>585</v>
      </c>
      <c r="B203" s="40"/>
      <c r="C203" s="40"/>
      <c r="D203" s="40"/>
      <c r="E203" s="40"/>
      <c r="F203" s="40"/>
      <c r="G203" s="40"/>
      <c r="H203" s="40"/>
      <c r="I203" s="40"/>
      <c r="J203" s="40"/>
      <c r="K203" s="40"/>
      <c r="L203" s="40"/>
      <c r="M203" s="40"/>
      <c r="N203" s="40"/>
      <c r="O203" s="40"/>
      <c r="P203" s="40"/>
      <c r="Q203" s="40">
        <v>9</v>
      </c>
      <c r="R203" s="40"/>
      <c r="S203" s="630"/>
      <c r="T203" s="653">
        <v>10</v>
      </c>
      <c r="U203" s="40"/>
      <c r="V203" s="630"/>
      <c r="W203" s="653"/>
      <c r="X203" s="40"/>
      <c r="Y203" s="630"/>
      <c r="Z203" s="653"/>
      <c r="AA203" s="108"/>
      <c r="AB203" s="676"/>
      <c r="AC203" s="679"/>
      <c r="AD203" s="108"/>
      <c r="AE203" s="676"/>
      <c r="AF203" s="679"/>
      <c r="AG203" s="108"/>
      <c r="AH203" s="676"/>
      <c r="AI203" s="679"/>
      <c r="AJ203" s="108"/>
      <c r="AK203" s="676"/>
      <c r="AL203" s="679"/>
      <c r="AM203" s="108"/>
      <c r="AN203" s="676"/>
      <c r="AO203" s="679"/>
      <c r="AP203" s="108"/>
      <c r="AQ203" s="688"/>
      <c r="AR203" s="685"/>
      <c r="AS203" s="19"/>
      <c r="AT203" s="688"/>
      <c r="AU203" s="685"/>
      <c r="AV203" s="19"/>
      <c r="AW203" s="688"/>
      <c r="AX203" s="685"/>
      <c r="AY203" s="19"/>
      <c r="AZ203" s="688"/>
      <c r="BA203" s="685"/>
      <c r="BB203" s="19"/>
      <c r="BC203" s="688"/>
      <c r="BD203" s="685"/>
      <c r="BE203" s="19"/>
      <c r="BF203" s="688"/>
      <c r="BG203" s="685"/>
      <c r="BH203" s="19"/>
      <c r="BI203" s="688"/>
      <c r="BJ203" s="685"/>
      <c r="BK203" s="19"/>
      <c r="BL203" s="688"/>
      <c r="BM203" s="685"/>
    </row>
    <row r="204" spans="1:65" ht="11.4" hidden="1" outlineLevel="1">
      <c r="A204" s="25" t="s">
        <v>679</v>
      </c>
      <c r="B204" s="40"/>
      <c r="C204" s="40"/>
      <c r="D204" s="40"/>
      <c r="E204" s="40"/>
      <c r="F204" s="40"/>
      <c r="G204" s="40"/>
      <c r="H204" s="40"/>
      <c r="I204" s="40"/>
      <c r="J204" s="40"/>
      <c r="K204" s="40"/>
      <c r="L204" s="40"/>
      <c r="M204" s="40"/>
      <c r="N204" s="40"/>
      <c r="O204" s="40"/>
      <c r="P204" s="40"/>
      <c r="Q204" s="40"/>
      <c r="R204" s="40"/>
      <c r="S204" s="630"/>
      <c r="T204" s="653"/>
      <c r="U204" s="40"/>
      <c r="V204" s="630"/>
      <c r="W204" s="653">
        <v>23</v>
      </c>
      <c r="X204" s="40"/>
      <c r="Y204" s="630"/>
      <c r="Z204" s="653"/>
      <c r="AA204" s="108"/>
      <c r="AB204" s="676"/>
      <c r="AC204" s="679"/>
      <c r="AD204" s="108"/>
      <c r="AE204" s="676"/>
      <c r="AF204" s="679"/>
      <c r="AG204" s="108"/>
      <c r="AH204" s="676"/>
      <c r="AI204" s="679"/>
      <c r="AJ204" s="108"/>
      <c r="AK204" s="676"/>
      <c r="AL204" s="679"/>
      <c r="AM204" s="108"/>
      <c r="AN204" s="676"/>
      <c r="AO204" s="679"/>
      <c r="AP204" s="108"/>
      <c r="AQ204" s="688"/>
      <c r="AR204" s="685"/>
      <c r="AS204" s="19"/>
      <c r="AT204" s="688"/>
      <c r="AU204" s="685"/>
      <c r="AV204" s="19"/>
      <c r="AW204" s="688"/>
      <c r="AX204" s="685"/>
      <c r="AY204" s="19"/>
      <c r="AZ204" s="688"/>
      <c r="BA204" s="685"/>
      <c r="BB204" s="19"/>
      <c r="BC204" s="688"/>
      <c r="BD204" s="685"/>
      <c r="BE204" s="19"/>
      <c r="BF204" s="688"/>
      <c r="BG204" s="685"/>
      <c r="BH204" s="19"/>
      <c r="BI204" s="688"/>
      <c r="BJ204" s="685"/>
      <c r="BK204" s="19"/>
      <c r="BL204" s="688"/>
      <c r="BM204" s="685"/>
    </row>
    <row r="205" spans="1:65" ht="11.4" hidden="1" outlineLevel="1">
      <c r="A205" s="25" t="s">
        <v>677</v>
      </c>
      <c r="B205" s="40"/>
      <c r="C205" s="40"/>
      <c r="D205" s="40"/>
      <c r="E205" s="40"/>
      <c r="F205" s="40"/>
      <c r="G205" s="40"/>
      <c r="H205" s="40"/>
      <c r="I205" s="40"/>
      <c r="J205" s="40"/>
      <c r="K205" s="40"/>
      <c r="L205" s="40"/>
      <c r="M205" s="40"/>
      <c r="N205" s="40"/>
      <c r="O205" s="40"/>
      <c r="P205" s="40"/>
      <c r="Q205" s="40"/>
      <c r="R205" s="40"/>
      <c r="S205" s="630"/>
      <c r="T205" s="653"/>
      <c r="U205" s="40"/>
      <c r="V205" s="630"/>
      <c r="W205" s="653">
        <v>-14</v>
      </c>
      <c r="X205" s="40"/>
      <c r="Y205" s="630"/>
      <c r="Z205" s="653"/>
      <c r="AA205" s="108"/>
      <c r="AB205" s="676"/>
      <c r="AC205" s="679"/>
      <c r="AD205" s="108"/>
      <c r="AE205" s="676"/>
      <c r="AF205" s="679"/>
      <c r="AG205" s="108"/>
      <c r="AH205" s="676"/>
      <c r="AI205" s="679"/>
      <c r="AJ205" s="108"/>
      <c r="AK205" s="676"/>
      <c r="AL205" s="679"/>
      <c r="AM205" s="108"/>
      <c r="AN205" s="676"/>
      <c r="AO205" s="679"/>
      <c r="AP205" s="108"/>
      <c r="AQ205" s="688"/>
      <c r="AR205" s="685"/>
      <c r="AS205" s="19"/>
      <c r="AT205" s="688"/>
      <c r="AU205" s="685"/>
      <c r="AV205" s="19"/>
      <c r="AW205" s="688"/>
      <c r="AX205" s="685"/>
      <c r="AY205" s="19"/>
      <c r="AZ205" s="688"/>
      <c r="BA205" s="685"/>
      <c r="BB205" s="19"/>
      <c r="BC205" s="688"/>
      <c r="BD205" s="685"/>
      <c r="BE205" s="19"/>
      <c r="BF205" s="688"/>
      <c r="BG205" s="685"/>
      <c r="BH205" s="19"/>
      <c r="BI205" s="688"/>
      <c r="BJ205" s="685"/>
      <c r="BK205" s="19"/>
      <c r="BL205" s="688"/>
      <c r="BM205" s="685"/>
    </row>
    <row r="206" spans="1:65" ht="11.4" hidden="1" outlineLevel="1">
      <c r="A206" s="31" t="s">
        <v>581</v>
      </c>
      <c r="B206" s="40"/>
      <c r="C206" s="40"/>
      <c r="D206" s="40"/>
      <c r="E206" s="40"/>
      <c r="F206" s="40"/>
      <c r="G206" s="40"/>
      <c r="H206" s="40"/>
      <c r="I206" s="40"/>
      <c r="J206" s="40"/>
      <c r="K206" s="40"/>
      <c r="L206" s="40"/>
      <c r="M206" s="40"/>
      <c r="N206" s="40"/>
      <c r="O206" s="40"/>
      <c r="P206" s="40"/>
      <c r="Q206" s="51">
        <f>SUM(Q197:Q205)</f>
        <v>-760</v>
      </c>
      <c r="R206" s="51"/>
      <c r="S206" s="629"/>
      <c r="T206" s="652">
        <f>SUM(T197:T205)</f>
        <v>-635</v>
      </c>
      <c r="U206" s="51"/>
      <c r="V206" s="629"/>
      <c r="W206" s="652">
        <f>SUM(W197:W205)</f>
        <v>-827</v>
      </c>
      <c r="X206" s="51"/>
      <c r="Y206" s="629"/>
      <c r="Z206" s="653"/>
      <c r="AA206" s="108"/>
      <c r="AB206" s="676"/>
      <c r="AC206" s="679"/>
      <c r="AD206" s="108"/>
      <c r="AE206" s="676"/>
      <c r="AF206" s="679"/>
      <c r="AG206" s="108"/>
      <c r="AH206" s="676"/>
      <c r="AI206" s="679"/>
      <c r="AJ206" s="108"/>
      <c r="AK206" s="676"/>
      <c r="AL206" s="679"/>
      <c r="AM206" s="108"/>
      <c r="AN206" s="676"/>
      <c r="AO206" s="679"/>
      <c r="AP206" s="108"/>
      <c r="AQ206" s="688"/>
      <c r="AR206" s="685"/>
      <c r="AS206" s="19"/>
      <c r="AT206" s="688"/>
      <c r="AU206" s="685"/>
      <c r="AV206" s="19"/>
      <c r="AW206" s="688"/>
      <c r="AX206" s="685"/>
      <c r="AY206" s="19"/>
      <c r="AZ206" s="688"/>
      <c r="BA206" s="685"/>
      <c r="BB206" s="19"/>
      <c r="BC206" s="688"/>
      <c r="BD206" s="685"/>
      <c r="BE206" s="19"/>
      <c r="BF206" s="688"/>
      <c r="BG206" s="685"/>
      <c r="BH206" s="19"/>
      <c r="BI206" s="688"/>
      <c r="BJ206" s="685"/>
      <c r="BK206" s="19"/>
      <c r="BL206" s="688"/>
      <c r="BM206" s="685"/>
    </row>
    <row r="207" spans="1:65" ht="11.4" hidden="1" outlineLevel="1">
      <c r="A207" s="31"/>
      <c r="B207" s="40"/>
      <c r="C207" s="40"/>
      <c r="D207" s="40"/>
      <c r="E207" s="40"/>
      <c r="F207" s="40"/>
      <c r="G207" s="40"/>
      <c r="H207" s="40"/>
      <c r="I207" s="40"/>
      <c r="J207" s="40"/>
      <c r="K207" s="40"/>
      <c r="L207" s="40"/>
      <c r="M207" s="40"/>
      <c r="N207" s="40"/>
      <c r="O207" s="40"/>
      <c r="P207" s="40"/>
      <c r="Q207" s="40"/>
      <c r="R207" s="40"/>
      <c r="S207" s="630"/>
      <c r="T207" s="653"/>
      <c r="U207" s="40"/>
      <c r="V207" s="630"/>
      <c r="W207" s="653"/>
      <c r="X207" s="40"/>
      <c r="Y207" s="630"/>
      <c r="Z207" s="653"/>
      <c r="AA207" s="108"/>
      <c r="AB207" s="676"/>
      <c r="AC207" s="679"/>
      <c r="AD207" s="108"/>
      <c r="AE207" s="676"/>
      <c r="AF207" s="679"/>
      <c r="AG207" s="108"/>
      <c r="AH207" s="676"/>
      <c r="AI207" s="679"/>
      <c r="AJ207" s="108"/>
      <c r="AK207" s="676"/>
      <c r="AL207" s="679"/>
      <c r="AM207" s="108"/>
      <c r="AN207" s="676"/>
      <c r="AO207" s="679"/>
      <c r="AP207" s="108"/>
      <c r="AQ207" s="688"/>
      <c r="AR207" s="685"/>
      <c r="AS207" s="19"/>
      <c r="AT207" s="688"/>
      <c r="AU207" s="685"/>
      <c r="AV207" s="19"/>
      <c r="AW207" s="688"/>
      <c r="AX207" s="685"/>
      <c r="AY207" s="19"/>
      <c r="AZ207" s="688"/>
      <c r="BA207" s="685"/>
      <c r="BB207" s="19"/>
      <c r="BC207" s="688"/>
      <c r="BD207" s="685"/>
      <c r="BE207" s="19"/>
      <c r="BF207" s="688"/>
      <c r="BG207" s="685"/>
      <c r="BH207" s="19"/>
      <c r="BI207" s="688"/>
      <c r="BJ207" s="685"/>
      <c r="BK207" s="19"/>
      <c r="BL207" s="688"/>
      <c r="BM207" s="685"/>
    </row>
    <row r="208" spans="1:65" ht="11.4" hidden="1" outlineLevel="1">
      <c r="A208" s="25" t="s">
        <v>544</v>
      </c>
      <c r="B208" s="40"/>
      <c r="C208" s="40"/>
      <c r="D208" s="40"/>
      <c r="E208" s="40"/>
      <c r="F208" s="40"/>
      <c r="G208" s="40"/>
      <c r="H208" s="40"/>
      <c r="I208" s="40"/>
      <c r="J208" s="40"/>
      <c r="K208" s="40"/>
      <c r="L208" s="40"/>
      <c r="M208" s="40"/>
      <c r="N208" s="40"/>
      <c r="O208" s="40"/>
      <c r="P208" s="40"/>
      <c r="Q208" s="40">
        <v>268</v>
      </c>
      <c r="R208" s="40"/>
      <c r="S208" s="630"/>
      <c r="T208" s="653">
        <v>276</v>
      </c>
      <c r="U208" s="40"/>
      <c r="V208" s="630"/>
      <c r="W208" s="653">
        <v>353</v>
      </c>
      <c r="X208" s="40"/>
      <c r="Y208" s="630"/>
      <c r="Z208" s="653"/>
      <c r="AA208" s="108"/>
      <c r="AB208" s="676"/>
      <c r="AC208" s="679"/>
      <c r="AD208" s="108"/>
      <c r="AE208" s="676"/>
      <c r="AF208" s="679"/>
      <c r="AG208" s="108"/>
      <c r="AH208" s="676"/>
      <c r="AI208" s="679"/>
      <c r="AJ208" s="108"/>
      <c r="AK208" s="676"/>
      <c r="AL208" s="679"/>
      <c r="AM208" s="108"/>
      <c r="AN208" s="676"/>
      <c r="AO208" s="679"/>
      <c r="AP208" s="108"/>
      <c r="AQ208" s="688"/>
      <c r="AR208" s="685"/>
      <c r="AS208" s="19"/>
      <c r="AT208" s="688"/>
      <c r="AU208" s="685"/>
      <c r="AV208" s="19"/>
      <c r="AW208" s="688"/>
      <c r="AX208" s="685"/>
      <c r="AY208" s="19"/>
      <c r="AZ208" s="688"/>
      <c r="BA208" s="685"/>
      <c r="BB208" s="19"/>
      <c r="BC208" s="688"/>
      <c r="BD208" s="685"/>
      <c r="BE208" s="19"/>
      <c r="BF208" s="688"/>
      <c r="BG208" s="685"/>
      <c r="BH208" s="19"/>
      <c r="BI208" s="688"/>
      <c r="BJ208" s="685"/>
      <c r="BK208" s="19"/>
      <c r="BL208" s="688"/>
      <c r="BM208" s="685"/>
    </row>
    <row r="209" spans="1:65" ht="11.4" hidden="1" outlineLevel="1">
      <c r="A209" s="25" t="s">
        <v>543</v>
      </c>
      <c r="B209" s="40"/>
      <c r="C209" s="40"/>
      <c r="D209" s="40"/>
      <c r="E209" s="40"/>
      <c r="F209" s="40"/>
      <c r="G209" s="40"/>
      <c r="H209" s="40"/>
      <c r="I209" s="40"/>
      <c r="J209" s="40"/>
      <c r="K209" s="40"/>
      <c r="L209" s="40"/>
      <c r="M209" s="40"/>
      <c r="N209" s="40"/>
      <c r="O209" s="40"/>
      <c r="P209" s="40"/>
      <c r="Q209" s="40">
        <v>-136</v>
      </c>
      <c r="R209" s="40"/>
      <c r="S209" s="630"/>
      <c r="T209" s="653"/>
      <c r="U209" s="40"/>
      <c r="V209" s="630"/>
      <c r="W209" s="653"/>
      <c r="X209" s="40"/>
      <c r="Y209" s="630"/>
      <c r="Z209" s="653"/>
      <c r="AA209" s="108"/>
      <c r="AB209" s="676"/>
      <c r="AC209" s="679"/>
      <c r="AD209" s="108"/>
      <c r="AE209" s="676"/>
      <c r="AF209" s="679"/>
      <c r="AG209" s="108"/>
      <c r="AH209" s="676"/>
      <c r="AI209" s="679"/>
      <c r="AJ209" s="108"/>
      <c r="AK209" s="676"/>
      <c r="AL209" s="679"/>
      <c r="AM209" s="108"/>
      <c r="AN209" s="676"/>
      <c r="AO209" s="679"/>
      <c r="AP209" s="108"/>
      <c r="AQ209" s="688"/>
      <c r="AR209" s="685"/>
      <c r="AS209" s="19"/>
      <c r="AT209" s="688"/>
      <c r="AU209" s="685"/>
      <c r="AV209" s="19"/>
      <c r="AW209" s="688"/>
      <c r="AX209" s="685"/>
      <c r="AY209" s="19"/>
      <c r="AZ209" s="688"/>
      <c r="BA209" s="685"/>
      <c r="BB209" s="19"/>
      <c r="BC209" s="688"/>
      <c r="BD209" s="685"/>
      <c r="BE209" s="19"/>
      <c r="BF209" s="688"/>
      <c r="BG209" s="685"/>
      <c r="BH209" s="19"/>
      <c r="BI209" s="688"/>
      <c r="BJ209" s="685"/>
      <c r="BK209" s="19"/>
      <c r="BL209" s="688"/>
      <c r="BM209" s="685"/>
    </row>
    <row r="210" spans="1:65" ht="11.4" hidden="1" outlineLevel="1">
      <c r="A210" s="25" t="s">
        <v>545</v>
      </c>
      <c r="B210" s="40"/>
      <c r="C210" s="40"/>
      <c r="D210" s="40"/>
      <c r="E210" s="40"/>
      <c r="F210" s="40"/>
      <c r="G210" s="40"/>
      <c r="H210" s="40"/>
      <c r="I210" s="40"/>
      <c r="J210" s="40"/>
      <c r="K210" s="40"/>
      <c r="L210" s="40"/>
      <c r="M210" s="40"/>
      <c r="N210" s="40"/>
      <c r="O210" s="40"/>
      <c r="P210" s="40"/>
      <c r="Q210" s="40">
        <v>-110</v>
      </c>
      <c r="R210" s="40"/>
      <c r="S210" s="630"/>
      <c r="T210" s="653">
        <v>-130</v>
      </c>
      <c r="U210" s="40"/>
      <c r="V210" s="630"/>
      <c r="W210" s="653">
        <v>-131</v>
      </c>
      <c r="X210" s="40"/>
      <c r="Y210" s="630"/>
      <c r="Z210" s="653"/>
      <c r="AA210" s="108"/>
      <c r="AB210" s="676"/>
      <c r="AC210" s="679"/>
      <c r="AD210" s="108"/>
      <c r="AE210" s="676"/>
      <c r="AF210" s="679"/>
      <c r="AG210" s="108"/>
      <c r="AH210" s="676"/>
      <c r="AI210" s="679"/>
      <c r="AJ210" s="108"/>
      <c r="AK210" s="676"/>
      <c r="AL210" s="679"/>
      <c r="AM210" s="108"/>
      <c r="AN210" s="676"/>
      <c r="AO210" s="679"/>
      <c r="AP210" s="108"/>
      <c r="AQ210" s="688"/>
      <c r="AR210" s="685"/>
      <c r="AS210" s="19"/>
      <c r="AT210" s="688"/>
      <c r="AU210" s="685"/>
      <c r="AV210" s="19"/>
      <c r="AW210" s="688"/>
      <c r="AX210" s="685"/>
      <c r="AY210" s="19"/>
      <c r="AZ210" s="688"/>
      <c r="BA210" s="685"/>
      <c r="BB210" s="19"/>
      <c r="BC210" s="688"/>
      <c r="BD210" s="685"/>
      <c r="BE210" s="19"/>
      <c r="BF210" s="688"/>
      <c r="BG210" s="685"/>
      <c r="BH210" s="19"/>
      <c r="BI210" s="688"/>
      <c r="BJ210" s="685"/>
      <c r="BK210" s="19"/>
      <c r="BL210" s="688"/>
      <c r="BM210" s="685"/>
    </row>
    <row r="211" spans="1:65" ht="11.4" hidden="1" outlineLevel="1">
      <c r="A211" s="25" t="s">
        <v>520</v>
      </c>
      <c r="B211" s="40"/>
      <c r="C211" s="40"/>
      <c r="D211" s="40"/>
      <c r="E211" s="40"/>
      <c r="F211" s="40"/>
      <c r="G211" s="40"/>
      <c r="H211" s="40"/>
      <c r="I211" s="40"/>
      <c r="J211" s="40"/>
      <c r="K211" s="40"/>
      <c r="L211" s="40"/>
      <c r="M211" s="40"/>
      <c r="N211" s="40"/>
      <c r="O211" s="40"/>
      <c r="P211" s="40"/>
      <c r="Q211" s="40">
        <v>-75</v>
      </c>
      <c r="R211" s="40"/>
      <c r="S211" s="630"/>
      <c r="T211" s="653">
        <v>-234</v>
      </c>
      <c r="U211" s="40"/>
      <c r="V211" s="630"/>
      <c r="W211" s="653">
        <v>-127</v>
      </c>
      <c r="X211" s="40"/>
      <c r="Y211" s="630"/>
      <c r="Z211" s="653"/>
      <c r="AA211" s="108"/>
      <c r="AB211" s="676"/>
      <c r="AC211" s="679"/>
      <c r="AD211" s="108"/>
      <c r="AE211" s="676"/>
      <c r="AF211" s="679"/>
      <c r="AG211" s="108"/>
      <c r="AH211" s="676"/>
      <c r="AI211" s="679"/>
      <c r="AJ211" s="108"/>
      <c r="AK211" s="676"/>
      <c r="AL211" s="679"/>
      <c r="AM211" s="108"/>
      <c r="AN211" s="676"/>
      <c r="AO211" s="679"/>
      <c r="AP211" s="108"/>
      <c r="AQ211" s="688"/>
      <c r="AR211" s="685"/>
      <c r="AS211" s="19"/>
      <c r="AT211" s="688"/>
      <c r="AU211" s="685"/>
      <c r="AV211" s="19"/>
      <c r="AW211" s="688"/>
      <c r="AX211" s="685"/>
      <c r="AY211" s="19"/>
      <c r="AZ211" s="688"/>
      <c r="BA211" s="685"/>
      <c r="BB211" s="19"/>
      <c r="BC211" s="688"/>
      <c r="BD211" s="685"/>
      <c r="BE211" s="19"/>
      <c r="BF211" s="688"/>
      <c r="BG211" s="685"/>
      <c r="BH211" s="19"/>
      <c r="BI211" s="688"/>
      <c r="BJ211" s="685"/>
      <c r="BK211" s="19"/>
      <c r="BL211" s="688"/>
      <c r="BM211" s="685"/>
    </row>
    <row r="212" spans="1:65" ht="11.4" hidden="1" outlineLevel="1">
      <c r="A212" s="25" t="s">
        <v>521</v>
      </c>
      <c r="B212" s="40"/>
      <c r="C212" s="40"/>
      <c r="D212" s="40"/>
      <c r="E212" s="40"/>
      <c r="F212" s="40"/>
      <c r="G212" s="40"/>
      <c r="H212" s="40"/>
      <c r="I212" s="40"/>
      <c r="J212" s="40"/>
      <c r="K212" s="40"/>
      <c r="L212" s="40"/>
      <c r="M212" s="40"/>
      <c r="N212" s="40"/>
      <c r="O212" s="40"/>
      <c r="P212" s="40"/>
      <c r="Q212" s="40">
        <v>-120</v>
      </c>
      <c r="R212" s="40"/>
      <c r="S212" s="630"/>
      <c r="T212" s="653">
        <v>-100</v>
      </c>
      <c r="U212" s="40"/>
      <c r="V212" s="630"/>
      <c r="W212" s="653">
        <v>-118</v>
      </c>
      <c r="X212" s="40"/>
      <c r="Y212" s="630"/>
      <c r="Z212" s="653"/>
      <c r="AA212" s="108"/>
      <c r="AB212" s="676"/>
      <c r="AC212" s="679"/>
      <c r="AD212" s="108"/>
      <c r="AE212" s="676"/>
      <c r="AF212" s="679"/>
      <c r="AG212" s="108"/>
      <c r="AH212" s="676"/>
      <c r="AI212" s="679"/>
      <c r="AJ212" s="108"/>
      <c r="AK212" s="676"/>
      <c r="AL212" s="679"/>
      <c r="AM212" s="108"/>
      <c r="AN212" s="676"/>
      <c r="AO212" s="679"/>
      <c r="AP212" s="108"/>
      <c r="AQ212" s="688"/>
      <c r="AR212" s="685"/>
      <c r="AS212" s="19"/>
      <c r="AT212" s="688"/>
      <c r="AU212" s="685"/>
      <c r="AV212" s="19"/>
      <c r="AW212" s="688"/>
      <c r="AX212" s="685"/>
      <c r="AY212" s="19"/>
      <c r="AZ212" s="688"/>
      <c r="BA212" s="685"/>
      <c r="BB212" s="19"/>
      <c r="BC212" s="688"/>
      <c r="BD212" s="685"/>
      <c r="BE212" s="19"/>
      <c r="BF212" s="688"/>
      <c r="BG212" s="685"/>
      <c r="BH212" s="19"/>
      <c r="BI212" s="688"/>
      <c r="BJ212" s="685"/>
      <c r="BK212" s="19"/>
      <c r="BL212" s="688"/>
      <c r="BM212" s="685"/>
    </row>
    <row r="213" spans="1:65" ht="11.4" hidden="1" outlineLevel="1">
      <c r="A213" s="31" t="s">
        <v>582</v>
      </c>
      <c r="B213" s="40"/>
      <c r="C213" s="40"/>
      <c r="D213" s="40"/>
      <c r="E213" s="40"/>
      <c r="F213" s="40"/>
      <c r="G213" s="40"/>
      <c r="H213" s="40"/>
      <c r="I213" s="40"/>
      <c r="J213" s="40"/>
      <c r="K213" s="40"/>
      <c r="L213" s="40"/>
      <c r="M213" s="40"/>
      <c r="N213" s="40"/>
      <c r="O213" s="40"/>
      <c r="P213" s="40"/>
      <c r="Q213" s="51">
        <f>SUM(Q208:Q212)</f>
        <v>-173</v>
      </c>
      <c r="R213" s="51"/>
      <c r="S213" s="629"/>
      <c r="T213" s="652">
        <f>SUM(T208:T212)</f>
        <v>-188</v>
      </c>
      <c r="U213" s="51"/>
      <c r="V213" s="629"/>
      <c r="W213" s="652">
        <f>SUM(W208:W212)</f>
        <v>-23</v>
      </c>
      <c r="X213" s="51"/>
      <c r="Y213" s="629"/>
      <c r="Z213" s="653"/>
      <c r="AA213" s="108"/>
      <c r="AB213" s="676"/>
      <c r="AC213" s="679"/>
      <c r="AD213" s="108"/>
      <c r="AE213" s="676"/>
      <c r="AF213" s="679"/>
      <c r="AG213" s="108"/>
      <c r="AH213" s="676"/>
      <c r="AI213" s="679"/>
      <c r="AJ213" s="108"/>
      <c r="AK213" s="676"/>
      <c r="AL213" s="679"/>
      <c r="AM213" s="108"/>
      <c r="AN213" s="676"/>
      <c r="AO213" s="679"/>
      <c r="AP213" s="108"/>
      <c r="AQ213" s="688"/>
      <c r="AR213" s="685"/>
      <c r="AS213" s="19"/>
      <c r="AT213" s="688"/>
      <c r="AU213" s="685"/>
      <c r="AV213" s="19"/>
      <c r="AW213" s="688"/>
      <c r="AX213" s="685"/>
      <c r="AY213" s="19"/>
      <c r="AZ213" s="688"/>
      <c r="BA213" s="685"/>
      <c r="BB213" s="19"/>
      <c r="BC213" s="688"/>
      <c r="BD213" s="685"/>
      <c r="BE213" s="19"/>
      <c r="BF213" s="688"/>
      <c r="BG213" s="685"/>
      <c r="BH213" s="19"/>
      <c r="BI213" s="688"/>
      <c r="BJ213" s="685"/>
      <c r="BK213" s="19"/>
      <c r="BL213" s="688"/>
      <c r="BM213" s="685"/>
    </row>
    <row r="214" spans="1:65" ht="11.4" hidden="1" outlineLevel="1">
      <c r="A214" s="31"/>
      <c r="B214" s="40"/>
      <c r="C214" s="40"/>
      <c r="D214" s="40"/>
      <c r="E214" s="40"/>
      <c r="F214" s="40"/>
      <c r="G214" s="40"/>
      <c r="H214" s="40"/>
      <c r="I214" s="40"/>
      <c r="J214" s="40"/>
      <c r="K214" s="40"/>
      <c r="L214" s="40"/>
      <c r="M214" s="40"/>
      <c r="N214" s="40"/>
      <c r="O214" s="40"/>
      <c r="P214" s="40"/>
      <c r="Q214" s="51"/>
      <c r="R214" s="51"/>
      <c r="S214" s="629"/>
      <c r="T214" s="652"/>
      <c r="U214" s="51"/>
      <c r="V214" s="629"/>
      <c r="W214" s="652"/>
      <c r="X214" s="51"/>
      <c r="Y214" s="629"/>
      <c r="Z214" s="653"/>
      <c r="AA214" s="108"/>
      <c r="AB214" s="676"/>
      <c r="AC214" s="679"/>
      <c r="AD214" s="108"/>
      <c r="AE214" s="676"/>
      <c r="AF214" s="679"/>
      <c r="AG214" s="108"/>
      <c r="AH214" s="676"/>
      <c r="AI214" s="679"/>
      <c r="AJ214" s="108"/>
      <c r="AK214" s="676"/>
      <c r="AL214" s="679"/>
      <c r="AM214" s="108"/>
      <c r="AN214" s="676"/>
      <c r="AO214" s="679"/>
      <c r="AP214" s="108"/>
      <c r="AQ214" s="688"/>
      <c r="AR214" s="685"/>
      <c r="AS214" s="19"/>
      <c r="AT214" s="688"/>
      <c r="AU214" s="685"/>
      <c r="AV214" s="19"/>
      <c r="AW214" s="688"/>
      <c r="AX214" s="685"/>
      <c r="AY214" s="19"/>
      <c r="AZ214" s="688"/>
      <c r="BA214" s="685"/>
      <c r="BB214" s="19"/>
      <c r="BC214" s="688"/>
      <c r="BD214" s="685"/>
      <c r="BE214" s="19"/>
      <c r="BF214" s="688"/>
      <c r="BG214" s="685"/>
      <c r="BH214" s="19"/>
      <c r="BI214" s="688"/>
      <c r="BJ214" s="685"/>
      <c r="BK214" s="19"/>
      <c r="BL214" s="688"/>
      <c r="BM214" s="685"/>
    </row>
    <row r="215" spans="1:65" ht="11.4" hidden="1" outlineLevel="1">
      <c r="A215" s="68" t="s">
        <v>593</v>
      </c>
      <c r="B215" s="336"/>
      <c r="C215" s="336"/>
      <c r="D215" s="336"/>
      <c r="E215" s="336"/>
      <c r="F215" s="336"/>
      <c r="G215" s="336"/>
      <c r="H215" s="336"/>
      <c r="I215" s="336"/>
      <c r="J215" s="336"/>
      <c r="K215" s="336"/>
      <c r="L215" s="336"/>
      <c r="M215" s="336"/>
      <c r="N215" s="336"/>
      <c r="O215" s="336"/>
      <c r="P215" s="336"/>
      <c r="Q215" s="46">
        <f>Q206+Q213</f>
        <v>-933</v>
      </c>
      <c r="R215" s="46"/>
      <c r="S215" s="643"/>
      <c r="T215" s="667">
        <f>T206+T213</f>
        <v>-823</v>
      </c>
      <c r="U215" s="46"/>
      <c r="V215" s="643"/>
      <c r="W215" s="667">
        <f>W206+W213</f>
        <v>-850</v>
      </c>
      <c r="X215" s="46"/>
      <c r="Y215" s="643"/>
      <c r="Z215" s="715"/>
      <c r="AA215" s="336"/>
      <c r="AB215" s="713"/>
      <c r="AC215" s="715"/>
      <c r="AD215" s="336"/>
      <c r="AE215" s="713"/>
      <c r="AF215" s="715"/>
      <c r="AG215" s="336"/>
      <c r="AH215" s="713"/>
      <c r="AI215" s="715"/>
      <c r="AJ215" s="336"/>
      <c r="AK215" s="713"/>
      <c r="AL215" s="715"/>
      <c r="AM215" s="336"/>
      <c r="AN215" s="713"/>
      <c r="AO215" s="715"/>
      <c r="AP215" s="336"/>
      <c r="AQ215" s="724"/>
      <c r="AR215" s="733"/>
      <c r="AS215" s="342"/>
      <c r="AT215" s="724"/>
      <c r="AU215" s="733"/>
      <c r="AV215" s="342"/>
      <c r="AW215" s="724"/>
      <c r="AX215" s="733"/>
      <c r="AY215" s="342"/>
      <c r="AZ215" s="724"/>
      <c r="BA215" s="733"/>
      <c r="BB215" s="342"/>
      <c r="BC215" s="724"/>
      <c r="BD215" s="733"/>
      <c r="BE215" s="342"/>
      <c r="BF215" s="724"/>
      <c r="BG215" s="733"/>
      <c r="BH215" s="342"/>
      <c r="BI215" s="724"/>
      <c r="BJ215" s="733"/>
      <c r="BK215" s="342"/>
      <c r="BL215" s="724"/>
      <c r="BM215" s="733"/>
    </row>
    <row r="216" spans="1:65" ht="11.4" hidden="1" outlineLevel="1">
      <c r="A216" s="31"/>
      <c r="B216" s="108"/>
      <c r="C216" s="108"/>
      <c r="D216" s="108"/>
      <c r="E216" s="108"/>
      <c r="F216" s="108"/>
      <c r="G216" s="108"/>
      <c r="H216" s="108"/>
      <c r="I216" s="108"/>
      <c r="J216" s="108"/>
      <c r="K216" s="108"/>
      <c r="L216" s="108"/>
      <c r="M216" s="108"/>
      <c r="N216" s="108"/>
      <c r="O216" s="108"/>
      <c r="P216" s="108"/>
      <c r="Q216" s="51"/>
      <c r="R216" s="51"/>
      <c r="S216" s="629"/>
      <c r="T216" s="653"/>
      <c r="U216" s="51"/>
      <c r="V216" s="629"/>
      <c r="W216" s="653"/>
      <c r="X216" s="40"/>
      <c r="Y216" s="630"/>
      <c r="Z216" s="679"/>
      <c r="AA216" s="108"/>
      <c r="AB216" s="676"/>
      <c r="AC216" s="679"/>
      <c r="AD216" s="108"/>
      <c r="AE216" s="676"/>
      <c r="AF216" s="679"/>
      <c r="AG216" s="108"/>
      <c r="AH216" s="676"/>
      <c r="AI216" s="679"/>
      <c r="AJ216" s="108"/>
      <c r="AK216" s="676"/>
      <c r="AL216" s="679"/>
      <c r="AM216" s="108"/>
      <c r="AN216" s="676"/>
      <c r="AO216" s="679"/>
      <c r="AP216" s="108"/>
      <c r="AQ216" s="688"/>
      <c r="AR216" s="685"/>
      <c r="AS216" s="19"/>
      <c r="AT216" s="688"/>
      <c r="AU216" s="685"/>
      <c r="AV216" s="19"/>
      <c r="AW216" s="688"/>
      <c r="AX216" s="685"/>
      <c r="AY216" s="19"/>
      <c r="AZ216" s="688"/>
      <c r="BA216" s="685"/>
      <c r="BB216" s="19"/>
      <c r="BC216" s="688"/>
      <c r="BD216" s="685"/>
      <c r="BE216" s="19"/>
      <c r="BF216" s="688"/>
      <c r="BG216" s="685"/>
      <c r="BH216" s="19"/>
      <c r="BI216" s="688"/>
      <c r="BJ216" s="685"/>
      <c r="BK216" s="19"/>
      <c r="BL216" s="688"/>
      <c r="BM216" s="685"/>
    </row>
    <row r="217" spans="1:65" ht="11.4" hidden="1" outlineLevel="1">
      <c r="A217" s="25" t="s">
        <v>586</v>
      </c>
      <c r="B217" s="40"/>
      <c r="C217" s="40"/>
      <c r="D217" s="40"/>
      <c r="E217" s="40"/>
      <c r="F217" s="40"/>
      <c r="G217" s="40"/>
      <c r="H217" s="40"/>
      <c r="I217" s="40"/>
      <c r="J217" s="40"/>
      <c r="K217" s="40"/>
      <c r="L217" s="40"/>
      <c r="M217" s="40"/>
      <c r="N217" s="40"/>
      <c r="O217" s="40"/>
      <c r="P217" s="40"/>
      <c r="Q217" s="40">
        <f>Q26</f>
        <v>3258</v>
      </c>
      <c r="R217" s="40"/>
      <c r="S217" s="630"/>
      <c r="T217" s="653">
        <f>T26</f>
        <v>3357</v>
      </c>
      <c r="U217" s="40"/>
      <c r="V217" s="630"/>
      <c r="W217" s="653">
        <f>W26</f>
        <v>3818</v>
      </c>
      <c r="X217" s="40"/>
      <c r="Y217" s="630"/>
      <c r="Z217" s="653"/>
      <c r="AA217" s="108"/>
      <c r="AB217" s="676"/>
      <c r="AC217" s="679"/>
      <c r="AD217" s="108"/>
      <c r="AE217" s="676"/>
      <c r="AF217" s="679"/>
      <c r="AG217" s="108"/>
      <c r="AH217" s="676"/>
      <c r="AI217" s="679"/>
      <c r="AJ217" s="108"/>
      <c r="AK217" s="676"/>
      <c r="AL217" s="679"/>
      <c r="AM217" s="108"/>
      <c r="AN217" s="676"/>
      <c r="AO217" s="679"/>
      <c r="AP217" s="108"/>
      <c r="AQ217" s="688"/>
      <c r="AR217" s="685"/>
      <c r="AS217" s="19"/>
      <c r="AT217" s="688"/>
      <c r="AU217" s="685"/>
      <c r="AV217" s="19"/>
      <c r="AW217" s="688"/>
      <c r="AX217" s="685"/>
      <c r="AY217" s="19"/>
      <c r="AZ217" s="688"/>
      <c r="BA217" s="685"/>
      <c r="BB217" s="19"/>
      <c r="BC217" s="688"/>
      <c r="BD217" s="685"/>
      <c r="BE217" s="19"/>
      <c r="BF217" s="688"/>
      <c r="BG217" s="685"/>
      <c r="BH217" s="19"/>
      <c r="BI217" s="688"/>
      <c r="BJ217" s="685"/>
      <c r="BK217" s="19"/>
      <c r="BL217" s="688"/>
      <c r="BM217" s="685"/>
    </row>
    <row r="218" spans="1:65" ht="11.4" hidden="1" outlineLevel="1">
      <c r="A218" s="25" t="s">
        <v>587</v>
      </c>
      <c r="B218" s="40"/>
      <c r="C218" s="40"/>
      <c r="D218" s="40"/>
      <c r="E218" s="40"/>
      <c r="F218" s="40"/>
      <c r="G218" s="40"/>
      <c r="H218" s="40"/>
      <c r="I218" s="40"/>
      <c r="J218" s="40"/>
      <c r="K218" s="40"/>
      <c r="L218" s="40"/>
      <c r="M218" s="40"/>
      <c r="N218" s="40"/>
      <c r="O218" s="40"/>
      <c r="P218" s="40"/>
      <c r="Q218" s="40">
        <f>Q31</f>
        <v>3675</v>
      </c>
      <c r="R218" s="40"/>
      <c r="S218" s="630"/>
      <c r="T218" s="653">
        <f>T31</f>
        <v>3710</v>
      </c>
      <c r="U218" s="40"/>
      <c r="V218" s="630"/>
      <c r="W218" s="653">
        <f>W31</f>
        <v>4205</v>
      </c>
      <c r="X218" s="40"/>
      <c r="Y218" s="630"/>
      <c r="Z218" s="653"/>
      <c r="AA218" s="108"/>
      <c r="AB218" s="676"/>
      <c r="AC218" s="679"/>
      <c r="AD218" s="108"/>
      <c r="AE218" s="676"/>
      <c r="AF218" s="679"/>
      <c r="AG218" s="108"/>
      <c r="AH218" s="676"/>
      <c r="AI218" s="679"/>
      <c r="AJ218" s="108"/>
      <c r="AK218" s="676"/>
      <c r="AL218" s="679"/>
      <c r="AM218" s="108"/>
      <c r="AN218" s="676"/>
      <c r="AO218" s="679"/>
      <c r="AP218" s="108"/>
      <c r="AQ218" s="688"/>
      <c r="AR218" s="685"/>
      <c r="AS218" s="19"/>
      <c r="AT218" s="688"/>
      <c r="AU218" s="685"/>
      <c r="AV218" s="19"/>
      <c r="AW218" s="688"/>
      <c r="AX218" s="685"/>
      <c r="AY218" s="19"/>
      <c r="AZ218" s="688"/>
      <c r="BA218" s="685"/>
      <c r="BB218" s="19"/>
      <c r="BC218" s="688"/>
      <c r="BD218" s="685"/>
      <c r="BE218" s="19"/>
      <c r="BF218" s="688"/>
      <c r="BG218" s="685"/>
      <c r="BH218" s="19"/>
      <c r="BI218" s="688"/>
      <c r="BJ218" s="685"/>
      <c r="BK218" s="19"/>
      <c r="BL218" s="688"/>
      <c r="BM218" s="685"/>
    </row>
    <row r="219" spans="1:65" ht="11.4" hidden="1" outlineLevel="1">
      <c r="A219" s="31" t="s">
        <v>595</v>
      </c>
      <c r="B219" s="40"/>
      <c r="C219" s="40"/>
      <c r="D219" s="40"/>
      <c r="E219" s="40"/>
      <c r="F219" s="40"/>
      <c r="G219" s="40"/>
      <c r="H219" s="40"/>
      <c r="I219" s="40"/>
      <c r="J219" s="40"/>
      <c r="K219" s="40"/>
      <c r="L219" s="40"/>
      <c r="M219" s="40"/>
      <c r="N219" s="40"/>
      <c r="O219" s="40"/>
      <c r="P219" s="40"/>
      <c r="Q219" s="51">
        <f>Q217+Q218</f>
        <v>6933</v>
      </c>
      <c r="R219" s="51"/>
      <c r="S219" s="629"/>
      <c r="T219" s="652">
        <f>T217+T218</f>
        <v>7067</v>
      </c>
      <c r="U219" s="51"/>
      <c r="V219" s="629"/>
      <c r="W219" s="652">
        <f>W217+W218</f>
        <v>8023</v>
      </c>
      <c r="X219" s="51"/>
      <c r="Y219" s="629"/>
      <c r="Z219" s="653"/>
      <c r="AA219" s="108"/>
      <c r="AB219" s="676"/>
      <c r="AC219" s="679"/>
      <c r="AD219" s="108"/>
      <c r="AE219" s="676"/>
      <c r="AF219" s="679"/>
      <c r="AG219" s="108"/>
      <c r="AH219" s="676"/>
      <c r="AI219" s="679"/>
      <c r="AJ219" s="108"/>
      <c r="AK219" s="676"/>
      <c r="AL219" s="679"/>
      <c r="AM219" s="108"/>
      <c r="AN219" s="676"/>
      <c r="AO219" s="679"/>
      <c r="AP219" s="108"/>
      <c r="AQ219" s="688"/>
      <c r="AR219" s="685"/>
      <c r="AS219" s="19"/>
      <c r="AT219" s="688"/>
      <c r="AU219" s="685"/>
      <c r="AV219" s="19"/>
      <c r="AW219" s="688"/>
      <c r="AX219" s="685"/>
      <c r="AY219" s="19"/>
      <c r="AZ219" s="688"/>
      <c r="BA219" s="685"/>
      <c r="BB219" s="19"/>
      <c r="BC219" s="688"/>
      <c r="BD219" s="685"/>
      <c r="BE219" s="19"/>
      <c r="BF219" s="688"/>
      <c r="BG219" s="685"/>
      <c r="BH219" s="19"/>
      <c r="BI219" s="688"/>
      <c r="BJ219" s="685"/>
      <c r="BK219" s="19"/>
      <c r="BL219" s="688"/>
      <c r="BM219" s="685"/>
    </row>
    <row r="220" spans="1:65" ht="11.4" hidden="1" outlineLevel="1">
      <c r="B220" s="40"/>
      <c r="C220" s="40"/>
      <c r="D220" s="40"/>
      <c r="E220" s="40"/>
      <c r="F220" s="40"/>
      <c r="G220" s="40"/>
      <c r="H220" s="40"/>
      <c r="I220" s="40"/>
      <c r="J220" s="40"/>
      <c r="K220" s="40"/>
      <c r="L220" s="40"/>
      <c r="M220" s="40"/>
      <c r="N220" s="40"/>
      <c r="O220" s="40"/>
      <c r="P220" s="40"/>
      <c r="Q220" s="40"/>
      <c r="R220" s="40"/>
      <c r="S220" s="630"/>
      <c r="T220" s="653"/>
      <c r="U220" s="40"/>
      <c r="V220" s="630"/>
      <c r="W220" s="653"/>
      <c r="X220" s="40"/>
      <c r="Y220" s="630"/>
      <c r="Z220" s="653"/>
      <c r="AA220" s="108"/>
      <c r="AB220" s="676"/>
      <c r="AC220" s="679"/>
      <c r="AD220" s="108"/>
      <c r="AE220" s="676"/>
      <c r="AF220" s="679"/>
      <c r="AG220" s="108"/>
      <c r="AH220" s="676"/>
      <c r="AI220" s="679"/>
      <c r="AJ220" s="108"/>
      <c r="AK220" s="676"/>
      <c r="AL220" s="679"/>
      <c r="AM220" s="108"/>
      <c r="AN220" s="676"/>
      <c r="AO220" s="679"/>
      <c r="AP220" s="108"/>
      <c r="AQ220" s="688"/>
      <c r="AR220" s="685"/>
      <c r="AS220" s="19"/>
      <c r="AT220" s="688"/>
      <c r="AU220" s="685"/>
      <c r="AV220" s="19"/>
      <c r="AW220" s="688"/>
      <c r="AX220" s="685"/>
      <c r="AY220" s="19"/>
      <c r="AZ220" s="688"/>
      <c r="BA220" s="685"/>
      <c r="BB220" s="19"/>
      <c r="BC220" s="688"/>
      <c r="BD220" s="685"/>
      <c r="BE220" s="19"/>
      <c r="BF220" s="688"/>
      <c r="BG220" s="685"/>
      <c r="BH220" s="19"/>
      <c r="BI220" s="688"/>
      <c r="BJ220" s="685"/>
      <c r="BK220" s="19"/>
      <c r="BL220" s="688"/>
      <c r="BM220" s="685"/>
    </row>
    <row r="221" spans="1:65" ht="11.4" hidden="1" outlineLevel="1">
      <c r="A221" s="25" t="s">
        <v>586</v>
      </c>
      <c r="B221" s="40"/>
      <c r="C221" s="40"/>
      <c r="D221" s="40"/>
      <c r="E221" s="40"/>
      <c r="F221" s="40"/>
      <c r="G221" s="40"/>
      <c r="H221" s="40"/>
      <c r="I221" s="40"/>
      <c r="J221" s="40"/>
      <c r="K221" s="40"/>
      <c r="L221" s="40"/>
      <c r="M221" s="40"/>
      <c r="N221" s="40"/>
      <c r="O221" s="40"/>
      <c r="P221" s="40"/>
      <c r="Q221" s="40">
        <f>Q186+Q217</f>
        <v>2370</v>
      </c>
      <c r="R221" s="40"/>
      <c r="S221" s="630"/>
      <c r="T221" s="653">
        <f>T186+T217</f>
        <v>2541</v>
      </c>
      <c r="U221" s="40"/>
      <c r="V221" s="630"/>
      <c r="W221" s="653">
        <f>Z71</f>
        <v>2890</v>
      </c>
      <c r="X221" s="40"/>
      <c r="Y221" s="630"/>
      <c r="Z221" s="653"/>
      <c r="AA221" s="108"/>
      <c r="AB221" s="676"/>
      <c r="AC221" s="679"/>
      <c r="AD221" s="108"/>
      <c r="AE221" s="676"/>
      <c r="AF221" s="679"/>
      <c r="AG221" s="108"/>
      <c r="AH221" s="676"/>
      <c r="AI221" s="679"/>
      <c r="AJ221" s="108"/>
      <c r="AK221" s="676"/>
      <c r="AL221" s="679"/>
      <c r="AM221" s="108"/>
      <c r="AN221" s="676"/>
      <c r="AO221" s="679"/>
      <c r="AP221" s="108"/>
      <c r="AQ221" s="688"/>
      <c r="AR221" s="685"/>
      <c r="AS221" s="19"/>
      <c r="AT221" s="688"/>
      <c r="AU221" s="685"/>
      <c r="AV221" s="19"/>
      <c r="AW221" s="688"/>
      <c r="AX221" s="685"/>
      <c r="AY221" s="19"/>
      <c r="AZ221" s="688"/>
      <c r="BA221" s="685"/>
      <c r="BB221" s="19"/>
      <c r="BC221" s="688"/>
      <c r="BD221" s="685"/>
      <c r="BE221" s="19"/>
      <c r="BF221" s="688"/>
      <c r="BG221" s="685"/>
      <c r="BH221" s="19"/>
      <c r="BI221" s="688"/>
      <c r="BJ221" s="685"/>
      <c r="BK221" s="19"/>
      <c r="BL221" s="688"/>
      <c r="BM221" s="685"/>
    </row>
    <row r="222" spans="1:65" ht="11.4" hidden="1" outlineLevel="1">
      <c r="A222" s="25" t="s">
        <v>587</v>
      </c>
      <c r="B222" s="40"/>
      <c r="C222" s="40"/>
      <c r="D222" s="40"/>
      <c r="E222" s="40"/>
      <c r="F222" s="40"/>
      <c r="G222" s="40"/>
      <c r="H222" s="40"/>
      <c r="I222" s="40"/>
      <c r="J222" s="40"/>
      <c r="K222" s="40"/>
      <c r="L222" s="40"/>
      <c r="M222" s="40"/>
      <c r="N222" s="40"/>
      <c r="O222" s="40"/>
      <c r="P222" s="40"/>
      <c r="Q222" s="40">
        <f>Q193+Q218</f>
        <v>3467</v>
      </c>
      <c r="R222" s="40"/>
      <c r="S222" s="630"/>
      <c r="T222" s="653">
        <f>T193+T218</f>
        <v>3236</v>
      </c>
      <c r="U222" s="40"/>
      <c r="V222" s="630"/>
      <c r="W222" s="653">
        <f>Z75</f>
        <v>3708</v>
      </c>
      <c r="X222" s="40"/>
      <c r="Y222" s="630"/>
      <c r="Z222" s="653"/>
      <c r="AA222" s="108"/>
      <c r="AB222" s="676"/>
      <c r="AC222" s="679"/>
      <c r="AD222" s="108"/>
      <c r="AE222" s="676"/>
      <c r="AF222" s="679"/>
      <c r="AG222" s="108"/>
      <c r="AH222" s="676"/>
      <c r="AI222" s="679"/>
      <c r="AJ222" s="108"/>
      <c r="AK222" s="676"/>
      <c r="AL222" s="679"/>
      <c r="AM222" s="108"/>
      <c r="AN222" s="676"/>
      <c r="AO222" s="679"/>
      <c r="AP222" s="108"/>
      <c r="AQ222" s="688"/>
      <c r="AR222" s="685"/>
      <c r="AS222" s="19"/>
      <c r="AT222" s="688"/>
      <c r="AU222" s="685"/>
      <c r="AV222" s="19"/>
      <c r="AW222" s="688"/>
      <c r="AX222" s="685"/>
      <c r="AY222" s="19"/>
      <c r="AZ222" s="688"/>
      <c r="BA222" s="685"/>
      <c r="BB222" s="19"/>
      <c r="BC222" s="688"/>
      <c r="BD222" s="685"/>
      <c r="BE222" s="19"/>
      <c r="BF222" s="688"/>
      <c r="BG222" s="685"/>
      <c r="BH222" s="19"/>
      <c r="BI222" s="688"/>
      <c r="BJ222" s="685"/>
      <c r="BK222" s="19"/>
      <c r="BL222" s="688"/>
      <c r="BM222" s="685"/>
    </row>
    <row r="223" spans="1:65" ht="11.4" hidden="1" outlineLevel="1">
      <c r="A223" s="31" t="s">
        <v>588</v>
      </c>
      <c r="B223" s="40"/>
      <c r="C223" s="40"/>
      <c r="D223" s="40"/>
      <c r="E223" s="40"/>
      <c r="F223" s="40"/>
      <c r="G223" s="40"/>
      <c r="H223" s="40"/>
      <c r="I223" s="40"/>
      <c r="J223" s="40"/>
      <c r="K223" s="40"/>
      <c r="L223" s="40"/>
      <c r="M223" s="40"/>
      <c r="N223" s="40"/>
      <c r="O223" s="40"/>
      <c r="P223" s="40"/>
      <c r="Q223" s="51">
        <f>Q221+Q222</f>
        <v>5837</v>
      </c>
      <c r="R223" s="51"/>
      <c r="S223" s="629"/>
      <c r="T223" s="652">
        <f>T221+T222</f>
        <v>5777</v>
      </c>
      <c r="U223" s="51"/>
      <c r="V223" s="629"/>
      <c r="W223" s="652">
        <f>W221+W222</f>
        <v>6598</v>
      </c>
      <c r="X223" s="51"/>
      <c r="Y223" s="629"/>
      <c r="Z223" s="653"/>
      <c r="AA223" s="108"/>
      <c r="AB223" s="676"/>
      <c r="AC223" s="679"/>
      <c r="AD223" s="108"/>
      <c r="AE223" s="676"/>
      <c r="AF223" s="679"/>
      <c r="AG223" s="108"/>
      <c r="AH223" s="676"/>
      <c r="AI223" s="679"/>
      <c r="AJ223" s="108"/>
      <c r="AK223" s="676"/>
      <c r="AL223" s="679"/>
      <c r="AM223" s="108"/>
      <c r="AN223" s="676"/>
      <c r="AO223" s="679"/>
      <c r="AP223" s="108"/>
      <c r="AQ223" s="688"/>
      <c r="AR223" s="685"/>
      <c r="AS223" s="19"/>
      <c r="AT223" s="688"/>
      <c r="AU223" s="685"/>
      <c r="AV223" s="19"/>
      <c r="AW223" s="688"/>
      <c r="AX223" s="685"/>
      <c r="AY223" s="19"/>
      <c r="AZ223" s="688"/>
      <c r="BA223" s="685"/>
      <c r="BB223" s="19"/>
      <c r="BC223" s="688"/>
      <c r="BD223" s="685"/>
      <c r="BE223" s="19"/>
      <c r="BF223" s="688"/>
      <c r="BG223" s="685"/>
      <c r="BH223" s="19"/>
      <c r="BI223" s="688"/>
      <c r="BJ223" s="685"/>
      <c r="BK223" s="19"/>
      <c r="BL223" s="688"/>
      <c r="BM223" s="685"/>
    </row>
    <row r="224" spans="1:65" ht="11.4" hidden="1" outlineLevel="1">
      <c r="A224" s="31"/>
      <c r="B224" s="40"/>
      <c r="C224" s="40"/>
      <c r="D224" s="40"/>
      <c r="E224" s="40"/>
      <c r="F224" s="40"/>
      <c r="G224" s="40"/>
      <c r="H224" s="40"/>
      <c r="I224" s="40"/>
      <c r="J224" s="40"/>
      <c r="K224" s="40"/>
      <c r="L224" s="40"/>
      <c r="M224" s="40"/>
      <c r="N224" s="40"/>
      <c r="O224" s="40"/>
      <c r="P224" s="40"/>
      <c r="Q224" s="40"/>
      <c r="R224" s="40"/>
      <c r="S224" s="630"/>
      <c r="T224" s="653"/>
      <c r="U224" s="40"/>
      <c r="V224" s="630"/>
      <c r="W224" s="653"/>
      <c r="X224" s="40"/>
      <c r="Y224" s="630"/>
      <c r="Z224" s="653"/>
      <c r="AA224" s="108"/>
      <c r="AB224" s="676"/>
      <c r="AC224" s="679"/>
      <c r="AD224" s="108"/>
      <c r="AE224" s="676"/>
      <c r="AF224" s="679"/>
      <c r="AG224" s="108"/>
      <c r="AH224" s="676"/>
      <c r="AI224" s="679"/>
      <c r="AJ224" s="108"/>
      <c r="AK224" s="676"/>
      <c r="AL224" s="679"/>
      <c r="AM224" s="108"/>
      <c r="AN224" s="676"/>
      <c r="AO224" s="679"/>
      <c r="AP224" s="108"/>
      <c r="AQ224" s="688"/>
      <c r="AR224" s="685"/>
      <c r="AS224" s="19"/>
      <c r="AT224" s="688"/>
      <c r="AU224" s="685"/>
      <c r="AV224" s="19"/>
      <c r="AW224" s="688"/>
      <c r="AX224" s="685"/>
      <c r="AY224" s="19"/>
      <c r="AZ224" s="688"/>
      <c r="BA224" s="685"/>
      <c r="BB224" s="19"/>
      <c r="BC224" s="688"/>
      <c r="BD224" s="685"/>
      <c r="BE224" s="19"/>
      <c r="BF224" s="688"/>
      <c r="BG224" s="685"/>
      <c r="BH224" s="19"/>
      <c r="BI224" s="688"/>
      <c r="BJ224" s="685"/>
      <c r="BK224" s="19"/>
      <c r="BL224" s="688"/>
      <c r="BM224" s="685"/>
    </row>
    <row r="225" spans="1:65" ht="11.4" hidden="1" outlineLevel="1">
      <c r="A225" s="31" t="s">
        <v>596</v>
      </c>
      <c r="B225" s="40"/>
      <c r="C225" s="40"/>
      <c r="D225" s="40"/>
      <c r="E225" s="40"/>
      <c r="F225" s="40"/>
      <c r="G225" s="40"/>
      <c r="H225" s="40"/>
      <c r="I225" s="40"/>
      <c r="J225" s="40"/>
      <c r="K225" s="40"/>
      <c r="L225" s="40"/>
      <c r="M225" s="40"/>
      <c r="N225" s="40"/>
      <c r="O225" s="40"/>
      <c r="P225" s="40"/>
      <c r="Q225" s="51">
        <f>Q6</f>
        <v>1526</v>
      </c>
      <c r="R225" s="51"/>
      <c r="S225" s="629"/>
      <c r="T225" s="652">
        <f>T6</f>
        <v>1185</v>
      </c>
      <c r="U225" s="51"/>
      <c r="V225" s="629"/>
      <c r="W225" s="652">
        <f>W6</f>
        <v>1192</v>
      </c>
      <c r="X225" s="51"/>
      <c r="Y225" s="629"/>
      <c r="Z225" s="653"/>
      <c r="AA225" s="108"/>
      <c r="AB225" s="676"/>
      <c r="AC225" s="679"/>
      <c r="AD225" s="108"/>
      <c r="AE225" s="676"/>
      <c r="AF225" s="679"/>
      <c r="AG225" s="108"/>
      <c r="AH225" s="676"/>
      <c r="AI225" s="679"/>
      <c r="AJ225" s="108"/>
      <c r="AK225" s="676"/>
      <c r="AL225" s="679"/>
      <c r="AM225" s="108"/>
      <c r="AN225" s="676"/>
      <c r="AO225" s="679"/>
      <c r="AP225" s="108"/>
      <c r="AQ225" s="688"/>
      <c r="AR225" s="685"/>
      <c r="AS225" s="19"/>
      <c r="AT225" s="688"/>
      <c r="AU225" s="685"/>
      <c r="AV225" s="19"/>
      <c r="AW225" s="688"/>
      <c r="AX225" s="685"/>
      <c r="AY225" s="19"/>
      <c r="AZ225" s="688"/>
      <c r="BA225" s="685"/>
      <c r="BB225" s="19"/>
      <c r="BC225" s="688"/>
      <c r="BD225" s="685"/>
      <c r="BE225" s="19"/>
      <c r="BF225" s="688"/>
      <c r="BG225" s="685"/>
      <c r="BH225" s="19"/>
      <c r="BI225" s="688"/>
      <c r="BJ225" s="685"/>
      <c r="BK225" s="19"/>
      <c r="BL225" s="688"/>
      <c r="BM225" s="685"/>
    </row>
    <row r="226" spans="1:65" ht="11.4" hidden="1" outlineLevel="1">
      <c r="A226" s="25" t="s">
        <v>250</v>
      </c>
      <c r="B226" s="40"/>
      <c r="C226" s="40"/>
      <c r="D226" s="40"/>
      <c r="E226" s="40"/>
      <c r="F226" s="40"/>
      <c r="G226" s="40"/>
      <c r="H226" s="40"/>
      <c r="I226" s="40"/>
      <c r="J226" s="40"/>
      <c r="K226" s="40"/>
      <c r="L226" s="40"/>
      <c r="M226" s="40"/>
      <c r="N226" s="40"/>
      <c r="O226" s="40"/>
      <c r="P226" s="40"/>
      <c r="Q226" s="58">
        <f>Q225/Q219</f>
        <v>0.22010673590076446</v>
      </c>
      <c r="R226" s="58"/>
      <c r="S226" s="644"/>
      <c r="T226" s="668">
        <f>T225/T219</f>
        <v>0.16768076977501062</v>
      </c>
      <c r="U226" s="58"/>
      <c r="V226" s="644"/>
      <c r="W226" s="668">
        <f>W225/W219</f>
        <v>0.14857285304748846</v>
      </c>
      <c r="X226" s="58"/>
      <c r="Y226" s="644"/>
      <c r="Z226" s="653"/>
      <c r="AA226" s="108"/>
      <c r="AB226" s="676"/>
      <c r="AC226" s="679"/>
      <c r="AD226" s="108"/>
      <c r="AE226" s="676"/>
      <c r="AF226" s="679"/>
      <c r="AG226" s="108"/>
      <c r="AH226" s="676"/>
      <c r="AI226" s="679"/>
      <c r="AJ226" s="108"/>
      <c r="AK226" s="676"/>
      <c r="AL226" s="679"/>
      <c r="AM226" s="108"/>
      <c r="AN226" s="676"/>
      <c r="AO226" s="679"/>
      <c r="AP226" s="108"/>
      <c r="AQ226" s="688"/>
      <c r="AR226" s="685"/>
      <c r="AS226" s="19"/>
      <c r="AT226" s="688"/>
      <c r="AU226" s="685"/>
      <c r="AV226" s="19"/>
      <c r="AW226" s="688"/>
      <c r="AX226" s="685"/>
      <c r="AY226" s="19"/>
      <c r="AZ226" s="688"/>
      <c r="BA226" s="685"/>
      <c r="BB226" s="19"/>
      <c r="BC226" s="688"/>
      <c r="BD226" s="685"/>
      <c r="BE226" s="19"/>
      <c r="BF226" s="688"/>
      <c r="BG226" s="685"/>
      <c r="BH226" s="19"/>
      <c r="BI226" s="688"/>
      <c r="BJ226" s="685"/>
      <c r="BK226" s="19"/>
      <c r="BL226" s="688"/>
      <c r="BM226" s="685"/>
    </row>
    <row r="227" spans="1:65" ht="11.4" hidden="1" outlineLevel="1">
      <c r="A227" s="31" t="s">
        <v>594</v>
      </c>
      <c r="B227" s="40"/>
      <c r="C227" s="40"/>
      <c r="D227" s="40"/>
      <c r="E227" s="40"/>
      <c r="F227" s="40"/>
      <c r="G227" s="40"/>
      <c r="H227" s="40"/>
      <c r="I227" s="40"/>
      <c r="J227" s="40"/>
      <c r="K227" s="40"/>
      <c r="L227" s="40"/>
      <c r="M227" s="40"/>
      <c r="N227" s="40"/>
      <c r="O227" s="40"/>
      <c r="P227" s="40"/>
      <c r="Q227" s="51">
        <f>Q225+Q215</f>
        <v>593</v>
      </c>
      <c r="R227" s="51"/>
      <c r="S227" s="629"/>
      <c r="T227" s="652">
        <f>T225+T215</f>
        <v>362</v>
      </c>
      <c r="U227" s="51"/>
      <c r="V227" s="629"/>
      <c r="W227" s="652">
        <f>Z6</f>
        <v>473</v>
      </c>
      <c r="X227" s="51"/>
      <c r="Y227" s="629"/>
      <c r="Z227" s="653"/>
      <c r="AA227" s="108"/>
      <c r="AB227" s="676"/>
      <c r="AC227" s="679"/>
      <c r="AD227" s="108"/>
      <c r="AE227" s="676"/>
      <c r="AF227" s="679"/>
      <c r="AG227" s="108"/>
      <c r="AH227" s="676"/>
      <c r="AI227" s="679"/>
      <c r="AJ227" s="108"/>
      <c r="AK227" s="676"/>
      <c r="AL227" s="679"/>
      <c r="AM227" s="108"/>
      <c r="AN227" s="676"/>
      <c r="AO227" s="679"/>
      <c r="AP227" s="108"/>
      <c r="AQ227" s="688"/>
      <c r="AR227" s="685"/>
      <c r="AS227" s="19"/>
      <c r="AT227" s="688"/>
      <c r="AU227" s="685"/>
      <c r="AV227" s="19"/>
      <c r="AW227" s="688"/>
      <c r="AX227" s="685"/>
      <c r="AY227" s="19"/>
      <c r="AZ227" s="688"/>
      <c r="BA227" s="685"/>
      <c r="BB227" s="19"/>
      <c r="BC227" s="688"/>
      <c r="BD227" s="685"/>
      <c r="BE227" s="19"/>
      <c r="BF227" s="688"/>
      <c r="BG227" s="685"/>
      <c r="BH227" s="19"/>
      <c r="BI227" s="688"/>
      <c r="BJ227" s="685"/>
      <c r="BK227" s="19"/>
      <c r="BL227" s="688"/>
      <c r="BM227" s="685"/>
    </row>
    <row r="228" spans="1:65" ht="11.4" hidden="1" outlineLevel="1">
      <c r="A228" s="25" t="s">
        <v>250</v>
      </c>
      <c r="B228" s="40"/>
      <c r="C228" s="40"/>
      <c r="D228" s="40"/>
      <c r="E228" s="40"/>
      <c r="F228" s="40"/>
      <c r="G228" s="40"/>
      <c r="H228" s="40"/>
      <c r="I228" s="40"/>
      <c r="J228" s="40"/>
      <c r="K228" s="40"/>
      <c r="L228" s="40"/>
      <c r="M228" s="40"/>
      <c r="N228" s="40"/>
      <c r="O228" s="40"/>
      <c r="P228" s="40"/>
      <c r="Q228" s="58">
        <f>Q227/Q223</f>
        <v>0.10159328422134659</v>
      </c>
      <c r="R228" s="58"/>
      <c r="S228" s="644"/>
      <c r="T228" s="668">
        <f>T227/T223</f>
        <v>6.2662281460965905E-2</v>
      </c>
      <c r="U228" s="58"/>
      <c r="V228" s="644"/>
      <c r="W228" s="668">
        <f>W227/W223</f>
        <v>7.1688390421339801E-2</v>
      </c>
      <c r="X228" s="58"/>
      <c r="Y228" s="644"/>
      <c r="Z228" s="653"/>
      <c r="AA228" s="108"/>
      <c r="AB228" s="676"/>
      <c r="AC228" s="679"/>
      <c r="AD228" s="108"/>
      <c r="AE228" s="676"/>
      <c r="AF228" s="679"/>
      <c r="AG228" s="108"/>
      <c r="AH228" s="676"/>
      <c r="AI228" s="679"/>
      <c r="AJ228" s="108"/>
      <c r="AK228" s="676"/>
      <c r="AL228" s="679"/>
      <c r="AM228" s="108"/>
      <c r="AN228" s="676"/>
      <c r="AO228" s="679"/>
      <c r="AP228" s="108"/>
      <c r="AQ228" s="688"/>
      <c r="AR228" s="685"/>
      <c r="AS228" s="19"/>
      <c r="AT228" s="688"/>
      <c r="AU228" s="685"/>
      <c r="AV228" s="19"/>
      <c r="AW228" s="688"/>
      <c r="AX228" s="685"/>
      <c r="AY228" s="19"/>
      <c r="AZ228" s="688"/>
      <c r="BA228" s="685"/>
      <c r="BB228" s="19"/>
      <c r="BC228" s="688"/>
      <c r="BD228" s="685"/>
      <c r="BE228" s="19"/>
      <c r="BF228" s="688"/>
      <c r="BG228" s="685"/>
      <c r="BH228" s="19"/>
      <c r="BI228" s="688"/>
      <c r="BJ228" s="685"/>
      <c r="BK228" s="19"/>
      <c r="BL228" s="688"/>
      <c r="BM228" s="685"/>
    </row>
    <row r="229" spans="1:65" ht="11.4" hidden="1" outlineLevel="1">
      <c r="B229" s="40"/>
      <c r="C229" s="40"/>
      <c r="D229" s="40"/>
      <c r="E229" s="40"/>
      <c r="F229" s="40"/>
      <c r="G229" s="40"/>
      <c r="H229" s="40"/>
      <c r="I229" s="40"/>
      <c r="J229" s="40"/>
      <c r="K229" s="40"/>
      <c r="L229" s="40"/>
      <c r="M229" s="40"/>
      <c r="N229" s="40"/>
      <c r="O229" s="40"/>
      <c r="P229" s="40"/>
      <c r="Q229" s="58"/>
      <c r="R229" s="58"/>
      <c r="S229" s="644"/>
      <c r="T229" s="653"/>
      <c r="U229" s="58"/>
      <c r="V229" s="644"/>
      <c r="W229" s="653"/>
      <c r="X229" s="40"/>
      <c r="Y229" s="630"/>
      <c r="Z229" s="653"/>
      <c r="AA229" s="108"/>
      <c r="AB229" s="676"/>
      <c r="AC229" s="679"/>
      <c r="AD229" s="108"/>
      <c r="AE229" s="676"/>
      <c r="AF229" s="679"/>
      <c r="AG229" s="108"/>
      <c r="AH229" s="676"/>
      <c r="AI229" s="679"/>
      <c r="AJ229" s="108"/>
      <c r="AK229" s="676"/>
      <c r="AL229" s="679"/>
      <c r="AM229" s="108"/>
      <c r="AN229" s="676"/>
      <c r="AO229" s="679"/>
      <c r="AP229" s="108"/>
      <c r="AQ229" s="688"/>
      <c r="AR229" s="685"/>
      <c r="AS229" s="19"/>
      <c r="AT229" s="688"/>
      <c r="AU229" s="685"/>
      <c r="AV229" s="19"/>
      <c r="AW229" s="688"/>
      <c r="AX229" s="685"/>
      <c r="AY229" s="19"/>
      <c r="AZ229" s="688"/>
      <c r="BA229" s="685"/>
      <c r="BB229" s="19"/>
      <c r="BC229" s="688"/>
      <c r="BD229" s="685"/>
      <c r="BE229" s="19"/>
      <c r="BF229" s="688"/>
      <c r="BG229" s="685"/>
      <c r="BH229" s="19"/>
      <c r="BI229" s="688"/>
      <c r="BJ229" s="685"/>
      <c r="BK229" s="19"/>
      <c r="BL229" s="688"/>
      <c r="BM229" s="685"/>
    </row>
    <row r="230" spans="1:65" ht="11.4" hidden="1" outlineLevel="1">
      <c r="A230" s="31" t="s">
        <v>597</v>
      </c>
      <c r="B230" s="40"/>
      <c r="C230" s="40"/>
      <c r="D230" s="40"/>
      <c r="E230" s="40"/>
      <c r="F230" s="40"/>
      <c r="G230" s="40"/>
      <c r="H230" s="40"/>
      <c r="I230" s="40"/>
      <c r="J230" s="40"/>
      <c r="K230" s="40"/>
      <c r="L230" s="40"/>
      <c r="M230" s="40"/>
      <c r="N230" s="40"/>
      <c r="O230" s="40"/>
      <c r="P230" s="40"/>
      <c r="Q230" s="51">
        <f>Q14</f>
        <v>812</v>
      </c>
      <c r="R230" s="51"/>
      <c r="S230" s="629"/>
      <c r="T230" s="652">
        <f>T14</f>
        <v>367</v>
      </c>
      <c r="U230" s="51"/>
      <c r="V230" s="629"/>
      <c r="W230" s="652">
        <f>W14</f>
        <v>520</v>
      </c>
      <c r="X230" s="51"/>
      <c r="Y230" s="629"/>
      <c r="Z230" s="653"/>
      <c r="AA230" s="108"/>
      <c r="AB230" s="676"/>
      <c r="AC230" s="679"/>
      <c r="AD230" s="108"/>
      <c r="AE230" s="676"/>
      <c r="AF230" s="679"/>
      <c r="AG230" s="108"/>
      <c r="AH230" s="676"/>
      <c r="AI230" s="679"/>
      <c r="AJ230" s="108"/>
      <c r="AK230" s="676"/>
      <c r="AL230" s="679"/>
      <c r="AM230" s="108"/>
      <c r="AN230" s="676"/>
      <c r="AO230" s="679"/>
      <c r="AP230" s="108"/>
      <c r="AQ230" s="688"/>
      <c r="AR230" s="685"/>
      <c r="AS230" s="19"/>
      <c r="AT230" s="688"/>
      <c r="AU230" s="685"/>
      <c r="AV230" s="19"/>
      <c r="AW230" s="688"/>
      <c r="AX230" s="685"/>
      <c r="AY230" s="19"/>
      <c r="AZ230" s="688"/>
      <c r="BA230" s="685"/>
      <c r="BB230" s="19"/>
      <c r="BC230" s="688"/>
      <c r="BD230" s="685"/>
      <c r="BE230" s="19"/>
      <c r="BF230" s="688"/>
      <c r="BG230" s="685"/>
      <c r="BH230" s="19"/>
      <c r="BI230" s="688"/>
      <c r="BJ230" s="685"/>
      <c r="BK230" s="19"/>
      <c r="BL230" s="688"/>
      <c r="BM230" s="685"/>
    </row>
    <row r="231" spans="1:65" ht="11.4" hidden="1" outlineLevel="1">
      <c r="A231" s="25" t="s">
        <v>250</v>
      </c>
      <c r="B231" s="40"/>
      <c r="C231" s="40"/>
      <c r="D231" s="40"/>
      <c r="E231" s="40"/>
      <c r="F231" s="40"/>
      <c r="G231" s="40"/>
      <c r="H231" s="40"/>
      <c r="I231" s="40"/>
      <c r="J231" s="40"/>
      <c r="K231" s="40"/>
      <c r="L231" s="40"/>
      <c r="M231" s="40"/>
      <c r="N231" s="40"/>
      <c r="O231" s="40"/>
      <c r="P231" s="40"/>
      <c r="Q231" s="58">
        <f>Q230/Q219</f>
        <v>0.1171210154334343</v>
      </c>
      <c r="R231" s="58"/>
      <c r="S231" s="644"/>
      <c r="T231" s="668">
        <f>T230/T219</f>
        <v>5.1931512664496957E-2</v>
      </c>
      <c r="U231" s="58"/>
      <c r="V231" s="644"/>
      <c r="W231" s="668">
        <f>W230/W219</f>
        <v>6.4813660725414432E-2</v>
      </c>
      <c r="X231" s="58"/>
      <c r="Y231" s="644"/>
      <c r="Z231" s="653"/>
      <c r="AA231" s="108"/>
      <c r="AB231" s="676"/>
      <c r="AC231" s="679"/>
      <c r="AD231" s="108"/>
      <c r="AE231" s="676"/>
      <c r="AF231" s="679"/>
      <c r="AG231" s="108"/>
      <c r="AH231" s="676"/>
      <c r="AI231" s="679"/>
      <c r="AJ231" s="108"/>
      <c r="AK231" s="676"/>
      <c r="AL231" s="679"/>
      <c r="AM231" s="108"/>
      <c r="AN231" s="676"/>
      <c r="AO231" s="679"/>
      <c r="AP231" s="108"/>
      <c r="AQ231" s="688"/>
      <c r="AR231" s="685"/>
      <c r="AS231" s="19"/>
      <c r="AT231" s="688"/>
      <c r="AU231" s="685"/>
      <c r="AV231" s="19"/>
      <c r="AW231" s="688"/>
      <c r="AX231" s="685"/>
      <c r="AY231" s="19"/>
      <c r="AZ231" s="688"/>
      <c r="BA231" s="685"/>
      <c r="BB231" s="19"/>
      <c r="BC231" s="688"/>
      <c r="BD231" s="685"/>
      <c r="BE231" s="19"/>
      <c r="BF231" s="688"/>
      <c r="BG231" s="685"/>
      <c r="BH231" s="19"/>
      <c r="BI231" s="688"/>
      <c r="BJ231" s="685"/>
      <c r="BK231" s="19"/>
      <c r="BL231" s="688"/>
      <c r="BM231" s="685"/>
    </row>
    <row r="232" spans="1:65" ht="11.4" hidden="1" outlineLevel="1">
      <c r="A232" s="31" t="s">
        <v>598</v>
      </c>
      <c r="B232" s="40"/>
      <c r="C232" s="40"/>
      <c r="D232" s="40"/>
      <c r="E232" s="40"/>
      <c r="F232" s="40"/>
      <c r="G232" s="40"/>
      <c r="H232" s="40"/>
      <c r="I232" s="40"/>
      <c r="J232" s="40"/>
      <c r="K232" s="40"/>
      <c r="L232" s="40"/>
      <c r="M232" s="40"/>
      <c r="N232" s="40"/>
      <c r="O232" s="40"/>
      <c r="P232" s="40"/>
      <c r="Q232" s="51">
        <f>Q230+Q215</f>
        <v>-121</v>
      </c>
      <c r="R232" s="51"/>
      <c r="S232" s="629"/>
      <c r="T232" s="652">
        <f>T230+T215</f>
        <v>-456</v>
      </c>
      <c r="U232" s="51"/>
      <c r="V232" s="629"/>
      <c r="W232" s="652">
        <f>Z14</f>
        <v>-343</v>
      </c>
      <c r="X232" s="51"/>
      <c r="Y232" s="629"/>
      <c r="Z232" s="653"/>
      <c r="AA232" s="108"/>
      <c r="AB232" s="676"/>
      <c r="AC232" s="679"/>
      <c r="AD232" s="108"/>
      <c r="AE232" s="676"/>
      <c r="AF232" s="679"/>
      <c r="AG232" s="108"/>
      <c r="AH232" s="676"/>
      <c r="AI232" s="679"/>
      <c r="AJ232" s="108"/>
      <c r="AK232" s="676"/>
      <c r="AL232" s="679"/>
      <c r="AM232" s="108"/>
      <c r="AN232" s="676"/>
      <c r="AO232" s="679"/>
      <c r="AP232" s="108"/>
      <c r="AQ232" s="688"/>
      <c r="AR232" s="685"/>
      <c r="AS232" s="19"/>
      <c r="AT232" s="688"/>
      <c r="AU232" s="685"/>
      <c r="AV232" s="19"/>
      <c r="AW232" s="688"/>
      <c r="AX232" s="685"/>
      <c r="AY232" s="19"/>
      <c r="AZ232" s="688"/>
      <c r="BA232" s="685"/>
      <c r="BB232" s="19"/>
      <c r="BC232" s="688"/>
      <c r="BD232" s="685"/>
      <c r="BE232" s="19"/>
      <c r="BF232" s="688"/>
      <c r="BG232" s="685"/>
      <c r="BH232" s="19"/>
      <c r="BI232" s="688"/>
      <c r="BJ232" s="685"/>
      <c r="BK232" s="19"/>
      <c r="BL232" s="688"/>
      <c r="BM232" s="685"/>
    </row>
    <row r="233" spans="1:65" ht="11.4" hidden="1" outlineLevel="1">
      <c r="A233" s="25" t="s">
        <v>250</v>
      </c>
      <c r="B233" s="40"/>
      <c r="C233" s="40"/>
      <c r="D233" s="40"/>
      <c r="E233" s="40"/>
      <c r="F233" s="40"/>
      <c r="G233" s="40"/>
      <c r="H233" s="40"/>
      <c r="I233" s="40"/>
      <c r="J233" s="40"/>
      <c r="K233" s="40"/>
      <c r="L233" s="40"/>
      <c r="M233" s="40"/>
      <c r="N233" s="40"/>
      <c r="O233" s="40"/>
      <c r="P233" s="40"/>
      <c r="Q233" s="58">
        <f>Q232/Q223</f>
        <v>-2.0729826965907146E-2</v>
      </c>
      <c r="R233" s="58"/>
      <c r="S233" s="644"/>
      <c r="T233" s="668">
        <f>T232/T223</f>
        <v>-7.8933702613813397E-2</v>
      </c>
      <c r="U233" s="58"/>
      <c r="V233" s="644"/>
      <c r="W233" s="668">
        <f>W232/W223</f>
        <v>-5.1985450136404973E-2</v>
      </c>
      <c r="X233" s="58"/>
      <c r="Y233" s="644"/>
      <c r="Z233" s="653"/>
      <c r="AA233" s="108"/>
      <c r="AB233" s="676"/>
      <c r="AC233" s="679"/>
      <c r="AD233" s="108"/>
      <c r="AE233" s="676"/>
      <c r="AF233" s="679"/>
      <c r="AG233" s="108"/>
      <c r="AH233" s="676"/>
      <c r="AI233" s="679"/>
      <c r="AJ233" s="108"/>
      <c r="AK233" s="676"/>
      <c r="AL233" s="679"/>
      <c r="AM233" s="108"/>
      <c r="AN233" s="676"/>
      <c r="AO233" s="679"/>
      <c r="AP233" s="108"/>
      <c r="AQ233" s="688"/>
      <c r="AR233" s="685"/>
      <c r="AS233" s="19"/>
      <c r="AT233" s="688"/>
      <c r="AU233" s="685"/>
      <c r="AV233" s="19"/>
      <c r="AW233" s="688"/>
      <c r="AX233" s="685"/>
      <c r="AY233" s="19"/>
      <c r="AZ233" s="688"/>
      <c r="BA233" s="685"/>
      <c r="BB233" s="19"/>
      <c r="BC233" s="688"/>
      <c r="BD233" s="685"/>
      <c r="BE233" s="19"/>
      <c r="BF233" s="688"/>
      <c r="BG233" s="685"/>
      <c r="BH233" s="19"/>
      <c r="BI233" s="688"/>
      <c r="BJ233" s="685"/>
      <c r="BK233" s="19"/>
      <c r="BL233" s="688"/>
      <c r="BM233" s="685"/>
    </row>
    <row r="234" spans="1:65" collapsed="1">
      <c r="A234" s="93"/>
    </row>
    <row r="235" spans="1:65" ht="11.4">
      <c r="R235" s="115"/>
      <c r="S235" s="115"/>
      <c r="U235" s="115"/>
      <c r="V235" s="115"/>
    </row>
    <row r="236" spans="1:65" ht="11.4">
      <c r="R236" s="115"/>
      <c r="S236" s="115"/>
      <c r="U236" s="115"/>
      <c r="V236" s="115"/>
    </row>
    <row r="237" spans="1:65" ht="11.4">
      <c r="R237" s="140"/>
      <c r="S237" s="140"/>
      <c r="U237" s="140"/>
      <c r="V237" s="140"/>
    </row>
    <row r="238" spans="1:65" ht="11.4">
      <c r="R238" s="140"/>
      <c r="S238" s="140"/>
      <c r="U238" s="140"/>
      <c r="V238" s="140"/>
    </row>
  </sheetData>
  <pageMargins left="0.7" right="0.7" top="0.75" bottom="0.75" header="0.3" footer="0.3"/>
  <pageSetup scale="64" fitToHeight="0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4">
    <tabColor theme="1"/>
    <pageSetUpPr fitToPage="1"/>
  </sheetPr>
  <dimension ref="A1:BO262"/>
  <sheetViews>
    <sheetView showGridLines="0" zoomScaleNormal="100" workbookViewId="0">
      <pane xSplit="1" ySplit="19" topLeftCell="AC20" activePane="bottomRight" state="frozen"/>
      <selection sqref="A1:XFD1048576"/>
      <selection pane="topRight" sqref="A1:XFD1048576"/>
      <selection pane="bottomLeft" sqref="A1:XFD1048576"/>
      <selection pane="bottomRight" sqref="A1:XFD1048576"/>
    </sheetView>
  </sheetViews>
  <sheetFormatPr defaultColWidth="9.140625" defaultRowHeight="10.199999999999999" outlineLevelRow="1" outlineLevelCol="1"/>
  <cols>
    <col min="1" max="1" width="63.140625" style="25" bestFit="1" customWidth="1"/>
    <col min="2" max="28" width="9.140625" style="25" hidden="1" customWidth="1" outlineLevel="1"/>
    <col min="29" max="29" width="9.140625" style="25" collapsed="1"/>
    <col min="30" max="31" width="9.140625" style="25" hidden="1" customWidth="1" outlineLevel="1"/>
    <col min="32" max="32" width="9.140625" style="25" collapsed="1"/>
    <col min="33" max="34" width="9.140625" style="25" hidden="1" customWidth="1" outlineLevel="1"/>
    <col min="35" max="35" width="9.140625" style="25" collapsed="1"/>
    <col min="36" max="37" width="9.140625" style="25" hidden="1" customWidth="1" outlineLevel="1"/>
    <col min="38" max="38" width="9.140625" style="25" collapsed="1"/>
    <col min="39" max="40" width="9.140625" style="25" hidden="1" customWidth="1" outlineLevel="1"/>
    <col min="41" max="41" width="9.140625" style="25" collapsed="1"/>
    <col min="42" max="43" width="9.140625" style="25" hidden="1" customWidth="1" outlineLevel="1"/>
    <col min="44" max="44" width="9.140625" style="25" collapsed="1"/>
    <col min="45" max="46" width="9.140625" style="25" hidden="1" customWidth="1" outlineLevel="1"/>
    <col min="47" max="47" width="9.140625" style="25" collapsed="1"/>
    <col min="48" max="49" width="9.140625" style="25" hidden="1" customWidth="1" outlineLevel="1"/>
    <col min="50" max="50" width="9.140625" style="25" collapsed="1"/>
    <col min="51" max="52" width="9.140625" style="25" hidden="1" customWidth="1" outlineLevel="1"/>
    <col min="53" max="53" width="9.140625" style="25" collapsed="1"/>
    <col min="54" max="55" width="9.140625" style="25" hidden="1" customWidth="1" outlineLevel="1"/>
    <col min="56" max="56" width="9.140625" style="25" collapsed="1"/>
    <col min="57" max="58" width="9.140625" style="25" hidden="1" customWidth="1" outlineLevel="1"/>
    <col min="59" max="59" width="9.140625" style="25" collapsed="1"/>
    <col min="60" max="61" width="9.140625" style="25" hidden="1" customWidth="1" outlineLevel="1"/>
    <col min="62" max="62" width="9.140625" style="25" collapsed="1"/>
    <col min="63" max="65" width="9.140625" style="25"/>
    <col min="66" max="66" width="19.7109375" style="25" bestFit="1" customWidth="1"/>
    <col min="67" max="16384" width="9.140625" style="25"/>
  </cols>
  <sheetData>
    <row r="1" spans="1:62">
      <c r="A1" s="305" t="s">
        <v>1</v>
      </c>
      <c r="B1" s="306">
        <v>2000</v>
      </c>
      <c r="C1" s="306">
        <f>B1+1</f>
        <v>2001</v>
      </c>
      <c r="D1" s="306">
        <f t="shared" ref="D1:J1" si="0">C1+1</f>
        <v>2002</v>
      </c>
      <c r="E1" s="306">
        <f t="shared" si="0"/>
        <v>2003</v>
      </c>
      <c r="F1" s="306">
        <f t="shared" si="0"/>
        <v>2004</v>
      </c>
      <c r="G1" s="306">
        <f t="shared" si="0"/>
        <v>2005</v>
      </c>
      <c r="H1" s="306">
        <f t="shared" si="0"/>
        <v>2006</v>
      </c>
      <c r="I1" s="306">
        <f t="shared" si="0"/>
        <v>2007</v>
      </c>
      <c r="J1" s="306">
        <f t="shared" si="0"/>
        <v>2008</v>
      </c>
      <c r="K1" s="306">
        <v>2009</v>
      </c>
      <c r="L1" s="306">
        <f>K1+1</f>
        <v>2010</v>
      </c>
      <c r="M1" s="306">
        <f>L1+1</f>
        <v>2011</v>
      </c>
      <c r="N1" s="306">
        <f>M1+1</f>
        <v>2012</v>
      </c>
      <c r="O1" s="306">
        <f>N1+1</f>
        <v>2013</v>
      </c>
      <c r="P1" s="306">
        <v>2014</v>
      </c>
      <c r="Q1" s="306">
        <f>P1+1</f>
        <v>2015</v>
      </c>
      <c r="R1" s="313" t="s">
        <v>616</v>
      </c>
      <c r="S1" s="314" t="s">
        <v>617</v>
      </c>
      <c r="T1" s="548">
        <f t="shared" ref="T1" si="1">Q1+1</f>
        <v>2016</v>
      </c>
      <c r="U1" s="313" t="s">
        <v>618</v>
      </c>
      <c r="V1" s="314" t="s">
        <v>683</v>
      </c>
      <c r="W1" s="548">
        <f>T1+1</f>
        <v>2017</v>
      </c>
      <c r="X1" s="313" t="s">
        <v>697</v>
      </c>
      <c r="Y1" s="314" t="s">
        <v>755</v>
      </c>
      <c r="Z1" s="548">
        <f>W1+1</f>
        <v>2018</v>
      </c>
      <c r="AA1" s="313" t="s">
        <v>757</v>
      </c>
      <c r="AB1" s="314" t="s">
        <v>793</v>
      </c>
      <c r="AC1" s="548">
        <f>Z1+1</f>
        <v>2019</v>
      </c>
      <c r="AD1" s="313" t="s">
        <v>794</v>
      </c>
      <c r="AE1" s="314" t="s">
        <v>798</v>
      </c>
      <c r="AF1" s="548">
        <f>AC1+1</f>
        <v>2020</v>
      </c>
      <c r="AG1" s="313" t="s">
        <v>801</v>
      </c>
      <c r="AH1" s="314" t="s">
        <v>802</v>
      </c>
      <c r="AI1" s="548">
        <f>AF1+1</f>
        <v>2021</v>
      </c>
      <c r="AJ1" s="313" t="s">
        <v>822</v>
      </c>
      <c r="AK1" s="314" t="s">
        <v>823</v>
      </c>
      <c r="AL1" s="548">
        <f>AI1+1</f>
        <v>2022</v>
      </c>
      <c r="AM1" s="313" t="s">
        <v>929</v>
      </c>
      <c r="AN1" s="314" t="s">
        <v>930</v>
      </c>
      <c r="AO1" s="548">
        <f>AL1+1</f>
        <v>2023</v>
      </c>
      <c r="AP1" s="313" t="s">
        <v>989</v>
      </c>
      <c r="AQ1" s="314" t="s">
        <v>990</v>
      </c>
      <c r="AR1" s="548">
        <f>AO1+1</f>
        <v>2024</v>
      </c>
      <c r="AS1" s="313" t="s">
        <v>1035</v>
      </c>
      <c r="AT1" s="314" t="s">
        <v>1036</v>
      </c>
      <c r="AU1" s="548">
        <f>AR1+1</f>
        <v>2025</v>
      </c>
      <c r="AV1" s="313" t="s">
        <v>1044</v>
      </c>
      <c r="AW1" s="538" t="s">
        <v>844</v>
      </c>
      <c r="AX1" s="572">
        <f>AU1+1</f>
        <v>2026</v>
      </c>
      <c r="AY1" s="537" t="s">
        <v>845</v>
      </c>
      <c r="AZ1" s="538" t="s">
        <v>846</v>
      </c>
      <c r="BA1" s="572">
        <f>AX1+1</f>
        <v>2027</v>
      </c>
      <c r="BB1" s="537" t="s">
        <v>847</v>
      </c>
      <c r="BC1" s="538" t="s">
        <v>848</v>
      </c>
      <c r="BD1" s="572">
        <f>BA1+1</f>
        <v>2028</v>
      </c>
      <c r="BE1" s="537" t="s">
        <v>849</v>
      </c>
      <c r="BF1" s="538" t="s">
        <v>850</v>
      </c>
      <c r="BG1" s="572">
        <f>BD1+1</f>
        <v>2029</v>
      </c>
      <c r="BH1" s="537" t="s">
        <v>851</v>
      </c>
      <c r="BI1" s="538" t="s">
        <v>852</v>
      </c>
      <c r="BJ1" s="572">
        <f>BG1+1</f>
        <v>2030</v>
      </c>
    </row>
    <row r="2" spans="1:62">
      <c r="A2" s="305" t="s">
        <v>0</v>
      </c>
      <c r="B2" s="322"/>
      <c r="C2" s="322"/>
      <c r="D2" s="322"/>
      <c r="E2" s="322"/>
      <c r="F2" s="322"/>
      <c r="G2" s="322"/>
      <c r="H2" s="322"/>
      <c r="I2" s="322"/>
      <c r="J2" s="322"/>
      <c r="K2" s="306"/>
      <c r="L2" s="306"/>
      <c r="M2" s="306"/>
      <c r="N2" s="306"/>
      <c r="O2" s="306"/>
      <c r="P2" s="306"/>
      <c r="Q2" s="306"/>
      <c r="R2" s="323"/>
      <c r="S2" s="774"/>
      <c r="T2" s="781"/>
      <c r="U2" s="323"/>
      <c r="V2" s="774"/>
      <c r="W2" s="781"/>
      <c r="X2" s="323"/>
      <c r="Y2" s="774"/>
      <c r="Z2" s="781"/>
      <c r="AA2" s="323"/>
      <c r="AB2" s="774"/>
      <c r="AC2" s="781"/>
      <c r="AD2" s="323"/>
      <c r="AE2" s="774"/>
      <c r="AF2" s="781"/>
      <c r="AG2" s="323"/>
      <c r="AH2" s="774"/>
      <c r="AI2" s="781"/>
      <c r="AJ2" s="323"/>
      <c r="AK2" s="774"/>
      <c r="AL2" s="781"/>
      <c r="AM2" s="323"/>
      <c r="AN2" s="774"/>
      <c r="AO2" s="781"/>
      <c r="AP2" s="323"/>
      <c r="AQ2" s="774"/>
      <c r="AR2" s="781"/>
      <c r="AS2" s="323"/>
      <c r="AT2" s="774"/>
      <c r="AU2" s="781"/>
      <c r="AV2" s="323"/>
      <c r="AW2" s="543"/>
      <c r="AX2" s="572"/>
      <c r="AY2" s="178"/>
      <c r="AZ2" s="543"/>
      <c r="BA2" s="572"/>
      <c r="BB2" s="178"/>
      <c r="BC2" s="543"/>
      <c r="BD2" s="572"/>
      <c r="BE2" s="178"/>
      <c r="BF2" s="543"/>
      <c r="BG2" s="572"/>
      <c r="BH2" s="178"/>
      <c r="BI2" s="543"/>
      <c r="BJ2" s="572"/>
    </row>
    <row r="3" spans="1:62" hidden="1" outlineLevel="1">
      <c r="A3"/>
      <c r="B3" s="10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58"/>
      <c r="S3" s="788"/>
      <c r="T3" s="556"/>
      <c r="U3" s="158"/>
      <c r="V3" s="788"/>
      <c r="W3" s="556"/>
      <c r="X3" s="158"/>
      <c r="Y3" s="788"/>
      <c r="Z3" s="556"/>
      <c r="AA3" s="10"/>
      <c r="AB3" s="216"/>
      <c r="AC3" s="556"/>
      <c r="AD3" s="10"/>
      <c r="AE3" s="216"/>
      <c r="AF3" s="556"/>
      <c r="AG3" s="10"/>
      <c r="AH3" s="216"/>
      <c r="AI3" s="556"/>
      <c r="AJ3" s="10"/>
      <c r="AK3" s="216"/>
      <c r="AL3" s="556"/>
      <c r="AM3" s="10"/>
      <c r="AN3" s="539"/>
      <c r="AO3" s="550"/>
      <c r="AP3"/>
      <c r="AQ3" s="539"/>
      <c r="AR3" s="550"/>
      <c r="AS3"/>
      <c r="AT3" s="539"/>
      <c r="AU3" s="550"/>
      <c r="AV3"/>
      <c r="AW3" s="539"/>
      <c r="AX3" s="550"/>
      <c r="AY3"/>
      <c r="AZ3" s="539"/>
      <c r="BA3" s="550"/>
      <c r="BB3"/>
      <c r="BC3" s="539"/>
      <c r="BD3" s="550"/>
      <c r="BE3"/>
      <c r="BF3" s="539"/>
      <c r="BG3" s="550"/>
      <c r="BH3"/>
      <c r="BI3" s="539"/>
      <c r="BJ3" s="550"/>
    </row>
    <row r="4" spans="1:62" hidden="1" outlineLevel="1">
      <c r="A4"/>
      <c r="B4" s="10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58"/>
      <c r="S4" s="788"/>
      <c r="T4" s="556"/>
      <c r="U4" s="158"/>
      <c r="V4" s="788"/>
      <c r="W4" s="556"/>
      <c r="X4" s="158"/>
      <c r="Y4" s="788"/>
      <c r="Z4" s="556"/>
      <c r="AA4" s="10"/>
      <c r="AB4" s="216"/>
      <c r="AC4" s="556"/>
      <c r="AD4" s="10"/>
      <c r="AE4" s="216"/>
      <c r="AF4" s="556"/>
      <c r="AG4" s="10"/>
      <c r="AH4" s="216"/>
      <c r="AI4" s="556"/>
      <c r="AJ4" s="10"/>
      <c r="AK4" s="216"/>
      <c r="AL4" s="556"/>
      <c r="AM4" s="10"/>
      <c r="AN4" s="539"/>
      <c r="AO4" s="550"/>
      <c r="AP4"/>
      <c r="AQ4" s="539"/>
      <c r="AR4" s="550"/>
      <c r="AS4"/>
      <c r="AT4" s="539"/>
      <c r="AU4" s="550"/>
      <c r="AV4"/>
      <c r="AW4" s="539"/>
      <c r="AX4" s="550"/>
      <c r="AY4"/>
      <c r="AZ4" s="539"/>
      <c r="BA4" s="550"/>
      <c r="BB4"/>
      <c r="BC4" s="539"/>
      <c r="BD4" s="550"/>
      <c r="BE4"/>
      <c r="BF4" s="539"/>
      <c r="BG4" s="550"/>
      <c r="BH4"/>
      <c r="BI4" s="539"/>
      <c r="BJ4" s="550"/>
    </row>
    <row r="5" spans="1:62" hidden="1" outlineLevel="1">
      <c r="A5" s="13" t="s">
        <v>490</v>
      </c>
      <c r="B5" s="10"/>
      <c r="C5" s="10"/>
      <c r="D5" s="10"/>
      <c r="E5" s="10"/>
      <c r="F5" s="10"/>
      <c r="G5" s="47"/>
      <c r="H5" s="47"/>
      <c r="I5" s="47"/>
      <c r="J5" s="47"/>
      <c r="K5" s="47"/>
      <c r="L5" s="47"/>
      <c r="M5" s="47"/>
      <c r="N5" s="47"/>
      <c r="O5" s="47"/>
      <c r="P5" s="10">
        <f>Civil!P27</f>
        <v>1766</v>
      </c>
      <c r="Q5" s="10">
        <f>Civil!Q27</f>
        <v>1570</v>
      </c>
      <c r="R5" s="10"/>
      <c r="S5" s="216"/>
      <c r="T5" s="556">
        <f>Civil!T27</f>
        <v>1604</v>
      </c>
      <c r="U5" s="10"/>
      <c r="V5" s="216"/>
      <c r="W5" s="556">
        <f>Civil!W27</f>
        <v>1895</v>
      </c>
      <c r="X5" s="10"/>
      <c r="Y5" s="216"/>
      <c r="Z5" s="556"/>
      <c r="AA5" s="10"/>
      <c r="AB5" s="216"/>
      <c r="AC5" s="556"/>
      <c r="AD5" s="10"/>
      <c r="AE5" s="216"/>
      <c r="AF5" s="556"/>
      <c r="AG5" s="10"/>
      <c r="AH5" s="216"/>
      <c r="AI5" s="556"/>
      <c r="AJ5" s="10"/>
      <c r="AK5" s="216"/>
      <c r="AL5" s="556"/>
      <c r="AM5" s="10"/>
      <c r="AN5" s="539"/>
      <c r="AO5" s="550"/>
      <c r="AP5"/>
      <c r="AQ5" s="539"/>
      <c r="AR5" s="550"/>
      <c r="AS5"/>
      <c r="AT5" s="539"/>
      <c r="AU5" s="550"/>
      <c r="AV5"/>
      <c r="AW5" s="539"/>
      <c r="AX5" s="550"/>
      <c r="AY5"/>
      <c r="AZ5" s="539"/>
      <c r="BA5" s="550"/>
      <c r="BB5"/>
      <c r="BC5" s="539"/>
      <c r="BD5" s="550"/>
      <c r="BE5"/>
      <c r="BF5" s="539"/>
      <c r="BG5" s="550"/>
      <c r="BH5"/>
      <c r="BI5" s="539"/>
      <c r="BJ5" s="550"/>
    </row>
    <row r="6" spans="1:62" hidden="1" outlineLevel="1">
      <c r="A6" s="13" t="s">
        <v>491</v>
      </c>
      <c r="B6" s="10"/>
      <c r="C6" s="10"/>
      <c r="D6" s="10"/>
      <c r="E6" s="10"/>
      <c r="F6" s="10"/>
      <c r="G6" s="47"/>
      <c r="H6" s="47"/>
      <c r="I6" s="47"/>
      <c r="J6" s="47"/>
      <c r="K6" s="47"/>
      <c r="L6" s="47"/>
      <c r="M6" s="47"/>
      <c r="N6" s="47"/>
      <c r="O6" s="47"/>
      <c r="P6" s="10">
        <f>Civil!P28</f>
        <v>392</v>
      </c>
      <c r="Q6" s="10">
        <f>Civil!Q28</f>
        <v>504</v>
      </c>
      <c r="R6" s="10"/>
      <c r="S6" s="216"/>
      <c r="T6" s="556">
        <f>Civil!T28</f>
        <v>742</v>
      </c>
      <c r="U6" s="10"/>
      <c r="V6" s="216"/>
      <c r="W6" s="556">
        <f>Civil!W28</f>
        <v>1103</v>
      </c>
      <c r="X6" s="10"/>
      <c r="Y6" s="216"/>
      <c r="Z6" s="556"/>
      <c r="AA6" s="10"/>
      <c r="AB6" s="216"/>
      <c r="AC6" s="556"/>
      <c r="AD6" s="10"/>
      <c r="AE6" s="216"/>
      <c r="AF6" s="556"/>
      <c r="AG6" s="10"/>
      <c r="AH6" s="216"/>
      <c r="AI6" s="556"/>
      <c r="AJ6" s="10"/>
      <c r="AK6" s="216"/>
      <c r="AL6" s="556"/>
      <c r="AM6" s="10"/>
      <c r="AN6" s="539"/>
      <c r="AO6" s="550"/>
      <c r="AP6"/>
      <c r="AQ6" s="539"/>
      <c r="AR6" s="550"/>
      <c r="AS6"/>
      <c r="AT6" s="539"/>
      <c r="AU6" s="550"/>
      <c r="AV6"/>
      <c r="AW6" s="539"/>
      <c r="AX6" s="550"/>
      <c r="AY6"/>
      <c r="AZ6" s="539"/>
      <c r="BA6" s="550"/>
      <c r="BB6"/>
      <c r="BC6" s="539"/>
      <c r="BD6" s="550"/>
      <c r="BE6"/>
      <c r="BF6" s="539"/>
      <c r="BG6" s="550"/>
      <c r="BH6"/>
      <c r="BI6" s="539"/>
      <c r="BJ6" s="550"/>
    </row>
    <row r="7" spans="1:62" hidden="1" outlineLevel="1">
      <c r="A7" s="13" t="s">
        <v>288</v>
      </c>
      <c r="B7" s="10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>
        <f>Civil!P29</f>
        <v>974</v>
      </c>
      <c r="Q7" s="10">
        <f>Civil!Q29</f>
        <v>903</v>
      </c>
      <c r="R7" s="10"/>
      <c r="S7" s="216"/>
      <c r="T7" s="556">
        <f>Civil!T29</f>
        <v>757</v>
      </c>
      <c r="U7" s="10"/>
      <c r="V7" s="216"/>
      <c r="W7" s="556">
        <f>Civil!W29</f>
        <v>598</v>
      </c>
      <c r="X7" s="10"/>
      <c r="Y7" s="216"/>
      <c r="Z7" s="556"/>
      <c r="AA7" s="10"/>
      <c r="AB7" s="216"/>
      <c r="AC7" s="556"/>
      <c r="AD7" s="10"/>
      <c r="AE7" s="216"/>
      <c r="AF7" s="556"/>
      <c r="AG7" s="10"/>
      <c r="AH7" s="216"/>
      <c r="AI7" s="556"/>
      <c r="AJ7" s="10"/>
      <c r="AK7" s="216"/>
      <c r="AL7" s="556"/>
      <c r="AM7" s="10"/>
      <c r="AN7" s="539"/>
      <c r="AO7" s="550"/>
      <c r="AP7"/>
      <c r="AQ7" s="539"/>
      <c r="AR7" s="550"/>
      <c r="AS7"/>
      <c r="AT7" s="539"/>
      <c r="AU7" s="550"/>
      <c r="AV7"/>
      <c r="AW7" s="539"/>
      <c r="AX7" s="550"/>
      <c r="AY7"/>
      <c r="AZ7" s="539"/>
      <c r="BA7" s="550"/>
      <c r="BB7"/>
      <c r="BC7" s="539"/>
      <c r="BD7" s="550"/>
      <c r="BE7"/>
      <c r="BF7" s="539"/>
      <c r="BG7" s="550"/>
      <c r="BH7"/>
      <c r="BI7" s="539"/>
      <c r="BJ7" s="550"/>
    </row>
    <row r="8" spans="1:62" hidden="1" outlineLevel="1">
      <c r="A8" s="13" t="s">
        <v>268</v>
      </c>
      <c r="B8" s="10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>
        <f>Civil!P30</f>
        <v>331</v>
      </c>
      <c r="Q8" s="10">
        <f>Civil!Q30</f>
        <v>281</v>
      </c>
      <c r="R8" s="10"/>
      <c r="S8" s="216"/>
      <c r="T8" s="556">
        <f>Civil!T30</f>
        <v>254</v>
      </c>
      <c r="U8" s="10"/>
      <c r="V8" s="216"/>
      <c r="W8" s="556">
        <f>Civil!W30</f>
        <v>222</v>
      </c>
      <c r="X8" s="10"/>
      <c r="Y8" s="216"/>
      <c r="Z8" s="556"/>
      <c r="AA8" s="10"/>
      <c r="AB8" s="216"/>
      <c r="AC8" s="556"/>
      <c r="AD8" s="10"/>
      <c r="AE8" s="216"/>
      <c r="AF8" s="556"/>
      <c r="AG8" s="10"/>
      <c r="AH8" s="216"/>
      <c r="AI8" s="556"/>
      <c r="AJ8" s="10"/>
      <c r="AK8" s="216"/>
      <c r="AL8" s="556"/>
      <c r="AM8" s="10"/>
      <c r="AN8" s="539"/>
      <c r="AO8" s="550"/>
      <c r="AP8"/>
      <c r="AQ8" s="539"/>
      <c r="AR8" s="550"/>
      <c r="AS8"/>
      <c r="AT8" s="539"/>
      <c r="AU8" s="550"/>
      <c r="AV8"/>
      <c r="AW8" s="539"/>
      <c r="AX8" s="550"/>
      <c r="AY8"/>
      <c r="AZ8" s="539"/>
      <c r="BA8" s="550"/>
      <c r="BB8"/>
      <c r="BC8" s="539"/>
      <c r="BD8" s="550"/>
      <c r="BE8"/>
      <c r="BF8" s="539"/>
      <c r="BG8" s="550"/>
      <c r="BH8"/>
      <c r="BI8" s="539"/>
      <c r="BJ8" s="550"/>
    </row>
    <row r="9" spans="1:62" hidden="1" outlineLevel="1">
      <c r="A9" s="9" t="s">
        <v>654</v>
      </c>
      <c r="B9" s="338"/>
      <c r="C9" s="338"/>
      <c r="D9" s="22">
        <f>+Civil!D26</f>
        <v>1489</v>
      </c>
      <c r="E9" s="22">
        <f>+Civil!E26</f>
        <v>1266.1799999999998</v>
      </c>
      <c r="F9" s="22">
        <f>+Civil!F26</f>
        <v>1246.4000000000001</v>
      </c>
      <c r="G9" s="22">
        <f>+Civil!G26</f>
        <v>1390</v>
      </c>
      <c r="H9" s="22">
        <f>+Civil!H26</f>
        <v>1597</v>
      </c>
      <c r="I9" s="22">
        <f>+Civil!I26</f>
        <v>1484</v>
      </c>
      <c r="J9" s="22">
        <f>+Civil!J26</f>
        <v>1776</v>
      </c>
      <c r="K9" s="22">
        <f>+Civil!K26</f>
        <v>1855</v>
      </c>
      <c r="L9" s="22">
        <f>+Civil!L26</f>
        <v>1892</v>
      </c>
      <c r="M9" s="22">
        <f>+Civil!M26</f>
        <v>2232</v>
      </c>
      <c r="N9" s="22">
        <f>+Civil!N26</f>
        <v>2934</v>
      </c>
      <c r="O9" s="22">
        <f>+Civil!O26</f>
        <v>3035</v>
      </c>
      <c r="P9" s="22">
        <f>SUM(P5:P8)</f>
        <v>3463</v>
      </c>
      <c r="Q9" s="22">
        <f>SUM(Q5:Q8)</f>
        <v>3258</v>
      </c>
      <c r="R9" s="22"/>
      <c r="S9" s="227"/>
      <c r="T9" s="557">
        <f>SUM(T5:T8)</f>
        <v>3357</v>
      </c>
      <c r="U9" s="22"/>
      <c r="V9" s="227"/>
      <c r="W9" s="557">
        <f>SUM(W5:W8)</f>
        <v>3818</v>
      </c>
      <c r="X9" s="22"/>
      <c r="Y9" s="227"/>
      <c r="Z9" s="557"/>
      <c r="AA9" s="22"/>
      <c r="AB9" s="227"/>
      <c r="AC9" s="557"/>
      <c r="AD9" s="22"/>
      <c r="AE9" s="227"/>
      <c r="AF9" s="557"/>
      <c r="AG9" s="22"/>
      <c r="AH9" s="227"/>
      <c r="AI9" s="557"/>
      <c r="AJ9" s="22"/>
      <c r="AK9" s="227"/>
      <c r="AL9" s="557"/>
      <c r="AM9" s="22"/>
      <c r="AN9" s="718"/>
      <c r="AO9" s="727"/>
      <c r="AP9" s="9"/>
      <c r="AQ9" s="718"/>
      <c r="AR9" s="727"/>
      <c r="AS9" s="9"/>
      <c r="AT9" s="718"/>
      <c r="AU9" s="727"/>
      <c r="AV9" s="9"/>
      <c r="AW9" s="718"/>
      <c r="AX9" s="727"/>
      <c r="AY9" s="9"/>
      <c r="AZ9" s="718"/>
      <c r="BA9" s="727"/>
      <c r="BB9" s="9"/>
      <c r="BC9" s="718"/>
      <c r="BD9" s="727"/>
      <c r="BE9" s="9"/>
      <c r="BF9" s="718"/>
      <c r="BG9" s="727"/>
      <c r="BH9" s="9"/>
      <c r="BI9" s="718"/>
      <c r="BJ9" s="727"/>
    </row>
    <row r="10" spans="1:62" hidden="1" outlineLevel="1">
      <c r="A10" s="34" t="s">
        <v>620</v>
      </c>
      <c r="B10" s="20"/>
      <c r="C10" s="20"/>
      <c r="D10" s="344"/>
      <c r="E10" s="20">
        <f>+E9/D9-1</f>
        <v>-0.1496440564137006</v>
      </c>
      <c r="F10" s="20">
        <f t="shared" ref="F10:Q10" si="2">+F9/E9-1</f>
        <v>-1.5621791530429863E-2</v>
      </c>
      <c r="G10" s="20">
        <f t="shared" si="2"/>
        <v>0.11521181001283698</v>
      </c>
      <c r="H10" s="20">
        <f t="shared" si="2"/>
        <v>0.14892086330935261</v>
      </c>
      <c r="I10" s="20">
        <f t="shared" si="2"/>
        <v>-7.0757670632435765E-2</v>
      </c>
      <c r="J10" s="20">
        <f t="shared" si="2"/>
        <v>0.19676549865229109</v>
      </c>
      <c r="K10" s="20">
        <f t="shared" si="2"/>
        <v>4.4481981981981944E-2</v>
      </c>
      <c r="L10" s="20">
        <f t="shared" si="2"/>
        <v>1.9946091644204911E-2</v>
      </c>
      <c r="M10" s="20">
        <f t="shared" si="2"/>
        <v>0.17970401691331928</v>
      </c>
      <c r="N10" s="20">
        <f t="shared" si="2"/>
        <v>0.31451612903225801</v>
      </c>
      <c r="O10" s="20">
        <f t="shared" si="2"/>
        <v>3.4423994546693981E-2</v>
      </c>
      <c r="P10" s="20">
        <f t="shared" si="2"/>
        <v>0.14102141680395386</v>
      </c>
      <c r="Q10" s="20">
        <f t="shared" si="2"/>
        <v>-5.9197227837135435E-2</v>
      </c>
      <c r="R10" s="20"/>
      <c r="S10" s="789"/>
      <c r="T10" s="559">
        <f>+T9/Q9-1</f>
        <v>3.0386740331491691E-2</v>
      </c>
      <c r="U10" s="20"/>
      <c r="V10" s="789"/>
      <c r="W10" s="559">
        <f>+W9/T9-1</f>
        <v>0.13732499255287456</v>
      </c>
      <c r="X10" s="20"/>
      <c r="Y10" s="789"/>
      <c r="Z10" s="559"/>
      <c r="AA10" s="199"/>
      <c r="AB10" s="229"/>
      <c r="AC10" s="559"/>
      <c r="AD10" s="199"/>
      <c r="AE10" s="229"/>
      <c r="AF10" s="559"/>
      <c r="AG10" s="199"/>
      <c r="AH10" s="229"/>
      <c r="AI10" s="559"/>
      <c r="AJ10" s="199"/>
      <c r="AK10" s="229"/>
      <c r="AL10" s="559"/>
      <c r="AM10" s="199"/>
      <c r="AN10" s="544"/>
      <c r="AO10" s="584"/>
      <c r="AP10" s="45"/>
      <c r="AQ10" s="544"/>
      <c r="AR10" s="584"/>
      <c r="AS10" s="45"/>
      <c r="AT10" s="544"/>
      <c r="AU10" s="584"/>
      <c r="AV10" s="45"/>
      <c r="AW10" s="544"/>
      <c r="AX10" s="584"/>
      <c r="AY10" s="45"/>
      <c r="AZ10" s="544"/>
      <c r="BA10" s="584"/>
      <c r="BB10" s="45"/>
      <c r="BC10" s="544"/>
      <c r="BD10" s="584"/>
      <c r="BE10" s="45"/>
      <c r="BF10" s="544"/>
      <c r="BG10" s="584"/>
      <c r="BH10" s="45"/>
      <c r="BI10" s="544"/>
      <c r="BJ10" s="584"/>
    </row>
    <row r="11" spans="1:62" hidden="1" outlineLevel="1">
      <c r="A11" s="34" t="s">
        <v>621</v>
      </c>
      <c r="B11" s="20"/>
      <c r="C11" s="20"/>
      <c r="D11" s="344"/>
      <c r="E11" s="344"/>
      <c r="F11" s="344"/>
      <c r="G11" s="344"/>
      <c r="H11" s="344"/>
      <c r="I11" s="344"/>
      <c r="J11" s="344"/>
      <c r="K11" s="344"/>
      <c r="L11" s="344"/>
      <c r="M11" s="344"/>
      <c r="N11" s="344"/>
      <c r="O11" s="344"/>
      <c r="P11" s="344"/>
      <c r="Q11" s="20" t="e">
        <f>+Q10-Q$70</f>
        <v>#DIV/0!</v>
      </c>
      <c r="R11" s="20"/>
      <c r="S11" s="789"/>
      <c r="T11" s="559">
        <f>+T10-T$70</f>
        <v>1.4205510558028767E-2</v>
      </c>
      <c r="U11" s="20"/>
      <c r="V11" s="789"/>
      <c r="W11" s="559">
        <f>+W10-W$70</f>
        <v>0.13407823930612128</v>
      </c>
      <c r="X11" s="20"/>
      <c r="Y11" s="789"/>
      <c r="Z11" s="559"/>
      <c r="AA11" s="199"/>
      <c r="AB11" s="229"/>
      <c r="AC11" s="559"/>
      <c r="AD11" s="199"/>
      <c r="AE11" s="229"/>
      <c r="AF11" s="559"/>
      <c r="AG11" s="199"/>
      <c r="AH11" s="229"/>
      <c r="AI11" s="559"/>
      <c r="AJ11" s="199"/>
      <c r="AK11" s="229"/>
      <c r="AL11" s="559"/>
      <c r="AM11" s="199"/>
      <c r="AN11" s="214"/>
      <c r="AO11" s="560"/>
      <c r="AP11" s="54"/>
      <c r="AQ11" s="214"/>
      <c r="AR11" s="560"/>
      <c r="AS11" s="54"/>
      <c r="AT11" s="214"/>
      <c r="AU11" s="560"/>
      <c r="AV11" s="54"/>
      <c r="AW11" s="214"/>
      <c r="AX11" s="560"/>
      <c r="AY11" s="54"/>
      <c r="AZ11" s="214"/>
      <c r="BA11" s="560"/>
      <c r="BB11" s="54"/>
      <c r="BC11" s="214"/>
      <c r="BD11" s="560"/>
      <c r="BE11" s="54"/>
      <c r="BF11" s="214"/>
      <c r="BG11" s="560"/>
      <c r="BH11" s="54"/>
      <c r="BI11" s="214"/>
      <c r="BJ11" s="560"/>
    </row>
    <row r="12" spans="1:62" hidden="1" outlineLevel="1">
      <c r="A12" s="34"/>
      <c r="B12" s="20"/>
      <c r="C12" s="20"/>
      <c r="D12" s="344"/>
      <c r="E12" s="344"/>
      <c r="F12" s="344"/>
      <c r="G12" s="344"/>
      <c r="H12" s="344"/>
      <c r="I12" s="344"/>
      <c r="J12" s="344"/>
      <c r="K12" s="344"/>
      <c r="L12" s="344"/>
      <c r="M12" s="344"/>
      <c r="N12" s="344"/>
      <c r="O12" s="344"/>
      <c r="P12" s="344"/>
      <c r="Q12" s="10"/>
      <c r="R12" s="10"/>
      <c r="S12" s="216"/>
      <c r="T12" s="782"/>
      <c r="U12" s="10"/>
      <c r="V12" s="216"/>
      <c r="W12" s="782"/>
      <c r="X12" s="10"/>
      <c r="Y12" s="216"/>
      <c r="Z12" s="782"/>
      <c r="AA12" s="47"/>
      <c r="AB12" s="775"/>
      <c r="AC12" s="782"/>
      <c r="AD12" s="47"/>
      <c r="AE12" s="775"/>
      <c r="AF12" s="782"/>
      <c r="AG12" s="47"/>
      <c r="AH12" s="775"/>
      <c r="AI12" s="782"/>
      <c r="AJ12" s="47"/>
      <c r="AK12" s="775"/>
      <c r="AL12" s="782"/>
      <c r="AM12" s="47"/>
      <c r="AN12" s="748"/>
      <c r="AO12" s="760"/>
      <c r="AP12" s="55"/>
      <c r="AQ12" s="748"/>
      <c r="AR12" s="760"/>
      <c r="AS12" s="55"/>
      <c r="AT12" s="748"/>
      <c r="AU12" s="760"/>
      <c r="AV12" s="55"/>
      <c r="AW12" s="748"/>
      <c r="AX12" s="760"/>
      <c r="AY12" s="55"/>
      <c r="AZ12" s="748"/>
      <c r="BA12" s="760"/>
      <c r="BB12" s="55"/>
      <c r="BC12" s="748"/>
      <c r="BD12" s="760"/>
      <c r="BE12" s="55"/>
      <c r="BF12" s="748"/>
      <c r="BG12" s="760"/>
      <c r="BH12" s="55"/>
      <c r="BI12" s="748"/>
      <c r="BJ12" s="760"/>
    </row>
    <row r="13" spans="1:62" hidden="1" outlineLevel="1">
      <c r="A13" s="13" t="s">
        <v>576</v>
      </c>
      <c r="B13" s="10"/>
      <c r="C13" s="10"/>
      <c r="D13" s="27"/>
      <c r="E13" s="27"/>
      <c r="F13" s="27"/>
      <c r="G13" s="27"/>
      <c r="H13" s="27"/>
      <c r="I13" s="27"/>
      <c r="J13" s="27"/>
      <c r="K13" s="27"/>
      <c r="L13" s="27"/>
      <c r="M13" s="27"/>
      <c r="N13" s="27"/>
      <c r="O13" s="27"/>
      <c r="P13" s="27"/>
      <c r="Q13" s="10">
        <f>Civil!Q179</f>
        <v>-370</v>
      </c>
      <c r="R13" s="47"/>
      <c r="S13" s="775"/>
      <c r="T13" s="782">
        <f>Civil!T179</f>
        <v>-147</v>
      </c>
      <c r="U13" s="47"/>
      <c r="V13" s="775"/>
      <c r="W13" s="782">
        <v>-194</v>
      </c>
      <c r="X13" s="47"/>
      <c r="Y13" s="775"/>
      <c r="Z13" s="782">
        <f>-Civil!AC155</f>
        <v>0</v>
      </c>
      <c r="AA13" s="47"/>
      <c r="AB13" s="775"/>
      <c r="AC13" s="782">
        <f>-Civil!AF155</f>
        <v>0</v>
      </c>
      <c r="AD13" s="47"/>
      <c r="AE13" s="775"/>
      <c r="AF13" s="782">
        <f>-Civil!AI155</f>
        <v>0</v>
      </c>
      <c r="AG13" s="47"/>
      <c r="AH13" s="775"/>
      <c r="AI13" s="782">
        <f>-Civil!AL155</f>
        <v>0</v>
      </c>
      <c r="AJ13" s="47"/>
      <c r="AK13" s="775"/>
      <c r="AL13" s="782">
        <f>-Civil!AO155</f>
        <v>0</v>
      </c>
      <c r="AM13" s="47"/>
      <c r="AN13" s="748"/>
      <c r="AO13" s="760">
        <f>-Civil!AR155</f>
        <v>0</v>
      </c>
      <c r="AP13" s="55"/>
      <c r="AQ13" s="748"/>
      <c r="AR13" s="760">
        <f>-Civil!AU155</f>
        <v>0</v>
      </c>
      <c r="AS13" s="55"/>
      <c r="AT13" s="748"/>
      <c r="AU13" s="760">
        <f>-Civil!BN155</f>
        <v>0</v>
      </c>
      <c r="AV13" s="55"/>
      <c r="AW13" s="748"/>
      <c r="AX13" s="760">
        <f>-Civil!BO155</f>
        <v>0</v>
      </c>
      <c r="AY13" s="55"/>
      <c r="AZ13" s="748"/>
      <c r="BA13" s="760">
        <f>-Civil!BP155</f>
        <v>0</v>
      </c>
      <c r="BB13" s="55"/>
      <c r="BC13" s="748"/>
      <c r="BD13" s="760">
        <f>-Civil!BQ155</f>
        <v>0</v>
      </c>
      <c r="BE13" s="55"/>
      <c r="BF13" s="748"/>
      <c r="BG13" s="760">
        <f>-Civil!BR155</f>
        <v>0</v>
      </c>
      <c r="BH13" s="55"/>
      <c r="BI13" s="748"/>
      <c r="BJ13" s="760">
        <f>-Civil!BS155</f>
        <v>0</v>
      </c>
    </row>
    <row r="14" spans="1:62" hidden="1" outlineLevel="1">
      <c r="A14" s="13" t="s">
        <v>577</v>
      </c>
      <c r="B14" s="10"/>
      <c r="C14" s="10"/>
      <c r="D14" s="27"/>
      <c r="E14" s="27"/>
      <c r="F14" s="27"/>
      <c r="G14" s="27"/>
      <c r="H14" s="27"/>
      <c r="I14" s="27"/>
      <c r="J14" s="27"/>
      <c r="K14" s="27"/>
      <c r="L14" s="27"/>
      <c r="M14" s="27"/>
      <c r="N14" s="27"/>
      <c r="O14" s="27"/>
      <c r="P14" s="27"/>
      <c r="Q14" s="10">
        <f>Civil!Q180</f>
        <v>-151</v>
      </c>
      <c r="R14" s="47"/>
      <c r="S14" s="775"/>
      <c r="T14" s="782">
        <f>Civil!T180</f>
        <v>-285</v>
      </c>
      <c r="U14" s="47"/>
      <c r="V14" s="775"/>
      <c r="W14" s="782">
        <v>-418</v>
      </c>
      <c r="X14" s="47"/>
      <c r="Y14" s="775"/>
      <c r="Z14" s="782">
        <v>0</v>
      </c>
      <c r="AA14" s="47"/>
      <c r="AB14" s="775"/>
      <c r="AC14" s="782">
        <v>0</v>
      </c>
      <c r="AD14" s="47"/>
      <c r="AE14" s="775"/>
      <c r="AF14" s="782">
        <v>0</v>
      </c>
      <c r="AG14" s="47"/>
      <c r="AH14" s="775"/>
      <c r="AI14" s="782">
        <v>0</v>
      </c>
      <c r="AJ14" s="47"/>
      <c r="AK14" s="775"/>
      <c r="AL14" s="782">
        <v>0</v>
      </c>
      <c r="AM14" s="47"/>
      <c r="AN14" s="749"/>
      <c r="AO14" s="761">
        <v>0</v>
      </c>
      <c r="AP14" s="346"/>
      <c r="AQ14" s="749"/>
      <c r="AR14" s="761">
        <v>0</v>
      </c>
      <c r="AS14" s="346"/>
      <c r="AT14" s="749"/>
      <c r="AU14" s="761">
        <v>0</v>
      </c>
      <c r="AV14" s="346"/>
      <c r="AW14" s="749"/>
      <c r="AX14" s="761">
        <v>0</v>
      </c>
      <c r="AY14" s="346"/>
      <c r="AZ14" s="749"/>
      <c r="BA14" s="761">
        <v>0</v>
      </c>
      <c r="BB14" s="346"/>
      <c r="BC14" s="749"/>
      <c r="BD14" s="761">
        <v>0</v>
      </c>
      <c r="BE14" s="346"/>
      <c r="BF14" s="749"/>
      <c r="BG14" s="761">
        <v>0</v>
      </c>
      <c r="BH14" s="346"/>
      <c r="BI14" s="749"/>
      <c r="BJ14" s="761">
        <v>0</v>
      </c>
    </row>
    <row r="15" spans="1:62" hidden="1" outlineLevel="1">
      <c r="A15" s="13" t="s">
        <v>578</v>
      </c>
      <c r="B15" s="10"/>
      <c r="C15" s="10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  <c r="P15" s="27"/>
      <c r="Q15" s="10">
        <f>-Civil!Q147</f>
        <v>-161</v>
      </c>
      <c r="R15" s="47"/>
      <c r="S15" s="775"/>
      <c r="T15" s="556">
        <f>-Civil!T147</f>
        <v>-208</v>
      </c>
      <c r="U15" s="47"/>
      <c r="V15" s="775"/>
      <c r="W15" s="556">
        <v>-286</v>
      </c>
      <c r="X15" s="47"/>
      <c r="Y15" s="775"/>
      <c r="Z15" s="556">
        <f>-Civil!AC147</f>
        <v>0</v>
      </c>
      <c r="AA15" s="10"/>
      <c r="AB15" s="216"/>
      <c r="AC15" s="556">
        <f>-Civil!AF147</f>
        <v>0</v>
      </c>
      <c r="AD15" s="10"/>
      <c r="AE15" s="216"/>
      <c r="AF15" s="556">
        <f>-Civil!AI147</f>
        <v>0</v>
      </c>
      <c r="AG15" s="10"/>
      <c r="AH15" s="216"/>
      <c r="AI15" s="556">
        <f>-Civil!AL147</f>
        <v>0</v>
      </c>
      <c r="AJ15" s="10"/>
      <c r="AK15" s="216"/>
      <c r="AL15" s="556">
        <f>-Civil!AO147</f>
        <v>0</v>
      </c>
      <c r="AM15" s="10"/>
      <c r="AN15" s="539"/>
      <c r="AO15" s="550">
        <f>-Civil!AR147</f>
        <v>0</v>
      </c>
      <c r="AP15"/>
      <c r="AQ15" s="539"/>
      <c r="AR15" s="550">
        <f>-Civil!AU147</f>
        <v>0</v>
      </c>
      <c r="AS15"/>
      <c r="AT15" s="539"/>
      <c r="AU15" s="550">
        <f>-Civil!BN147</f>
        <v>0</v>
      </c>
      <c r="AV15"/>
      <c r="AW15" s="539"/>
      <c r="AX15" s="550">
        <f>-Civil!BO147</f>
        <v>0</v>
      </c>
      <c r="AY15"/>
      <c r="AZ15" s="539"/>
      <c r="BA15" s="550">
        <f>-Civil!BP147</f>
        <v>0</v>
      </c>
      <c r="BB15"/>
      <c r="BC15" s="539"/>
      <c r="BD15" s="550">
        <f>-Civil!BQ147</f>
        <v>0</v>
      </c>
      <c r="BE15"/>
      <c r="BF15" s="539"/>
      <c r="BG15" s="550">
        <f>-Civil!BR147</f>
        <v>0</v>
      </c>
      <c r="BH15"/>
      <c r="BI15" s="539"/>
      <c r="BJ15" s="550">
        <f>-Civil!BS147</f>
        <v>0</v>
      </c>
    </row>
    <row r="16" spans="1:62" hidden="1" outlineLevel="1">
      <c r="A16" s="13" t="s">
        <v>579</v>
      </c>
      <c r="B16" s="10"/>
      <c r="C16" s="10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10">
        <f>Civil!Q182</f>
        <v>-106</v>
      </c>
      <c r="R16" s="47"/>
      <c r="S16" s="775"/>
      <c r="T16" s="556">
        <f>Civil!T182</f>
        <v>-71</v>
      </c>
      <c r="U16" s="47"/>
      <c r="V16" s="775"/>
      <c r="W16" s="556">
        <v>-13</v>
      </c>
      <c r="X16" s="47"/>
      <c r="Y16" s="775"/>
      <c r="Z16" s="556">
        <v>-40</v>
      </c>
      <c r="AA16" s="10"/>
      <c r="AB16" s="216"/>
      <c r="AC16" s="556">
        <f>Civil!AF182</f>
        <v>0</v>
      </c>
      <c r="AD16" s="10"/>
      <c r="AE16" s="216"/>
      <c r="AF16" s="556">
        <f>Civil!AI182</f>
        <v>0</v>
      </c>
      <c r="AG16" s="10"/>
      <c r="AH16" s="216"/>
      <c r="AI16" s="556">
        <f>Civil!AL182</f>
        <v>0</v>
      </c>
      <c r="AJ16" s="10"/>
      <c r="AK16" s="216"/>
      <c r="AL16" s="556">
        <f>Civil!AO182</f>
        <v>0</v>
      </c>
      <c r="AM16" s="10"/>
      <c r="AN16" s="539"/>
      <c r="AO16" s="550">
        <f>Civil!AR182</f>
        <v>0</v>
      </c>
      <c r="AP16"/>
      <c r="AQ16" s="539"/>
      <c r="AR16" s="550">
        <f>Civil!AU182</f>
        <v>0</v>
      </c>
      <c r="AS16"/>
      <c r="AT16" s="539"/>
      <c r="AU16" s="550">
        <f>Civil!BN182</f>
        <v>0</v>
      </c>
      <c r="AV16"/>
      <c r="AW16" s="539"/>
      <c r="AX16" s="550">
        <f>Civil!BO182</f>
        <v>0</v>
      </c>
      <c r="AY16"/>
      <c r="AZ16" s="539"/>
      <c r="BA16" s="550">
        <f>Civil!BP182</f>
        <v>0</v>
      </c>
      <c r="BB16"/>
      <c r="BC16" s="539"/>
      <c r="BD16" s="550">
        <f>Civil!BQ182</f>
        <v>0</v>
      </c>
      <c r="BE16"/>
      <c r="BF16" s="539"/>
      <c r="BG16" s="550">
        <f>Civil!BR182</f>
        <v>0</v>
      </c>
      <c r="BH16"/>
      <c r="BI16" s="539"/>
      <c r="BJ16" s="550">
        <f>Civil!BS182</f>
        <v>0</v>
      </c>
    </row>
    <row r="17" spans="1:67" hidden="1" outlineLevel="1">
      <c r="A17" s="13" t="s">
        <v>678</v>
      </c>
      <c r="B17" s="10"/>
      <c r="C17" s="10"/>
      <c r="D17" s="27"/>
      <c r="E17" s="27"/>
      <c r="F17" s="27"/>
      <c r="G17" s="27"/>
      <c r="H17" s="27"/>
      <c r="I17" s="27"/>
      <c r="J17" s="27"/>
      <c r="K17" s="27"/>
      <c r="L17" s="27"/>
      <c r="M17" s="27"/>
      <c r="N17" s="27"/>
      <c r="O17" s="27"/>
      <c r="P17" s="27"/>
      <c r="Q17" s="10">
        <f>Civil!Q183</f>
        <v>-100</v>
      </c>
      <c r="R17" s="47"/>
      <c r="S17" s="775"/>
      <c r="T17" s="556">
        <f>Civil!T183</f>
        <v>-105</v>
      </c>
      <c r="U17" s="47"/>
      <c r="V17" s="775"/>
      <c r="W17" s="556">
        <f>-22+20</f>
        <v>-2</v>
      </c>
      <c r="X17" s="47"/>
      <c r="Y17" s="775"/>
      <c r="Z17" s="556">
        <f>Civil!AC183</f>
        <v>0</v>
      </c>
      <c r="AA17" s="10"/>
      <c r="AB17" s="216"/>
      <c r="AC17" s="556">
        <f>Civil!AF183</f>
        <v>0</v>
      </c>
      <c r="AD17" s="10"/>
      <c r="AE17" s="216"/>
      <c r="AF17" s="556">
        <f>Civil!AI183</f>
        <v>0</v>
      </c>
      <c r="AG17" s="10"/>
      <c r="AH17" s="216"/>
      <c r="AI17" s="556">
        <f>Civil!AL183</f>
        <v>0</v>
      </c>
      <c r="AJ17" s="10"/>
      <c r="AK17" s="216"/>
      <c r="AL17" s="556">
        <f>Civil!AO183</f>
        <v>0</v>
      </c>
      <c r="AM17" s="10"/>
      <c r="AN17" s="539"/>
      <c r="AO17" s="550">
        <f>Civil!AR183</f>
        <v>0</v>
      </c>
      <c r="AP17"/>
      <c r="AQ17" s="539"/>
      <c r="AR17" s="550">
        <f>Civil!AU183</f>
        <v>0</v>
      </c>
      <c r="AS17"/>
      <c r="AT17" s="539"/>
      <c r="AU17" s="550">
        <f>Civil!BN183</f>
        <v>0</v>
      </c>
      <c r="AV17"/>
      <c r="AW17" s="539"/>
      <c r="AX17" s="550">
        <f>Civil!BO183</f>
        <v>0</v>
      </c>
      <c r="AY17"/>
      <c r="AZ17" s="539"/>
      <c r="BA17" s="550">
        <f>Civil!BP183</f>
        <v>0</v>
      </c>
      <c r="BB17"/>
      <c r="BC17" s="539"/>
      <c r="BD17" s="550">
        <f>Civil!BQ183</f>
        <v>0</v>
      </c>
      <c r="BE17"/>
      <c r="BF17" s="539"/>
      <c r="BG17" s="550">
        <f>Civil!BR183</f>
        <v>0</v>
      </c>
      <c r="BH17"/>
      <c r="BI17" s="539"/>
      <c r="BJ17" s="550">
        <f>Civil!BS183</f>
        <v>0</v>
      </c>
    </row>
    <row r="18" spans="1:67" hidden="1" outlineLevel="1">
      <c r="A18" s="2" t="s">
        <v>591</v>
      </c>
      <c r="B18" s="10"/>
      <c r="C18" s="10"/>
      <c r="D18" s="27"/>
      <c r="E18" s="27"/>
      <c r="F18" s="27"/>
      <c r="G18" s="27"/>
      <c r="H18" s="27"/>
      <c r="I18" s="27"/>
      <c r="J18" s="27"/>
      <c r="K18" s="27"/>
      <c r="L18" s="27"/>
      <c r="M18" s="27"/>
      <c r="N18" s="27"/>
      <c r="O18" s="27"/>
      <c r="P18" s="27"/>
      <c r="Q18" s="27">
        <f t="shared" ref="Q18:AR18" si="3">SUM(Q13:Q17)</f>
        <v>-888</v>
      </c>
      <c r="R18" s="27"/>
      <c r="S18" s="218"/>
      <c r="T18" s="553">
        <f t="shared" si="3"/>
        <v>-816</v>
      </c>
      <c r="U18" s="27"/>
      <c r="V18" s="218"/>
      <c r="W18" s="553">
        <f t="shared" si="3"/>
        <v>-913</v>
      </c>
      <c r="X18" s="27"/>
      <c r="Y18" s="218"/>
      <c r="Z18" s="553">
        <f t="shared" si="3"/>
        <v>-40</v>
      </c>
      <c r="AA18" s="27"/>
      <c r="AB18" s="218"/>
      <c r="AC18" s="553">
        <f t="shared" si="3"/>
        <v>0</v>
      </c>
      <c r="AD18" s="27"/>
      <c r="AE18" s="218"/>
      <c r="AF18" s="553">
        <f t="shared" si="3"/>
        <v>0</v>
      </c>
      <c r="AG18" s="27"/>
      <c r="AH18" s="218"/>
      <c r="AI18" s="553">
        <f t="shared" si="3"/>
        <v>0</v>
      </c>
      <c r="AJ18" s="27"/>
      <c r="AK18" s="218"/>
      <c r="AL18" s="553">
        <f t="shared" si="3"/>
        <v>0</v>
      </c>
      <c r="AM18" s="27"/>
      <c r="AN18" s="541"/>
      <c r="AO18" s="578">
        <f t="shared" si="3"/>
        <v>0</v>
      </c>
      <c r="AP18" s="2"/>
      <c r="AQ18" s="541"/>
      <c r="AR18" s="578">
        <f t="shared" si="3"/>
        <v>0</v>
      </c>
      <c r="AS18" s="2"/>
      <c r="AT18" s="541"/>
      <c r="AU18" s="578">
        <f t="shared" ref="AU18:BJ18" si="4">SUM(AU13:AU17)</f>
        <v>0</v>
      </c>
      <c r="AV18" s="2"/>
      <c r="AW18" s="541"/>
      <c r="AX18" s="578">
        <f t="shared" si="4"/>
        <v>0</v>
      </c>
      <c r="AY18" s="2"/>
      <c r="AZ18" s="541"/>
      <c r="BA18" s="578">
        <f t="shared" si="4"/>
        <v>0</v>
      </c>
      <c r="BB18" s="2"/>
      <c r="BC18" s="541"/>
      <c r="BD18" s="578">
        <f t="shared" si="4"/>
        <v>0</v>
      </c>
      <c r="BE18" s="2"/>
      <c r="BF18" s="541"/>
      <c r="BG18" s="578">
        <f t="shared" si="4"/>
        <v>0</v>
      </c>
      <c r="BH18" s="2"/>
      <c r="BI18" s="541"/>
      <c r="BJ18" s="578">
        <f t="shared" si="4"/>
        <v>0</v>
      </c>
    </row>
    <row r="19" spans="1:67" hidden="1" outlineLevel="1">
      <c r="A19" s="28"/>
      <c r="B19" s="10"/>
      <c r="C19" s="10"/>
      <c r="D19" s="27"/>
      <c r="E19" s="27"/>
      <c r="F19" s="27"/>
      <c r="G19" s="27"/>
      <c r="H19" s="27"/>
      <c r="I19" s="27"/>
      <c r="J19" s="27"/>
      <c r="K19" s="27"/>
      <c r="L19" s="27"/>
      <c r="M19" s="27"/>
      <c r="N19" s="27"/>
      <c r="O19" s="27"/>
      <c r="P19" s="27"/>
      <c r="Q19" s="27"/>
      <c r="R19" s="27"/>
      <c r="S19" s="218"/>
      <c r="T19" s="553"/>
      <c r="U19" s="27"/>
      <c r="V19" s="218"/>
      <c r="W19" s="553"/>
      <c r="X19" s="27"/>
      <c r="Y19" s="218"/>
      <c r="Z19" s="553"/>
      <c r="AA19" s="27"/>
      <c r="AB19" s="218"/>
      <c r="AC19" s="553"/>
      <c r="AD19" s="27"/>
      <c r="AE19" s="218"/>
      <c r="AF19" s="553"/>
      <c r="AG19" s="27"/>
      <c r="AH19" s="218"/>
      <c r="AI19" s="553"/>
      <c r="AJ19" s="27"/>
      <c r="AK19" s="218"/>
      <c r="AL19" s="553"/>
      <c r="AM19" s="27"/>
      <c r="AN19" s="541"/>
      <c r="AO19" s="578"/>
      <c r="AP19" s="2"/>
      <c r="AQ19" s="541"/>
      <c r="AR19" s="578"/>
      <c r="AS19" s="2"/>
      <c r="AT19" s="541"/>
      <c r="AU19" s="578"/>
      <c r="AV19" s="2"/>
      <c r="AW19" s="541"/>
      <c r="AX19" s="578"/>
      <c r="AY19" s="2"/>
      <c r="AZ19" s="541"/>
      <c r="BA19" s="578"/>
      <c r="BB19" s="2"/>
      <c r="BC19" s="541"/>
      <c r="BD19" s="578"/>
      <c r="BE19" s="2"/>
      <c r="BF19" s="541"/>
      <c r="BG19" s="578"/>
      <c r="BH19" s="2"/>
      <c r="BI19" s="541"/>
      <c r="BJ19" s="578"/>
    </row>
    <row r="20" spans="1:67" collapsed="1">
      <c r="A20" s="93" t="s">
        <v>514</v>
      </c>
      <c r="B20" s="40"/>
      <c r="C20" s="40"/>
      <c r="D20" s="51"/>
      <c r="E20" s="51"/>
      <c r="F20" s="51"/>
      <c r="G20" s="51"/>
      <c r="H20" s="51"/>
      <c r="I20" s="51"/>
      <c r="J20" s="51"/>
      <c r="K20" s="51"/>
      <c r="L20" s="51"/>
      <c r="M20" s="51"/>
      <c r="N20" s="51"/>
      <c r="O20" s="51"/>
      <c r="P20" s="51"/>
      <c r="Q20" s="40">
        <f>Q5+Q6+Q18</f>
        <v>1186</v>
      </c>
      <c r="R20" s="40"/>
      <c r="S20" s="630"/>
      <c r="T20" s="653">
        <f>T5+T6+T18</f>
        <v>1530</v>
      </c>
      <c r="U20" s="40">
        <f>Civil!X72</f>
        <v>763</v>
      </c>
      <c r="V20" s="630">
        <f>Civil!Y72</f>
        <v>1326</v>
      </c>
      <c r="W20" s="653">
        <f>Civil!Z72</f>
        <v>2089</v>
      </c>
      <c r="X20" s="40">
        <f>Civil!AA72</f>
        <v>1157</v>
      </c>
      <c r="Y20" s="630">
        <f>Civil!AB72</f>
        <v>1216</v>
      </c>
      <c r="Z20" s="653">
        <f>Civil!AC72</f>
        <v>2373</v>
      </c>
      <c r="AA20" s="40">
        <f>Civil!AD72</f>
        <v>1226</v>
      </c>
      <c r="AB20" s="630">
        <f>Civil!AE72</f>
        <v>1342</v>
      </c>
      <c r="AC20" s="653">
        <f>Civil!AF72</f>
        <v>2568</v>
      </c>
      <c r="AD20" s="40">
        <f>Civil!AG72</f>
        <v>854</v>
      </c>
      <c r="AE20" s="630">
        <f>Civil!AH72</f>
        <v>842</v>
      </c>
      <c r="AF20" s="653">
        <f>Civil!AI72</f>
        <v>1696</v>
      </c>
      <c r="AG20" s="40">
        <f>Civil!AJ72</f>
        <v>607</v>
      </c>
      <c r="AH20" s="630">
        <f>Civil!AK72</f>
        <v>690</v>
      </c>
      <c r="AI20" s="653">
        <f>Civil!AL72</f>
        <v>1297</v>
      </c>
      <c r="AJ20" s="40">
        <f>Civil!AM72</f>
        <v>478</v>
      </c>
      <c r="AK20" s="630">
        <f>Civil!AN72</f>
        <v>1038</v>
      </c>
      <c r="AL20" s="653">
        <f>Civil!AO72</f>
        <v>1516</v>
      </c>
      <c r="AM20" s="40">
        <f>Civil!AP72</f>
        <v>828</v>
      </c>
      <c r="AN20" s="630">
        <f>Civil!AQ72</f>
        <v>1211</v>
      </c>
      <c r="AO20" s="653">
        <f>Civil!AR72</f>
        <v>2039</v>
      </c>
      <c r="AP20" s="40">
        <f>Civil!AS72</f>
        <v>845</v>
      </c>
      <c r="AQ20" s="630">
        <f>Civil!AT72</f>
        <v>1309</v>
      </c>
      <c r="AR20" s="653">
        <f>Civil!AU72</f>
        <v>2154</v>
      </c>
      <c r="AS20" s="40">
        <f>Civil!AV72</f>
        <v>993</v>
      </c>
      <c r="AT20" s="630">
        <f>Civil!AW72</f>
        <v>1242</v>
      </c>
      <c r="AU20" s="653">
        <f>Civil!AX72</f>
        <v>2235</v>
      </c>
      <c r="AV20" s="40">
        <f>Civil!AY72</f>
        <v>1504</v>
      </c>
      <c r="AW20" s="236">
        <f>+AW40</f>
        <v>1573.8488803365228</v>
      </c>
      <c r="AX20" s="605">
        <f t="shared" ref="AX20:BJ20" si="5">+AX40</f>
        <v>3077.8488803365226</v>
      </c>
      <c r="AY20" s="56">
        <f>+AY40</f>
        <v>1681.0650050556119</v>
      </c>
      <c r="AZ20" s="236">
        <f>+AZ40</f>
        <v>1770.9913162974526</v>
      </c>
      <c r="BA20" s="605">
        <f t="shared" si="5"/>
        <v>3452.056321353064</v>
      </c>
      <c r="BB20" s="56">
        <f>+BB40</f>
        <v>1793.5902099096552</v>
      </c>
      <c r="BC20" s="236">
        <f>+BC40</f>
        <v>1939.1140303500847</v>
      </c>
      <c r="BD20" s="605">
        <f t="shared" si="5"/>
        <v>3732.7042402597399</v>
      </c>
      <c r="BE20" s="56">
        <f>+BE40</f>
        <v>1953.808106290232</v>
      </c>
      <c r="BF20" s="236">
        <f>+BF40</f>
        <v>2033.0612739045728</v>
      </c>
      <c r="BG20" s="605">
        <f t="shared" si="5"/>
        <v>3986.8693801948048</v>
      </c>
      <c r="BH20" s="56">
        <f>+BH40</f>
        <v>2055.2585812383968</v>
      </c>
      <c r="BI20" s="236">
        <f>+BI40</f>
        <v>2011.3481865603044</v>
      </c>
      <c r="BJ20" s="605">
        <f t="shared" si="5"/>
        <v>4066.6067677987012</v>
      </c>
      <c r="BK20"/>
    </row>
    <row r="21" spans="1:67">
      <c r="A21" s="93" t="s">
        <v>288</v>
      </c>
      <c r="B21" s="40"/>
      <c r="C21" s="40"/>
      <c r="D21" s="51"/>
      <c r="E21" s="51"/>
      <c r="F21" s="51"/>
      <c r="G21" s="51"/>
      <c r="H21" s="51"/>
      <c r="I21" s="51"/>
      <c r="J21" s="51"/>
      <c r="K21" s="51"/>
      <c r="L21" s="51"/>
      <c r="M21" s="51"/>
      <c r="N21" s="51"/>
      <c r="O21" s="51"/>
      <c r="P21" s="51"/>
      <c r="Q21" s="40">
        <f>Q7</f>
        <v>903</v>
      </c>
      <c r="R21" s="40"/>
      <c r="S21" s="630"/>
      <c r="T21" s="653">
        <f>T7</f>
        <v>757</v>
      </c>
      <c r="U21" s="40">
        <f>Civil!X73</f>
        <v>284</v>
      </c>
      <c r="V21" s="630">
        <f>Civil!Y73</f>
        <v>298</v>
      </c>
      <c r="W21" s="653">
        <f>Civil!Z73</f>
        <v>582</v>
      </c>
      <c r="X21" s="40">
        <f>Civil!AA73</f>
        <v>305</v>
      </c>
      <c r="Y21" s="630">
        <f>Civil!AB73</f>
        <v>315</v>
      </c>
      <c r="Z21" s="653">
        <f>Civil!AC73</f>
        <v>620</v>
      </c>
      <c r="AA21" s="40">
        <f>Civil!AD73</f>
        <v>330</v>
      </c>
      <c r="AB21" s="630">
        <f>Civil!AE73</f>
        <v>313</v>
      </c>
      <c r="AC21" s="653">
        <f>Civil!AF73</f>
        <v>643</v>
      </c>
      <c r="AD21" s="40">
        <f>Civil!AG73</f>
        <v>326</v>
      </c>
      <c r="AE21" s="630">
        <f>Civil!AH73</f>
        <v>248</v>
      </c>
      <c r="AF21" s="653">
        <f>Civil!AI73</f>
        <v>574</v>
      </c>
      <c r="AG21" s="40">
        <f>Civil!AJ73</f>
        <v>113</v>
      </c>
      <c r="AH21" s="630">
        <f>Civil!AK73</f>
        <v>197</v>
      </c>
      <c r="AI21" s="653">
        <f>Civil!AL73</f>
        <v>310</v>
      </c>
      <c r="AJ21" s="40">
        <f>Civil!AM73</f>
        <v>175</v>
      </c>
      <c r="AK21" s="630">
        <f>Civil!AN73</f>
        <v>272</v>
      </c>
      <c r="AL21" s="653">
        <f>Civil!AO73</f>
        <v>447</v>
      </c>
      <c r="AM21" s="40">
        <f>Civil!AP73</f>
        <v>221</v>
      </c>
      <c r="AN21" s="630">
        <f>Civil!AQ73</f>
        <v>436</v>
      </c>
      <c r="AO21" s="653">
        <f>Civil!AR73</f>
        <v>657</v>
      </c>
      <c r="AP21" s="40">
        <f>Civil!AS73</f>
        <v>473</v>
      </c>
      <c r="AQ21" s="630">
        <f>Civil!AT73</f>
        <v>457</v>
      </c>
      <c r="AR21" s="653">
        <f>Civil!AU73</f>
        <v>930</v>
      </c>
      <c r="AS21" s="40">
        <f>Civil!AV73</f>
        <v>473</v>
      </c>
      <c r="AT21" s="630">
        <f>Civil!AW73</f>
        <v>480</v>
      </c>
      <c r="AU21" s="653">
        <f>Civil!AX73</f>
        <v>953</v>
      </c>
      <c r="AV21" s="40">
        <f>Civil!AY73</f>
        <v>497</v>
      </c>
      <c r="AW21" s="236">
        <f t="shared" ref="AW21:BJ21" si="6">AW239</f>
        <v>587.88839285714289</v>
      </c>
      <c r="AX21" s="605">
        <f>AX239</f>
        <v>1084.8883928571429</v>
      </c>
      <c r="AY21" s="56">
        <f t="shared" si="6"/>
        <v>570.99845892857138</v>
      </c>
      <c r="AZ21" s="236">
        <f t="shared" si="6"/>
        <v>570.99845892857138</v>
      </c>
      <c r="BA21" s="605">
        <f t="shared" si="6"/>
        <v>1141.9969178571428</v>
      </c>
      <c r="BB21" s="56">
        <f t="shared" si="6"/>
        <v>609.50765732142861</v>
      </c>
      <c r="BC21" s="236">
        <f t="shared" si="6"/>
        <v>609.50765732142861</v>
      </c>
      <c r="BD21" s="605">
        <f t="shared" si="6"/>
        <v>1219.0153146428572</v>
      </c>
      <c r="BE21" s="56">
        <f t="shared" si="6"/>
        <v>649.32882426642857</v>
      </c>
      <c r="BF21" s="236">
        <f t="shared" si="6"/>
        <v>649.32882426642857</v>
      </c>
      <c r="BG21" s="605">
        <f t="shared" si="6"/>
        <v>1298.6576485328571</v>
      </c>
      <c r="BH21" s="56">
        <f t="shared" si="6"/>
        <v>690.49903482630009</v>
      </c>
      <c r="BI21" s="236">
        <f t="shared" si="6"/>
        <v>690.49903482630009</v>
      </c>
      <c r="BJ21" s="605">
        <f t="shared" si="6"/>
        <v>1380.9980696526002</v>
      </c>
      <c r="BK21"/>
    </row>
    <row r="22" spans="1:67">
      <c r="A22" s="93" t="s">
        <v>268</v>
      </c>
      <c r="B22" s="40"/>
      <c r="C22" s="40"/>
      <c r="D22" s="51"/>
      <c r="E22" s="51"/>
      <c r="F22" s="51"/>
      <c r="G22" s="51"/>
      <c r="H22" s="51"/>
      <c r="I22" s="51"/>
      <c r="J22" s="51"/>
      <c r="K22" s="51"/>
      <c r="L22" s="51"/>
      <c r="M22" s="51"/>
      <c r="N22" s="51"/>
      <c r="O22" s="51"/>
      <c r="P22" s="51"/>
      <c r="Q22" s="40">
        <f>Q8</f>
        <v>281</v>
      </c>
      <c r="R22" s="40"/>
      <c r="S22" s="630"/>
      <c r="T22" s="653">
        <f>T8</f>
        <v>254</v>
      </c>
      <c r="U22" s="40">
        <f>Civil!X74</f>
        <v>104</v>
      </c>
      <c r="V22" s="630">
        <f>Civil!Y74</f>
        <v>115</v>
      </c>
      <c r="W22" s="653">
        <f>Civil!Z74</f>
        <v>219</v>
      </c>
      <c r="X22" s="40">
        <f>Civil!AA74</f>
        <v>68</v>
      </c>
      <c r="Y22" s="630">
        <f>Civil!AB74</f>
        <v>58</v>
      </c>
      <c r="Z22" s="653">
        <f>Civil!AC74</f>
        <v>126</v>
      </c>
      <c r="AA22" s="40">
        <f>Civil!AD74</f>
        <v>14</v>
      </c>
      <c r="AB22" s="630">
        <f>Civil!AE74</f>
        <v>21</v>
      </c>
      <c r="AC22" s="653">
        <f>Civil!AF74</f>
        <v>35</v>
      </c>
      <c r="AD22" s="40">
        <f>Civil!AG74</f>
        <v>7</v>
      </c>
      <c r="AE22" s="630">
        <f>Civil!AH74</f>
        <v>1</v>
      </c>
      <c r="AF22" s="653">
        <f>Civil!AI74</f>
        <v>8</v>
      </c>
      <c r="AG22" s="40">
        <f>Civil!AJ74</f>
        <v>2</v>
      </c>
      <c r="AH22" s="630">
        <f>Civil!AK74</f>
        <v>3</v>
      </c>
      <c r="AI22" s="653">
        <f>Civil!AL74</f>
        <v>5</v>
      </c>
      <c r="AJ22" s="40">
        <f>Civil!AM74</f>
        <v>7</v>
      </c>
      <c r="AK22" s="630">
        <f>Civil!AN74</f>
        <v>12</v>
      </c>
      <c r="AL22" s="653">
        <f>Civil!AO74</f>
        <v>19</v>
      </c>
      <c r="AM22" s="40">
        <f>Civil!AP74</f>
        <v>6</v>
      </c>
      <c r="AN22" s="630">
        <f>Civil!AQ74</f>
        <v>1</v>
      </c>
      <c r="AO22" s="653">
        <f>Civil!AR74</f>
        <v>7</v>
      </c>
      <c r="AP22" s="40">
        <f>Civil!AS74</f>
        <v>11</v>
      </c>
      <c r="AQ22" s="630">
        <f>Civil!AT74</f>
        <v>10</v>
      </c>
      <c r="AR22" s="653">
        <f>Civil!AU74</f>
        <v>21</v>
      </c>
      <c r="AS22" s="40">
        <f>Civil!AV74</f>
        <v>12</v>
      </c>
      <c r="AT22" s="630">
        <f>Civil!AW74</f>
        <v>17</v>
      </c>
      <c r="AU22" s="653">
        <f>Civil!AX74</f>
        <v>29</v>
      </c>
      <c r="AV22" s="40">
        <f>Civil!AY74</f>
        <v>18</v>
      </c>
      <c r="AW22" s="236">
        <f>AW256</f>
        <v>0</v>
      </c>
      <c r="AX22" s="605">
        <f t="shared" ref="AX22:BJ22" si="7">AX256</f>
        <v>18</v>
      </c>
      <c r="AY22" s="56">
        <f t="shared" si="7"/>
        <v>0</v>
      </c>
      <c r="AZ22" s="236">
        <f>AZ256</f>
        <v>0</v>
      </c>
      <c r="BA22" s="605">
        <f t="shared" si="7"/>
        <v>0</v>
      </c>
      <c r="BB22" s="56">
        <f t="shared" si="7"/>
        <v>0</v>
      </c>
      <c r="BC22" s="236">
        <f>BC256</f>
        <v>0</v>
      </c>
      <c r="BD22" s="605">
        <f t="shared" si="7"/>
        <v>0</v>
      </c>
      <c r="BE22" s="56">
        <f t="shared" si="7"/>
        <v>0</v>
      </c>
      <c r="BF22" s="236">
        <f>BF256</f>
        <v>0</v>
      </c>
      <c r="BG22" s="605">
        <f t="shared" si="7"/>
        <v>0</v>
      </c>
      <c r="BH22" s="56">
        <f t="shared" si="7"/>
        <v>0</v>
      </c>
      <c r="BI22" s="236">
        <f>BI256</f>
        <v>0</v>
      </c>
      <c r="BJ22" s="605">
        <f t="shared" si="7"/>
        <v>0</v>
      </c>
      <c r="BK22"/>
    </row>
    <row r="23" spans="1:67">
      <c r="A23" s="37" t="s">
        <v>655</v>
      </c>
      <c r="B23" s="301"/>
      <c r="C23" s="301"/>
      <c r="D23" s="84"/>
      <c r="E23" s="84"/>
      <c r="F23" s="84"/>
      <c r="G23" s="84"/>
      <c r="H23" s="84"/>
      <c r="I23" s="84"/>
      <c r="J23" s="84"/>
      <c r="K23" s="84"/>
      <c r="L23" s="84"/>
      <c r="M23" s="84"/>
      <c r="N23" s="84"/>
      <c r="O23" s="84"/>
      <c r="P23" s="84"/>
      <c r="Q23" s="84">
        <f t="shared" ref="Q23:AL23" si="8">SUM(Q20:Q22)</f>
        <v>2370</v>
      </c>
      <c r="R23" s="84">
        <f>Civil!R71</f>
        <v>1461</v>
      </c>
      <c r="S23" s="632">
        <f>Civil!S71</f>
        <v>1080</v>
      </c>
      <c r="T23" s="655">
        <f t="shared" si="8"/>
        <v>2541</v>
      </c>
      <c r="U23" s="84">
        <f t="shared" ref="U23:V23" si="9">SUM(U20:U22)</f>
        <v>1151</v>
      </c>
      <c r="V23" s="632">
        <f t="shared" si="9"/>
        <v>1739</v>
      </c>
      <c r="W23" s="655">
        <f t="shared" si="8"/>
        <v>2890</v>
      </c>
      <c r="X23" s="84">
        <f t="shared" ref="X23:Y23" si="10">SUM(X20:X22)</f>
        <v>1530</v>
      </c>
      <c r="Y23" s="632">
        <f t="shared" si="10"/>
        <v>1589</v>
      </c>
      <c r="Z23" s="655">
        <f t="shared" si="8"/>
        <v>3119</v>
      </c>
      <c r="AA23" s="84">
        <f t="shared" ref="AA23:AB23" si="11">SUM(AA20:AA22)</f>
        <v>1570</v>
      </c>
      <c r="AB23" s="632">
        <f t="shared" si="11"/>
        <v>1676</v>
      </c>
      <c r="AC23" s="655">
        <f t="shared" si="8"/>
        <v>3246</v>
      </c>
      <c r="AD23" s="84">
        <f t="shared" ref="AD23:AE23" si="12">SUM(AD20:AD22)</f>
        <v>1187</v>
      </c>
      <c r="AE23" s="632">
        <f t="shared" si="12"/>
        <v>1091</v>
      </c>
      <c r="AF23" s="655">
        <f>SUM(AF20:AF22)</f>
        <v>2278</v>
      </c>
      <c r="AG23" s="84">
        <f t="shared" ref="AG23:AH23" si="13">SUM(AG20:AG22)</f>
        <v>722</v>
      </c>
      <c r="AH23" s="632">
        <f t="shared" si="13"/>
        <v>890</v>
      </c>
      <c r="AI23" s="655">
        <f>SUM(AI20:AI22)</f>
        <v>1612</v>
      </c>
      <c r="AJ23" s="84">
        <f t="shared" ref="AJ23:AK23" si="14">SUM(AJ20:AJ22)</f>
        <v>660</v>
      </c>
      <c r="AK23" s="632">
        <f t="shared" si="14"/>
        <v>1322</v>
      </c>
      <c r="AL23" s="655">
        <f t="shared" si="8"/>
        <v>1982</v>
      </c>
      <c r="AM23" s="84">
        <f t="shared" ref="AM23:AN23" si="15">SUM(AM20:AM22)</f>
        <v>1055</v>
      </c>
      <c r="AN23" s="632">
        <f t="shared" si="15"/>
        <v>1648</v>
      </c>
      <c r="AO23" s="655">
        <f t="shared" ref="AO23:AQ23" si="16">SUM(AO20:AO22)</f>
        <v>2703</v>
      </c>
      <c r="AP23" s="84">
        <f t="shared" si="16"/>
        <v>1329</v>
      </c>
      <c r="AQ23" s="632">
        <f t="shared" si="16"/>
        <v>1776</v>
      </c>
      <c r="AR23" s="655">
        <f t="shared" ref="AR23:AT23" si="17">SUM(AR20:AR22)</f>
        <v>3105</v>
      </c>
      <c r="AS23" s="84">
        <f t="shared" si="17"/>
        <v>1478</v>
      </c>
      <c r="AT23" s="632">
        <f t="shared" si="17"/>
        <v>1739</v>
      </c>
      <c r="AU23" s="655">
        <f t="shared" ref="AU23:BJ23" si="18">SUM(AU20:AU22)</f>
        <v>3217</v>
      </c>
      <c r="AV23" s="84">
        <f>SUM(AV20:AV22)</f>
        <v>2019</v>
      </c>
      <c r="AW23" s="244">
        <f>SUM(AW20:AW22)</f>
        <v>2161.7372731936657</v>
      </c>
      <c r="AX23" s="581">
        <f t="shared" si="18"/>
        <v>4180.7372731936657</v>
      </c>
      <c r="AY23" s="181">
        <f>SUM(AY20:AY22)</f>
        <v>2252.0634639841833</v>
      </c>
      <c r="AZ23" s="244">
        <f>SUM(AZ20:AZ22)</f>
        <v>2341.989775226024</v>
      </c>
      <c r="BA23" s="581">
        <f t="shared" si="18"/>
        <v>4594.0532392102068</v>
      </c>
      <c r="BB23" s="181">
        <f>SUM(BB20:BB22)</f>
        <v>2403.0978672310839</v>
      </c>
      <c r="BC23" s="244">
        <f>SUM(BC20:BC22)</f>
        <v>2548.6216876715134</v>
      </c>
      <c r="BD23" s="581">
        <f t="shared" si="18"/>
        <v>4951.7195549025973</v>
      </c>
      <c r="BE23" s="181">
        <f>SUM(BE20:BE22)</f>
        <v>2603.1369305566604</v>
      </c>
      <c r="BF23" s="244">
        <f>SUM(BF20:BF22)</f>
        <v>2682.3900981710012</v>
      </c>
      <c r="BG23" s="581">
        <f t="shared" si="18"/>
        <v>5285.5270287276617</v>
      </c>
      <c r="BH23" s="181">
        <f>SUM(BH20:BH22)</f>
        <v>2745.7576160646968</v>
      </c>
      <c r="BI23" s="244">
        <f>SUM(BI20:BI22)</f>
        <v>2701.8472213866044</v>
      </c>
      <c r="BJ23" s="581">
        <f t="shared" si="18"/>
        <v>5447.6048374513011</v>
      </c>
      <c r="BK23" s="182">
        <f>(AU23/AL23)^(1/3)-1</f>
        <v>0.17521088033264376</v>
      </c>
    </row>
    <row r="24" spans="1:67">
      <c r="A24" s="95" t="s">
        <v>620</v>
      </c>
      <c r="B24" s="87"/>
      <c r="C24" s="87"/>
      <c r="D24" s="345"/>
      <c r="E24" s="87"/>
      <c r="F24" s="87"/>
      <c r="G24" s="87"/>
      <c r="H24" s="87"/>
      <c r="I24" s="87"/>
      <c r="J24" s="87"/>
      <c r="K24" s="87"/>
      <c r="L24" s="87"/>
      <c r="M24" s="87"/>
      <c r="N24" s="87"/>
      <c r="O24" s="87"/>
      <c r="P24" s="87"/>
      <c r="Q24" s="87"/>
      <c r="R24" s="121"/>
      <c r="S24" s="776"/>
      <c r="T24" s="783">
        <f t="shared" ref="T24" si="19">+T23/Q23-1</f>
        <v>7.2151898734177156E-2</v>
      </c>
      <c r="U24" s="121">
        <f t="shared" ref="U24:AM24" si="20">+U23/R23-1</f>
        <v>-0.21218343600273781</v>
      </c>
      <c r="V24" s="776">
        <f t="shared" si="20"/>
        <v>0.61018518518518516</v>
      </c>
      <c r="W24" s="783">
        <f t="shared" si="20"/>
        <v>0.13734750098386472</v>
      </c>
      <c r="X24" s="121">
        <f t="shared" si="20"/>
        <v>0.32927888792354465</v>
      </c>
      <c r="Y24" s="776">
        <f t="shared" si="20"/>
        <v>-8.625646923519259E-2</v>
      </c>
      <c r="Z24" s="783">
        <f t="shared" si="20"/>
        <v>7.9238754325259508E-2</v>
      </c>
      <c r="AA24" s="121">
        <f t="shared" si="20"/>
        <v>2.614379084967311E-2</v>
      </c>
      <c r="AB24" s="776">
        <f t="shared" si="20"/>
        <v>5.4751415984896079E-2</v>
      </c>
      <c r="AC24" s="783">
        <f t="shared" si="20"/>
        <v>4.0718178903494717E-2</v>
      </c>
      <c r="AD24" s="121">
        <f t="shared" si="20"/>
        <v>-0.24394904458598721</v>
      </c>
      <c r="AE24" s="776">
        <f t="shared" si="20"/>
        <v>-0.34904534606205251</v>
      </c>
      <c r="AF24" s="783">
        <f t="shared" si="20"/>
        <v>-0.29821318545902653</v>
      </c>
      <c r="AG24" s="121">
        <f t="shared" si="20"/>
        <v>-0.39174389216512218</v>
      </c>
      <c r="AH24" s="776">
        <f t="shared" si="20"/>
        <v>-0.18423464711274062</v>
      </c>
      <c r="AI24" s="783">
        <f t="shared" si="20"/>
        <v>-0.29236172080772604</v>
      </c>
      <c r="AJ24" s="121">
        <f t="shared" si="20"/>
        <v>-8.5872576177285276E-2</v>
      </c>
      <c r="AK24" s="776">
        <f t="shared" si="20"/>
        <v>0.48539325842696623</v>
      </c>
      <c r="AL24" s="783">
        <f t="shared" si="20"/>
        <v>0.22952853598014888</v>
      </c>
      <c r="AM24" s="121">
        <f t="shared" si="20"/>
        <v>0.5984848484848484</v>
      </c>
      <c r="AN24" s="776">
        <f t="shared" ref="AN24" si="21">+AN23/AK23-1</f>
        <v>0.24659606656580935</v>
      </c>
      <c r="AO24" s="783">
        <f t="shared" ref="AO24:AP24" si="22">+AO23/AL23-1</f>
        <v>0.36377396569122089</v>
      </c>
      <c r="AP24" s="121">
        <f t="shared" si="22"/>
        <v>0.25971563981042656</v>
      </c>
      <c r="AQ24" s="776">
        <f t="shared" ref="AQ24" si="23">+AQ23/AN23-1</f>
        <v>7.7669902912621325E-2</v>
      </c>
      <c r="AR24" s="783">
        <f t="shared" ref="AR24:AS24" si="24">+AR23/AO23-1</f>
        <v>0.14872364039955599</v>
      </c>
      <c r="AS24" s="121">
        <f t="shared" si="24"/>
        <v>0.11211437170805127</v>
      </c>
      <c r="AT24" s="734">
        <f t="shared" ref="AT24:BJ24" si="25">+AT23/AQ23-1</f>
        <v>-2.083333333333337E-2</v>
      </c>
      <c r="AU24" s="738">
        <f t="shared" si="25"/>
        <v>3.6070853462157881E-2</v>
      </c>
      <c r="AV24" s="121">
        <f t="shared" si="25"/>
        <v>0.36603518267929624</v>
      </c>
      <c r="AW24" s="720">
        <f t="shared" si="25"/>
        <v>0.24309216399865763</v>
      </c>
      <c r="AX24" s="729">
        <f t="shared" si="25"/>
        <v>0.29957639825727878</v>
      </c>
      <c r="AY24" s="343">
        <f t="shared" si="25"/>
        <v>0.11543509855581147</v>
      </c>
      <c r="AZ24" s="720">
        <f t="shared" si="25"/>
        <v>8.3383167912010059E-2</v>
      </c>
      <c r="BA24" s="729">
        <f t="shared" si="25"/>
        <v>9.8861980317842102E-2</v>
      </c>
      <c r="BB24" s="343">
        <f t="shared" si="25"/>
        <v>6.7064896554780873E-2</v>
      </c>
      <c r="BC24" s="720">
        <f t="shared" si="25"/>
        <v>8.8229212027856718E-2</v>
      </c>
      <c r="BD24" s="729">
        <f t="shared" si="25"/>
        <v>7.7854194775043517E-2</v>
      </c>
      <c r="BE24" s="343">
        <f t="shared" si="25"/>
        <v>8.3242162565799749E-2</v>
      </c>
      <c r="BF24" s="720">
        <f t="shared" si="25"/>
        <v>5.2486569955269458E-2</v>
      </c>
      <c r="BG24" s="729">
        <f t="shared" si="25"/>
        <v>6.7412435240717272E-2</v>
      </c>
      <c r="BH24" s="343">
        <f t="shared" si="25"/>
        <v>5.4788007435912389E-2</v>
      </c>
      <c r="BI24" s="720">
        <f t="shared" si="25"/>
        <v>7.2536515955938796E-3</v>
      </c>
      <c r="BJ24" s="729">
        <f t="shared" si="25"/>
        <v>3.0664455567575688E-2</v>
      </c>
      <c r="BK24"/>
    </row>
    <row r="25" spans="1:67">
      <c r="A25" s="95" t="s">
        <v>621</v>
      </c>
      <c r="B25" s="87"/>
      <c r="C25" s="87"/>
      <c r="D25" s="345"/>
      <c r="E25" s="345"/>
      <c r="F25" s="345"/>
      <c r="G25" s="345"/>
      <c r="H25" s="345"/>
      <c r="I25" s="345"/>
      <c r="J25" s="345"/>
      <c r="K25" s="345"/>
      <c r="L25" s="345"/>
      <c r="M25" s="345"/>
      <c r="N25" s="345"/>
      <c r="O25" s="345"/>
      <c r="P25" s="345"/>
      <c r="Q25" s="87"/>
      <c r="R25" s="87"/>
      <c r="S25" s="644"/>
      <c r="T25" s="783">
        <f>+T24-T$70</f>
        <v>5.5970668960714232E-2</v>
      </c>
      <c r="U25" s="121"/>
      <c r="V25" s="776"/>
      <c r="W25" s="783">
        <f>+W24-W$70</f>
        <v>0.13410074773711145</v>
      </c>
      <c r="X25" s="121">
        <v>0.32</v>
      </c>
      <c r="Y25" s="776">
        <f>((Z25*W23)-(X25*U23))/V23</f>
        <v>-8.0115008625646938E-2</v>
      </c>
      <c r="Z25" s="783">
        <f>+Z24-Z$70</f>
        <v>7.9238754325259508E-2</v>
      </c>
      <c r="AA25" s="121">
        <v>0.03</v>
      </c>
      <c r="AB25" s="776">
        <f>((AC25*Z23)-(AA25*X23))/Y23</f>
        <v>3.8209175006272758E-2</v>
      </c>
      <c r="AC25" s="783">
        <f>+AC24-AC$70</f>
        <v>3.418223119107644E-2</v>
      </c>
      <c r="AD25" s="121">
        <f>AD23/AA23-1</f>
        <v>-0.24394904458598721</v>
      </c>
      <c r="AE25" s="776">
        <f>((AF25*AC23)-(AD25*AA23))/AB23</f>
        <v>-0.36178714985554583</v>
      </c>
      <c r="AF25" s="783">
        <f>+AF24-AF$70</f>
        <v>-0.30479213282744755</v>
      </c>
      <c r="AG25" s="121">
        <v>-0.39</v>
      </c>
      <c r="AH25" s="776">
        <f>((AI25*AF23)-(AG25*AD23))/AE23</f>
        <v>-0.1812007332722273</v>
      </c>
      <c r="AI25" s="783">
        <v>-0.28999999999999998</v>
      </c>
      <c r="AJ25" s="121">
        <v>-0.08</v>
      </c>
      <c r="AK25" s="776">
        <f>((AL25*AI23)-(AJ25*AG23))/AH23</f>
        <v>0.51770786516853928</v>
      </c>
      <c r="AL25" s="783">
        <v>0.25</v>
      </c>
      <c r="AM25" s="121">
        <v>0.57999999999999996</v>
      </c>
      <c r="AN25" s="776">
        <f>((AO25*AL23)-(AM25*AJ23))/AK23</f>
        <v>0.25016641452344934</v>
      </c>
      <c r="AO25" s="783">
        <v>0.36</v>
      </c>
      <c r="AP25" s="121">
        <v>0.27</v>
      </c>
      <c r="AQ25" s="776">
        <f>((AR25*AO23)-(AP25*AM23))/AN23</f>
        <v>8.9581310679611642E-2</v>
      </c>
      <c r="AR25" s="783">
        <v>0.16</v>
      </c>
      <c r="AS25" s="121">
        <v>0.12</v>
      </c>
      <c r="AT25" s="734">
        <f t="shared" ref="AT25:BJ25" si="26">+AT24-AT$70</f>
        <v>-4.8611111111111271E-2</v>
      </c>
      <c r="AU25" s="738">
        <v>0.03</v>
      </c>
      <c r="AV25" s="121">
        <v>0.35</v>
      </c>
      <c r="AW25" s="720">
        <f t="shared" si="26"/>
        <v>0.19961390312909244</v>
      </c>
      <c r="AX25" s="729">
        <f t="shared" si="26"/>
        <v>0.25609813738771359</v>
      </c>
      <c r="AY25" s="343">
        <f t="shared" si="26"/>
        <v>9.3212876333589323E-2</v>
      </c>
      <c r="AZ25" s="720">
        <f t="shared" si="26"/>
        <v>6.1160945689787916E-2</v>
      </c>
      <c r="BA25" s="729">
        <f t="shared" si="26"/>
        <v>7.6639758095619959E-2</v>
      </c>
      <c r="BB25" s="343">
        <f t="shared" si="26"/>
        <v>4.4337623827508166E-2</v>
      </c>
      <c r="BC25" s="720">
        <f t="shared" si="26"/>
        <v>6.5501939300584011E-2</v>
      </c>
      <c r="BD25" s="729">
        <f t="shared" si="26"/>
        <v>5.512692204777081E-2</v>
      </c>
      <c r="BE25" s="343">
        <f t="shared" si="26"/>
        <v>8.3242162565799749E-2</v>
      </c>
      <c r="BF25" s="720">
        <f t="shared" si="26"/>
        <v>5.2486569955269458E-2</v>
      </c>
      <c r="BG25" s="729">
        <f t="shared" si="26"/>
        <v>6.7412435240717272E-2</v>
      </c>
      <c r="BH25" s="343">
        <f t="shared" si="26"/>
        <v>5.4788007435912389E-2</v>
      </c>
      <c r="BI25" s="720">
        <f t="shared" si="26"/>
        <v>7.2536515955938796E-3</v>
      </c>
      <c r="BJ25" s="729">
        <f t="shared" si="26"/>
        <v>3.0664455567575688E-2</v>
      </c>
      <c r="BK25"/>
    </row>
    <row r="26" spans="1:67"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630"/>
      <c r="T26" s="653"/>
      <c r="U26" s="40"/>
      <c r="V26" s="630"/>
      <c r="W26" s="653"/>
      <c r="X26" s="40"/>
      <c r="Y26" s="630"/>
      <c r="Z26" s="653"/>
      <c r="AA26" s="40"/>
      <c r="AB26" s="630"/>
      <c r="AC26" s="653"/>
      <c r="AD26" s="40"/>
      <c r="AE26" s="630"/>
      <c r="AF26" s="653"/>
      <c r="AG26" s="40"/>
      <c r="AH26" s="630"/>
      <c r="AI26" s="653"/>
      <c r="AJ26" s="40"/>
      <c r="AK26" s="630"/>
      <c r="AL26" s="653"/>
      <c r="AM26" s="40"/>
      <c r="AN26" s="539"/>
      <c r="AO26" s="550"/>
      <c r="AP26"/>
      <c r="AQ26" s="539"/>
      <c r="AR26" s="550"/>
      <c r="AS26"/>
      <c r="AT26" s="539"/>
      <c r="AU26" s="550"/>
      <c r="AV26"/>
      <c r="AW26" s="539"/>
      <c r="AX26" s="550"/>
      <c r="AY26"/>
      <c r="AZ26" s="539"/>
      <c r="BA26" s="550"/>
      <c r="BB26"/>
      <c r="BC26" s="539"/>
      <c r="BD26" s="550"/>
      <c r="BE26"/>
      <c r="BF26" s="539"/>
      <c r="BG26" s="550"/>
      <c r="BH26"/>
      <c r="BI26" s="539"/>
      <c r="BJ26" s="550"/>
    </row>
    <row r="27" spans="1:67" ht="11.25" hidden="1" customHeight="1" outlineLevel="1">
      <c r="A27" s="93" t="s">
        <v>513</v>
      </c>
      <c r="B27" s="40"/>
      <c r="C27" s="40"/>
      <c r="D27" s="40"/>
      <c r="E27" s="40"/>
      <c r="F27" s="40"/>
      <c r="G27" s="40"/>
      <c r="H27" s="40"/>
      <c r="I27" s="40"/>
      <c r="J27" s="40"/>
      <c r="K27" s="40"/>
      <c r="L27" s="40"/>
      <c r="M27" s="40"/>
      <c r="N27" s="40"/>
      <c r="O27" s="40"/>
      <c r="P27" s="40"/>
      <c r="Q27" s="40">
        <f>-Q13-Q16-Q17+Q62</f>
        <v>672</v>
      </c>
      <c r="R27" s="40"/>
      <c r="S27" s="630"/>
      <c r="T27" s="653">
        <f>-T13-T16-T17+T62</f>
        <v>434</v>
      </c>
      <c r="U27" s="40"/>
      <c r="V27" s="630"/>
      <c r="W27" s="653">
        <f>-W13-W16-W17+W62</f>
        <v>326</v>
      </c>
      <c r="X27" s="40"/>
      <c r="Y27" s="630"/>
      <c r="Z27" s="653"/>
      <c r="AA27" s="40"/>
      <c r="AB27" s="630"/>
      <c r="AC27" s="653"/>
      <c r="AD27" s="40"/>
      <c r="AE27" s="630"/>
      <c r="AF27" s="653"/>
      <c r="AG27" s="40"/>
      <c r="AH27" s="630"/>
      <c r="AI27" s="653"/>
      <c r="AJ27" s="40"/>
      <c r="AK27" s="630"/>
      <c r="AL27" s="653"/>
      <c r="AM27" s="40"/>
      <c r="AN27" s="539"/>
      <c r="AO27" s="550"/>
      <c r="AP27"/>
      <c r="AQ27" s="539"/>
      <c r="AR27" s="550"/>
      <c r="AS27"/>
      <c r="AT27" s="539"/>
      <c r="AU27" s="550"/>
      <c r="AV27"/>
      <c r="AW27" s="539"/>
      <c r="AX27" s="550"/>
      <c r="AY27"/>
      <c r="AZ27" s="539"/>
      <c r="BA27" s="550"/>
      <c r="BB27"/>
      <c r="BC27" s="539"/>
      <c r="BD27" s="550"/>
      <c r="BE27"/>
      <c r="BF27" s="539"/>
      <c r="BG27" s="550"/>
      <c r="BH27"/>
      <c r="BI27" s="539"/>
      <c r="BJ27" s="550"/>
    </row>
    <row r="28" spans="1:67" ht="11.25" hidden="1" customHeight="1" outlineLevel="1">
      <c r="A28" s="93" t="s">
        <v>288</v>
      </c>
      <c r="B28" s="40"/>
      <c r="C28" s="40"/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>
        <f>+P243</f>
        <v>389.85733157199473</v>
      </c>
      <c r="Q28" s="40">
        <f>+Q243</f>
        <v>361.43857331571996</v>
      </c>
      <c r="R28" s="40"/>
      <c r="S28" s="630"/>
      <c r="T28" s="653">
        <f>+T243</f>
        <v>303</v>
      </c>
      <c r="U28" s="40"/>
      <c r="V28" s="630"/>
      <c r="W28" s="653">
        <f>+W243</f>
        <v>265</v>
      </c>
      <c r="X28" s="40"/>
      <c r="Y28" s="630"/>
      <c r="Z28" s="653"/>
      <c r="AA28" s="40"/>
      <c r="AB28" s="630"/>
      <c r="AC28" s="653"/>
      <c r="AD28" s="40"/>
      <c r="AE28" s="630"/>
      <c r="AF28" s="653"/>
      <c r="AG28" s="40"/>
      <c r="AH28" s="630"/>
      <c r="AI28" s="653"/>
      <c r="AJ28" s="40"/>
      <c r="AK28" s="630"/>
      <c r="AL28" s="653"/>
      <c r="AM28" s="40"/>
      <c r="AN28" s="539"/>
      <c r="AO28" s="550"/>
      <c r="AP28"/>
      <c r="AQ28" s="539"/>
      <c r="AR28" s="550"/>
      <c r="AS28"/>
      <c r="AT28" s="539"/>
      <c r="AU28" s="550"/>
      <c r="AV28"/>
      <c r="AW28" s="539"/>
      <c r="AX28" s="550"/>
      <c r="AY28"/>
      <c r="AZ28" s="539"/>
      <c r="BA28" s="550"/>
      <c r="BB28"/>
      <c r="BC28" s="539"/>
      <c r="BD28" s="550"/>
      <c r="BE28"/>
      <c r="BF28" s="539"/>
      <c r="BG28" s="550"/>
      <c r="BH28"/>
      <c r="BI28" s="539"/>
      <c r="BJ28" s="550"/>
      <c r="BO28" s="39"/>
    </row>
    <row r="29" spans="1:67" ht="11.25" hidden="1" customHeight="1" outlineLevel="1">
      <c r="A29" s="93" t="s">
        <v>268</v>
      </c>
      <c r="B29" s="40"/>
      <c r="C29" s="40"/>
      <c r="D29" s="40"/>
      <c r="E29" s="40"/>
      <c r="F29" s="40"/>
      <c r="G29" s="40"/>
      <c r="H29" s="40"/>
      <c r="I29" s="40"/>
      <c r="J29" s="40"/>
      <c r="K29" s="40"/>
      <c r="L29" s="40"/>
      <c r="M29" s="40"/>
      <c r="N29" s="40"/>
      <c r="O29" s="40"/>
      <c r="P29" s="40">
        <f>+P259</f>
        <v>33.1</v>
      </c>
      <c r="Q29" s="40">
        <f>+Q259</f>
        <v>28.1</v>
      </c>
      <c r="R29" s="40"/>
      <c r="S29" s="630"/>
      <c r="T29" s="653">
        <f>+T259</f>
        <v>25.400000000000002</v>
      </c>
      <c r="U29" s="40"/>
      <c r="V29" s="630"/>
      <c r="W29" s="653">
        <f>+W259</f>
        <v>21.900000000000002</v>
      </c>
      <c r="X29" s="40"/>
      <c r="Y29" s="630"/>
      <c r="Z29" s="653"/>
      <c r="AA29" s="40"/>
      <c r="AB29" s="630"/>
      <c r="AC29" s="653"/>
      <c r="AD29" s="40"/>
      <c r="AE29" s="630"/>
      <c r="AF29" s="653"/>
      <c r="AG29" s="40"/>
      <c r="AH29" s="630"/>
      <c r="AI29" s="653"/>
      <c r="AJ29" s="40"/>
      <c r="AK29" s="630"/>
      <c r="AL29" s="653"/>
      <c r="AM29" s="40"/>
      <c r="AN29" s="539"/>
      <c r="AO29" s="550"/>
      <c r="AP29"/>
      <c r="AQ29" s="539"/>
      <c r="AR29" s="550"/>
      <c r="AS29"/>
      <c r="AT29" s="539"/>
      <c r="AU29" s="550"/>
      <c r="AV29"/>
      <c r="AW29" s="539"/>
      <c r="AX29" s="550"/>
      <c r="AY29"/>
      <c r="AZ29" s="539"/>
      <c r="BA29" s="550"/>
      <c r="BB29"/>
      <c r="BC29" s="539"/>
      <c r="BD29" s="550"/>
      <c r="BE29"/>
      <c r="BF29" s="539"/>
      <c r="BG29" s="550"/>
      <c r="BH29"/>
      <c r="BI29" s="539"/>
      <c r="BJ29" s="550"/>
    </row>
    <row r="30" spans="1:67" ht="11.25" hidden="1" customHeight="1" outlineLevel="1">
      <c r="A30" s="93" t="s">
        <v>647</v>
      </c>
      <c r="B30" s="40"/>
      <c r="C30" s="40"/>
      <c r="D30" s="40"/>
      <c r="E30" s="40"/>
      <c r="F30" s="40"/>
      <c r="G30" s="40"/>
      <c r="H30" s="40"/>
      <c r="I30" s="40"/>
      <c r="J30" s="40"/>
      <c r="K30" s="40"/>
      <c r="L30" s="40"/>
      <c r="M30" s="40"/>
      <c r="N30" s="40"/>
      <c r="O30" s="40"/>
      <c r="P30" s="40">
        <f>+Civil!P148</f>
        <v>-37</v>
      </c>
      <c r="Q30" s="40">
        <f>+Civil!Q148</f>
        <v>-55</v>
      </c>
      <c r="R30" s="40"/>
      <c r="S30" s="630"/>
      <c r="T30" s="653">
        <f>+Civil!T148</f>
        <v>-39</v>
      </c>
      <c r="U30" s="40"/>
      <c r="V30" s="630"/>
      <c r="W30" s="653">
        <f>+Civil!W148</f>
        <v>-57</v>
      </c>
      <c r="X30" s="40"/>
      <c r="Y30" s="630"/>
      <c r="Z30" s="653"/>
      <c r="AA30" s="40"/>
      <c r="AB30" s="630"/>
      <c r="AC30" s="653"/>
      <c r="AD30" s="40"/>
      <c r="AE30" s="630"/>
      <c r="AF30" s="653"/>
      <c r="AG30" s="40"/>
      <c r="AH30" s="630"/>
      <c r="AI30" s="653"/>
      <c r="AJ30" s="40"/>
      <c r="AK30" s="630"/>
      <c r="AL30" s="653"/>
      <c r="AM30" s="40"/>
      <c r="AN30" s="539"/>
      <c r="AO30" s="550"/>
      <c r="AP30"/>
      <c r="AQ30" s="539"/>
      <c r="AR30" s="550"/>
      <c r="AS30"/>
      <c r="AT30" s="539"/>
      <c r="AU30" s="550"/>
      <c r="AV30"/>
      <c r="AW30" s="539"/>
      <c r="AX30" s="550"/>
      <c r="AY30"/>
      <c r="AZ30" s="539"/>
      <c r="BA30" s="550"/>
      <c r="BB30"/>
      <c r="BC30" s="539"/>
      <c r="BD30" s="550"/>
      <c r="BE30"/>
      <c r="BF30" s="539"/>
      <c r="BG30" s="550"/>
      <c r="BH30"/>
      <c r="BI30" s="539"/>
      <c r="BJ30" s="550"/>
    </row>
    <row r="31" spans="1:67" ht="11.25" hidden="1" customHeight="1" outlineLevel="1">
      <c r="A31" s="37" t="s">
        <v>656</v>
      </c>
      <c r="B31" s="301"/>
      <c r="C31" s="301"/>
      <c r="D31" s="84"/>
      <c r="E31" s="84"/>
      <c r="F31" s="84"/>
      <c r="G31" s="84"/>
      <c r="H31" s="84"/>
      <c r="I31" s="84"/>
      <c r="J31" s="84"/>
      <c r="K31" s="84"/>
      <c r="L31" s="84"/>
      <c r="M31" s="84"/>
      <c r="N31" s="84"/>
      <c r="O31" s="84"/>
      <c r="P31" s="84">
        <f>+SUM(P27:P30)</f>
        <v>385.95733157199476</v>
      </c>
      <c r="Q31" s="84">
        <f>+SUM(Q27:Q30)</f>
        <v>1006.53857331572</v>
      </c>
      <c r="R31" s="84"/>
      <c r="S31" s="632"/>
      <c r="T31" s="655">
        <f>+SUM(T27:T30)</f>
        <v>723.4</v>
      </c>
      <c r="U31" s="84"/>
      <c r="V31" s="632"/>
      <c r="W31" s="655">
        <f>+SUM(W27:W30)</f>
        <v>555.9</v>
      </c>
      <c r="X31" s="84"/>
      <c r="Y31" s="632"/>
      <c r="Z31" s="655"/>
      <c r="AA31" s="84"/>
      <c r="AB31" s="632"/>
      <c r="AC31" s="655"/>
      <c r="AD31" s="84"/>
      <c r="AE31" s="632"/>
      <c r="AF31" s="655"/>
      <c r="AG31" s="84"/>
      <c r="AH31" s="632"/>
      <c r="AI31" s="655"/>
      <c r="AJ31" s="84"/>
      <c r="AK31" s="632"/>
      <c r="AL31" s="655"/>
      <c r="AM31" s="84"/>
      <c r="AN31" s="718"/>
      <c r="AO31" s="727"/>
      <c r="AP31" s="9"/>
      <c r="AQ31" s="718"/>
      <c r="AR31" s="727"/>
      <c r="AS31" s="9"/>
      <c r="AT31" s="718"/>
      <c r="AU31" s="727"/>
      <c r="AV31" s="9"/>
      <c r="AW31" s="718"/>
      <c r="AX31" s="727"/>
      <c r="AY31" s="9"/>
      <c r="AZ31" s="718"/>
      <c r="BA31" s="727"/>
      <c r="BB31" s="9"/>
      <c r="BC31" s="718"/>
      <c r="BD31" s="727"/>
      <c r="BE31" s="9"/>
      <c r="BF31" s="718"/>
      <c r="BG31" s="727"/>
      <c r="BH31" s="9"/>
      <c r="BI31" s="718"/>
      <c r="BJ31" s="727"/>
    </row>
    <row r="32" spans="1:67" ht="11.25" hidden="1" customHeight="1" outlineLevel="1">
      <c r="A32" s="65" t="s">
        <v>512</v>
      </c>
      <c r="B32" s="40"/>
      <c r="C32" s="40"/>
      <c r="D32" s="40"/>
      <c r="E32" s="40"/>
      <c r="F32" s="40"/>
      <c r="G32" s="40"/>
      <c r="H32" s="40"/>
      <c r="I32" s="40"/>
      <c r="J32" s="40"/>
      <c r="K32" s="40"/>
      <c r="L32" s="40"/>
      <c r="M32" s="40"/>
      <c r="N32" s="40"/>
      <c r="O32" s="40"/>
      <c r="P32" s="50">
        <f>+P31/P9</f>
        <v>0.11145172728039121</v>
      </c>
      <c r="Q32" s="50">
        <f>+Q31/Q9</f>
        <v>0.30894369960580725</v>
      </c>
      <c r="R32" s="50"/>
      <c r="S32" s="647"/>
      <c r="T32" s="671">
        <f>+T31/T9</f>
        <v>0.21549002085195115</v>
      </c>
      <c r="U32" s="50"/>
      <c r="V32" s="647"/>
      <c r="W32" s="671">
        <f>+W31/W9</f>
        <v>0.14559979046621266</v>
      </c>
      <c r="X32" s="50"/>
      <c r="Y32" s="647"/>
      <c r="Z32" s="671"/>
      <c r="AA32" s="50"/>
      <c r="AB32" s="647"/>
      <c r="AC32" s="671"/>
      <c r="AD32" s="50"/>
      <c r="AE32" s="647"/>
      <c r="AF32" s="671"/>
      <c r="AG32" s="50"/>
      <c r="AH32" s="647"/>
      <c r="AI32" s="671"/>
      <c r="AJ32" s="50"/>
      <c r="AK32" s="647"/>
      <c r="AL32" s="671"/>
      <c r="AM32" s="50"/>
      <c r="AN32" s="590"/>
      <c r="AO32" s="609"/>
      <c r="AP32" s="176"/>
      <c r="AQ32" s="590"/>
      <c r="AR32" s="609"/>
      <c r="AS32" s="176"/>
      <c r="AT32" s="590"/>
      <c r="AU32" s="609"/>
      <c r="AV32" s="176"/>
      <c r="AW32" s="590"/>
      <c r="AX32" s="609"/>
      <c r="AY32" s="176"/>
      <c r="AZ32" s="590"/>
      <c r="BA32" s="609"/>
      <c r="BB32" s="176"/>
      <c r="BC32" s="590"/>
      <c r="BD32" s="609"/>
      <c r="BE32" s="176"/>
      <c r="BF32" s="590"/>
      <c r="BG32" s="609"/>
      <c r="BH32" s="176"/>
      <c r="BI32" s="590"/>
      <c r="BJ32" s="609"/>
    </row>
    <row r="33" spans="1:67" ht="11.25" hidden="1" customHeight="1" outlineLevel="1">
      <c r="B33" s="40"/>
      <c r="C33" s="40"/>
      <c r="D33" s="40"/>
      <c r="E33" s="40"/>
      <c r="F33" s="40"/>
      <c r="G33" s="40"/>
      <c r="H33" s="40"/>
      <c r="I33" s="40"/>
      <c r="J33" s="40"/>
      <c r="K33" s="40"/>
      <c r="L33" s="40"/>
      <c r="M33" s="40"/>
      <c r="N33" s="40"/>
      <c r="O33" s="40"/>
      <c r="P33" s="40"/>
      <c r="Q33" s="40"/>
      <c r="R33" s="40"/>
      <c r="S33" s="630"/>
      <c r="T33" s="653"/>
      <c r="U33" s="40"/>
      <c r="V33" s="630"/>
      <c r="W33" s="653"/>
      <c r="X33" s="40"/>
      <c r="Y33" s="630"/>
      <c r="Z33" s="653"/>
      <c r="AA33" s="40"/>
      <c r="AB33" s="630"/>
      <c r="AC33" s="653"/>
      <c r="AD33" s="40"/>
      <c r="AE33" s="630"/>
      <c r="AF33" s="653"/>
      <c r="AG33" s="40"/>
      <c r="AH33" s="630"/>
      <c r="AI33" s="653"/>
      <c r="AJ33" s="40"/>
      <c r="AK33" s="630"/>
      <c r="AL33" s="653"/>
      <c r="AM33" s="40"/>
      <c r="AN33" s="539"/>
      <c r="AO33" s="550"/>
      <c r="AP33"/>
      <c r="AQ33" s="539"/>
      <c r="AR33" s="550"/>
      <c r="AS33"/>
      <c r="AT33" s="539"/>
      <c r="AU33" s="550"/>
      <c r="AV33"/>
      <c r="AW33" s="539"/>
      <c r="AX33" s="550"/>
      <c r="AY33"/>
      <c r="AZ33" s="539"/>
      <c r="BA33" s="550"/>
      <c r="BB33"/>
      <c r="BC33" s="539"/>
      <c r="BD33" s="550"/>
      <c r="BE33"/>
      <c r="BF33" s="539"/>
      <c r="BG33" s="550"/>
      <c r="BH33"/>
      <c r="BI33" s="539"/>
      <c r="BJ33" s="550"/>
    </row>
    <row r="34" spans="1:67" collapsed="1">
      <c r="A34" s="93" t="str">
        <f>A20</f>
        <v>Large engine</v>
      </c>
      <c r="B34" s="40"/>
      <c r="C34" s="40"/>
      <c r="D34" s="40"/>
      <c r="E34" s="40"/>
      <c r="F34" s="40"/>
      <c r="G34" s="40"/>
      <c r="H34" s="40"/>
      <c r="I34" s="40"/>
      <c r="J34" s="40"/>
      <c r="K34" s="40"/>
      <c r="L34" s="40"/>
      <c r="M34" s="40"/>
      <c r="N34" s="40"/>
      <c r="O34" s="40"/>
      <c r="P34" s="40">
        <f t="shared" ref="P34:AL34" si="27">P52+P62</f>
        <v>0</v>
      </c>
      <c r="Q34" s="40">
        <f t="shared" si="27"/>
        <v>96</v>
      </c>
      <c r="R34" s="10"/>
      <c r="S34" s="216"/>
      <c r="T34" s="653">
        <f t="shared" si="27"/>
        <v>111</v>
      </c>
      <c r="U34" s="10">
        <f t="shared" ref="U34:V34" si="28">U52+U62</f>
        <v>-272.25000000000011</v>
      </c>
      <c r="V34" s="216">
        <f t="shared" si="28"/>
        <v>-321.14999999999998</v>
      </c>
      <c r="W34" s="653">
        <f t="shared" si="27"/>
        <v>-593.40000000000009</v>
      </c>
      <c r="X34" s="10">
        <f t="shared" si="27"/>
        <v>-191.7</v>
      </c>
      <c r="Y34" s="216">
        <f t="shared" si="27"/>
        <v>-239.89999999999992</v>
      </c>
      <c r="Z34" s="653">
        <f t="shared" si="27"/>
        <v>-431.59999999999991</v>
      </c>
      <c r="AA34" s="10">
        <f t="shared" ref="AA34:AB34" si="29">AA52+AA62</f>
        <v>-201.24999999999989</v>
      </c>
      <c r="AB34" s="216">
        <f t="shared" si="29"/>
        <v>81.249999999999886</v>
      </c>
      <c r="AC34" s="653">
        <f t="shared" si="27"/>
        <v>-120</v>
      </c>
      <c r="AD34" s="10">
        <f t="shared" si="27"/>
        <v>-32.879999999999981</v>
      </c>
      <c r="AE34" s="216">
        <f t="shared" si="27"/>
        <v>-30.020000000000053</v>
      </c>
      <c r="AF34" s="556">
        <f t="shared" si="27"/>
        <v>-62.900000000000034</v>
      </c>
      <c r="AG34" s="10">
        <f t="shared" ref="AG34:AH34" si="30">AG52+AG62</f>
        <v>-9.5</v>
      </c>
      <c r="AH34" s="216">
        <f t="shared" si="30"/>
        <v>166.54999999999998</v>
      </c>
      <c r="AI34" s="556">
        <f t="shared" si="27"/>
        <v>157.04999999999998</v>
      </c>
      <c r="AJ34" s="10">
        <f t="shared" si="27"/>
        <v>6</v>
      </c>
      <c r="AK34" s="216">
        <f t="shared" ref="AK34" si="31">AK52+AK62</f>
        <v>288</v>
      </c>
      <c r="AL34" s="556">
        <f t="shared" si="27"/>
        <v>294</v>
      </c>
      <c r="AM34" s="10">
        <f>AM52+AM62</f>
        <v>74</v>
      </c>
      <c r="AN34" s="216">
        <f t="shared" ref="AN34:AO34" si="32">AN52+AN62</f>
        <v>247</v>
      </c>
      <c r="AO34" s="556">
        <f t="shared" si="32"/>
        <v>321</v>
      </c>
      <c r="AP34" s="10">
        <f>AP52+AP62</f>
        <v>116.46000000000001</v>
      </c>
      <c r="AQ34" s="216">
        <f t="shared" ref="AQ34" si="33">AQ52+AQ62</f>
        <v>278.14</v>
      </c>
      <c r="AR34" s="556">
        <f>AR52+AR62</f>
        <v>394.6</v>
      </c>
      <c r="AS34" s="10">
        <f>AS52+AS62</f>
        <v>165.98880000000003</v>
      </c>
      <c r="AT34" s="216">
        <f>AT52+AT62</f>
        <v>274.05720000000014</v>
      </c>
      <c r="AU34" s="556">
        <f t="shared" ref="AU34:BJ34" si="34">AU52+AU62</f>
        <v>440.04600000000016</v>
      </c>
      <c r="AV34" s="10">
        <f>AV52+AV62</f>
        <v>301.44600000000003</v>
      </c>
      <c r="AW34" s="236">
        <f>AW52+AW62</f>
        <v>337.5641907883396</v>
      </c>
      <c r="AX34" s="605">
        <f>AX52+AX62</f>
        <v>639.01019078833963</v>
      </c>
      <c r="AY34" s="56">
        <f t="shared" si="34"/>
        <v>361.79381082790707</v>
      </c>
      <c r="AZ34" s="236">
        <f>AZ52+AZ62</f>
        <v>353.79270776828724</v>
      </c>
      <c r="BA34" s="605">
        <f t="shared" si="34"/>
        <v>715.58651859619431</v>
      </c>
      <c r="BB34" s="56">
        <f t="shared" si="34"/>
        <v>399.48514934399986</v>
      </c>
      <c r="BC34" s="236">
        <f>BC52+BC62</f>
        <v>392.5230121645717</v>
      </c>
      <c r="BD34" s="605">
        <f t="shared" si="34"/>
        <v>792.00816150857156</v>
      </c>
      <c r="BE34" s="56">
        <f t="shared" si="34"/>
        <v>420.64548234624021</v>
      </c>
      <c r="BF34" s="236">
        <f>BF52+BF62</f>
        <v>399.41280557238872</v>
      </c>
      <c r="BG34" s="605">
        <f t="shared" si="34"/>
        <v>820.05828791862893</v>
      </c>
      <c r="BH34" s="56">
        <f t="shared" si="34"/>
        <v>443.18491103232026</v>
      </c>
      <c r="BI34" s="236">
        <f>BI52+BI62</f>
        <v>393.27454264468116</v>
      </c>
      <c r="BJ34" s="605">
        <f t="shared" si="34"/>
        <v>836.45945367700142</v>
      </c>
    </row>
    <row r="35" spans="1:67">
      <c r="A35" s="93" t="str">
        <f>A21</f>
        <v>Business jet</v>
      </c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>
        <f t="shared" ref="P35:BJ35" si="35">+P243</f>
        <v>389.85733157199473</v>
      </c>
      <c r="Q35" s="40">
        <f t="shared" si="35"/>
        <v>361.43857331571996</v>
      </c>
      <c r="R35" s="40"/>
      <c r="S35" s="630"/>
      <c r="T35" s="653">
        <f t="shared" si="35"/>
        <v>303</v>
      </c>
      <c r="U35" s="40">
        <f t="shared" ref="U35:V35" si="36">+U243</f>
        <v>34.08</v>
      </c>
      <c r="V35" s="630">
        <f t="shared" si="36"/>
        <v>230.92000000000002</v>
      </c>
      <c r="W35" s="653">
        <f t="shared" si="35"/>
        <v>265</v>
      </c>
      <c r="X35" s="40">
        <f t="shared" si="35"/>
        <v>36.6</v>
      </c>
      <c r="Y35" s="630">
        <f t="shared" si="35"/>
        <v>37.79999999999999</v>
      </c>
      <c r="Z35" s="653">
        <f t="shared" si="35"/>
        <v>74.399999999999991</v>
      </c>
      <c r="AA35" s="40">
        <f t="shared" ref="AA35:AB35" si="37">+AA243</f>
        <v>39.6</v>
      </c>
      <c r="AB35" s="630">
        <f t="shared" si="37"/>
        <v>37.559999999999995</v>
      </c>
      <c r="AC35" s="653">
        <f t="shared" si="35"/>
        <v>77.16</v>
      </c>
      <c r="AD35" s="40">
        <f t="shared" si="35"/>
        <v>39.119999999999997</v>
      </c>
      <c r="AE35" s="630">
        <f t="shared" si="35"/>
        <v>29.759999999999998</v>
      </c>
      <c r="AF35" s="653">
        <f t="shared" si="35"/>
        <v>68.88</v>
      </c>
      <c r="AG35" s="40">
        <f t="shared" ref="AG35:AH35" si="38">+AG243</f>
        <v>13.559999999999999</v>
      </c>
      <c r="AH35" s="630">
        <f t="shared" si="38"/>
        <v>23.639999999999997</v>
      </c>
      <c r="AI35" s="653">
        <f t="shared" si="35"/>
        <v>37.199999999999996</v>
      </c>
      <c r="AJ35" s="40">
        <f t="shared" si="35"/>
        <v>14</v>
      </c>
      <c r="AK35" s="630">
        <f t="shared" ref="AK35" si="39">+AK243</f>
        <v>21.759999999999998</v>
      </c>
      <c r="AL35" s="653">
        <f t="shared" si="35"/>
        <v>35.76</v>
      </c>
      <c r="AM35" s="40">
        <f t="shared" ref="AM35:AO35" si="40">+AM243</f>
        <v>11.05</v>
      </c>
      <c r="AN35" s="630">
        <f t="shared" si="40"/>
        <v>21.8</v>
      </c>
      <c r="AO35" s="653">
        <f t="shared" si="40"/>
        <v>32.85</v>
      </c>
      <c r="AP35" s="40">
        <f t="shared" ref="AP35:AR35" si="41">+AP243</f>
        <v>23.650000000000002</v>
      </c>
      <c r="AQ35" s="630">
        <f t="shared" si="41"/>
        <v>22.849999999999998</v>
      </c>
      <c r="AR35" s="653">
        <f t="shared" si="41"/>
        <v>46.5</v>
      </c>
      <c r="AS35" s="40">
        <f t="shared" ref="AS35" si="42">+AS243</f>
        <v>35.475000000000001</v>
      </c>
      <c r="AT35" s="216">
        <f t="shared" si="35"/>
        <v>35.999999999999993</v>
      </c>
      <c r="AU35" s="556">
        <f t="shared" si="35"/>
        <v>71.474999999999994</v>
      </c>
      <c r="AV35" s="40">
        <f t="shared" si="35"/>
        <v>49.7</v>
      </c>
      <c r="AW35" s="236">
        <f t="shared" si="35"/>
        <v>58.788839285714289</v>
      </c>
      <c r="AX35" s="605">
        <f t="shared" si="35"/>
        <v>108.48883928571429</v>
      </c>
      <c r="AY35" s="56">
        <f t="shared" si="35"/>
        <v>71.374807366071423</v>
      </c>
      <c r="AZ35" s="236">
        <f t="shared" si="35"/>
        <v>71.374807366071423</v>
      </c>
      <c r="BA35" s="605">
        <f t="shared" si="35"/>
        <v>142.74961473214285</v>
      </c>
      <c r="BB35" s="56">
        <f t="shared" si="35"/>
        <v>91.426148598214283</v>
      </c>
      <c r="BC35" s="236">
        <f t="shared" si="35"/>
        <v>91.426148598214283</v>
      </c>
      <c r="BD35" s="605">
        <f t="shared" si="35"/>
        <v>182.85229719642857</v>
      </c>
      <c r="BE35" s="56">
        <f t="shared" si="35"/>
        <v>97.39932363996428</v>
      </c>
      <c r="BF35" s="236">
        <f t="shared" si="35"/>
        <v>97.39932363996428</v>
      </c>
      <c r="BG35" s="605">
        <f t="shared" si="35"/>
        <v>194.79864727992856</v>
      </c>
      <c r="BH35" s="56">
        <f t="shared" si="35"/>
        <v>103.57485522394501</v>
      </c>
      <c r="BI35" s="236">
        <f t="shared" si="35"/>
        <v>103.57485522394501</v>
      </c>
      <c r="BJ35" s="605">
        <f t="shared" si="35"/>
        <v>207.14971044789002</v>
      </c>
    </row>
    <row r="36" spans="1:67">
      <c r="A36" s="93" t="str">
        <f>A22</f>
        <v>V2500</v>
      </c>
      <c r="B36" s="40"/>
      <c r="C36" s="40"/>
      <c r="D36" s="40"/>
      <c r="E36" s="40"/>
      <c r="F36" s="40"/>
      <c r="G36" s="40"/>
      <c r="H36" s="40"/>
      <c r="I36" s="40"/>
      <c r="J36" s="40"/>
      <c r="K36" s="40"/>
      <c r="L36" s="40"/>
      <c r="M36" s="40"/>
      <c r="N36" s="40"/>
      <c r="O36" s="40"/>
      <c r="P36" s="40">
        <f t="shared" ref="P36:AC36" si="43">+P259</f>
        <v>33.1</v>
      </c>
      <c r="Q36" s="40">
        <f t="shared" si="43"/>
        <v>28.1</v>
      </c>
      <c r="R36" s="40"/>
      <c r="S36" s="630"/>
      <c r="T36" s="653">
        <f t="shared" si="43"/>
        <v>25.400000000000002</v>
      </c>
      <c r="U36" s="40">
        <f>+U259</f>
        <v>10.4</v>
      </c>
      <c r="V36" s="630">
        <f>+V259</f>
        <v>11.500000000000002</v>
      </c>
      <c r="W36" s="653">
        <f t="shared" si="43"/>
        <v>21.900000000000002</v>
      </c>
      <c r="X36" s="40">
        <f>+X259</f>
        <v>6.8000000000000007</v>
      </c>
      <c r="Y36" s="630">
        <f>+Y259</f>
        <v>5.8000000000000007</v>
      </c>
      <c r="Z36" s="653">
        <f t="shared" si="43"/>
        <v>12.600000000000001</v>
      </c>
      <c r="AA36" s="40">
        <f>+AA259</f>
        <v>1.4000000000000001</v>
      </c>
      <c r="AB36" s="630">
        <f>+AB259</f>
        <v>2.0999999999999996</v>
      </c>
      <c r="AC36" s="653">
        <f t="shared" si="43"/>
        <v>3.5</v>
      </c>
      <c r="AD36" s="40">
        <f t="shared" ref="AD36:AT36" si="44">+AD259</f>
        <v>0.70000000000000007</v>
      </c>
      <c r="AE36" s="630">
        <f t="shared" si="44"/>
        <v>9.9999999999999978E-2</v>
      </c>
      <c r="AF36" s="653">
        <f t="shared" si="44"/>
        <v>0.8</v>
      </c>
      <c r="AG36" s="40">
        <f t="shared" si="44"/>
        <v>0.2</v>
      </c>
      <c r="AH36" s="630">
        <f t="shared" si="44"/>
        <v>0.3</v>
      </c>
      <c r="AI36" s="653">
        <f t="shared" si="44"/>
        <v>0.5</v>
      </c>
      <c r="AJ36" s="40">
        <f t="shared" si="44"/>
        <v>0.70000000000000007</v>
      </c>
      <c r="AK36" s="630">
        <f t="shared" si="44"/>
        <v>1.2000000000000002</v>
      </c>
      <c r="AL36" s="653">
        <f t="shared" si="44"/>
        <v>1.9000000000000001</v>
      </c>
      <c r="AM36" s="40">
        <f t="shared" si="44"/>
        <v>0.60000000000000009</v>
      </c>
      <c r="AN36" s="630">
        <f t="shared" ref="AN36:AP36" si="45">+AN259</f>
        <v>9.9999999999999978E-2</v>
      </c>
      <c r="AO36" s="653">
        <f t="shared" si="45"/>
        <v>0.70000000000000007</v>
      </c>
      <c r="AP36" s="40">
        <f t="shared" si="45"/>
        <v>1.1000000000000001</v>
      </c>
      <c r="AQ36" s="630">
        <f t="shared" ref="AQ36:AS36" si="46">+AQ259</f>
        <v>1</v>
      </c>
      <c r="AR36" s="653">
        <f t="shared" si="46"/>
        <v>2.1</v>
      </c>
      <c r="AS36" s="40">
        <f t="shared" si="46"/>
        <v>1.2000000000000002</v>
      </c>
      <c r="AT36" s="216">
        <f t="shared" si="44"/>
        <v>1.7000000000000002</v>
      </c>
      <c r="AU36" s="556">
        <f>+AU259</f>
        <v>2.9000000000000004</v>
      </c>
      <c r="AV36" s="40">
        <f t="shared" ref="AV36" si="47">+AV259</f>
        <v>1.8</v>
      </c>
      <c r="AW36" s="236">
        <f>+AW259</f>
        <v>0</v>
      </c>
      <c r="AX36" s="605">
        <f t="shared" ref="AX36:BJ36" si="48">+AX259</f>
        <v>1.8</v>
      </c>
      <c r="AY36" s="56">
        <f>+AY259</f>
        <v>0</v>
      </c>
      <c r="AZ36" s="236">
        <f>+AZ259</f>
        <v>0</v>
      </c>
      <c r="BA36" s="605">
        <f t="shared" si="48"/>
        <v>0</v>
      </c>
      <c r="BB36" s="56">
        <f>+BB259</f>
        <v>0</v>
      </c>
      <c r="BC36" s="236">
        <f>+BC259</f>
        <v>0</v>
      </c>
      <c r="BD36" s="605">
        <f t="shared" si="48"/>
        <v>0</v>
      </c>
      <c r="BE36" s="56">
        <f>+BE259</f>
        <v>0</v>
      </c>
      <c r="BF36" s="236">
        <f>+BF259</f>
        <v>0</v>
      </c>
      <c r="BG36" s="605">
        <f t="shared" si="48"/>
        <v>0</v>
      </c>
      <c r="BH36" s="56">
        <f>+BH259</f>
        <v>0</v>
      </c>
      <c r="BI36" s="236">
        <f>+BI259</f>
        <v>0</v>
      </c>
      <c r="BJ36" s="605">
        <f t="shared" si="48"/>
        <v>0</v>
      </c>
    </row>
    <row r="37" spans="1:67">
      <c r="A37" s="37" t="s">
        <v>657</v>
      </c>
      <c r="B37" s="301"/>
      <c r="C37" s="301"/>
      <c r="D37" s="84"/>
      <c r="E37" s="84"/>
      <c r="F37" s="84"/>
      <c r="G37" s="84"/>
      <c r="H37" s="84"/>
      <c r="I37" s="84"/>
      <c r="J37" s="84"/>
      <c r="K37" s="84"/>
      <c r="L37" s="84"/>
      <c r="M37" s="84"/>
      <c r="N37" s="84"/>
      <c r="O37" s="84"/>
      <c r="P37" s="84"/>
      <c r="Q37" s="84">
        <f t="shared" ref="Q37:AT37" si="49">SUM(Q34:Q36)</f>
        <v>485.53857331571999</v>
      </c>
      <c r="R37" s="84"/>
      <c r="S37" s="632"/>
      <c r="T37" s="655">
        <f t="shared" si="49"/>
        <v>439.4</v>
      </c>
      <c r="U37" s="84">
        <f t="shared" si="49"/>
        <v>-227.77000000000012</v>
      </c>
      <c r="V37" s="632">
        <f t="shared" si="49"/>
        <v>-78.729999999999961</v>
      </c>
      <c r="W37" s="655">
        <f t="shared" si="49"/>
        <v>-306.50000000000011</v>
      </c>
      <c r="X37" s="84">
        <f t="shared" ref="X37:Y37" si="50">SUM(X34:X36)</f>
        <v>-148.29999999999998</v>
      </c>
      <c r="Y37" s="632">
        <f t="shared" si="50"/>
        <v>-196.29999999999993</v>
      </c>
      <c r="Z37" s="655">
        <f t="shared" si="49"/>
        <v>-344.59999999999991</v>
      </c>
      <c r="AA37" s="84">
        <f t="shared" si="49"/>
        <v>-160.24999999999989</v>
      </c>
      <c r="AB37" s="632">
        <f t="shared" si="49"/>
        <v>120.90999999999988</v>
      </c>
      <c r="AC37" s="655">
        <f>SUM(AC34:AC36)</f>
        <v>-39.340000000000003</v>
      </c>
      <c r="AD37" s="84">
        <f t="shared" ref="AD37:AE37" si="51">SUM(AD34:AD36)</f>
        <v>6.9400000000000164</v>
      </c>
      <c r="AE37" s="632">
        <f t="shared" si="51"/>
        <v>-0.16000000000005488</v>
      </c>
      <c r="AF37" s="655">
        <f t="shared" si="49"/>
        <v>6.7799999999999612</v>
      </c>
      <c r="AG37" s="84">
        <f t="shared" si="49"/>
        <v>4.2599999999999989</v>
      </c>
      <c r="AH37" s="632">
        <f t="shared" si="49"/>
        <v>190.48999999999998</v>
      </c>
      <c r="AI37" s="655">
        <f>SUM(AI34:AI36)</f>
        <v>194.74999999999997</v>
      </c>
      <c r="AJ37" s="84">
        <f t="shared" ref="AJ37:AK37" si="52">SUM(AJ34:AJ36)</f>
        <v>20.7</v>
      </c>
      <c r="AK37" s="632">
        <f t="shared" si="52"/>
        <v>310.95999999999998</v>
      </c>
      <c r="AL37" s="655">
        <f t="shared" si="49"/>
        <v>331.65999999999997</v>
      </c>
      <c r="AM37" s="84">
        <f t="shared" ref="AM37:AO37" si="53">SUM(AM34:AM36)</f>
        <v>85.649999999999991</v>
      </c>
      <c r="AN37" s="632">
        <f t="shared" si="53"/>
        <v>268.90000000000003</v>
      </c>
      <c r="AO37" s="655">
        <f t="shared" si="53"/>
        <v>354.55</v>
      </c>
      <c r="AP37" s="84">
        <f t="shared" ref="AP37:AR37" si="54">SUM(AP34:AP36)</f>
        <v>141.21</v>
      </c>
      <c r="AQ37" s="632">
        <f t="shared" si="54"/>
        <v>301.99</v>
      </c>
      <c r="AR37" s="655">
        <f t="shared" si="54"/>
        <v>443.20000000000005</v>
      </c>
      <c r="AS37" s="84">
        <f t="shared" ref="AS37" si="55">SUM(AS34:AS36)</f>
        <v>202.66380000000001</v>
      </c>
      <c r="AT37" s="227">
        <f t="shared" si="49"/>
        <v>311.75720000000013</v>
      </c>
      <c r="AU37" s="557">
        <f t="shared" ref="AU37:BJ37" si="56">SUM(AU34:AU36)</f>
        <v>514.42100000000016</v>
      </c>
      <c r="AV37" s="84">
        <f t="shared" si="56"/>
        <v>352.94600000000003</v>
      </c>
      <c r="AW37" s="244">
        <f t="shared" si="56"/>
        <v>396.35303007405389</v>
      </c>
      <c r="AX37" s="581">
        <f t="shared" si="56"/>
        <v>749.29903007405392</v>
      </c>
      <c r="AY37" s="181">
        <f t="shared" si="56"/>
        <v>433.16861819397849</v>
      </c>
      <c r="AZ37" s="244">
        <f t="shared" si="56"/>
        <v>425.16751513435867</v>
      </c>
      <c r="BA37" s="581">
        <f t="shared" si="56"/>
        <v>858.33613332833716</v>
      </c>
      <c r="BB37" s="181">
        <f t="shared" si="56"/>
        <v>490.91129794221416</v>
      </c>
      <c r="BC37" s="244">
        <f t="shared" si="56"/>
        <v>483.94916076278599</v>
      </c>
      <c r="BD37" s="581">
        <f t="shared" si="56"/>
        <v>974.86045870500016</v>
      </c>
      <c r="BE37" s="181">
        <f t="shared" si="56"/>
        <v>518.04480598620444</v>
      </c>
      <c r="BF37" s="244">
        <f t="shared" si="56"/>
        <v>496.812129212353</v>
      </c>
      <c r="BG37" s="581">
        <f t="shared" si="56"/>
        <v>1014.8569351985575</v>
      </c>
      <c r="BH37" s="181">
        <f t="shared" si="56"/>
        <v>546.75976625626527</v>
      </c>
      <c r="BI37" s="244">
        <f t="shared" si="56"/>
        <v>496.84939786862617</v>
      </c>
      <c r="BJ37" s="581">
        <f t="shared" si="56"/>
        <v>1043.6091641248913</v>
      </c>
    </row>
    <row r="38" spans="1:67">
      <c r="B38" s="40"/>
      <c r="C38" s="40"/>
      <c r="D38" s="40"/>
      <c r="E38" s="40"/>
      <c r="F38" s="40"/>
      <c r="G38" s="40"/>
      <c r="H38" s="40"/>
      <c r="I38" s="40"/>
      <c r="J38" s="40"/>
      <c r="K38" s="40"/>
      <c r="L38" s="40"/>
      <c r="M38" s="40"/>
      <c r="N38" s="40"/>
      <c r="O38" s="40"/>
      <c r="P38" s="40"/>
      <c r="Q38" s="40"/>
      <c r="R38" s="504"/>
      <c r="S38" s="777"/>
      <c r="T38" s="784"/>
      <c r="U38" s="504"/>
      <c r="V38" s="777"/>
      <c r="W38" s="784"/>
      <c r="X38" s="504"/>
      <c r="Y38" s="777"/>
      <c r="Z38" s="784"/>
      <c r="AA38" s="504"/>
      <c r="AB38" s="777"/>
      <c r="AC38" s="784"/>
      <c r="AD38" s="504"/>
      <c r="AE38" s="777"/>
      <c r="AF38" s="784"/>
      <c r="AG38" s="504"/>
      <c r="AH38" s="777"/>
      <c r="AI38" s="784"/>
      <c r="AJ38" s="504"/>
      <c r="AK38" s="777"/>
      <c r="AL38" s="784"/>
      <c r="AM38" s="504"/>
      <c r="AN38" s="750"/>
      <c r="AO38" s="762"/>
      <c r="AP38" s="505"/>
      <c r="AQ38" s="750"/>
      <c r="AR38" s="762"/>
      <c r="AS38" s="176"/>
      <c r="AT38" s="750"/>
      <c r="AU38" s="762"/>
      <c r="AV38" s="505"/>
      <c r="AW38" s="750"/>
      <c r="AX38" s="762"/>
      <c r="AY38" s="505"/>
      <c r="AZ38" s="750"/>
      <c r="BA38" s="762"/>
      <c r="BB38" s="505"/>
      <c r="BC38" s="750"/>
      <c r="BD38" s="762"/>
      <c r="BE38" s="505"/>
      <c r="BF38" s="750"/>
      <c r="BG38" s="762"/>
      <c r="BH38" s="505"/>
      <c r="BI38" s="750"/>
      <c r="BJ38" s="762"/>
    </row>
    <row r="39" spans="1:67">
      <c r="A39" s="99" t="s">
        <v>501</v>
      </c>
      <c r="B39" s="40"/>
      <c r="C39" s="40"/>
      <c r="D39" s="40"/>
      <c r="E39" s="40"/>
      <c r="F39" s="40"/>
      <c r="G39" s="40"/>
      <c r="H39" s="40"/>
      <c r="I39" s="40"/>
      <c r="J39" s="40"/>
      <c r="K39" s="40"/>
      <c r="L39" s="40"/>
      <c r="M39" s="40"/>
      <c r="N39" s="40"/>
      <c r="O39" s="40"/>
      <c r="P39" s="40"/>
      <c r="Q39" s="40"/>
      <c r="R39" s="40"/>
      <c r="S39" s="630"/>
      <c r="T39" s="653"/>
      <c r="U39" s="40"/>
      <c r="V39" s="630"/>
      <c r="W39" s="653"/>
      <c r="X39" s="40"/>
      <c r="Y39" s="630"/>
      <c r="Z39" s="653"/>
      <c r="AA39" s="40"/>
      <c r="AB39" s="630"/>
      <c r="AC39" s="653"/>
      <c r="AD39" s="40"/>
      <c r="AE39" s="630"/>
      <c r="AF39" s="653"/>
      <c r="AG39" s="40"/>
      <c r="AH39" s="630"/>
      <c r="AI39" s="653"/>
      <c r="AJ39" s="40"/>
      <c r="AK39" s="630"/>
      <c r="AL39" s="653"/>
      <c r="AM39" s="40"/>
      <c r="AN39" s="539"/>
      <c r="AO39" s="550"/>
      <c r="AP39"/>
      <c r="AQ39" s="539"/>
      <c r="AR39" s="550"/>
      <c r="AS39"/>
      <c r="AT39" s="539"/>
      <c r="AU39" s="550"/>
      <c r="AV39"/>
      <c r="AW39" s="539"/>
      <c r="AX39" s="550"/>
      <c r="AY39"/>
      <c r="AZ39" s="539"/>
      <c r="BA39" s="550"/>
      <c r="BB39"/>
      <c r="BC39" s="539"/>
      <c r="BD39" s="550"/>
      <c r="BE39"/>
      <c r="BF39" s="539"/>
      <c r="BG39" s="550"/>
      <c r="BH39"/>
      <c r="BI39" s="539"/>
      <c r="BJ39" s="550"/>
    </row>
    <row r="40" spans="1:67" s="31" customFormat="1">
      <c r="A40" s="31" t="s">
        <v>645</v>
      </c>
      <c r="B40" s="51"/>
      <c r="C40" s="51"/>
      <c r="D40" s="51"/>
      <c r="E40" s="51"/>
      <c r="F40" s="51"/>
      <c r="G40" s="51"/>
      <c r="H40" s="51"/>
      <c r="I40" s="51"/>
      <c r="J40" s="51"/>
      <c r="K40" s="51"/>
      <c r="L40" s="51"/>
      <c r="M40" s="51"/>
      <c r="N40" s="51"/>
      <c r="O40" s="51"/>
      <c r="P40" s="51">
        <f>+P45+P46</f>
        <v>1477</v>
      </c>
      <c r="Q40" s="51">
        <f>+Q45+Q46</f>
        <v>1186</v>
      </c>
      <c r="R40" s="51"/>
      <c r="S40" s="629"/>
      <c r="T40" s="652">
        <f>+T45+T46</f>
        <v>1530</v>
      </c>
      <c r="U40" s="51">
        <f t="shared" ref="U40:AM40" si="57">+U20</f>
        <v>763</v>
      </c>
      <c r="V40" s="629">
        <f t="shared" si="57"/>
        <v>1326</v>
      </c>
      <c r="W40" s="652">
        <f t="shared" si="57"/>
        <v>2089</v>
      </c>
      <c r="X40" s="51">
        <f t="shared" si="57"/>
        <v>1157</v>
      </c>
      <c r="Y40" s="629">
        <f t="shared" si="57"/>
        <v>1216</v>
      </c>
      <c r="Z40" s="652">
        <f t="shared" si="57"/>
        <v>2373</v>
      </c>
      <c r="AA40" s="51">
        <f t="shared" si="57"/>
        <v>1226</v>
      </c>
      <c r="AB40" s="629">
        <f t="shared" si="57"/>
        <v>1342</v>
      </c>
      <c r="AC40" s="652">
        <f t="shared" si="57"/>
        <v>2568</v>
      </c>
      <c r="AD40" s="51">
        <f t="shared" si="57"/>
        <v>854</v>
      </c>
      <c r="AE40" s="629">
        <f t="shared" si="57"/>
        <v>842</v>
      </c>
      <c r="AF40" s="652">
        <f t="shared" si="57"/>
        <v>1696</v>
      </c>
      <c r="AG40" s="51">
        <f t="shared" si="57"/>
        <v>607</v>
      </c>
      <c r="AH40" s="629">
        <f t="shared" ref="AH40" si="58">+AH20</f>
        <v>690</v>
      </c>
      <c r="AI40" s="652">
        <f t="shared" si="57"/>
        <v>1297</v>
      </c>
      <c r="AJ40" s="51">
        <f t="shared" ref="AJ40" si="59">+AJ20</f>
        <v>478</v>
      </c>
      <c r="AK40" s="629">
        <f t="shared" si="57"/>
        <v>1038</v>
      </c>
      <c r="AL40" s="652">
        <f t="shared" si="57"/>
        <v>1516</v>
      </c>
      <c r="AM40" s="51">
        <f t="shared" si="57"/>
        <v>828</v>
      </c>
      <c r="AN40" s="629">
        <f t="shared" ref="AN40:AP40" si="60">+AN20</f>
        <v>1211</v>
      </c>
      <c r="AO40" s="652">
        <f t="shared" si="60"/>
        <v>2039</v>
      </c>
      <c r="AP40" s="51">
        <f t="shared" si="60"/>
        <v>845</v>
      </c>
      <c r="AQ40" s="629">
        <f t="shared" ref="AQ40:AV40" si="61">+AQ20</f>
        <v>1309</v>
      </c>
      <c r="AR40" s="652">
        <f t="shared" si="61"/>
        <v>2154</v>
      </c>
      <c r="AS40" s="51">
        <f t="shared" si="61"/>
        <v>993</v>
      </c>
      <c r="AT40" s="218">
        <f t="shared" ref="AT40:BJ40" si="62">AT48+AT57</f>
        <v>1242</v>
      </c>
      <c r="AU40" s="652">
        <f t="shared" si="61"/>
        <v>2235</v>
      </c>
      <c r="AV40" s="51">
        <f t="shared" si="61"/>
        <v>1504</v>
      </c>
      <c r="AW40" s="237">
        <f t="shared" si="62"/>
        <v>1573.8488803365228</v>
      </c>
      <c r="AX40" s="576">
        <f>AX48+AX57</f>
        <v>3077.8488803365226</v>
      </c>
      <c r="AY40" s="48">
        <f t="shared" si="62"/>
        <v>1681.0650050556119</v>
      </c>
      <c r="AZ40" s="237">
        <f t="shared" si="62"/>
        <v>1770.9913162974526</v>
      </c>
      <c r="BA40" s="576">
        <f t="shared" si="62"/>
        <v>3452.056321353064</v>
      </c>
      <c r="BB40" s="48">
        <f t="shared" si="62"/>
        <v>1793.5902099096552</v>
      </c>
      <c r="BC40" s="237">
        <f t="shared" si="62"/>
        <v>1939.1140303500847</v>
      </c>
      <c r="BD40" s="576">
        <f t="shared" si="62"/>
        <v>3732.7042402597399</v>
      </c>
      <c r="BE40" s="48">
        <f t="shared" si="62"/>
        <v>1953.808106290232</v>
      </c>
      <c r="BF40" s="237">
        <f t="shared" si="62"/>
        <v>2033.0612739045728</v>
      </c>
      <c r="BG40" s="576">
        <f t="shared" si="62"/>
        <v>3986.8693801948048</v>
      </c>
      <c r="BH40" s="48">
        <f t="shared" si="62"/>
        <v>2055.2585812383968</v>
      </c>
      <c r="BI40" s="237">
        <f t="shared" si="62"/>
        <v>2011.3481865603044</v>
      </c>
      <c r="BJ40" s="576">
        <f t="shared" si="62"/>
        <v>4066.6067677987012</v>
      </c>
      <c r="BK40" s="2"/>
    </row>
    <row r="41" spans="1:67">
      <c r="A41" s="25" t="s">
        <v>493</v>
      </c>
      <c r="B41" s="81">
        <f t="shared" ref="B41:BJ41" si="63">+B143</f>
        <v>11.899999999999999</v>
      </c>
      <c r="C41" s="81">
        <f t="shared" si="63"/>
        <v>15.252000000000001</v>
      </c>
      <c r="D41" s="81">
        <f t="shared" si="63"/>
        <v>10.479999999999999</v>
      </c>
      <c r="E41" s="81">
        <f t="shared" si="63"/>
        <v>10.888</v>
      </c>
      <c r="F41" s="81">
        <f t="shared" si="63"/>
        <v>10.52</v>
      </c>
      <c r="G41" s="81">
        <f t="shared" si="63"/>
        <v>11.167999999999999</v>
      </c>
      <c r="H41" s="81">
        <f t="shared" si="63"/>
        <v>13.46</v>
      </c>
      <c r="I41" s="81">
        <f t="shared" si="63"/>
        <v>9.84</v>
      </c>
      <c r="J41" s="81">
        <f t="shared" si="63"/>
        <v>13.139999999999999</v>
      </c>
      <c r="K41" s="81">
        <f t="shared" si="63"/>
        <v>15.37</v>
      </c>
      <c r="L41" s="81">
        <f t="shared" si="63"/>
        <v>13.004</v>
      </c>
      <c r="M41" s="81">
        <f t="shared" si="63"/>
        <v>15.954000000000001</v>
      </c>
      <c r="N41" s="81">
        <f t="shared" si="63"/>
        <v>19.497999999999998</v>
      </c>
      <c r="O41" s="81">
        <f t="shared" si="63"/>
        <v>20.161000000000001</v>
      </c>
      <c r="P41" s="81">
        <f t="shared" si="63"/>
        <v>22.399000000000001</v>
      </c>
      <c r="Q41" s="81">
        <f t="shared" si="63"/>
        <v>22.73</v>
      </c>
      <c r="R41" s="81"/>
      <c r="S41" s="636"/>
      <c r="T41" s="659">
        <f t="shared" si="63"/>
        <v>26.925999999999998</v>
      </c>
      <c r="U41" s="81">
        <f t="shared" si="63"/>
        <v>15.959</v>
      </c>
      <c r="V41" s="636">
        <f t="shared" si="63"/>
        <v>20.951000000000001</v>
      </c>
      <c r="W41" s="659">
        <f>+W143</f>
        <v>36.910000000000004</v>
      </c>
      <c r="X41" s="81">
        <f t="shared" ref="X41:Y41" si="64">+X143</f>
        <v>20.090999999999998</v>
      </c>
      <c r="Y41" s="636">
        <f t="shared" si="64"/>
        <v>16.797000000000001</v>
      </c>
      <c r="Z41" s="659">
        <f>+Z143</f>
        <v>36.887999999999998</v>
      </c>
      <c r="AA41" s="81">
        <f t="shared" ref="AA41:AB41" si="65">+AA143</f>
        <v>20.253999999999998</v>
      </c>
      <c r="AB41" s="636">
        <f t="shared" si="65"/>
        <v>21.058</v>
      </c>
      <c r="AC41" s="659">
        <f>+AC143</f>
        <v>41.311999999999998</v>
      </c>
      <c r="AD41" s="81">
        <f t="shared" ref="AD41:AE41" si="66">+AD143</f>
        <v>10.962</v>
      </c>
      <c r="AE41" s="636">
        <f t="shared" si="66"/>
        <v>10.091999999999999</v>
      </c>
      <c r="AF41" s="659">
        <f>+AF143</f>
        <v>21.053999999999998</v>
      </c>
      <c r="AG41" s="81">
        <f t="shared" ref="AG41:AH41" si="67">+AG143</f>
        <v>8.1340000000000003</v>
      </c>
      <c r="AH41" s="636">
        <f t="shared" si="67"/>
        <v>8.0570000000000004</v>
      </c>
      <c r="AI41" s="659">
        <f>+AI143</f>
        <v>16.191000000000003</v>
      </c>
      <c r="AJ41" s="81">
        <f t="shared" ref="AJ41:AK41" si="68">+AJ143</f>
        <v>6.4049999999999994</v>
      </c>
      <c r="AK41" s="636">
        <f t="shared" si="68"/>
        <v>8.9929999999999986</v>
      </c>
      <c r="AL41" s="659">
        <f t="shared" si="63"/>
        <v>15.398</v>
      </c>
      <c r="AM41" s="81">
        <f t="shared" ref="AM41:AO41" si="69">+AM143</f>
        <v>9.202</v>
      </c>
      <c r="AN41" s="636">
        <f t="shared" si="69"/>
        <v>11.815</v>
      </c>
      <c r="AO41" s="659">
        <f t="shared" si="69"/>
        <v>21.016999999999999</v>
      </c>
      <c r="AP41" s="81">
        <f t="shared" ref="AP41:AR41" si="70">+AP143</f>
        <v>9.5190000000000001</v>
      </c>
      <c r="AQ41" s="636">
        <f t="shared" si="70"/>
        <v>12.657999999999999</v>
      </c>
      <c r="AR41" s="659">
        <f t="shared" si="70"/>
        <v>22.177</v>
      </c>
      <c r="AS41" s="81">
        <f t="shared" ref="AS41" si="71">+AS143</f>
        <v>9.8140000000000001</v>
      </c>
      <c r="AT41" s="234">
        <f t="shared" si="63"/>
        <v>11.016</v>
      </c>
      <c r="AU41" s="561">
        <f t="shared" si="63"/>
        <v>20.83</v>
      </c>
      <c r="AV41" s="203">
        <f t="shared" si="63"/>
        <v>12.889000000000001</v>
      </c>
      <c r="AW41" s="235">
        <f t="shared" si="63"/>
        <v>9.2491290322580646</v>
      </c>
      <c r="AX41" s="611">
        <f t="shared" si="63"/>
        <v>22.138129032258064</v>
      </c>
      <c r="AY41" s="173">
        <f t="shared" si="63"/>
        <v>12.282666666666668</v>
      </c>
      <c r="AZ41" s="235">
        <f t="shared" si="63"/>
        <v>12.709818181818182</v>
      </c>
      <c r="BA41" s="611">
        <f t="shared" si="63"/>
        <v>24.992484848484846</v>
      </c>
      <c r="BB41" s="173">
        <f t="shared" si="63"/>
        <v>13.220941176470589</v>
      </c>
      <c r="BC41" s="235">
        <f t="shared" si="63"/>
        <v>13.725176470588236</v>
      </c>
      <c r="BD41" s="611">
        <f t="shared" si="63"/>
        <v>26.946117647058824</v>
      </c>
      <c r="BE41" s="173">
        <f t="shared" si="63"/>
        <v>14.403294117647059</v>
      </c>
      <c r="BF41" s="235">
        <f t="shared" si="63"/>
        <v>14.307294117647059</v>
      </c>
      <c r="BG41" s="611">
        <f t="shared" si="63"/>
        <v>28.710588235294118</v>
      </c>
      <c r="BH41" s="173">
        <f t="shared" si="63"/>
        <v>14.835294117647059</v>
      </c>
      <c r="BI41" s="235">
        <f t="shared" si="63"/>
        <v>13.875294117647059</v>
      </c>
      <c r="BJ41" s="611">
        <f t="shared" si="63"/>
        <v>28.710588235294118</v>
      </c>
      <c r="BK41"/>
    </row>
    <row r="42" spans="1:67" ht="11.4">
      <c r="A42" s="100" t="s">
        <v>498</v>
      </c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81">
        <f t="shared" ref="P42:BJ42" si="72">+P40/(P49+P58)</f>
        <v>4.7491961414791</v>
      </c>
      <c r="Q42" s="81">
        <f t="shared" si="72"/>
        <v>3.8506493506493507</v>
      </c>
      <c r="R42" s="81"/>
      <c r="S42" s="636"/>
      <c r="T42" s="659">
        <f t="shared" si="72"/>
        <v>4.2857142857142856</v>
      </c>
      <c r="U42" s="81">
        <f t="shared" ref="U42:V42" si="73">+U40/(U49+U58)</f>
        <v>3.6507177033492821</v>
      </c>
      <c r="V42" s="636">
        <f t="shared" si="73"/>
        <v>4.8394160583941606</v>
      </c>
      <c r="W42" s="659">
        <f t="shared" si="72"/>
        <v>4.325051759834369</v>
      </c>
      <c r="X42" s="81">
        <f t="shared" si="72"/>
        <v>4.4671814671814669</v>
      </c>
      <c r="Y42" s="636">
        <f t="shared" si="72"/>
        <v>5.7904761904761903</v>
      </c>
      <c r="Z42" s="659">
        <f t="shared" si="72"/>
        <v>5.0597014925373136</v>
      </c>
      <c r="AA42" s="81">
        <f t="shared" ref="AA42:AB42" si="74">+AA40/(AA49+AA58)</f>
        <v>4.7704280155642023</v>
      </c>
      <c r="AB42" s="636">
        <f t="shared" si="74"/>
        <v>5.3043478260869561</v>
      </c>
      <c r="AC42" s="659">
        <f t="shared" si="72"/>
        <v>5.0352941176470587</v>
      </c>
      <c r="AD42" s="81">
        <f t="shared" si="72"/>
        <v>6.2335766423357661</v>
      </c>
      <c r="AE42" s="636">
        <f t="shared" si="72"/>
        <v>6.6299212598425195</v>
      </c>
      <c r="AF42" s="659">
        <f t="shared" si="72"/>
        <v>6.4242424242424239</v>
      </c>
      <c r="AG42" s="81">
        <f t="shared" ref="AG42:AH42" si="75">+AG40/(AG49+AG58)</f>
        <v>6.07</v>
      </c>
      <c r="AH42" s="636">
        <f t="shared" si="75"/>
        <v>7.2631578947368425</v>
      </c>
      <c r="AI42" s="659">
        <f t="shared" si="72"/>
        <v>6.6512820512820516</v>
      </c>
      <c r="AJ42" s="81">
        <f t="shared" si="72"/>
        <v>6.1282051282051286</v>
      </c>
      <c r="AK42" s="636">
        <f t="shared" ref="AK42" si="76">+AK40/(AK49+AK58)</f>
        <v>9.2678571428571423</v>
      </c>
      <c r="AL42" s="659">
        <f t="shared" si="72"/>
        <v>7.9789473684210526</v>
      </c>
      <c r="AM42" s="81">
        <f t="shared" ref="AM42:AO42" si="77">+AM40/(AM49+AM58)</f>
        <v>7.2</v>
      </c>
      <c r="AN42" s="636">
        <f t="shared" si="77"/>
        <v>8.2380952380952372</v>
      </c>
      <c r="AO42" s="659">
        <f t="shared" si="77"/>
        <v>7.7824427480916034</v>
      </c>
      <c r="AP42" s="81">
        <f t="shared" ref="AP42:AR42" si="78">+AP40/(AP49+AP58)</f>
        <v>7.041666666666667</v>
      </c>
      <c r="AQ42" s="636">
        <f t="shared" si="78"/>
        <v>8.2848101265822791</v>
      </c>
      <c r="AR42" s="659">
        <f t="shared" si="78"/>
        <v>7.7482014388489207</v>
      </c>
      <c r="AS42" s="81">
        <f t="shared" ref="AS42" si="79">+AS40/(AS49+AS58)</f>
        <v>8.1393442622950811</v>
      </c>
      <c r="AT42" s="234">
        <f t="shared" si="72"/>
        <v>9.0656934306569337</v>
      </c>
      <c r="AU42" s="561">
        <f t="shared" si="72"/>
        <v>8.6293436293436301</v>
      </c>
      <c r="AV42" s="203">
        <f t="shared" si="72"/>
        <v>9.5796178343949041</v>
      </c>
      <c r="AW42" s="235">
        <f t="shared" si="72"/>
        <v>10.107820673977342</v>
      </c>
      <c r="AX42" s="611">
        <f t="shared" si="72"/>
        <v>9.8426264299687265</v>
      </c>
      <c r="AY42" s="173">
        <f t="shared" si="72"/>
        <v>9.7937823603606518</v>
      </c>
      <c r="AZ42" s="235">
        <f t="shared" si="72"/>
        <v>10.041420111937708</v>
      </c>
      <c r="BA42" s="611">
        <f t="shared" si="72"/>
        <v>9.9192814240586209</v>
      </c>
      <c r="BB42" s="173">
        <f t="shared" si="72"/>
        <v>9.8430748468570819</v>
      </c>
      <c r="BC42" s="235">
        <f t="shared" si="72"/>
        <v>10.318125988716691</v>
      </c>
      <c r="BD42" s="611">
        <f t="shared" si="72"/>
        <v>10.084267267319948</v>
      </c>
      <c r="BE42" s="173">
        <f t="shared" si="72"/>
        <v>9.9666994448104251</v>
      </c>
      <c r="BF42" s="235">
        <f t="shared" si="72"/>
        <v>10.431799396112631</v>
      </c>
      <c r="BG42" s="611">
        <f t="shared" si="72"/>
        <v>10.1985695667064</v>
      </c>
      <c r="BH42" s="173">
        <f t="shared" si="72"/>
        <v>10.129877864785007</v>
      </c>
      <c r="BI42" s="235">
        <f t="shared" si="72"/>
        <v>10.696748042575805</v>
      </c>
      <c r="BJ42" s="611">
        <f t="shared" si="72"/>
        <v>10.402540958040529</v>
      </c>
      <c r="BK42"/>
      <c r="BM42" s="107"/>
      <c r="BN42" s="107"/>
    </row>
    <row r="43" spans="1:67" ht="11.4">
      <c r="A43" s="100" t="s">
        <v>496</v>
      </c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81">
        <f>+P42*P68</f>
        <v>7.5987138263665601</v>
      </c>
      <c r="Q43" s="81">
        <f>+Q42*Q68</f>
        <v>6.0455194805194807</v>
      </c>
      <c r="R43" s="81"/>
      <c r="S43" s="636"/>
      <c r="T43" s="659">
        <f>+T42*T68</f>
        <v>6.621428571428571</v>
      </c>
      <c r="U43" s="81">
        <f t="shared" ref="U43:V43" si="80">+U40/(U49+U58)*U68</f>
        <v>5.6586124401913871</v>
      </c>
      <c r="V43" s="636">
        <f t="shared" si="80"/>
        <v>7.5010948905109487</v>
      </c>
      <c r="W43" s="659">
        <f>+W42*W68</f>
        <v>6.660579710144928</v>
      </c>
      <c r="X43" s="81">
        <f t="shared" ref="X43:Y43" si="81">+X40/(X49+X58)*X68</f>
        <v>6.9241312741312742</v>
      </c>
      <c r="Y43" s="636">
        <f t="shared" si="81"/>
        <v>8.9752380952380957</v>
      </c>
      <c r="Z43" s="659">
        <f t="shared" ref="Z43:BJ43" si="82">+Z40/(Z49+Z58)*Z68</f>
        <v>7.7919402985074635</v>
      </c>
      <c r="AA43" s="81">
        <f t="shared" ref="AA43:AB43" si="83">+AA40/(AA49+AA58)*AA68</f>
        <v>7.2987548638132296</v>
      </c>
      <c r="AB43" s="636">
        <f t="shared" si="83"/>
        <v>8.1156521739130429</v>
      </c>
      <c r="AC43" s="659">
        <f t="shared" si="82"/>
        <v>7.7039999999999997</v>
      </c>
      <c r="AD43" s="81">
        <f t="shared" si="82"/>
        <v>7.72963503649635</v>
      </c>
      <c r="AE43" s="636">
        <f t="shared" si="82"/>
        <v>10.07748031496063</v>
      </c>
      <c r="AF43" s="659">
        <f t="shared" si="82"/>
        <v>9.7648484848484838</v>
      </c>
      <c r="AG43" s="81">
        <f t="shared" ref="AG43:AH43" si="84">+AG40/(AG49+AG58)*AG68</f>
        <v>8.4373000000000005</v>
      </c>
      <c r="AH43" s="636">
        <f t="shared" si="84"/>
        <v>11.838947368421055</v>
      </c>
      <c r="AI43" s="659">
        <f t="shared" si="82"/>
        <v>10.043435897435899</v>
      </c>
      <c r="AJ43" s="81">
        <f t="shared" si="82"/>
        <v>9.1923076923076934</v>
      </c>
      <c r="AK43" s="636">
        <f t="shared" ref="AK43" si="85">+AK40/(AK49+AK58)*AK68</f>
        <v>13.901785714285714</v>
      </c>
      <c r="AL43" s="659">
        <f t="shared" si="82"/>
        <v>11.968421052631578</v>
      </c>
      <c r="AM43" s="81">
        <f t="shared" ref="AM43:AO43" si="86">+AM40/(AM49+AM58)*AM68</f>
        <v>10.8</v>
      </c>
      <c r="AN43" s="636">
        <f t="shared" si="86"/>
        <v>12.357142857142856</v>
      </c>
      <c r="AO43" s="659">
        <f t="shared" si="86"/>
        <v>11.673664122137405</v>
      </c>
      <c r="AP43" s="81">
        <f t="shared" ref="AP43:AR43" si="87">+AP40/(AP49+AP58)*AP68</f>
        <v>10.421666666666667</v>
      </c>
      <c r="AQ43" s="636">
        <f t="shared" si="87"/>
        <v>12.261518987341773</v>
      </c>
      <c r="AR43" s="659">
        <f t="shared" si="87"/>
        <v>11.467338129496403</v>
      </c>
      <c r="AS43" s="81">
        <f t="shared" ref="AS43" si="88">+AS40/(AS49+AS58)*AS68</f>
        <v>11.720655737704917</v>
      </c>
      <c r="AT43" s="234">
        <f t="shared" si="82"/>
        <v>13.054598540145983</v>
      </c>
      <c r="AU43" s="561">
        <f t="shared" si="82"/>
        <v>12.426254826254826</v>
      </c>
      <c r="AV43" s="203">
        <f t="shared" si="82"/>
        <v>13.219872611464966</v>
      </c>
      <c r="AW43" s="235">
        <f t="shared" si="82"/>
        <v>13.948792530088731</v>
      </c>
      <c r="AX43" s="611">
        <f t="shared" si="82"/>
        <v>13.582824473356842</v>
      </c>
      <c r="AY43" s="173">
        <f t="shared" si="82"/>
        <v>13.221606186486881</v>
      </c>
      <c r="AZ43" s="235">
        <f t="shared" si="82"/>
        <v>13.555917151115906</v>
      </c>
      <c r="BA43" s="611">
        <f t="shared" si="82"/>
        <v>13.39102992247914</v>
      </c>
      <c r="BB43" s="173">
        <f t="shared" si="82"/>
        <v>12.992858797851349</v>
      </c>
      <c r="BC43" s="235">
        <f t="shared" si="82"/>
        <v>13.619926305106032</v>
      </c>
      <c r="BD43" s="611">
        <f t="shared" si="82"/>
        <v>13.311232792862333</v>
      </c>
      <c r="BE43" s="173">
        <f t="shared" si="82"/>
        <v>13.156043267149762</v>
      </c>
      <c r="BF43" s="235">
        <f t="shared" si="82"/>
        <v>13.769975202868673</v>
      </c>
      <c r="BG43" s="611">
        <f t="shared" si="82"/>
        <v>13.462111828052448</v>
      </c>
      <c r="BH43" s="173">
        <f t="shared" si="82"/>
        <v>13.371438781516209</v>
      </c>
      <c r="BI43" s="235">
        <f t="shared" si="82"/>
        <v>14.119707416200065</v>
      </c>
      <c r="BJ43" s="611">
        <f t="shared" si="82"/>
        <v>13.731354064613498</v>
      </c>
      <c r="BK43"/>
      <c r="BM43" s="107"/>
      <c r="BN43" s="107"/>
    </row>
    <row r="44" spans="1:67" ht="11.4">
      <c r="A44" s="100" t="s">
        <v>497</v>
      </c>
      <c r="B44" s="40"/>
      <c r="C44" s="40"/>
      <c r="D44" s="40"/>
      <c r="E44" s="40"/>
      <c r="F44" s="40"/>
      <c r="G44" s="40"/>
      <c r="H44" s="40"/>
      <c r="I44" s="40"/>
      <c r="J44" s="40"/>
      <c r="K44" s="40"/>
      <c r="L44" s="40"/>
      <c r="M44" s="40"/>
      <c r="N44" s="40"/>
      <c r="O44" s="40"/>
      <c r="P44" s="40">
        <f t="shared" ref="P44:BJ44" si="89">+P40/P41*P68</f>
        <v>105.50471003169785</v>
      </c>
      <c r="Q44" s="40">
        <f t="shared" si="89"/>
        <v>81.919049714034315</v>
      </c>
      <c r="R44" s="40"/>
      <c r="S44" s="630"/>
      <c r="T44" s="653">
        <f t="shared" si="89"/>
        <v>87.790611305058306</v>
      </c>
      <c r="U44" s="40">
        <f t="shared" ref="U44:V44" si="90">+U40/U41*U68</f>
        <v>74.105520396014796</v>
      </c>
      <c r="V44" s="630">
        <f t="shared" si="90"/>
        <v>98.100329339888305</v>
      </c>
      <c r="W44" s="653">
        <f t="shared" si="89"/>
        <v>87.159577350311551</v>
      </c>
      <c r="X44" s="40">
        <f t="shared" si="89"/>
        <v>89.261360808322138</v>
      </c>
      <c r="Y44" s="630">
        <f t="shared" si="89"/>
        <v>112.210513782223</v>
      </c>
      <c r="Z44" s="653">
        <f t="shared" si="89"/>
        <v>99.067989590110614</v>
      </c>
      <c r="AA44" s="40">
        <f t="shared" ref="AA44:AB44" si="91">+AA40/AA41*AA68</f>
        <v>92.612817221289632</v>
      </c>
      <c r="AB44" s="630">
        <f t="shared" si="91"/>
        <v>97.50498622851174</v>
      </c>
      <c r="AC44" s="653">
        <f t="shared" si="89"/>
        <v>95.106506584043387</v>
      </c>
      <c r="AD44" s="40">
        <f t="shared" si="89"/>
        <v>96.602809706257972</v>
      </c>
      <c r="AE44" s="630">
        <f t="shared" si="89"/>
        <v>126.8172810146651</v>
      </c>
      <c r="AF44" s="653">
        <f t="shared" si="89"/>
        <v>122.44324118932272</v>
      </c>
      <c r="AG44" s="40">
        <f t="shared" ref="AG44:AH44" si="92">+AG40/AG41*AG68</f>
        <v>103.72879272190802</v>
      </c>
      <c r="AH44" s="630">
        <f t="shared" si="92"/>
        <v>139.59290058334366</v>
      </c>
      <c r="AI44" s="653">
        <f t="shared" si="89"/>
        <v>120.96041010437895</v>
      </c>
      <c r="AJ44" s="40">
        <f t="shared" si="89"/>
        <v>111.94379391100702</v>
      </c>
      <c r="AK44" s="630">
        <f t="shared" ref="AK44" si="93">+AK40/AK41*AK68</f>
        <v>173.13466029133772</v>
      </c>
      <c r="AL44" s="653">
        <f t="shared" si="89"/>
        <v>147.68151708014028</v>
      </c>
      <c r="AM44" s="40">
        <f t="shared" ref="AM44:AO44" si="94">+AM40/AM41*AM68</f>
        <v>134.97065855248857</v>
      </c>
      <c r="AN44" s="630">
        <f t="shared" si="94"/>
        <v>153.7452391028354</v>
      </c>
      <c r="AO44" s="653">
        <f t="shared" si="94"/>
        <v>145.52505114906981</v>
      </c>
      <c r="AP44" s="40">
        <f t="shared" ref="AP44:AR44" si="95">+AP40/AP41*AP68</f>
        <v>131.37934657001784</v>
      </c>
      <c r="AQ44" s="630">
        <f t="shared" si="95"/>
        <v>153.05103491862855</v>
      </c>
      <c r="AR44" s="653">
        <f t="shared" si="95"/>
        <v>143.74892907065879</v>
      </c>
      <c r="AS44" s="40">
        <f t="shared" ref="AS44" si="96">+AS40/AS41*AS68</f>
        <v>145.70205828408396</v>
      </c>
      <c r="AT44" s="216">
        <f t="shared" si="89"/>
        <v>162.35294117647058</v>
      </c>
      <c r="AU44" s="556">
        <f t="shared" si="89"/>
        <v>154.50792126740279</v>
      </c>
      <c r="AV44" s="10">
        <f t="shared" si="89"/>
        <v>161.03033594537976</v>
      </c>
      <c r="AW44" s="236">
        <f t="shared" si="89"/>
        <v>234.82334901907569</v>
      </c>
      <c r="AX44" s="605">
        <f t="shared" si="89"/>
        <v>191.86045255564977</v>
      </c>
      <c r="AY44" s="56">
        <f t="shared" si="89"/>
        <v>184.76751168245843</v>
      </c>
      <c r="AZ44" s="236">
        <f t="shared" si="89"/>
        <v>188.10955772929427</v>
      </c>
      <c r="BA44" s="605">
        <f t="shared" si="89"/>
        <v>186.46709449177334</v>
      </c>
      <c r="BB44" s="56">
        <f t="shared" si="89"/>
        <v>179.07492707813211</v>
      </c>
      <c r="BC44" s="236">
        <f t="shared" si="89"/>
        <v>186.49162912747678</v>
      </c>
      <c r="BD44" s="605">
        <f t="shared" si="89"/>
        <v>182.85267145638917</v>
      </c>
      <c r="BE44" s="56">
        <f t="shared" si="89"/>
        <v>179.05811540314639</v>
      </c>
      <c r="BF44" s="236">
        <f t="shared" si="89"/>
        <v>187.57151837984171</v>
      </c>
      <c r="BG44" s="605">
        <f t="shared" si="89"/>
        <v>183.30058369851542</v>
      </c>
      <c r="BH44" s="56">
        <f t="shared" si="89"/>
        <v>182.87074767244101</v>
      </c>
      <c r="BI44" s="236">
        <f t="shared" si="89"/>
        <v>191.34582544689346</v>
      </c>
      <c r="BJ44" s="605">
        <f t="shared" si="89"/>
        <v>186.96659537248578</v>
      </c>
      <c r="BK44"/>
      <c r="BM44" s="107"/>
      <c r="BN44" s="157"/>
    </row>
    <row r="45" spans="1:67" hidden="1" outlineLevel="1">
      <c r="A45" s="66" t="s">
        <v>494</v>
      </c>
      <c r="B45" s="40"/>
      <c r="C45" s="40"/>
      <c r="D45" s="40"/>
      <c r="E45" s="40"/>
      <c r="F45" s="40"/>
      <c r="G45" s="40"/>
      <c r="H45" s="40"/>
      <c r="I45" s="40"/>
      <c r="J45" s="40"/>
      <c r="K45" s="40"/>
      <c r="L45" s="40"/>
      <c r="M45" s="40"/>
      <c r="N45" s="40"/>
      <c r="O45" s="40"/>
      <c r="P45" s="40">
        <f>+P5-Civil!P155</f>
        <v>1178</v>
      </c>
      <c r="Q45" s="40">
        <f>+Q5-Civil!Q155-106-100</f>
        <v>843</v>
      </c>
      <c r="R45" s="40"/>
      <c r="S45" s="630"/>
      <c r="T45" s="653">
        <f>+T5-Civil!T155-71-105</f>
        <v>996</v>
      </c>
      <c r="U45" s="40"/>
      <c r="V45" s="630"/>
      <c r="W45" s="653"/>
      <c r="X45" s="40"/>
      <c r="Y45" s="630"/>
      <c r="Z45" s="653"/>
      <c r="AA45" s="40"/>
      <c r="AB45" s="630"/>
      <c r="AC45" s="653"/>
      <c r="AD45" s="40"/>
      <c r="AE45" s="630"/>
      <c r="AF45" s="653"/>
      <c r="AG45" s="40"/>
      <c r="AH45" s="630"/>
      <c r="AI45" s="653"/>
      <c r="AJ45" s="40"/>
      <c r="AK45" s="630"/>
      <c r="AL45" s="653"/>
      <c r="AM45" s="40"/>
      <c r="AN45" s="539"/>
      <c r="AO45" s="550"/>
      <c r="AP45"/>
      <c r="AQ45" s="539"/>
      <c r="AR45" s="550"/>
      <c r="AS45"/>
      <c r="AT45" s="539"/>
      <c r="AU45" s="550"/>
      <c r="AV45"/>
      <c r="AW45" s="539"/>
      <c r="AX45" s="550"/>
      <c r="AY45"/>
      <c r="AZ45" s="539"/>
      <c r="BA45" s="550"/>
      <c r="BB45"/>
      <c r="BC45" s="539"/>
      <c r="BD45" s="550"/>
      <c r="BE45"/>
      <c r="BF45" s="539"/>
      <c r="BG45" s="550"/>
      <c r="BH45"/>
      <c r="BI45" s="539"/>
      <c r="BJ45" s="550"/>
      <c r="BK45"/>
      <c r="BO45" s="77"/>
    </row>
    <row r="46" spans="1:67" hidden="1" outlineLevel="1">
      <c r="A46" s="66" t="s">
        <v>495</v>
      </c>
      <c r="B46" s="40"/>
      <c r="C46" s="40"/>
      <c r="D46" s="40"/>
      <c r="E46" s="40"/>
      <c r="F46" s="40"/>
      <c r="G46" s="40"/>
      <c r="H46" s="40"/>
      <c r="I46" s="40"/>
      <c r="J46" s="40"/>
      <c r="K46" s="40"/>
      <c r="L46" s="40"/>
      <c r="M46" s="40"/>
      <c r="N46" s="40"/>
      <c r="O46" s="40"/>
      <c r="P46" s="40">
        <f>+P6-Civil!P147</f>
        <v>299</v>
      </c>
      <c r="Q46" s="40">
        <f>+Q6-Civil!Q147</f>
        <v>343</v>
      </c>
      <c r="R46" s="40"/>
      <c r="S46" s="630"/>
      <c r="T46" s="653">
        <f>+T6-Civil!T147</f>
        <v>534</v>
      </c>
      <c r="U46" s="40"/>
      <c r="V46" s="630"/>
      <c r="W46" s="653"/>
      <c r="X46" s="40"/>
      <c r="Y46" s="630"/>
      <c r="Z46" s="653" t="s">
        <v>397</v>
      </c>
      <c r="AA46" s="40"/>
      <c r="AB46" s="630"/>
      <c r="AC46" s="653" t="s">
        <v>397</v>
      </c>
      <c r="AD46" s="40"/>
      <c r="AE46" s="630"/>
      <c r="AF46" s="653" t="s">
        <v>397</v>
      </c>
      <c r="AG46" s="40"/>
      <c r="AH46" s="630"/>
      <c r="AI46" s="653"/>
      <c r="AJ46" s="40"/>
      <c r="AK46" s="630"/>
      <c r="AL46" s="653"/>
      <c r="AM46" s="40"/>
      <c r="AN46" s="539"/>
      <c r="AO46" s="550"/>
      <c r="AP46"/>
      <c r="AQ46" s="539"/>
      <c r="AR46" s="550"/>
      <c r="AS46"/>
      <c r="AT46" s="539"/>
      <c r="AU46" s="550"/>
      <c r="AV46"/>
      <c r="AW46" s="539"/>
      <c r="AX46" s="550"/>
      <c r="AY46"/>
      <c r="AZ46" s="539"/>
      <c r="BA46" s="550"/>
      <c r="BB46"/>
      <c r="BC46" s="539"/>
      <c r="BD46" s="550"/>
      <c r="BE46"/>
      <c r="BF46" s="539"/>
      <c r="BG46" s="550"/>
      <c r="BH46"/>
      <c r="BI46" s="539"/>
      <c r="BJ46" s="550"/>
      <c r="BK46"/>
    </row>
    <row r="47" spans="1:67" collapsed="1">
      <c r="B47" s="40"/>
      <c r="C47" s="40"/>
      <c r="D47" s="40"/>
      <c r="E47" s="40"/>
      <c r="F47" s="40"/>
      <c r="G47" s="40"/>
      <c r="H47" s="40"/>
      <c r="I47" s="40"/>
      <c r="J47" s="40"/>
      <c r="K47" s="40"/>
      <c r="L47" s="40"/>
      <c r="M47" s="40"/>
      <c r="N47" s="40"/>
      <c r="O47" s="40"/>
      <c r="P47" s="40"/>
      <c r="Q47" s="40"/>
      <c r="R47" s="40"/>
      <c r="S47" s="630"/>
      <c r="T47" s="653"/>
      <c r="U47" s="40"/>
      <c r="V47" s="630"/>
      <c r="W47" s="653"/>
      <c r="X47" s="40"/>
      <c r="Y47" s="630"/>
      <c r="Z47" s="653"/>
      <c r="AA47" s="40"/>
      <c r="AB47" s="630"/>
      <c r="AC47" s="653"/>
      <c r="AD47" s="40"/>
      <c r="AE47" s="630"/>
      <c r="AF47" s="653"/>
      <c r="AG47" s="40"/>
      <c r="AH47" s="630"/>
      <c r="AI47" s="653"/>
      <c r="AJ47" s="40"/>
      <c r="AK47" s="630"/>
      <c r="AL47" s="653"/>
      <c r="AM47" s="40"/>
      <c r="AN47" s="539"/>
      <c r="AO47" s="550"/>
      <c r="AP47"/>
      <c r="AQ47" s="539"/>
      <c r="AR47" s="609"/>
      <c r="AS47"/>
      <c r="AT47" s="539"/>
      <c r="AU47" s="550"/>
      <c r="AV47" s="6"/>
      <c r="AW47" s="539"/>
      <c r="AX47" s="550"/>
      <c r="AY47"/>
      <c r="AZ47" s="539"/>
      <c r="BA47" s="550"/>
      <c r="BB47"/>
      <c r="BC47" s="539"/>
      <c r="BD47" s="550"/>
      <c r="BE47"/>
      <c r="BF47" s="539"/>
      <c r="BG47" s="550"/>
      <c r="BH47"/>
      <c r="BI47" s="539"/>
      <c r="BJ47" s="550"/>
      <c r="BK47"/>
    </row>
    <row r="48" spans="1:67" s="31" customFormat="1">
      <c r="A48" s="31" t="s">
        <v>500</v>
      </c>
      <c r="B48" s="51"/>
      <c r="C48" s="51"/>
      <c r="D48" s="51"/>
      <c r="E48" s="51"/>
      <c r="F48" s="51"/>
      <c r="G48" s="51"/>
      <c r="H48" s="51"/>
      <c r="I48" s="51"/>
      <c r="J48" s="51"/>
      <c r="K48" s="51"/>
      <c r="L48" s="51"/>
      <c r="M48" s="51"/>
      <c r="N48" s="51"/>
      <c r="O48" s="51"/>
      <c r="P48" s="51">
        <f t="shared" ref="P48:AN48" si="97">+P40-P57</f>
        <v>1100.0710661811822</v>
      </c>
      <c r="Q48" s="51">
        <f t="shared" si="97"/>
        <v>801.53248750480589</v>
      </c>
      <c r="R48" s="51"/>
      <c r="S48" s="629"/>
      <c r="T48" s="652">
        <f t="shared" si="97"/>
        <v>1076.5686274509803</v>
      </c>
      <c r="U48" s="51">
        <f t="shared" si="97"/>
        <v>676.7</v>
      </c>
      <c r="V48" s="629">
        <f t="shared" si="97"/>
        <v>924.8</v>
      </c>
      <c r="W48" s="652">
        <f t="shared" si="97"/>
        <v>1601.5</v>
      </c>
      <c r="X48" s="51">
        <f t="shared" ref="X48:Y48" si="98">+X40-X57</f>
        <v>912</v>
      </c>
      <c r="Y48" s="629">
        <f t="shared" si="98"/>
        <v>811</v>
      </c>
      <c r="Z48" s="652">
        <f t="shared" si="97"/>
        <v>1723</v>
      </c>
      <c r="AA48" s="51">
        <f t="shared" si="97"/>
        <v>1039.6499999999999</v>
      </c>
      <c r="AB48" s="629">
        <f t="shared" si="97"/>
        <v>688.35000000000014</v>
      </c>
      <c r="AC48" s="652">
        <f t="shared" si="97"/>
        <v>1728</v>
      </c>
      <c r="AD48" s="51">
        <f t="shared" ref="AD48:AE48" si="99">+AD40-AD57</f>
        <v>648.5</v>
      </c>
      <c r="AE48" s="629">
        <f t="shared" si="99"/>
        <v>647.5</v>
      </c>
      <c r="AF48" s="652">
        <f t="shared" si="97"/>
        <v>1296</v>
      </c>
      <c r="AG48" s="51">
        <f t="shared" si="97"/>
        <v>437</v>
      </c>
      <c r="AH48" s="629">
        <f t="shared" si="97"/>
        <v>284</v>
      </c>
      <c r="AI48" s="652">
        <f t="shared" si="97"/>
        <v>721</v>
      </c>
      <c r="AJ48" s="51">
        <f t="shared" ref="AJ48:AK48" si="100">+AJ40-AJ57</f>
        <v>326</v>
      </c>
      <c r="AK48" s="629">
        <f t="shared" si="100"/>
        <v>486</v>
      </c>
      <c r="AL48" s="652">
        <f t="shared" si="97"/>
        <v>812</v>
      </c>
      <c r="AM48" s="51">
        <f t="shared" si="97"/>
        <v>450</v>
      </c>
      <c r="AN48" s="629">
        <f t="shared" si="97"/>
        <v>688</v>
      </c>
      <c r="AO48" s="652">
        <f>+AO40-AO57</f>
        <v>1138</v>
      </c>
      <c r="AP48" s="51">
        <f t="shared" ref="AP48:AQ48" si="101">+AP40-AP57</f>
        <v>416.6</v>
      </c>
      <c r="AQ48" s="629">
        <f t="shared" si="101"/>
        <v>711.4</v>
      </c>
      <c r="AR48" s="652">
        <f>+AR40-AR57</f>
        <v>1128</v>
      </c>
      <c r="AS48" s="51">
        <f t="shared" ref="AS48" si="102">+AS40-AS57</f>
        <v>556</v>
      </c>
      <c r="AT48" s="218">
        <f>AU48-AS48</f>
        <v>639</v>
      </c>
      <c r="AU48" s="652">
        <f>+AU40-AU57</f>
        <v>1195</v>
      </c>
      <c r="AV48" s="51">
        <f t="shared" ref="AV48" si="103">+AV40-AV57</f>
        <v>879</v>
      </c>
      <c r="AW48" s="1136">
        <f>AX48-AV48</f>
        <v>906.19750893752234</v>
      </c>
      <c r="AX48" s="576">
        <f>+AX161+AX171+AX181+AX191+AX211+AX201</f>
        <v>1785.1975089375223</v>
      </c>
      <c r="AY48" s="48">
        <f>+AY161+AY171+AY181+AY191+AY211+AY201</f>
        <v>1027.0882608695651</v>
      </c>
      <c r="AZ48" s="237">
        <f t="shared" ref="AZ48" si="104">+AZ161+AZ171+AZ181+AZ191+AZ211+AZ201</f>
        <v>1098.5917391304345</v>
      </c>
      <c r="BA48" s="576">
        <f>+BA161+BA171+BA181+BA191+BA211+BA201</f>
        <v>2125.6799999999994</v>
      </c>
      <c r="BB48" s="48">
        <f>+BB161+BB171+BB181+BB191+BB211+BB201</f>
        <v>1137.6573527667983</v>
      </c>
      <c r="BC48" s="237">
        <f t="shared" ref="BC48" si="105">+BC161+BC171+BC181+BC191+BC211+BC201</f>
        <v>1264.602601778656</v>
      </c>
      <c r="BD48" s="576">
        <f>+BD161+BD171+BD181+BD191+BD211+BD201</f>
        <v>2402.2599545454541</v>
      </c>
      <c r="BE48" s="48">
        <f>+BE161+BE171+BE181+BE191+BE211+BE201</f>
        <v>1263.1311348616603</v>
      </c>
      <c r="BF48" s="237">
        <f t="shared" ref="BF48" si="106">+BF161+BF171+BF181+BF191+BF211+BF201</f>
        <v>1346.1743310474303</v>
      </c>
      <c r="BG48" s="576">
        <f>+BG161+BG171+BG181+BG191+BG211+BG201</f>
        <v>2609.3054659090903</v>
      </c>
      <c r="BH48" s="48">
        <f>+BH161+BH171+BH181+BH191+BH211+BH201</f>
        <v>1327.5730955241106</v>
      </c>
      <c r="BI48" s="237">
        <f t="shared" ref="BI48" si="107">+BI161+BI171+BI181+BI191+BI211+BI201</f>
        <v>1333.9184797031619</v>
      </c>
      <c r="BJ48" s="576">
        <f>+BJ161+BJ171+BJ181+BJ191+BJ211+BJ201</f>
        <v>2661.4915752272723</v>
      </c>
      <c r="BK48" s="2"/>
    </row>
    <row r="49" spans="1:66">
      <c r="A49" s="25" t="s">
        <v>470</v>
      </c>
      <c r="B49" s="40"/>
      <c r="C49" s="40"/>
      <c r="D49" s="40"/>
      <c r="E49" s="40"/>
      <c r="F49" s="40"/>
      <c r="G49" s="40"/>
      <c r="H49" s="40"/>
      <c r="I49" s="40"/>
      <c r="J49" s="40"/>
      <c r="K49" s="40"/>
      <c r="L49" s="40"/>
      <c r="M49" s="40"/>
      <c r="N49" s="40"/>
      <c r="O49" s="40"/>
      <c r="P49" s="40">
        <f>+P87-P58</f>
        <v>279</v>
      </c>
      <c r="Q49" s="40">
        <f>+Q87-Q58</f>
        <v>276</v>
      </c>
      <c r="R49" s="40"/>
      <c r="S49" s="630"/>
      <c r="T49" s="653">
        <f t="shared" ref="T49:AM49" si="108">+T87-T58</f>
        <v>320</v>
      </c>
      <c r="U49" s="40">
        <f t="shared" si="108"/>
        <v>202</v>
      </c>
      <c r="V49" s="630">
        <f t="shared" si="108"/>
        <v>242</v>
      </c>
      <c r="W49" s="653">
        <f t="shared" si="108"/>
        <v>444</v>
      </c>
      <c r="X49" s="40">
        <f t="shared" si="108"/>
        <v>240</v>
      </c>
      <c r="Y49" s="630">
        <f t="shared" si="108"/>
        <v>179</v>
      </c>
      <c r="Z49" s="653">
        <f t="shared" si="108"/>
        <v>419</v>
      </c>
      <c r="AA49" s="40">
        <f t="shared" si="108"/>
        <v>239</v>
      </c>
      <c r="AB49" s="630">
        <f t="shared" si="108"/>
        <v>211</v>
      </c>
      <c r="AC49" s="653">
        <f t="shared" si="108"/>
        <v>450</v>
      </c>
      <c r="AD49" s="40">
        <f t="shared" si="108"/>
        <v>123.3</v>
      </c>
      <c r="AE49" s="630">
        <f t="shared" si="108"/>
        <v>115.7</v>
      </c>
      <c r="AF49" s="653">
        <f t="shared" si="108"/>
        <v>239</v>
      </c>
      <c r="AG49" s="40">
        <f t="shared" si="108"/>
        <v>90</v>
      </c>
      <c r="AH49" s="630">
        <f t="shared" si="108"/>
        <v>69</v>
      </c>
      <c r="AI49" s="653">
        <f t="shared" si="108"/>
        <v>159</v>
      </c>
      <c r="AJ49" s="40">
        <f t="shared" si="108"/>
        <v>70</v>
      </c>
      <c r="AK49" s="630">
        <f t="shared" si="108"/>
        <v>76</v>
      </c>
      <c r="AL49" s="653">
        <f t="shared" si="108"/>
        <v>146</v>
      </c>
      <c r="AM49" s="40">
        <f t="shared" si="108"/>
        <v>97</v>
      </c>
      <c r="AN49" s="630">
        <f t="shared" ref="AN49:AP49" si="109">+AN87-AN58</f>
        <v>112</v>
      </c>
      <c r="AO49" s="653">
        <f t="shared" si="109"/>
        <v>209</v>
      </c>
      <c r="AP49" s="40">
        <f t="shared" si="109"/>
        <v>99</v>
      </c>
      <c r="AQ49" s="630">
        <f t="shared" ref="AQ49:AU49" si="110">+AQ87-AQ58</f>
        <v>122</v>
      </c>
      <c r="AR49" s="653">
        <f t="shared" si="110"/>
        <v>221</v>
      </c>
      <c r="AS49" s="40">
        <f t="shared" si="110"/>
        <v>99</v>
      </c>
      <c r="AT49" s="216">
        <f>AU49-AS49</f>
        <v>108</v>
      </c>
      <c r="AU49" s="653">
        <f t="shared" si="110"/>
        <v>207</v>
      </c>
      <c r="AV49" s="40">
        <f>+AV87-AV58</f>
        <v>132</v>
      </c>
      <c r="AW49" s="236">
        <f>AX49-AV49</f>
        <v>129</v>
      </c>
      <c r="AX49" s="605">
        <f>+AX162+AX172+AX182+AX192+AX212+AX202</f>
        <v>261</v>
      </c>
      <c r="AY49" s="56">
        <f>+AY162+AY172+AY182+AY192+AY212+AY202</f>
        <v>146</v>
      </c>
      <c r="AZ49" s="236">
        <f>BA49-AY49</f>
        <v>150</v>
      </c>
      <c r="BA49" s="605">
        <f>+BA162+BA172+BA182+BA192+BA212+BA202</f>
        <v>296</v>
      </c>
      <c r="BB49" s="56">
        <f>+BB162+BB172+BB182+BB192+BB212+BB202</f>
        <v>157</v>
      </c>
      <c r="BC49" s="236">
        <f>BD49-BB49</f>
        <v>162</v>
      </c>
      <c r="BD49" s="605">
        <f>+BD162+BD172+BD182+BD192+BD212+BD202</f>
        <v>319</v>
      </c>
      <c r="BE49" s="56">
        <f>+BE162+BE172+BE182+BE192+BE212+BE202</f>
        <v>170</v>
      </c>
      <c r="BF49" s="236">
        <f>BG49-BE49</f>
        <v>169</v>
      </c>
      <c r="BG49" s="605">
        <f>+BG162+BG172+BG182+BG192+BG212+BG202</f>
        <v>339</v>
      </c>
      <c r="BH49" s="56">
        <f>+BH162+BH172+BH182+BH192+BH212+BH202</f>
        <v>176</v>
      </c>
      <c r="BI49" s="236">
        <f>BJ49-BH49</f>
        <v>163</v>
      </c>
      <c r="BJ49" s="605">
        <f>+BJ162+BJ172+BJ182+BJ192+BJ212+BJ202</f>
        <v>339</v>
      </c>
      <c r="BK49"/>
      <c r="BM49" s="88"/>
    </row>
    <row r="50" spans="1:66" ht="11.4">
      <c r="A50" s="100" t="s">
        <v>506</v>
      </c>
      <c r="B50" s="40"/>
      <c r="C50" s="40"/>
      <c r="D50" s="40"/>
      <c r="E50" s="40"/>
      <c r="F50" s="40"/>
      <c r="G50" s="40"/>
      <c r="H50" s="40"/>
      <c r="I50" s="40"/>
      <c r="J50" s="40"/>
      <c r="K50" s="40"/>
      <c r="L50" s="40"/>
      <c r="M50" s="40"/>
      <c r="N50" s="40"/>
      <c r="O50" s="40"/>
      <c r="P50" s="81">
        <f t="shared" ref="P50:BJ50" si="111">+P48/P49</f>
        <v>3.9429070472443808</v>
      </c>
      <c r="Q50" s="81">
        <f t="shared" si="111"/>
        <v>2.9041032155971229</v>
      </c>
      <c r="R50" s="81"/>
      <c r="S50" s="636"/>
      <c r="T50" s="659">
        <f t="shared" si="111"/>
        <v>3.3642769607843137</v>
      </c>
      <c r="U50" s="81">
        <f>+U48/U49</f>
        <v>3.35</v>
      </c>
      <c r="V50" s="636">
        <f>+V48/V49</f>
        <v>3.8214876033057847</v>
      </c>
      <c r="W50" s="659">
        <f t="shared" si="111"/>
        <v>3.6069819819819822</v>
      </c>
      <c r="X50" s="81">
        <f>+X48/X49</f>
        <v>3.8</v>
      </c>
      <c r="Y50" s="636">
        <f>+Y48/Y49</f>
        <v>4.5307262569832405</v>
      </c>
      <c r="Z50" s="659">
        <f t="shared" si="111"/>
        <v>4.1121718377088303</v>
      </c>
      <c r="AA50" s="81">
        <f>+AA48/AA49</f>
        <v>4.3499999999999996</v>
      </c>
      <c r="AB50" s="636">
        <f>+AB48/AB49</f>
        <v>3.2623222748815173</v>
      </c>
      <c r="AC50" s="659">
        <f t="shared" si="111"/>
        <v>3.84</v>
      </c>
      <c r="AD50" s="81">
        <f>+AD48/AD49</f>
        <v>5.259529602595296</v>
      </c>
      <c r="AE50" s="636">
        <f>+AE48/AE49</f>
        <v>5.5963699222126184</v>
      </c>
      <c r="AF50" s="659">
        <f>+AF48/AF49</f>
        <v>5.4225941422594142</v>
      </c>
      <c r="AG50" s="81">
        <f>+AG48/AG49</f>
        <v>4.8555555555555552</v>
      </c>
      <c r="AH50" s="636">
        <f>+AH48/AH49</f>
        <v>4.1159420289855069</v>
      </c>
      <c r="AI50" s="659">
        <f t="shared" si="111"/>
        <v>4.5345911949685531</v>
      </c>
      <c r="AJ50" s="81">
        <f t="shared" ref="AJ50:AM50" si="112">+AJ48/AJ49</f>
        <v>4.6571428571428575</v>
      </c>
      <c r="AK50" s="636">
        <f t="shared" si="112"/>
        <v>6.3947368421052628</v>
      </c>
      <c r="AL50" s="659">
        <f t="shared" si="112"/>
        <v>5.5616438356164384</v>
      </c>
      <c r="AM50" s="81">
        <f t="shared" si="112"/>
        <v>4.6391752577319592</v>
      </c>
      <c r="AN50" s="636">
        <f t="shared" ref="AN50:AP50" si="113">+AN48/AN49</f>
        <v>6.1428571428571432</v>
      </c>
      <c r="AO50" s="659">
        <f t="shared" si="113"/>
        <v>5.4449760765550241</v>
      </c>
      <c r="AP50" s="81">
        <f t="shared" si="113"/>
        <v>4.2080808080808083</v>
      </c>
      <c r="AQ50" s="636">
        <f t="shared" ref="AQ50:AS50" si="114">+AQ48/AQ49</f>
        <v>5.831147540983606</v>
      </c>
      <c r="AR50" s="659">
        <f t="shared" si="114"/>
        <v>5.1040723981900449</v>
      </c>
      <c r="AS50" s="81">
        <f t="shared" si="114"/>
        <v>5.6161616161616159</v>
      </c>
      <c r="AT50" s="234">
        <f>+AT48/AT49</f>
        <v>5.916666666666667</v>
      </c>
      <c r="AU50" s="561">
        <f t="shared" si="111"/>
        <v>5.7729468599033815</v>
      </c>
      <c r="AV50" s="203">
        <f t="shared" si="111"/>
        <v>6.6590909090909092</v>
      </c>
      <c r="AW50" s="235">
        <f>+AW48/AW49</f>
        <v>7.0247868909885449</v>
      </c>
      <c r="AX50" s="611">
        <f>+AX48/AX49</f>
        <v>6.8398371989943385</v>
      </c>
      <c r="AY50" s="173">
        <f t="shared" si="111"/>
        <v>7.0348511018463364</v>
      </c>
      <c r="AZ50" s="235">
        <f>+AZ48/AZ49</f>
        <v>7.3239449275362301</v>
      </c>
      <c r="BA50" s="611">
        <f t="shared" si="111"/>
        <v>7.1813513513513492</v>
      </c>
      <c r="BB50" s="173">
        <f t="shared" si="111"/>
        <v>7.2462251768585881</v>
      </c>
      <c r="BC50" s="235">
        <f>+BC48/BC49</f>
        <v>7.8061888998682472</v>
      </c>
      <c r="BD50" s="611">
        <f t="shared" si="111"/>
        <v>7.5305954687945267</v>
      </c>
      <c r="BE50" s="173">
        <f t="shared" si="111"/>
        <v>7.43018314624506</v>
      </c>
      <c r="BF50" s="235">
        <f>+BF48/BF49</f>
        <v>7.9655285860794693</v>
      </c>
      <c r="BG50" s="611">
        <f t="shared" si="111"/>
        <v>7.6970662711182607</v>
      </c>
      <c r="BH50" s="173">
        <f t="shared" si="111"/>
        <v>7.5430289518415377</v>
      </c>
      <c r="BI50" s="235">
        <f>+BI48/BI49</f>
        <v>8.1835489552341212</v>
      </c>
      <c r="BJ50" s="611">
        <f t="shared" si="111"/>
        <v>7.8510075965406259</v>
      </c>
      <c r="BK50"/>
      <c r="BM50" s="107"/>
      <c r="BN50" s="107"/>
    </row>
    <row r="51" spans="1:66" ht="11.4">
      <c r="A51" s="100" t="s">
        <v>508</v>
      </c>
      <c r="B51" s="40"/>
      <c r="C51" s="40"/>
      <c r="D51" s="40"/>
      <c r="E51" s="40"/>
      <c r="F51" s="40"/>
      <c r="G51" s="40"/>
      <c r="H51" s="40"/>
      <c r="I51" s="40"/>
      <c r="J51" s="40"/>
      <c r="K51" s="40"/>
      <c r="L51" s="40"/>
      <c r="M51" s="40"/>
      <c r="N51" s="40"/>
      <c r="O51" s="40"/>
      <c r="P51" s="40">
        <f>+P50/P$154*10^6*P$68</f>
        <v>87.592774084057496</v>
      </c>
      <c r="Q51" s="40">
        <f>+Q50/Q$154*10^6*Q$68</f>
        <v>61.78214478372832</v>
      </c>
      <c r="R51" s="40"/>
      <c r="S51" s="630"/>
      <c r="T51" s="653">
        <f t="shared" ref="T51:BJ51" si="115">+T50/T$154*10^6*T$68</f>
        <v>68.915450563581686</v>
      </c>
      <c r="U51" s="40">
        <f t="shared" si="115"/>
        <v>68.001284541637958</v>
      </c>
      <c r="V51" s="630">
        <f t="shared" si="115"/>
        <v>77.465790898953117</v>
      </c>
      <c r="W51" s="653">
        <f t="shared" si="115"/>
        <v>72.688846866373268</v>
      </c>
      <c r="X51" s="40">
        <f t="shared" si="115"/>
        <v>75.930018416206281</v>
      </c>
      <c r="Y51" s="630">
        <f t="shared" si="115"/>
        <v>87.798499532538244</v>
      </c>
      <c r="Z51" s="653">
        <f t="shared" si="115"/>
        <v>80.515539782682183</v>
      </c>
      <c r="AA51" s="40">
        <f t="shared" si="115"/>
        <v>84.450651723116422</v>
      </c>
      <c r="AB51" s="630">
        <f t="shared" si="115"/>
        <v>59.968293730833253</v>
      </c>
      <c r="AC51" s="653">
        <f t="shared" si="115"/>
        <v>72.529821843532147</v>
      </c>
      <c r="AD51" s="40">
        <f t="shared" si="115"/>
        <v>81.507835147681888</v>
      </c>
      <c r="AE51" s="630">
        <f t="shared" si="115"/>
        <v>107.04748808798294</v>
      </c>
      <c r="AF51" s="653">
        <f t="shared" si="115"/>
        <v>103.35226452958383</v>
      </c>
      <c r="AG51" s="40">
        <f t="shared" si="115"/>
        <v>82.975439171652582</v>
      </c>
      <c r="AH51" s="630">
        <f t="shared" si="115"/>
        <v>79.105575671888516</v>
      </c>
      <c r="AI51" s="653">
        <f t="shared" si="115"/>
        <v>82.466208224228922</v>
      </c>
      <c r="AJ51" s="40">
        <f t="shared" si="115"/>
        <v>85.071930411508873</v>
      </c>
      <c r="AK51" s="630">
        <f t="shared" si="115"/>
        <v>119.46133542462852</v>
      </c>
      <c r="AL51" s="653">
        <f t="shared" si="115"/>
        <v>102.93989434671288</v>
      </c>
      <c r="AM51" s="40">
        <f t="shared" si="115"/>
        <v>86.965630510624081</v>
      </c>
      <c r="AN51" s="630">
        <f t="shared" si="115"/>
        <v>114.64240372407957</v>
      </c>
      <c r="AO51" s="653">
        <f t="shared" si="115"/>
        <v>101.81641519180303</v>
      </c>
      <c r="AP51" s="40">
        <f t="shared" si="115"/>
        <v>78.511939438507355</v>
      </c>
      <c r="AQ51" s="630">
        <f t="shared" si="115"/>
        <v>107.72282674858639</v>
      </c>
      <c r="AR51" s="653">
        <f t="shared" si="115"/>
        <v>94.69358107549769</v>
      </c>
      <c r="AS51" s="40">
        <f t="shared" si="115"/>
        <v>100.53467217518569</v>
      </c>
      <c r="AT51" s="216">
        <f t="shared" si="115"/>
        <v>105.95860566448802</v>
      </c>
      <c r="AU51" s="556">
        <f t="shared" si="115"/>
        <v>103.36429480890857</v>
      </c>
      <c r="AV51" s="40">
        <f t="shared" si="115"/>
        <v>111.93720508678999</v>
      </c>
      <c r="AW51" s="236">
        <f t="shared" si="115"/>
        <v>163.19877816333809</v>
      </c>
      <c r="AX51" s="605">
        <f t="shared" si="115"/>
        <v>133.32765088090324</v>
      </c>
      <c r="AY51" s="56">
        <f t="shared" si="115"/>
        <v>132.71807411257234</v>
      </c>
      <c r="AZ51" s="236">
        <f t="shared" si="115"/>
        <v>137.2021114338867</v>
      </c>
      <c r="BA51" s="605">
        <f t="shared" si="115"/>
        <v>134.99825882177149</v>
      </c>
      <c r="BB51" s="56">
        <f t="shared" si="115"/>
        <v>131.83047628170877</v>
      </c>
      <c r="BC51" s="236">
        <f t="shared" si="115"/>
        <v>141.09043510471008</v>
      </c>
      <c r="BD51" s="605">
        <f t="shared" si="115"/>
        <v>136.5482947470922</v>
      </c>
      <c r="BE51" s="56">
        <f t="shared" si="115"/>
        <v>133.48798151624882</v>
      </c>
      <c r="BF51" s="236">
        <f t="shared" si="115"/>
        <v>143.22613336925676</v>
      </c>
      <c r="BG51" s="605">
        <f t="shared" si="115"/>
        <v>138.34064973856638</v>
      </c>
      <c r="BH51" s="56">
        <f t="shared" si="115"/>
        <v>136.17136973915598</v>
      </c>
      <c r="BI51" s="236">
        <f t="shared" si="115"/>
        <v>146.38915712436147</v>
      </c>
      <c r="BJ51" s="605">
        <f t="shared" si="115"/>
        <v>141.10746273333771</v>
      </c>
      <c r="BK51"/>
      <c r="BM51" s="107"/>
      <c r="BN51" s="107"/>
    </row>
    <row r="52" spans="1:66">
      <c r="A52" s="25" t="s">
        <v>945</v>
      </c>
      <c r="B52" s="40"/>
      <c r="C52" s="40"/>
      <c r="D52" s="40"/>
      <c r="E52" s="40"/>
      <c r="F52" s="40"/>
      <c r="G52" s="40"/>
      <c r="H52" s="40"/>
      <c r="I52" s="40"/>
      <c r="J52" s="40"/>
      <c r="K52" s="40"/>
      <c r="L52" s="40"/>
      <c r="M52" s="40"/>
      <c r="N52" s="40"/>
      <c r="O52" s="40"/>
      <c r="P52" s="40"/>
      <c r="Q52" s="40"/>
      <c r="R52" s="40"/>
      <c r="S52" s="630"/>
      <c r="T52" s="653"/>
      <c r="U52" s="40">
        <f>U49*U53</f>
        <v>-323.20000000000005</v>
      </c>
      <c r="V52" s="630">
        <f>W52-U52</f>
        <v>-387.20000000000005</v>
      </c>
      <c r="W52" s="653">
        <f t="shared" ref="W52:AI52" si="116">W49*W53</f>
        <v>-710.40000000000009</v>
      </c>
      <c r="X52" s="40">
        <f>X49*X53</f>
        <v>-336</v>
      </c>
      <c r="Y52" s="630">
        <f>Z52-X52</f>
        <v>-250.59999999999991</v>
      </c>
      <c r="Z52" s="653">
        <f t="shared" si="116"/>
        <v>-586.59999999999991</v>
      </c>
      <c r="AA52" s="40">
        <f>AA49*AA53</f>
        <v>-286.8</v>
      </c>
      <c r="AB52" s="630">
        <f>AC52-AA52</f>
        <v>-253.2</v>
      </c>
      <c r="AC52" s="653">
        <f t="shared" si="116"/>
        <v>-540</v>
      </c>
      <c r="AD52" s="40">
        <f>AD49*AD53</f>
        <v>-135.63</v>
      </c>
      <c r="AE52" s="630">
        <f>AF52-AD52</f>
        <v>-127.27000000000004</v>
      </c>
      <c r="AF52" s="653">
        <f t="shared" si="116"/>
        <v>-262.90000000000003</v>
      </c>
      <c r="AG52" s="40">
        <f>AG49*AG53</f>
        <v>-94.5</v>
      </c>
      <c r="AH52" s="630">
        <f>AI52-AG52</f>
        <v>-72.450000000000017</v>
      </c>
      <c r="AI52" s="653">
        <f t="shared" si="116"/>
        <v>-166.95000000000002</v>
      </c>
      <c r="AJ52" s="40">
        <f>AJ49*AJ53</f>
        <v>-70</v>
      </c>
      <c r="AK52" s="630">
        <f>AL52-AJ52</f>
        <v>-76</v>
      </c>
      <c r="AL52" s="653">
        <f>AL49*AL53</f>
        <v>-146</v>
      </c>
      <c r="AM52" s="40">
        <f>AM49*AM53</f>
        <v>-97</v>
      </c>
      <c r="AN52" s="630">
        <f>AO52-AM52</f>
        <v>-112</v>
      </c>
      <c r="AO52" s="653">
        <f>AO49*AO53</f>
        <v>-209</v>
      </c>
      <c r="AP52" s="40">
        <f>AP49*AP53</f>
        <v>-99</v>
      </c>
      <c r="AQ52" s="630">
        <f>AR52-AP52</f>
        <v>-122</v>
      </c>
      <c r="AR52" s="653">
        <f>AR49*AR53</f>
        <v>-221</v>
      </c>
      <c r="AS52" s="40">
        <f>AS49*AS53</f>
        <v>-84.149999999999991</v>
      </c>
      <c r="AT52" s="630">
        <f>AU52-AS52</f>
        <v>-71.100000000000009</v>
      </c>
      <c r="AU52" s="653">
        <f t="shared" ref="AU52:BJ52" si="117">AU53*AU49</f>
        <v>-155.25</v>
      </c>
      <c r="AV52" s="40">
        <f>AV49*AV53</f>
        <v>-79.2</v>
      </c>
      <c r="AW52" s="601">
        <f>AX52-AV52</f>
        <v>-51.3</v>
      </c>
      <c r="AX52" s="625">
        <f t="shared" si="117"/>
        <v>-130.5</v>
      </c>
      <c r="AY52" s="49">
        <f t="shared" si="117"/>
        <v>-36.5</v>
      </c>
      <c r="AZ52" s="601">
        <f>BA52-AY52</f>
        <v>-37.5</v>
      </c>
      <c r="BA52" s="625">
        <f t="shared" si="117"/>
        <v>-74</v>
      </c>
      <c r="BB52" s="49">
        <f t="shared" si="117"/>
        <v>0</v>
      </c>
      <c r="BC52" s="601">
        <f>BD52-BB52</f>
        <v>0</v>
      </c>
      <c r="BD52" s="625">
        <f t="shared" si="117"/>
        <v>0</v>
      </c>
      <c r="BE52" s="49">
        <f t="shared" si="117"/>
        <v>0</v>
      </c>
      <c r="BF52" s="601">
        <f>BG52-BE52</f>
        <v>0</v>
      </c>
      <c r="BG52" s="625">
        <f t="shared" si="117"/>
        <v>0</v>
      </c>
      <c r="BH52" s="49">
        <f t="shared" si="117"/>
        <v>0</v>
      </c>
      <c r="BI52" s="601">
        <f>BJ52-BH52</f>
        <v>0</v>
      </c>
      <c r="BJ52" s="625">
        <f t="shared" si="117"/>
        <v>0</v>
      </c>
      <c r="BK52"/>
    </row>
    <row r="53" spans="1:66">
      <c r="A53" s="25" t="s">
        <v>946</v>
      </c>
      <c r="B53" s="40"/>
      <c r="C53" s="40"/>
      <c r="D53" s="40"/>
      <c r="E53" s="40"/>
      <c r="F53" s="40"/>
      <c r="G53" s="40"/>
      <c r="H53" s="40"/>
      <c r="I53" s="40"/>
      <c r="J53" s="40"/>
      <c r="K53" s="40"/>
      <c r="L53" s="40"/>
      <c r="M53" s="40"/>
      <c r="N53" s="40"/>
      <c r="O53" s="40"/>
      <c r="P53" s="40"/>
      <c r="Q53" s="40"/>
      <c r="R53" s="81"/>
      <c r="S53" s="636"/>
      <c r="T53" s="659"/>
      <c r="U53" s="81">
        <f>W53</f>
        <v>-1.6</v>
      </c>
      <c r="V53" s="636">
        <f>V52/V49</f>
        <v>-1.6</v>
      </c>
      <c r="W53" s="659">
        <v>-1.6</v>
      </c>
      <c r="X53" s="81">
        <f>Z53</f>
        <v>-1.4</v>
      </c>
      <c r="Y53" s="636">
        <f>Y52/Y49</f>
        <v>-1.3999999999999995</v>
      </c>
      <c r="Z53" s="659">
        <v>-1.4</v>
      </c>
      <c r="AA53" s="81">
        <f>AC53</f>
        <v>-1.2</v>
      </c>
      <c r="AB53" s="636">
        <f>AB52/AB49</f>
        <v>-1.2</v>
      </c>
      <c r="AC53" s="659">
        <v>-1.2</v>
      </c>
      <c r="AD53" s="81">
        <f>AF53</f>
        <v>-1.1000000000000001</v>
      </c>
      <c r="AE53" s="636">
        <f>AE52/AE49</f>
        <v>-1.1000000000000003</v>
      </c>
      <c r="AF53" s="561">
        <v>-1.1000000000000001</v>
      </c>
      <c r="AG53" s="81">
        <f>AI53</f>
        <v>-1.05</v>
      </c>
      <c r="AH53" s="636">
        <f>AH52/AH49</f>
        <v>-1.0500000000000003</v>
      </c>
      <c r="AI53" s="659">
        <v>-1.05</v>
      </c>
      <c r="AJ53" s="81">
        <f>AL53</f>
        <v>-1</v>
      </c>
      <c r="AK53" s="636">
        <f>AK52/AK49</f>
        <v>-1</v>
      </c>
      <c r="AL53" s="659">
        <v>-1</v>
      </c>
      <c r="AM53" s="203">
        <v>-1</v>
      </c>
      <c r="AN53" s="234">
        <f>AO53</f>
        <v>-1</v>
      </c>
      <c r="AO53" s="561">
        <v>-1</v>
      </c>
      <c r="AP53" s="203">
        <v>-1</v>
      </c>
      <c r="AQ53" s="234">
        <f>AR53</f>
        <v>-1</v>
      </c>
      <c r="AR53" s="561">
        <v>-1</v>
      </c>
      <c r="AS53" s="203">
        <v>-0.85</v>
      </c>
      <c r="AT53" s="234">
        <f>AT52/AT49</f>
        <v>-0.65833333333333344</v>
      </c>
      <c r="AU53" s="561">
        <v>-0.75</v>
      </c>
      <c r="AV53" s="203">
        <v>-0.6</v>
      </c>
      <c r="AW53" s="235">
        <f>AW52/AW49</f>
        <v>-0.39767441860465114</v>
      </c>
      <c r="AX53" s="1081">
        <v>-0.5</v>
      </c>
      <c r="AY53" s="173">
        <f>BA53</f>
        <v>-0.25</v>
      </c>
      <c r="AZ53" s="235">
        <f>AZ52/AZ49</f>
        <v>-0.25</v>
      </c>
      <c r="BA53" s="1081">
        <v>-0.25</v>
      </c>
      <c r="BB53" s="173">
        <f>BD53</f>
        <v>0</v>
      </c>
      <c r="BC53" s="235">
        <f>BC52/BC49</f>
        <v>0</v>
      </c>
      <c r="BD53" s="1081">
        <v>0</v>
      </c>
      <c r="BE53" s="173">
        <f>BG53</f>
        <v>0</v>
      </c>
      <c r="BF53" s="235">
        <f>BF52/BF49</f>
        <v>0</v>
      </c>
      <c r="BG53" s="1081">
        <v>0</v>
      </c>
      <c r="BH53" s="173">
        <f>BJ53</f>
        <v>0</v>
      </c>
      <c r="BI53" s="235">
        <f>BI52/BI49</f>
        <v>0</v>
      </c>
      <c r="BJ53" s="1081">
        <v>0</v>
      </c>
      <c r="BK53"/>
    </row>
    <row r="54" spans="1:66">
      <c r="A54" s="25" t="s">
        <v>940</v>
      </c>
      <c r="B54" s="40"/>
      <c r="C54" s="40"/>
      <c r="D54" s="40"/>
      <c r="E54" s="40"/>
      <c r="F54" s="40"/>
      <c r="G54" s="40"/>
      <c r="H54" s="40"/>
      <c r="I54" s="40"/>
      <c r="J54" s="40"/>
      <c r="K54" s="40"/>
      <c r="L54" s="40"/>
      <c r="M54" s="40"/>
      <c r="N54" s="40"/>
      <c r="O54" s="40"/>
      <c r="P54" s="40"/>
      <c r="Q54" s="40"/>
      <c r="R54" s="121"/>
      <c r="S54" s="776"/>
      <c r="T54" s="783"/>
      <c r="U54" s="121"/>
      <c r="V54" s="776"/>
      <c r="W54" s="783"/>
      <c r="X54" s="121">
        <f>-(X53/U53-1)</f>
        <v>0.12500000000000011</v>
      </c>
      <c r="Y54" s="776">
        <f>-(Y53/V53-1)</f>
        <v>0.12500000000000033</v>
      </c>
      <c r="Z54" s="783">
        <f t="shared" ref="Z54" si="118">-(Z53/W53-1)</f>
        <v>0.12500000000000011</v>
      </c>
      <c r="AA54" s="121">
        <f t="shared" ref="AA54:AR54" si="119">-(AA53/X53-1)</f>
        <v>0.14285714285714279</v>
      </c>
      <c r="AB54" s="776">
        <f t="shared" si="119"/>
        <v>0.14285714285714257</v>
      </c>
      <c r="AC54" s="783">
        <f t="shared" si="119"/>
        <v>0.14285714285714279</v>
      </c>
      <c r="AD54" s="121">
        <f t="shared" si="119"/>
        <v>8.3333333333333259E-2</v>
      </c>
      <c r="AE54" s="776">
        <f t="shared" si="119"/>
        <v>8.3333333333333037E-2</v>
      </c>
      <c r="AF54" s="783">
        <f t="shared" si="119"/>
        <v>8.3333333333333259E-2</v>
      </c>
      <c r="AG54" s="121">
        <f t="shared" si="119"/>
        <v>4.5454545454545525E-2</v>
      </c>
      <c r="AH54" s="776">
        <f t="shared" si="119"/>
        <v>4.5454545454545525E-2</v>
      </c>
      <c r="AI54" s="783">
        <f t="shared" si="119"/>
        <v>4.5454545454545525E-2</v>
      </c>
      <c r="AJ54" s="121">
        <f t="shared" si="119"/>
        <v>4.7619047619047672E-2</v>
      </c>
      <c r="AK54" s="776">
        <f t="shared" si="119"/>
        <v>4.7619047619047894E-2</v>
      </c>
      <c r="AL54" s="783">
        <f t="shared" si="119"/>
        <v>4.7619047619047672E-2</v>
      </c>
      <c r="AM54" s="121">
        <f t="shared" si="119"/>
        <v>0</v>
      </c>
      <c r="AN54" s="931">
        <f t="shared" si="119"/>
        <v>0</v>
      </c>
      <c r="AO54" s="783">
        <f t="shared" si="119"/>
        <v>0</v>
      </c>
      <c r="AP54" s="121">
        <f t="shared" si="119"/>
        <v>0</v>
      </c>
      <c r="AQ54" s="931">
        <f t="shared" ref="AQ54" si="120">-(AQ53/AN53-1)</f>
        <v>0</v>
      </c>
      <c r="AR54" s="783">
        <f t="shared" si="119"/>
        <v>0</v>
      </c>
      <c r="AS54" s="121">
        <f t="shared" ref="AS54" si="121">-(AS53/AP53-1)</f>
        <v>0.15000000000000002</v>
      </c>
      <c r="AT54" s="931">
        <f>-(AT53/AQ53-1)</f>
        <v>0.34166666666666656</v>
      </c>
      <c r="AU54" s="783">
        <f t="shared" ref="AU54" si="122">-(AU53/AR53-1)</f>
        <v>0.25</v>
      </c>
      <c r="AV54" s="121">
        <f t="shared" ref="AV54" si="123">-(AV53/AS53-1)</f>
        <v>0.29411764705882348</v>
      </c>
      <c r="AW54" s="752">
        <f>-(AW53/AT53-1)</f>
        <v>0.3959375919929351</v>
      </c>
      <c r="AX54" s="1086">
        <f t="shared" ref="AX54" si="124">-(AX53/AU53-1)</f>
        <v>0.33333333333333337</v>
      </c>
      <c r="AY54" s="1087">
        <f t="shared" ref="AY54" si="125">-(AY53/AV53-1)</f>
        <v>0.58333333333333326</v>
      </c>
      <c r="AZ54" s="752">
        <f>-(AZ53/AW53-1)</f>
        <v>0.37134502923976609</v>
      </c>
      <c r="BA54" s="1086">
        <f t="shared" ref="BA54" si="126">-(BA53/AX53-1)</f>
        <v>0.5</v>
      </c>
      <c r="BB54" s="1087">
        <f t="shared" ref="BB54" si="127">-(BB53/AY53-1)</f>
        <v>1</v>
      </c>
      <c r="BC54" s="752">
        <f>-(BC53/AZ53-1)</f>
        <v>1</v>
      </c>
      <c r="BD54" s="1086">
        <f t="shared" ref="BD54" si="128">-(BD53/BA53-1)</f>
        <v>1</v>
      </c>
      <c r="BE54" s="1087" t="e">
        <f t="shared" ref="BE54" si="129">-(BE53/BB53-1)</f>
        <v>#DIV/0!</v>
      </c>
      <c r="BF54" s="752" t="e">
        <f>-(BF53/BC53-1)</f>
        <v>#DIV/0!</v>
      </c>
      <c r="BG54" s="1086" t="str">
        <f>IFERROR(-(BG53/BD53-1),"")</f>
        <v/>
      </c>
      <c r="BH54" s="1087" t="e">
        <f t="shared" ref="BH54" si="130">-(BH53/BE53-1)</f>
        <v>#DIV/0!</v>
      </c>
      <c r="BI54" s="752" t="e">
        <f>-(BI53/BF53-1)</f>
        <v>#DIV/0!</v>
      </c>
      <c r="BJ54" s="1086" t="str">
        <f>IFERROR(-(BJ53/BG53-1),"")</f>
        <v/>
      </c>
      <c r="BK54"/>
    </row>
    <row r="55" spans="1:66">
      <c r="A55" s="100" t="s">
        <v>947</v>
      </c>
      <c r="B55" s="40"/>
      <c r="C55" s="40"/>
      <c r="D55" s="40"/>
      <c r="E55" s="40"/>
      <c r="F55" s="40"/>
      <c r="G55" s="40"/>
      <c r="H55" s="40"/>
      <c r="I55" s="40"/>
      <c r="J55" s="40"/>
      <c r="K55" s="40"/>
      <c r="L55" s="40"/>
      <c r="M55" s="40"/>
      <c r="N55" s="40"/>
      <c r="O55" s="40"/>
      <c r="P55" s="40"/>
      <c r="Q55" s="40"/>
      <c r="R55" s="40"/>
      <c r="S55" s="630"/>
      <c r="T55" s="653"/>
      <c r="U55" s="186">
        <f t="shared" ref="U55:AC55" si="131">U52/U48</f>
        <v>-0.47761194029850751</v>
      </c>
      <c r="V55" s="217">
        <f t="shared" si="131"/>
        <v>-0.41868512110726652</v>
      </c>
      <c r="W55" s="554">
        <f t="shared" si="131"/>
        <v>-0.44358413986887296</v>
      </c>
      <c r="X55" s="186">
        <f t="shared" si="131"/>
        <v>-0.36842105263157893</v>
      </c>
      <c r="Y55" s="217">
        <f t="shared" si="131"/>
        <v>-0.3090012330456226</v>
      </c>
      <c r="Z55" s="554">
        <f t="shared" si="131"/>
        <v>-0.34045269878119555</v>
      </c>
      <c r="AA55" s="186">
        <f t="shared" si="131"/>
        <v>-0.27586206896551729</v>
      </c>
      <c r="AB55" s="217">
        <f t="shared" si="131"/>
        <v>-0.36783612987578984</v>
      </c>
      <c r="AC55" s="554">
        <f t="shared" si="131"/>
        <v>-0.3125</v>
      </c>
      <c r="AD55" s="186">
        <f t="shared" ref="AD55:AO55" si="132">AD52/AD48</f>
        <v>-0.20914417887432535</v>
      </c>
      <c r="AE55" s="217">
        <f t="shared" si="132"/>
        <v>-0.19655598455598461</v>
      </c>
      <c r="AF55" s="554">
        <f t="shared" si="132"/>
        <v>-0.20285493827160497</v>
      </c>
      <c r="AG55" s="186">
        <f t="shared" si="132"/>
        <v>-0.21624713958810068</v>
      </c>
      <c r="AH55" s="217">
        <f t="shared" si="132"/>
        <v>-0.25510563380281698</v>
      </c>
      <c r="AI55" s="554">
        <f t="shared" si="132"/>
        <v>-0.23155339805825245</v>
      </c>
      <c r="AJ55" s="186">
        <f t="shared" si="132"/>
        <v>-0.21472392638036811</v>
      </c>
      <c r="AK55" s="217">
        <f t="shared" si="132"/>
        <v>-0.15637860082304528</v>
      </c>
      <c r="AL55" s="554">
        <f t="shared" si="132"/>
        <v>-0.17980295566502463</v>
      </c>
      <c r="AM55" s="186">
        <f t="shared" si="132"/>
        <v>-0.21555555555555556</v>
      </c>
      <c r="AN55" s="217">
        <f t="shared" si="132"/>
        <v>-0.16279069767441862</v>
      </c>
      <c r="AO55" s="554">
        <f t="shared" si="132"/>
        <v>-0.18365553602811951</v>
      </c>
      <c r="AP55" s="186">
        <f t="shared" ref="AP55:AV55" si="133">AP52/AP48</f>
        <v>-0.23763802208353335</v>
      </c>
      <c r="AQ55" s="217">
        <f t="shared" si="133"/>
        <v>-0.17149283103739107</v>
      </c>
      <c r="AR55" s="554">
        <f t="shared" si="133"/>
        <v>-0.19592198581560283</v>
      </c>
      <c r="AS55" s="186">
        <f t="shared" si="133"/>
        <v>-0.15134892086330934</v>
      </c>
      <c r="AT55" s="217">
        <f t="shared" si="133"/>
        <v>-0.11126760563380284</v>
      </c>
      <c r="AU55" s="554">
        <f t="shared" ref="AU55:BJ55" si="134">AU52/AU48</f>
        <v>-0.12991631799163181</v>
      </c>
      <c r="AV55" s="186">
        <f t="shared" si="133"/>
        <v>-9.0102389078498296E-2</v>
      </c>
      <c r="AW55" s="252">
        <f t="shared" si="134"/>
        <v>-5.6610175479457063E-2</v>
      </c>
      <c r="AX55" s="577">
        <f t="shared" si="134"/>
        <v>-7.310115510841618E-2</v>
      </c>
      <c r="AY55" s="1135">
        <f t="shared" si="134"/>
        <v>-3.5537354860913271E-2</v>
      </c>
      <c r="AZ55" s="252">
        <f t="shared" si="134"/>
        <v>-3.4134609486215765E-2</v>
      </c>
      <c r="BA55" s="577">
        <f t="shared" si="134"/>
        <v>-3.4812389447141628E-2</v>
      </c>
      <c r="BB55" s="1135">
        <f t="shared" si="134"/>
        <v>0</v>
      </c>
      <c r="BC55" s="252">
        <f t="shared" si="134"/>
        <v>0</v>
      </c>
      <c r="BD55" s="577">
        <f t="shared" si="134"/>
        <v>0</v>
      </c>
      <c r="BE55" s="1135">
        <f t="shared" si="134"/>
        <v>0</v>
      </c>
      <c r="BF55" s="252">
        <f t="shared" si="134"/>
        <v>0</v>
      </c>
      <c r="BG55" s="577">
        <f t="shared" si="134"/>
        <v>0</v>
      </c>
      <c r="BH55" s="1135">
        <f t="shared" si="134"/>
        <v>0</v>
      </c>
      <c r="BI55" s="252">
        <f t="shared" si="134"/>
        <v>0</v>
      </c>
      <c r="BJ55" s="577">
        <f t="shared" si="134"/>
        <v>0</v>
      </c>
      <c r="BK55"/>
    </row>
    <row r="56" spans="1:66">
      <c r="B56" s="40"/>
      <c r="C56" s="40"/>
      <c r="D56" s="40"/>
      <c r="E56" s="40"/>
      <c r="F56" s="40"/>
      <c r="G56" s="40"/>
      <c r="H56" s="40"/>
      <c r="I56" s="40"/>
      <c r="J56" s="40"/>
      <c r="K56" s="40"/>
      <c r="L56" s="40"/>
      <c r="M56" s="40"/>
      <c r="N56" s="40"/>
      <c r="O56" s="40"/>
      <c r="P56" s="40"/>
      <c r="Q56" s="40"/>
      <c r="R56" s="40"/>
      <c r="S56" s="630"/>
      <c r="T56" s="653"/>
      <c r="U56" s="40"/>
      <c r="V56" s="630"/>
      <c r="W56" s="653"/>
      <c r="X56" s="40"/>
      <c r="Y56" s="630"/>
      <c r="Z56" s="653"/>
      <c r="AA56" s="40"/>
      <c r="AB56" s="630"/>
      <c r="AC56" s="671"/>
      <c r="AD56" s="40"/>
      <c r="AE56" s="630"/>
      <c r="AF56" s="665"/>
      <c r="AG56" s="40"/>
      <c r="AH56" s="630"/>
      <c r="AI56" s="665"/>
      <c r="AJ56" s="102"/>
      <c r="AK56" s="630"/>
      <c r="AL56" s="665"/>
      <c r="AM56" s="102"/>
      <c r="AN56" s="539"/>
      <c r="AO56" s="550"/>
      <c r="AP56"/>
      <c r="AQ56" s="539"/>
      <c r="AR56" s="550"/>
      <c r="AS56"/>
      <c r="AT56" s="539"/>
      <c r="AU56" s="550"/>
      <c r="AV56"/>
      <c r="AW56" s="539"/>
      <c r="AX56" s="550"/>
      <c r="AY56"/>
      <c r="AZ56" s="539"/>
      <c r="BA56" s="550"/>
      <c r="BB56"/>
      <c r="BC56" s="539"/>
      <c r="BD56" s="550"/>
      <c r="BE56"/>
      <c r="BF56" s="539"/>
      <c r="BG56" s="550"/>
      <c r="BH56"/>
      <c r="BI56" s="539"/>
      <c r="BJ56" s="550"/>
      <c r="BK56"/>
    </row>
    <row r="57" spans="1:66" s="31" customFormat="1">
      <c r="A57" s="31" t="s">
        <v>502</v>
      </c>
      <c r="B57" s="51"/>
      <c r="C57" s="51"/>
      <c r="D57" s="51"/>
      <c r="E57" s="51"/>
      <c r="F57" s="51"/>
      <c r="G57" s="51"/>
      <c r="H57" s="51"/>
      <c r="I57" s="51"/>
      <c r="J57" s="51"/>
      <c r="K57" s="51"/>
      <c r="L57" s="51"/>
      <c r="M57" s="51"/>
      <c r="N57" s="51"/>
      <c r="O57" s="51"/>
      <c r="P57" s="51">
        <f t="shared" ref="P57:BJ57" si="135">+P58*P60</f>
        <v>376.92893381881777</v>
      </c>
      <c r="Q57" s="51">
        <f t="shared" si="135"/>
        <v>384.46751249519411</v>
      </c>
      <c r="R57" s="51"/>
      <c r="S57" s="629"/>
      <c r="T57" s="652">
        <f t="shared" si="135"/>
        <v>453.43137254901956</v>
      </c>
      <c r="U57" s="51">
        <f t="shared" si="135"/>
        <v>86.299999999999955</v>
      </c>
      <c r="V57" s="629">
        <f>W57-U57</f>
        <v>401.20000000000005</v>
      </c>
      <c r="W57" s="652">
        <f t="shared" si="135"/>
        <v>487.5</v>
      </c>
      <c r="X57" s="51">
        <f t="shared" ref="X57" si="136">+X58*X60</f>
        <v>245</v>
      </c>
      <c r="Y57" s="629">
        <f>Z57-X57</f>
        <v>405</v>
      </c>
      <c r="Z57" s="652">
        <f t="shared" si="135"/>
        <v>650</v>
      </c>
      <c r="AA57" s="51">
        <f t="shared" si="135"/>
        <v>186.35000000000014</v>
      </c>
      <c r="AB57" s="629">
        <f>AC57-AA57</f>
        <v>653.64999999999986</v>
      </c>
      <c r="AC57" s="652">
        <f>+AC58*AC60</f>
        <v>840</v>
      </c>
      <c r="AD57" s="51">
        <f t="shared" ref="AD57" si="137">+AD58*AD60</f>
        <v>205.50000000000003</v>
      </c>
      <c r="AE57" s="629">
        <f>AF57-AD57</f>
        <v>194.49999999999997</v>
      </c>
      <c r="AF57" s="652">
        <f>+AF58*AF60</f>
        <v>400</v>
      </c>
      <c r="AG57" s="51">
        <f t="shared" ref="AG57" si="138">+AG58*AG60</f>
        <v>170</v>
      </c>
      <c r="AH57" s="629">
        <f>AI57-AG57</f>
        <v>406</v>
      </c>
      <c r="AI57" s="652">
        <f t="shared" si="135"/>
        <v>576</v>
      </c>
      <c r="AJ57" s="51">
        <f t="shared" ref="AJ57" si="139">+AJ58*AJ60</f>
        <v>152</v>
      </c>
      <c r="AK57" s="629">
        <f>AL57-AJ57</f>
        <v>552</v>
      </c>
      <c r="AL57" s="652">
        <f t="shared" si="135"/>
        <v>704</v>
      </c>
      <c r="AM57" s="51">
        <f t="shared" si="135"/>
        <v>378</v>
      </c>
      <c r="AN57" s="629">
        <f>AO57-AM57</f>
        <v>523</v>
      </c>
      <c r="AO57" s="652">
        <f t="shared" ref="AO57:AP57" si="140">+AO58*AO60</f>
        <v>901</v>
      </c>
      <c r="AP57" s="51">
        <f t="shared" si="140"/>
        <v>428.4</v>
      </c>
      <c r="AQ57" s="629">
        <f>AR57-AP57</f>
        <v>597.6</v>
      </c>
      <c r="AR57" s="652">
        <f t="shared" ref="AR57:AS57" si="141">+AR58*AR60</f>
        <v>1026</v>
      </c>
      <c r="AS57" s="51">
        <f t="shared" si="141"/>
        <v>437</v>
      </c>
      <c r="AT57" s="218">
        <f>AU57-AS57</f>
        <v>603</v>
      </c>
      <c r="AU57" s="553">
        <f t="shared" si="135"/>
        <v>1040</v>
      </c>
      <c r="AV57" s="27">
        <f t="shared" si="135"/>
        <v>625</v>
      </c>
      <c r="AW57" s="237">
        <f>AX57-AV57</f>
        <v>667.65137139900048</v>
      </c>
      <c r="AX57" s="576">
        <f t="shared" si="135"/>
        <v>1292.6513713990005</v>
      </c>
      <c r="AY57" s="48">
        <f t="shared" si="135"/>
        <v>653.97674418604663</v>
      </c>
      <c r="AZ57" s="237">
        <f>BA57-AY57</f>
        <v>672.39957716701804</v>
      </c>
      <c r="BA57" s="576">
        <f t="shared" si="135"/>
        <v>1326.3763213530647</v>
      </c>
      <c r="BB57" s="48">
        <f t="shared" si="135"/>
        <v>655.93285714285696</v>
      </c>
      <c r="BC57" s="237">
        <f>BD57-BB57</f>
        <v>674.51142857142861</v>
      </c>
      <c r="BD57" s="576">
        <f t="shared" si="135"/>
        <v>1330.4442857142856</v>
      </c>
      <c r="BE57" s="48">
        <f t="shared" si="135"/>
        <v>690.67697142857185</v>
      </c>
      <c r="BF57" s="237">
        <f>BG57-BE57</f>
        <v>686.88694285714257</v>
      </c>
      <c r="BG57" s="576">
        <f t="shared" si="135"/>
        <v>1377.5639142857144</v>
      </c>
      <c r="BH57" s="48">
        <f t="shared" si="135"/>
        <v>727.68548571428619</v>
      </c>
      <c r="BI57" s="237">
        <f>BJ57-BH57</f>
        <v>677.42970685714249</v>
      </c>
      <c r="BJ57" s="576">
        <f t="shared" si="135"/>
        <v>1405.1151925714287</v>
      </c>
      <c r="BK57" s="2"/>
    </row>
    <row r="58" spans="1:66">
      <c r="A58" s="25" t="s">
        <v>499</v>
      </c>
      <c r="B58" s="40"/>
      <c r="C58" s="40"/>
      <c r="D58" s="40"/>
      <c r="E58" s="40"/>
      <c r="F58" s="40"/>
      <c r="G58" s="40"/>
      <c r="H58" s="40"/>
      <c r="I58" s="40"/>
      <c r="J58" s="40"/>
      <c r="K58" s="40"/>
      <c r="L58" s="40"/>
      <c r="M58" s="40"/>
      <c r="N58" s="40"/>
      <c r="O58" s="40"/>
      <c r="P58" s="40">
        <v>32</v>
      </c>
      <c r="Q58" s="40">
        <v>32</v>
      </c>
      <c r="R58" s="40"/>
      <c r="S58" s="630"/>
      <c r="T58" s="653">
        <v>37</v>
      </c>
      <c r="U58" s="40">
        <v>7</v>
      </c>
      <c r="V58" s="630">
        <f>W58-U58</f>
        <v>32</v>
      </c>
      <c r="W58" s="653">
        <v>39</v>
      </c>
      <c r="X58" s="40">
        <v>19</v>
      </c>
      <c r="Y58" s="630">
        <f>Z58-X58</f>
        <v>31</v>
      </c>
      <c r="Z58" s="653">
        <v>50</v>
      </c>
      <c r="AA58" s="40">
        <v>18</v>
      </c>
      <c r="AB58" s="630">
        <f>AC58-AA58</f>
        <v>42</v>
      </c>
      <c r="AC58" s="556">
        <v>60</v>
      </c>
      <c r="AD58" s="40">
        <v>13.700000000000001</v>
      </c>
      <c r="AE58" s="630">
        <f>AF58-AD58</f>
        <v>11.299999999999999</v>
      </c>
      <c r="AF58" s="653">
        <v>25</v>
      </c>
      <c r="AG58" s="40">
        <v>10</v>
      </c>
      <c r="AH58" s="630">
        <f>AI58-AG58</f>
        <v>26</v>
      </c>
      <c r="AI58" s="653">
        <v>36</v>
      </c>
      <c r="AJ58" s="40">
        <v>8</v>
      </c>
      <c r="AK58" s="630">
        <f>AL58-AJ58</f>
        <v>36</v>
      </c>
      <c r="AL58" s="653">
        <v>44</v>
      </c>
      <c r="AM58" s="40">
        <v>18</v>
      </c>
      <c r="AN58" s="630">
        <f>AO58-AM58</f>
        <v>35</v>
      </c>
      <c r="AO58" s="653">
        <v>53</v>
      </c>
      <c r="AP58" s="40">
        <v>21</v>
      </c>
      <c r="AQ58" s="630">
        <f>AR58-AP58</f>
        <v>36</v>
      </c>
      <c r="AR58" s="653">
        <v>57</v>
      </c>
      <c r="AS58" s="40">
        <v>23</v>
      </c>
      <c r="AT58" s="630">
        <f>AU58-AS58</f>
        <v>29</v>
      </c>
      <c r="AU58" s="556">
        <v>52</v>
      </c>
      <c r="AV58" s="10">
        <v>25</v>
      </c>
      <c r="AW58" s="1123">
        <f>AX58-AV58</f>
        <v>26.706054855960019</v>
      </c>
      <c r="AX58" s="605">
        <f>AX87-AX49</f>
        <v>51.706054855960019</v>
      </c>
      <c r="AY58" s="56">
        <f t="shared" ref="AY58:BJ58" si="142">AY87-AY49</f>
        <v>25.646146830825359</v>
      </c>
      <c r="AZ58" s="236">
        <f t="shared" si="142"/>
        <v>26.368610869294855</v>
      </c>
      <c r="BA58" s="605">
        <f>BA87-BA49</f>
        <v>52.014757700120185</v>
      </c>
      <c r="BB58" s="56">
        <f t="shared" si="142"/>
        <v>25.218487394957975</v>
      </c>
      <c r="BC58" s="236">
        <f t="shared" si="142"/>
        <v>25.932773109243698</v>
      </c>
      <c r="BD58" s="605">
        <f t="shared" si="142"/>
        <v>51.151260504201673</v>
      </c>
      <c r="BE58" s="56">
        <f t="shared" si="142"/>
        <v>26.033613445378165</v>
      </c>
      <c r="BF58" s="236">
        <f t="shared" si="142"/>
        <v>25.890756302521027</v>
      </c>
      <c r="BG58" s="605">
        <f t="shared" si="142"/>
        <v>51.924369747899163</v>
      </c>
      <c r="BH58" s="56">
        <f t="shared" si="142"/>
        <v>26.890756302521027</v>
      </c>
      <c r="BI58" s="236">
        <f t="shared" si="142"/>
        <v>25.033613445378165</v>
      </c>
      <c r="BJ58" s="605">
        <f t="shared" si="142"/>
        <v>51.924369747899163</v>
      </c>
      <c r="BK58" s="169"/>
      <c r="BM58" s="88"/>
    </row>
    <row r="59" spans="1:66">
      <c r="A59" s="100" t="s">
        <v>935</v>
      </c>
      <c r="B59" s="40"/>
      <c r="C59" s="40"/>
      <c r="D59" s="40"/>
      <c r="E59" s="40"/>
      <c r="F59" s="40"/>
      <c r="G59" s="40"/>
      <c r="H59" s="40"/>
      <c r="I59" s="40"/>
      <c r="J59" s="40"/>
      <c r="K59" s="40"/>
      <c r="L59" s="40"/>
      <c r="M59" s="40"/>
      <c r="N59" s="40"/>
      <c r="O59" s="40"/>
      <c r="P59" s="40"/>
      <c r="Q59" s="40"/>
      <c r="R59" s="50"/>
      <c r="S59" s="647"/>
      <c r="T59" s="671"/>
      <c r="U59" s="952">
        <f t="shared" ref="U59:BJ59" si="143">U58/U87</f>
        <v>3.3492822966507178E-2</v>
      </c>
      <c r="V59" s="647">
        <f t="shared" si="143"/>
        <v>0.11678832116788321</v>
      </c>
      <c r="W59" s="671">
        <f t="shared" si="143"/>
        <v>8.0745341614906832E-2</v>
      </c>
      <c r="X59" s="952">
        <f t="shared" si="143"/>
        <v>7.3359073359073365E-2</v>
      </c>
      <c r="Y59" s="647">
        <f t="shared" si="143"/>
        <v>0.14761904761904762</v>
      </c>
      <c r="Z59" s="671">
        <f t="shared" si="143"/>
        <v>0.10660980810234541</v>
      </c>
      <c r="AA59" s="952">
        <f t="shared" si="143"/>
        <v>7.0038910505836577E-2</v>
      </c>
      <c r="AB59" s="647">
        <f t="shared" si="143"/>
        <v>0.16600790513833993</v>
      </c>
      <c r="AC59" s="671">
        <f t="shared" si="143"/>
        <v>0.11764705882352941</v>
      </c>
      <c r="AD59" s="952">
        <f t="shared" si="143"/>
        <v>0.1</v>
      </c>
      <c r="AE59" s="647">
        <f t="shared" si="143"/>
        <v>8.8976377952755897E-2</v>
      </c>
      <c r="AF59" s="671">
        <f t="shared" si="143"/>
        <v>9.4696969696969696E-2</v>
      </c>
      <c r="AG59" s="952">
        <f t="shared" si="143"/>
        <v>0.1</v>
      </c>
      <c r="AH59" s="647">
        <f t="shared" si="143"/>
        <v>0.27368421052631581</v>
      </c>
      <c r="AI59" s="671">
        <f t="shared" si="143"/>
        <v>0.18461538461538463</v>
      </c>
      <c r="AJ59" s="952">
        <f t="shared" si="143"/>
        <v>0.10256410256410256</v>
      </c>
      <c r="AK59" s="647">
        <f t="shared" si="143"/>
        <v>0.32142857142857145</v>
      </c>
      <c r="AL59" s="671">
        <f t="shared" si="143"/>
        <v>0.23157894736842105</v>
      </c>
      <c r="AM59" s="952">
        <f t="shared" si="143"/>
        <v>0.15652173913043479</v>
      </c>
      <c r="AN59" s="217">
        <f t="shared" si="143"/>
        <v>0.23809523809523808</v>
      </c>
      <c r="AO59" s="554">
        <f t="shared" si="143"/>
        <v>0.20229007633587787</v>
      </c>
      <c r="AP59" s="952">
        <f t="shared" si="143"/>
        <v>0.17499999999999999</v>
      </c>
      <c r="AQ59" s="217">
        <f t="shared" ref="AQ59:AR59" si="144">AQ58/AQ87</f>
        <v>0.22784810126582278</v>
      </c>
      <c r="AR59" s="554">
        <f t="shared" si="144"/>
        <v>0.20503597122302158</v>
      </c>
      <c r="AS59" s="952">
        <f t="shared" si="143"/>
        <v>0.18852459016393441</v>
      </c>
      <c r="AT59" s="217">
        <f t="shared" si="143"/>
        <v>0.21167883211678831</v>
      </c>
      <c r="AU59" s="554">
        <f t="shared" si="143"/>
        <v>0.20077220077220076</v>
      </c>
      <c r="AV59" s="186">
        <f t="shared" si="143"/>
        <v>0.15923566878980891</v>
      </c>
      <c r="AW59" s="252">
        <f t="shared" si="143"/>
        <v>0.17151584041266194</v>
      </c>
      <c r="AX59" s="577">
        <f t="shared" si="143"/>
        <v>0.16535034756451095</v>
      </c>
      <c r="AY59" s="182">
        <f t="shared" si="143"/>
        <v>0.14941288985707457</v>
      </c>
      <c r="AZ59" s="252">
        <f t="shared" si="143"/>
        <v>0.14950852501092946</v>
      </c>
      <c r="BA59" s="577">
        <f>BA58/BA87</f>
        <v>0.14946135630529964</v>
      </c>
      <c r="BB59" s="182">
        <f t="shared" si="143"/>
        <v>0.13839697472790993</v>
      </c>
      <c r="BC59" s="252">
        <f t="shared" si="143"/>
        <v>0.1379896261849401</v>
      </c>
      <c r="BD59" s="577">
        <f t="shared" si="143"/>
        <v>0.13819015619324371</v>
      </c>
      <c r="BE59" s="182">
        <f t="shared" si="143"/>
        <v>0.13280178326474629</v>
      </c>
      <c r="BF59" s="252">
        <f t="shared" si="143"/>
        <v>0.13284753363228707</v>
      </c>
      <c r="BG59" s="577">
        <f t="shared" si="143"/>
        <v>0.13282459157351678</v>
      </c>
      <c r="BH59" s="182">
        <f t="shared" si="143"/>
        <v>0.1325381047051028</v>
      </c>
      <c r="BI59" s="252">
        <f t="shared" si="143"/>
        <v>0.1331337146943154</v>
      </c>
      <c r="BJ59" s="577">
        <f t="shared" si="143"/>
        <v>0.13282459157351678</v>
      </c>
      <c r="BK59" s="169"/>
      <c r="BM59" s="88"/>
    </row>
    <row r="60" spans="1:66" ht="11.4">
      <c r="A60" s="100" t="s">
        <v>505</v>
      </c>
      <c r="B60" s="40"/>
      <c r="C60" s="40"/>
      <c r="D60" s="40"/>
      <c r="E60" s="40"/>
      <c r="F60" s="40"/>
      <c r="G60" s="40"/>
      <c r="H60" s="40"/>
      <c r="I60" s="40"/>
      <c r="J60" s="40"/>
      <c r="K60" s="40"/>
      <c r="L60" s="40"/>
      <c r="M60" s="40"/>
      <c r="N60" s="40"/>
      <c r="O60" s="40"/>
      <c r="P60" s="81">
        <f>+Q60/1.02</f>
        <v>11.779029181838055</v>
      </c>
      <c r="Q60" s="81">
        <f>+T60/1.02</f>
        <v>12.014609765474816</v>
      </c>
      <c r="R60" s="81"/>
      <c r="S60" s="636"/>
      <c r="T60" s="659">
        <f>+W60/1.02</f>
        <v>12.254901960784313</v>
      </c>
      <c r="U60" s="203">
        <v>12.328571428571422</v>
      </c>
      <c r="V60" s="234">
        <f>V57/V58</f>
        <v>12.537500000000001</v>
      </c>
      <c r="W60" s="659">
        <v>12.5</v>
      </c>
      <c r="X60" s="203">
        <v>12.894736842105264</v>
      </c>
      <c r="Y60" s="234">
        <f>Y57/Y58</f>
        <v>13.064516129032258</v>
      </c>
      <c r="Z60" s="659">
        <v>13</v>
      </c>
      <c r="AA60" s="203">
        <v>10.352777777777785</v>
      </c>
      <c r="AB60" s="234">
        <f>AB57/AB58</f>
        <v>15.563095238095235</v>
      </c>
      <c r="AC60" s="659">
        <v>14</v>
      </c>
      <c r="AD60" s="203">
        <v>15</v>
      </c>
      <c r="AE60" s="234">
        <f>AE57/AE58</f>
        <v>17.212389380530972</v>
      </c>
      <c r="AF60" s="561">
        <v>16</v>
      </c>
      <c r="AG60" s="203">
        <v>17</v>
      </c>
      <c r="AH60" s="234">
        <f>AH57/AH58</f>
        <v>15.615384615384615</v>
      </c>
      <c r="AI60" s="561">
        <v>16</v>
      </c>
      <c r="AJ60" s="203">
        <v>19</v>
      </c>
      <c r="AK60" s="234">
        <f>AK57/AK58</f>
        <v>15.333333333333334</v>
      </c>
      <c r="AL60" s="561">
        <v>16</v>
      </c>
      <c r="AM60" s="203">
        <v>21</v>
      </c>
      <c r="AN60" s="234">
        <f>AN57/AN58</f>
        <v>14.942857142857143</v>
      </c>
      <c r="AO60" s="561">
        <v>17</v>
      </c>
      <c r="AP60" s="203">
        <v>20.399999999999999</v>
      </c>
      <c r="AQ60" s="234">
        <f>AQ57/AQ58</f>
        <v>16.600000000000001</v>
      </c>
      <c r="AR60" s="561">
        <v>18</v>
      </c>
      <c r="AS60" s="203">
        <v>19</v>
      </c>
      <c r="AT60" s="234">
        <f>AT57/AT58</f>
        <v>20.793103448275861</v>
      </c>
      <c r="AU60" s="561">
        <v>20</v>
      </c>
      <c r="AV60" s="203">
        <v>25</v>
      </c>
      <c r="AW60" s="235">
        <f>AW57/AW58</f>
        <v>25</v>
      </c>
      <c r="AX60" s="1081">
        <v>25</v>
      </c>
      <c r="AY60" s="173">
        <f>BA60</f>
        <v>25.5</v>
      </c>
      <c r="AZ60" s="235">
        <f>AZ57/AZ58</f>
        <v>25.499999999999972</v>
      </c>
      <c r="BA60" s="611">
        <f>AX60*(1+BA157)</f>
        <v>25.5</v>
      </c>
      <c r="BB60" s="173">
        <f>BD60</f>
        <v>26.01</v>
      </c>
      <c r="BC60" s="235">
        <f>BC57/BC58</f>
        <v>26.01</v>
      </c>
      <c r="BD60" s="611">
        <f>BA60*(1+BD157)</f>
        <v>26.01</v>
      </c>
      <c r="BE60" s="173">
        <f>BG60</f>
        <v>26.530200000000001</v>
      </c>
      <c r="BF60" s="235">
        <f>BF57/BF58</f>
        <v>26.530199999999969</v>
      </c>
      <c r="BG60" s="611">
        <f>BD60*(1+BG157)</f>
        <v>26.530200000000001</v>
      </c>
      <c r="BH60" s="173">
        <f>BJ60</f>
        <v>27.060804000000001</v>
      </c>
      <c r="BI60" s="235">
        <f>BI57/BI58</f>
        <v>27.060803999999969</v>
      </c>
      <c r="BJ60" s="611">
        <f>BG60*(1+BJ157)</f>
        <v>27.060804000000001</v>
      </c>
      <c r="BK60"/>
      <c r="BL60" s="91"/>
      <c r="BM60" s="107"/>
      <c r="BN60" s="107"/>
    </row>
    <row r="61" spans="1:66" ht="11.4">
      <c r="A61" s="100" t="s">
        <v>507</v>
      </c>
      <c r="B61" s="40"/>
      <c r="C61" s="40"/>
      <c r="D61" s="40"/>
      <c r="E61" s="40"/>
      <c r="F61" s="40"/>
      <c r="G61" s="40"/>
      <c r="H61" s="40"/>
      <c r="I61" s="40"/>
      <c r="J61" s="40"/>
      <c r="K61" s="40"/>
      <c r="L61" s="40"/>
      <c r="M61" s="40"/>
      <c r="N61" s="40"/>
      <c r="O61" s="40"/>
      <c r="P61" s="40">
        <f>+P$60/P154*10^6*P$68</f>
        <v>261.67440157518712</v>
      </c>
      <c r="Q61" s="40">
        <f>+Q$60/Q154*10^6*Q$68</f>
        <v>255.59985473792355</v>
      </c>
      <c r="R61" s="10"/>
      <c r="S61" s="216"/>
      <c r="T61" s="556">
        <f>+T$60/T154*10^6*T$68</f>
        <v>251.03524474485627</v>
      </c>
      <c r="U61" s="10">
        <f t="shared" ref="U61:BJ61" si="145">((U60*U68)*(10^6))/U154</f>
        <v>250.25632647946068</v>
      </c>
      <c r="V61" s="216">
        <f t="shared" si="145"/>
        <v>254.1490262994607</v>
      </c>
      <c r="W61" s="556">
        <f t="shared" si="145"/>
        <v>251.90327824437819</v>
      </c>
      <c r="X61" s="10">
        <f t="shared" si="145"/>
        <v>257.65726470873329</v>
      </c>
      <c r="Y61" s="216">
        <f t="shared" si="145"/>
        <v>253.17020896588676</v>
      </c>
      <c r="Z61" s="556">
        <f t="shared" si="145"/>
        <v>254.5375189763609</v>
      </c>
      <c r="AA61" s="10">
        <f t="shared" si="145"/>
        <v>200.98823689147838</v>
      </c>
      <c r="AB61" s="216">
        <f t="shared" si="145"/>
        <v>286.0821794906584</v>
      </c>
      <c r="AC61" s="556">
        <f t="shared" si="145"/>
        <v>264.43164213787765</v>
      </c>
      <c r="AD61" s="10">
        <f t="shared" si="145"/>
        <v>232.4575807334428</v>
      </c>
      <c r="AE61" s="216">
        <f t="shared" si="145"/>
        <v>329.23896611352546</v>
      </c>
      <c r="AF61" s="556">
        <f t="shared" si="145"/>
        <v>304.95297805642639</v>
      </c>
      <c r="AG61" s="10">
        <f t="shared" si="145"/>
        <v>290.50897467420697</v>
      </c>
      <c r="AH61" s="216">
        <f t="shared" si="145"/>
        <v>300.11695515605157</v>
      </c>
      <c r="AI61" s="556">
        <f t="shared" si="145"/>
        <v>290.97646840837501</v>
      </c>
      <c r="AJ61" s="10">
        <f t="shared" si="145"/>
        <v>347.07259953161594</v>
      </c>
      <c r="AK61" s="216">
        <f t="shared" si="145"/>
        <v>286.44501278772384</v>
      </c>
      <c r="AL61" s="556">
        <f t="shared" si="145"/>
        <v>296.1423561501494</v>
      </c>
      <c r="AM61" s="10">
        <f t="shared" si="145"/>
        <v>393.66442077809165</v>
      </c>
      <c r="AN61" s="216">
        <f t="shared" si="145"/>
        <v>278.87431231485402</v>
      </c>
      <c r="AO61" s="556">
        <f t="shared" si="145"/>
        <v>317.88552124470669</v>
      </c>
      <c r="AP61" s="10">
        <f t="shared" si="145"/>
        <v>380.61140876142446</v>
      </c>
      <c r="AQ61" s="216">
        <f t="shared" si="145"/>
        <v>306.66329593932693</v>
      </c>
      <c r="AR61" s="556">
        <f t="shared" si="145"/>
        <v>333.9459800694413</v>
      </c>
      <c r="AS61" s="10">
        <f t="shared" si="145"/>
        <v>340.11819849195024</v>
      </c>
      <c r="AT61" s="216">
        <f t="shared" si="145"/>
        <v>372.37322515212981</v>
      </c>
      <c r="AU61" s="556">
        <f t="shared" si="145"/>
        <v>358.09889582333176</v>
      </c>
      <c r="AV61" s="10">
        <f t="shared" si="145"/>
        <v>420.24206687873379</v>
      </c>
      <c r="AW61" s="236">
        <f t="shared" si="145"/>
        <v>580.79618889467963</v>
      </c>
      <c r="AX61" s="605">
        <f t="shared" si="145"/>
        <v>487.32026436428356</v>
      </c>
      <c r="AY61" s="56">
        <f t="shared" si="145"/>
        <v>481.07782821193803</v>
      </c>
      <c r="AZ61" s="236">
        <f t="shared" si="145"/>
        <v>477.70073043695749</v>
      </c>
      <c r="BA61" s="605">
        <f t="shared" si="145"/>
        <v>479.36042000053243</v>
      </c>
      <c r="BB61" s="56">
        <f t="shared" si="145"/>
        <v>473.19957693803832</v>
      </c>
      <c r="BC61" s="236">
        <f t="shared" si="145"/>
        <v>470.10932788667827</v>
      </c>
      <c r="BD61" s="605">
        <f t="shared" si="145"/>
        <v>471.62553892174492</v>
      </c>
      <c r="BE61" s="56">
        <f t="shared" si="145"/>
        <v>476.63197225658013</v>
      </c>
      <c r="BF61" s="236">
        <f t="shared" si="145"/>
        <v>477.03274458817458</v>
      </c>
      <c r="BG61" s="605">
        <f t="shared" si="145"/>
        <v>476.83168838832057</v>
      </c>
      <c r="BH61" s="56">
        <f t="shared" si="145"/>
        <v>488.51817624579127</v>
      </c>
      <c r="BI61" s="236">
        <f t="shared" si="145"/>
        <v>484.06972455805561</v>
      </c>
      <c r="BJ61" s="605">
        <f t="shared" si="145"/>
        <v>486.36832215608689</v>
      </c>
      <c r="BK61"/>
      <c r="BM61" s="107"/>
      <c r="BN61" s="107"/>
    </row>
    <row r="62" spans="1:66" ht="11.4">
      <c r="A62" s="101" t="s">
        <v>589</v>
      </c>
      <c r="B62" s="40"/>
      <c r="C62" s="40"/>
      <c r="D62" s="40"/>
      <c r="E62" s="40"/>
      <c r="F62" s="40"/>
      <c r="G62" s="40"/>
      <c r="H62" s="40"/>
      <c r="I62" s="40"/>
      <c r="J62" s="40"/>
      <c r="K62" s="40"/>
      <c r="L62" s="40"/>
      <c r="M62" s="40"/>
      <c r="N62" s="40"/>
      <c r="O62" s="40"/>
      <c r="P62" s="40"/>
      <c r="Q62" s="40">
        <f>+Q63*Q58</f>
        <v>96</v>
      </c>
      <c r="R62" s="40"/>
      <c r="S62" s="630"/>
      <c r="T62" s="653">
        <f>+T63*T58</f>
        <v>111</v>
      </c>
      <c r="U62" s="40">
        <f t="shared" ref="U62" si="146">+U58*U63</f>
        <v>50.94999999999996</v>
      </c>
      <c r="V62" s="630">
        <f>W62-U62</f>
        <v>66.05000000000004</v>
      </c>
      <c r="W62" s="653">
        <f>+W63*W58</f>
        <v>117</v>
      </c>
      <c r="X62" s="40">
        <f t="shared" ref="X62" si="147">+X58*X63</f>
        <v>144.30000000000001</v>
      </c>
      <c r="Y62" s="630">
        <f>Z62-X62</f>
        <v>10.699999999999989</v>
      </c>
      <c r="Z62" s="653">
        <f t="shared" ref="Z62:BJ62" si="148">+Z58*Z63</f>
        <v>155</v>
      </c>
      <c r="AA62" s="40">
        <f t="shared" ref="AA62" si="149">+AA58*AA63</f>
        <v>85.550000000000139</v>
      </c>
      <c r="AB62" s="630">
        <f>AC62-AA62</f>
        <v>334.44999999999987</v>
      </c>
      <c r="AC62" s="653">
        <f t="shared" si="148"/>
        <v>420</v>
      </c>
      <c r="AD62" s="40">
        <f t="shared" si="148"/>
        <v>102.75000000000001</v>
      </c>
      <c r="AE62" s="630">
        <f>AF62-AD62</f>
        <v>97.249999999999986</v>
      </c>
      <c r="AF62" s="653">
        <f t="shared" si="148"/>
        <v>200</v>
      </c>
      <c r="AG62" s="40">
        <f t="shared" ref="AG62" si="150">+AG58*AG63</f>
        <v>85</v>
      </c>
      <c r="AH62" s="630">
        <f>AI62-AG62</f>
        <v>239</v>
      </c>
      <c r="AI62" s="653">
        <f t="shared" si="148"/>
        <v>324</v>
      </c>
      <c r="AJ62" s="40">
        <f t="shared" si="148"/>
        <v>76</v>
      </c>
      <c r="AK62" s="630">
        <f>AL62-AJ62</f>
        <v>364</v>
      </c>
      <c r="AL62" s="653">
        <f t="shared" si="148"/>
        <v>440</v>
      </c>
      <c r="AM62" s="40">
        <f t="shared" ref="AM62" si="151">+AM58*AM63</f>
        <v>171</v>
      </c>
      <c r="AN62" s="630">
        <f>AO62-AM62</f>
        <v>359</v>
      </c>
      <c r="AO62" s="653">
        <f t="shared" ref="AO62:AP62" si="152">+AO58*AO63</f>
        <v>530</v>
      </c>
      <c r="AP62" s="40">
        <f t="shared" si="152"/>
        <v>215.46</v>
      </c>
      <c r="AQ62" s="630">
        <f>AR62-AP62</f>
        <v>400.14</v>
      </c>
      <c r="AR62" s="653">
        <f t="shared" ref="AR62:AS62" si="153">+AR58*AR63</f>
        <v>615.6</v>
      </c>
      <c r="AS62" s="40">
        <f t="shared" si="153"/>
        <v>250.1388</v>
      </c>
      <c r="AT62" s="216">
        <f>AU62-AS62</f>
        <v>345.15720000000016</v>
      </c>
      <c r="AU62" s="556">
        <f t="shared" si="148"/>
        <v>595.29600000000016</v>
      </c>
      <c r="AV62" s="10">
        <f t="shared" si="148"/>
        <v>380.64600000000002</v>
      </c>
      <c r="AW62" s="236">
        <f>AX62-AV62</f>
        <v>388.86419078833961</v>
      </c>
      <c r="AX62" s="605">
        <f t="shared" si="148"/>
        <v>769.51019078833963</v>
      </c>
      <c r="AY62" s="56">
        <f t="shared" si="148"/>
        <v>398.29381082790707</v>
      </c>
      <c r="AZ62" s="236">
        <f>BA62-AY62</f>
        <v>391.29270776828724</v>
      </c>
      <c r="BA62" s="605">
        <f>+BA58*BA63</f>
        <v>789.58651859619431</v>
      </c>
      <c r="BB62" s="56">
        <f t="shared" si="148"/>
        <v>399.48514934399986</v>
      </c>
      <c r="BC62" s="236">
        <f>BD62-BB62</f>
        <v>392.5230121645717</v>
      </c>
      <c r="BD62" s="605">
        <f t="shared" si="148"/>
        <v>792.00816150857156</v>
      </c>
      <c r="BE62" s="56">
        <f t="shared" si="148"/>
        <v>420.64548234624021</v>
      </c>
      <c r="BF62" s="236">
        <f>BG62-BE62</f>
        <v>399.41280557238872</v>
      </c>
      <c r="BG62" s="605">
        <f t="shared" si="148"/>
        <v>820.05828791862893</v>
      </c>
      <c r="BH62" s="56">
        <f t="shared" si="148"/>
        <v>443.18491103232026</v>
      </c>
      <c r="BI62" s="236">
        <f>BJ62-BH62</f>
        <v>393.27454264468116</v>
      </c>
      <c r="BJ62" s="605">
        <f t="shared" si="148"/>
        <v>836.45945367700142</v>
      </c>
      <c r="BK62"/>
      <c r="BM62" s="108"/>
      <c r="BN62" s="108"/>
    </row>
    <row r="63" spans="1:66" ht="11.4">
      <c r="A63" s="40" t="s">
        <v>590</v>
      </c>
      <c r="B63" s="40"/>
      <c r="C63" s="40"/>
      <c r="D63" s="40"/>
      <c r="E63" s="40"/>
      <c r="F63" s="40"/>
      <c r="G63" s="40"/>
      <c r="H63" s="40"/>
      <c r="I63" s="40"/>
      <c r="J63" s="40"/>
      <c r="K63" s="40"/>
      <c r="L63" s="40"/>
      <c r="M63" s="40"/>
      <c r="N63" s="40"/>
      <c r="O63" s="40"/>
      <c r="P63" s="81"/>
      <c r="Q63" s="81">
        <f>+T63</f>
        <v>3</v>
      </c>
      <c r="R63" s="203"/>
      <c r="S63" s="234"/>
      <c r="T63" s="561">
        <f>+W63</f>
        <v>3</v>
      </c>
      <c r="U63" s="81">
        <v>7.2785714285714231</v>
      </c>
      <c r="V63" s="636">
        <f>V62/V58</f>
        <v>2.0640625000000012</v>
      </c>
      <c r="W63" s="561">
        <v>3</v>
      </c>
      <c r="X63" s="81">
        <v>7.5947368421052639</v>
      </c>
      <c r="Y63" s="636">
        <f>Y62/Y58</f>
        <v>0.34516129032258031</v>
      </c>
      <c r="Z63" s="561">
        <v>3.1</v>
      </c>
      <c r="AA63" s="81">
        <v>4.7527777777777853</v>
      </c>
      <c r="AB63" s="636">
        <f>AB62/AB58</f>
        <v>7.9630952380952351</v>
      </c>
      <c r="AC63" s="561">
        <v>7</v>
      </c>
      <c r="AD63" s="203">
        <v>7.5</v>
      </c>
      <c r="AE63" s="234">
        <f>AE62/AE58</f>
        <v>8.606194690265486</v>
      </c>
      <c r="AF63" s="561">
        <v>8</v>
      </c>
      <c r="AG63" s="203">
        <v>8.5</v>
      </c>
      <c r="AH63" s="234">
        <f>AH62/AH58</f>
        <v>9.1923076923076916</v>
      </c>
      <c r="AI63" s="561">
        <v>9</v>
      </c>
      <c r="AJ63" s="203">
        <v>9.5</v>
      </c>
      <c r="AK63" s="234">
        <f>AK62/AK58</f>
        <v>10.111111111111111</v>
      </c>
      <c r="AL63" s="561">
        <v>10</v>
      </c>
      <c r="AM63" s="203">
        <v>9.5</v>
      </c>
      <c r="AN63" s="234">
        <f>AN62/AN58</f>
        <v>10.257142857142858</v>
      </c>
      <c r="AO63" s="561">
        <v>10</v>
      </c>
      <c r="AP63" s="203">
        <v>10.26</v>
      </c>
      <c r="AQ63" s="234">
        <f>AQ62/AQ58</f>
        <v>11.115</v>
      </c>
      <c r="AR63" s="561">
        <f>+AO63*(1+AR64)</f>
        <v>10.8</v>
      </c>
      <c r="AS63" s="203">
        <f>+AP63*(1+AS64)</f>
        <v>10.8756</v>
      </c>
      <c r="AT63" s="234">
        <f>AT62/AT58</f>
        <v>11.901972413793109</v>
      </c>
      <c r="AU63" s="561">
        <f>+AR63*(1+AU64)</f>
        <v>11.448000000000002</v>
      </c>
      <c r="AV63" s="203">
        <f>+AS63*(1+AV64)</f>
        <v>15.22584</v>
      </c>
      <c r="AW63" s="235">
        <f>AW62/AW58</f>
        <v>14.560899874043221</v>
      </c>
      <c r="AX63" s="611">
        <f>+AU63*(1+AX64)</f>
        <v>14.882400000000004</v>
      </c>
      <c r="AY63" s="173">
        <f>+AV63*(1+AY64)</f>
        <v>15.5303568</v>
      </c>
      <c r="AZ63" s="235">
        <f>AZ62/AZ58</f>
        <v>14.839337184194683</v>
      </c>
      <c r="BA63" s="611">
        <f>+AX63*(1+BA64)</f>
        <v>15.180048000000005</v>
      </c>
      <c r="BB63" s="173">
        <f>+AY63*(1+BB64)</f>
        <v>15.840963936</v>
      </c>
      <c r="BC63" s="235">
        <f>BC62/BC58</f>
        <v>15.136175776922888</v>
      </c>
      <c r="BD63" s="611">
        <f>+BA63*(1+BD64)</f>
        <v>15.483648960000005</v>
      </c>
      <c r="BE63" s="173">
        <f>+BB63*(1+BE64)</f>
        <v>16.157783214719998</v>
      </c>
      <c r="BF63" s="235">
        <f>BF62/BF58</f>
        <v>15.426849679686539</v>
      </c>
      <c r="BG63" s="611">
        <f>+BD63*(1+BG64)</f>
        <v>15.793321939200005</v>
      </c>
      <c r="BH63" s="173">
        <f>+BE63*(1+BH64)</f>
        <v>16.480938879014399</v>
      </c>
      <c r="BI63" s="235">
        <f>BI62/BI58</f>
        <v>15.709859206014444</v>
      </c>
      <c r="BJ63" s="611">
        <f t="shared" ref="BJ63" si="154">+BG63*(1+BJ64)</f>
        <v>16.109188377984005</v>
      </c>
      <c r="BK63"/>
      <c r="BM63" s="107"/>
      <c r="BN63" s="107"/>
    </row>
    <row r="64" spans="1:66" s="33" customFormat="1" ht="11.4">
      <c r="A64" s="103" t="s">
        <v>940</v>
      </c>
      <c r="B64" s="103"/>
      <c r="C64" s="103"/>
      <c r="D64" s="103"/>
      <c r="E64" s="103"/>
      <c r="F64" s="103"/>
      <c r="G64" s="103"/>
      <c r="H64" s="103"/>
      <c r="I64" s="103"/>
      <c r="J64" s="103"/>
      <c r="K64" s="103"/>
      <c r="L64" s="103"/>
      <c r="M64" s="103"/>
      <c r="N64" s="103"/>
      <c r="O64" s="103"/>
      <c r="P64" s="103"/>
      <c r="Q64" s="103"/>
      <c r="R64" s="103"/>
      <c r="S64" s="637"/>
      <c r="T64" s="660"/>
      <c r="U64" s="103"/>
      <c r="V64" s="637"/>
      <c r="W64" s="660">
        <f t="shared" ref="W64" si="155">W63/T63-1</f>
        <v>0</v>
      </c>
      <c r="X64" s="103">
        <f t="shared" ref="X64:AP64" si="156">X63/U63-1</f>
        <v>4.3437838954600405E-2</v>
      </c>
      <c r="Y64" s="637">
        <f t="shared" si="156"/>
        <v>-0.83277575639178558</v>
      </c>
      <c r="Z64" s="660">
        <f t="shared" si="156"/>
        <v>3.3333333333333437E-2</v>
      </c>
      <c r="AA64" s="103">
        <f t="shared" si="156"/>
        <v>-0.37420112420112328</v>
      </c>
      <c r="AB64" s="637">
        <f t="shared" si="156"/>
        <v>22.070649755229208</v>
      </c>
      <c r="AC64" s="660">
        <f t="shared" si="156"/>
        <v>1.258064516129032</v>
      </c>
      <c r="AD64" s="103">
        <f t="shared" si="156"/>
        <v>0.57802454704850703</v>
      </c>
      <c r="AE64" s="637">
        <f t="shared" si="156"/>
        <v>8.0759985023622471E-2</v>
      </c>
      <c r="AF64" s="660">
        <f t="shared" si="156"/>
        <v>0.14285714285714279</v>
      </c>
      <c r="AG64" s="103">
        <f t="shared" si="156"/>
        <v>0.1333333333333333</v>
      </c>
      <c r="AH64" s="637">
        <f t="shared" si="156"/>
        <v>6.8103618746292227E-2</v>
      </c>
      <c r="AI64" s="660">
        <f t="shared" si="156"/>
        <v>0.125</v>
      </c>
      <c r="AJ64" s="103">
        <f t="shared" si="156"/>
        <v>0.11764705882352944</v>
      </c>
      <c r="AK64" s="637">
        <f t="shared" si="156"/>
        <v>9.995350999535102E-2</v>
      </c>
      <c r="AL64" s="660">
        <f t="shared" si="156"/>
        <v>0.11111111111111116</v>
      </c>
      <c r="AM64" s="103">
        <f t="shared" si="156"/>
        <v>0</v>
      </c>
      <c r="AN64" s="637">
        <f t="shared" si="156"/>
        <v>1.444270015698601E-2</v>
      </c>
      <c r="AO64" s="660">
        <f t="shared" si="156"/>
        <v>0</v>
      </c>
      <c r="AP64" s="103">
        <f t="shared" si="156"/>
        <v>8.0000000000000071E-2</v>
      </c>
      <c r="AQ64" s="637">
        <f>AQ63/AN63-1</f>
        <v>8.3635097493036215E-2</v>
      </c>
      <c r="AR64" s="937">
        <v>0.08</v>
      </c>
      <c r="AS64" s="103">
        <f>AU64</f>
        <v>0.06</v>
      </c>
      <c r="AT64" s="637">
        <f>AT63/AQ63-1</f>
        <v>7.0802736283680501E-2</v>
      </c>
      <c r="AU64" s="937">
        <v>0.06</v>
      </c>
      <c r="AV64" s="262">
        <v>0.4</v>
      </c>
      <c r="AW64" s="754">
        <f>AW63/AT63-1</f>
        <v>0.22340225366080513</v>
      </c>
      <c r="AX64" s="610">
        <v>0.3</v>
      </c>
      <c r="AY64" s="324">
        <f>BA64</f>
        <v>0.02</v>
      </c>
      <c r="AZ64" s="754">
        <f>AZ63/AW63-1</f>
        <v>1.9122259788889373E-2</v>
      </c>
      <c r="BA64" s="610">
        <v>0.02</v>
      </c>
      <c r="BB64" s="324">
        <f>BD64</f>
        <v>0.02</v>
      </c>
      <c r="BC64" s="754">
        <f>BC63/AZ63-1</f>
        <v>2.0003494026968216E-2</v>
      </c>
      <c r="BD64" s="1134">
        <f>BA64</f>
        <v>0.02</v>
      </c>
      <c r="BE64" s="324">
        <f>BG64</f>
        <v>0.02</v>
      </c>
      <c r="BF64" s="754">
        <f>BF63/BC63-1</f>
        <v>1.9203919606088471E-2</v>
      </c>
      <c r="BG64" s="1134">
        <f>BD64</f>
        <v>0.02</v>
      </c>
      <c r="BH64" s="324">
        <f>BJ64</f>
        <v>0.02</v>
      </c>
      <c r="BI64" s="754">
        <f>BI63/BF63-1</f>
        <v>1.8345257275732774E-2</v>
      </c>
      <c r="BJ64" s="1134">
        <f>BG64</f>
        <v>0.02</v>
      </c>
      <c r="BK64" s="169"/>
      <c r="BM64" s="494"/>
      <c r="BN64" s="494"/>
    </row>
    <row r="65" spans="1:66" s="33" customFormat="1" ht="11.4">
      <c r="A65" s="1142" t="s">
        <v>842</v>
      </c>
      <c r="B65" s="103"/>
      <c r="C65" s="103"/>
      <c r="D65" s="103"/>
      <c r="E65" s="103"/>
      <c r="F65" s="103"/>
      <c r="G65" s="103"/>
      <c r="H65" s="103"/>
      <c r="I65" s="103"/>
      <c r="J65" s="103"/>
      <c r="K65" s="103"/>
      <c r="L65" s="103"/>
      <c r="M65" s="103"/>
      <c r="N65" s="103"/>
      <c r="O65" s="103"/>
      <c r="P65" s="103"/>
      <c r="Q65" s="103"/>
      <c r="R65" s="103"/>
      <c r="S65" s="637"/>
      <c r="T65" s="660"/>
      <c r="U65" s="103">
        <f t="shared" ref="U65:V65" si="157">U63/U60</f>
        <v>0.59038238702201606</v>
      </c>
      <c r="V65" s="637">
        <f t="shared" si="157"/>
        <v>0.1646311066799602</v>
      </c>
      <c r="W65" s="660">
        <f t="shared" ref="W65:BJ65" si="158">W63/W60</f>
        <v>0.24</v>
      </c>
      <c r="X65" s="103">
        <f t="shared" si="158"/>
        <v>0.58897959183673476</v>
      </c>
      <c r="Y65" s="637">
        <f t="shared" si="158"/>
        <v>2.6419753086419726E-2</v>
      </c>
      <c r="Z65" s="660">
        <f t="shared" si="158"/>
        <v>0.23846153846153847</v>
      </c>
      <c r="AA65" s="103">
        <f t="shared" ref="AA65:AB65" si="159">AA63/AA60</f>
        <v>0.45908237188086976</v>
      </c>
      <c r="AB65" s="637">
        <f t="shared" si="159"/>
        <v>0.51166526428516779</v>
      </c>
      <c r="AC65" s="937">
        <f t="shared" si="158"/>
        <v>0.5</v>
      </c>
      <c r="AD65" s="262">
        <f t="shared" si="158"/>
        <v>0.5</v>
      </c>
      <c r="AE65" s="931">
        <f t="shared" si="158"/>
        <v>0.5</v>
      </c>
      <c r="AF65" s="937">
        <f t="shared" si="158"/>
        <v>0.5</v>
      </c>
      <c r="AG65" s="262">
        <f t="shared" ref="AG65:AH65" si="160">AG63/AG60</f>
        <v>0.5</v>
      </c>
      <c r="AH65" s="931">
        <f t="shared" si="160"/>
        <v>0.58866995073891626</v>
      </c>
      <c r="AI65" s="937">
        <f t="shared" si="158"/>
        <v>0.5625</v>
      </c>
      <c r="AJ65" s="262">
        <f t="shared" si="158"/>
        <v>0.5</v>
      </c>
      <c r="AK65" s="931">
        <f t="shared" ref="AK65" si="161">AK63/AK60</f>
        <v>0.65942028985507239</v>
      </c>
      <c r="AL65" s="937">
        <f t="shared" si="158"/>
        <v>0.625</v>
      </c>
      <c r="AM65" s="262">
        <f t="shared" ref="AM65" si="162">AM63/AM60</f>
        <v>0.45238095238095238</v>
      </c>
      <c r="AN65" s="931">
        <f>AN63/AN60</f>
        <v>0.68642447418738051</v>
      </c>
      <c r="AO65" s="937">
        <f t="shared" si="158"/>
        <v>0.58823529411764708</v>
      </c>
      <c r="AP65" s="262">
        <f t="shared" si="158"/>
        <v>0.50294117647058822</v>
      </c>
      <c r="AQ65" s="931">
        <f>AQ63/AQ60</f>
        <v>0.66957831325301198</v>
      </c>
      <c r="AR65" s="937">
        <f t="shared" si="158"/>
        <v>0.60000000000000009</v>
      </c>
      <c r="AS65" s="262">
        <f t="shared" si="158"/>
        <v>0.57240000000000002</v>
      </c>
      <c r="AT65" s="637">
        <f>AT63/AT60</f>
        <v>0.57240000000000024</v>
      </c>
      <c r="AU65" s="937">
        <f t="shared" si="158"/>
        <v>0.57240000000000013</v>
      </c>
      <c r="AV65" s="262">
        <f t="shared" si="158"/>
        <v>0.60903359999999995</v>
      </c>
      <c r="AW65" s="754">
        <f>AW63/AW60</f>
        <v>0.58243599496172882</v>
      </c>
      <c r="AX65" s="765">
        <f t="shared" si="158"/>
        <v>0.59529600000000016</v>
      </c>
      <c r="AY65" s="324">
        <f t="shared" si="158"/>
        <v>0.60903359999999995</v>
      </c>
      <c r="AZ65" s="754">
        <f>AZ63/AZ60</f>
        <v>0.58193479153704708</v>
      </c>
      <c r="BA65" s="765">
        <f t="shared" si="158"/>
        <v>0.59529600000000016</v>
      </c>
      <c r="BB65" s="324">
        <f t="shared" si="158"/>
        <v>0.60903359999999995</v>
      </c>
      <c r="BC65" s="754">
        <f>BC63/BC60</f>
        <v>0.58193678496435552</v>
      </c>
      <c r="BD65" s="765">
        <f t="shared" si="158"/>
        <v>0.59529600000000016</v>
      </c>
      <c r="BE65" s="324">
        <f t="shared" si="158"/>
        <v>0.60903359999999995</v>
      </c>
      <c r="BF65" s="754">
        <f>BF63/BF60</f>
        <v>0.58148260019474252</v>
      </c>
      <c r="BG65" s="765">
        <f t="shared" si="158"/>
        <v>0.59529600000000016</v>
      </c>
      <c r="BH65" s="324">
        <f t="shared" si="158"/>
        <v>0.60903359999999995</v>
      </c>
      <c r="BI65" s="754">
        <f>BI63/BI60</f>
        <v>0.58053926283987944</v>
      </c>
      <c r="BJ65" s="765">
        <f t="shared" si="158"/>
        <v>0.59529600000000016</v>
      </c>
      <c r="BK65" s="169"/>
      <c r="BM65" s="494"/>
      <c r="BN65" s="494"/>
    </row>
    <row r="66" spans="1:66">
      <c r="B66" s="40"/>
      <c r="C66" s="40"/>
      <c r="D66" s="40"/>
      <c r="E66" s="40"/>
      <c r="F66" s="40"/>
      <c r="G66" s="40"/>
      <c r="H66" s="40"/>
      <c r="I66" s="40"/>
      <c r="J66" s="40"/>
      <c r="K66" s="40"/>
      <c r="L66" s="40"/>
      <c r="M66" s="40"/>
      <c r="N66" s="40"/>
      <c r="O66" s="40"/>
      <c r="P66" s="40"/>
      <c r="Q66" s="40"/>
      <c r="R66" s="40"/>
      <c r="S66" s="630"/>
      <c r="T66" s="653"/>
      <c r="U66" s="40"/>
      <c r="V66" s="630"/>
      <c r="W66" s="653"/>
      <c r="X66" s="40"/>
      <c r="Y66" s="630"/>
      <c r="Z66" s="653"/>
      <c r="AA66" s="40"/>
      <c r="AB66" s="630"/>
      <c r="AC66" s="668"/>
      <c r="AD66" s="40"/>
      <c r="AE66" s="630"/>
      <c r="AF66" s="653"/>
      <c r="AG66" s="40"/>
      <c r="AH66" s="630"/>
      <c r="AI66" s="653"/>
      <c r="AJ66" s="40"/>
      <c r="AK66" s="630"/>
      <c r="AL66" s="653"/>
      <c r="AM66" s="40"/>
      <c r="AN66" s="539"/>
      <c r="AO66" s="550"/>
      <c r="AP66"/>
      <c r="AQ66" s="539"/>
      <c r="AR66" s="550"/>
      <c r="AS66"/>
      <c r="AT66" s="539"/>
      <c r="AU66" s="550"/>
      <c r="AV66"/>
      <c r="AW66" s="539"/>
      <c r="AX66" s="550"/>
      <c r="AY66"/>
      <c r="AZ66" s="539"/>
      <c r="BA66" s="550"/>
      <c r="BB66"/>
      <c r="BC66" s="539"/>
      <c r="BD66" s="550"/>
      <c r="BE66"/>
      <c r="BF66" s="539"/>
      <c r="BG66" s="550"/>
      <c r="BH66"/>
      <c r="BI66" s="539"/>
      <c r="BJ66" s="550"/>
      <c r="BK66"/>
    </row>
    <row r="67" spans="1:66">
      <c r="A67" s="25" t="s">
        <v>492</v>
      </c>
      <c r="B67" s="40"/>
      <c r="C67" s="40"/>
      <c r="D67" s="40"/>
      <c r="E67" s="40"/>
      <c r="F67" s="40"/>
      <c r="G67" s="102">
        <v>1.7759375000000002</v>
      </c>
      <c r="H67" s="102">
        <v>1.9213650000000002</v>
      </c>
      <c r="I67" s="102">
        <v>2.0054799999999999</v>
      </c>
      <c r="J67" s="102">
        <v>1.641005</v>
      </c>
      <c r="K67" s="102">
        <v>1.5957325</v>
      </c>
      <c r="L67" s="102">
        <v>1.5782</v>
      </c>
      <c r="M67" s="102">
        <v>1.5893675000000003</v>
      </c>
      <c r="N67" s="102">
        <v>1.5695025</v>
      </c>
      <c r="O67" s="102">
        <v>1.56</v>
      </c>
      <c r="P67" s="102">
        <v>1.65</v>
      </c>
      <c r="Q67" s="102">
        <v>1.53</v>
      </c>
      <c r="R67" s="102">
        <v>1.2599650000000002</v>
      </c>
      <c r="S67" s="641">
        <v>1.3252450000000002</v>
      </c>
      <c r="T67" s="665">
        <v>1.36</v>
      </c>
      <c r="U67" s="102">
        <v>1.2599650000000002</v>
      </c>
      <c r="V67" s="641">
        <v>1.3252450000000002</v>
      </c>
      <c r="W67" s="665">
        <v>1.2887999999999999</v>
      </c>
      <c r="X67" s="102">
        <v>1.37</v>
      </c>
      <c r="Y67" s="641">
        <v>1.33</v>
      </c>
      <c r="Z67" s="665">
        <v>1.335</v>
      </c>
      <c r="AA67" s="102">
        <v>1.29</v>
      </c>
      <c r="AB67" s="641">
        <v>1.3</v>
      </c>
      <c r="AC67" s="665">
        <v>1.2766</v>
      </c>
      <c r="AD67" s="102">
        <v>1.26</v>
      </c>
      <c r="AE67" s="641">
        <v>1.3</v>
      </c>
      <c r="AF67" s="665">
        <v>1.2837000000000001</v>
      </c>
      <c r="AG67" s="102">
        <v>1.4</v>
      </c>
      <c r="AH67" s="641">
        <f>(AI67*2)-AG67</f>
        <v>1.3513999999999999</v>
      </c>
      <c r="AI67" s="665">
        <v>1.3756999999999999</v>
      </c>
      <c r="AJ67" s="224">
        <v>1.31</v>
      </c>
      <c r="AK67" s="231">
        <f>(AL67*2)-AJ67</f>
        <v>1.1623999999999999</v>
      </c>
      <c r="AL67" s="665">
        <v>1.2362</v>
      </c>
      <c r="AM67" s="102">
        <v>1.23</v>
      </c>
      <c r="AN67" s="231">
        <f>(AO67*2)-AM67</f>
        <v>1.25</v>
      </c>
      <c r="AO67" s="1000">
        <v>1.24</v>
      </c>
      <c r="AP67" s="102">
        <v>1.27</v>
      </c>
      <c r="AQ67" s="231">
        <f>(AR67*2)-AP67</f>
        <v>1.2879999999999998</v>
      </c>
      <c r="AR67" s="1000">
        <v>1.2789999999999999</v>
      </c>
      <c r="AS67" s="102">
        <v>1.3</v>
      </c>
      <c r="AT67" s="231">
        <f>(AU67*2)-AS67</f>
        <v>1.34</v>
      </c>
      <c r="AU67" s="1000">
        <v>1.32</v>
      </c>
      <c r="AV67" s="102">
        <v>1.35</v>
      </c>
      <c r="AW67" s="238">
        <f>(AX67*2)-AV67</f>
        <v>1.33</v>
      </c>
      <c r="AX67" s="613">
        <v>1.34</v>
      </c>
      <c r="AY67" s="180">
        <f>BA67</f>
        <v>1.34</v>
      </c>
      <c r="AZ67" s="238">
        <f>(BA67*2)-AY67</f>
        <v>1.34</v>
      </c>
      <c r="BA67" s="613">
        <v>1.34</v>
      </c>
      <c r="BB67" s="180">
        <f>BD67</f>
        <v>1.34</v>
      </c>
      <c r="BC67" s="238">
        <f>(BD67*2)-BB67</f>
        <v>1.34</v>
      </c>
      <c r="BD67" s="613">
        <v>1.34</v>
      </c>
      <c r="BE67" s="180">
        <f>BG67</f>
        <v>1.34</v>
      </c>
      <c r="BF67" s="238">
        <f>(BG67*2)-BE67</f>
        <v>1.34</v>
      </c>
      <c r="BG67" s="613">
        <v>1.34</v>
      </c>
      <c r="BH67" s="180">
        <f>BJ67</f>
        <v>1.34</v>
      </c>
      <c r="BI67" s="238">
        <f>(BJ67*2)-BH67</f>
        <v>1.34</v>
      </c>
      <c r="BJ67" s="613">
        <v>1.34</v>
      </c>
      <c r="BK67"/>
    </row>
    <row r="68" spans="1:66">
      <c r="A68" s="25" t="s">
        <v>936</v>
      </c>
      <c r="B68" s="40"/>
      <c r="C68" s="40"/>
      <c r="D68" s="40"/>
      <c r="E68" s="40"/>
      <c r="F68" s="40"/>
      <c r="G68" s="40"/>
      <c r="H68" s="40"/>
      <c r="I68" s="40"/>
      <c r="J68" s="40"/>
      <c r="K68" s="40"/>
      <c r="L68" s="40"/>
      <c r="M68" s="40"/>
      <c r="N68" s="40"/>
      <c r="O68" s="40"/>
      <c r="P68" s="102">
        <v>1.6</v>
      </c>
      <c r="Q68" s="102">
        <v>1.57</v>
      </c>
      <c r="R68" s="102">
        <v>1.55</v>
      </c>
      <c r="S68" s="641">
        <v>1.55</v>
      </c>
      <c r="T68" s="665">
        <v>1.5449999999999999</v>
      </c>
      <c r="U68" s="102">
        <v>1.55</v>
      </c>
      <c r="V68" s="641">
        <v>1.55</v>
      </c>
      <c r="W68" s="665">
        <v>1.54</v>
      </c>
      <c r="X68" s="102">
        <v>1.55</v>
      </c>
      <c r="Y68" s="641">
        <v>1.55</v>
      </c>
      <c r="Z68" s="665">
        <v>1.54</v>
      </c>
      <c r="AA68" s="102">
        <f>AC68</f>
        <v>1.53</v>
      </c>
      <c r="AB68" s="641">
        <f>AC68</f>
        <v>1.53</v>
      </c>
      <c r="AC68" s="665">
        <v>1.53</v>
      </c>
      <c r="AD68" s="102">
        <v>1.24</v>
      </c>
      <c r="AE68" s="641">
        <f>AF68</f>
        <v>1.52</v>
      </c>
      <c r="AF68" s="665">
        <v>1.52</v>
      </c>
      <c r="AG68" s="102">
        <v>1.39</v>
      </c>
      <c r="AH68" s="641">
        <f t="shared" ref="AH68" si="163">(AI68*2)-AG68</f>
        <v>1.6300000000000001</v>
      </c>
      <c r="AI68" s="665">
        <v>1.51</v>
      </c>
      <c r="AJ68" s="224">
        <v>1.5</v>
      </c>
      <c r="AK68" s="231">
        <f t="shared" ref="AK68" si="164">(AL68*2)-AJ68</f>
        <v>1.5</v>
      </c>
      <c r="AL68" s="665">
        <v>1.5</v>
      </c>
      <c r="AM68" s="102">
        <v>1.5</v>
      </c>
      <c r="AN68" s="231">
        <f>(AO68*2)-AM68</f>
        <v>1.5</v>
      </c>
      <c r="AO68" s="665">
        <v>1.5</v>
      </c>
      <c r="AP68" s="102">
        <v>1.48</v>
      </c>
      <c r="AQ68" s="231">
        <f>(AR68*2)-AP68</f>
        <v>1.48</v>
      </c>
      <c r="AR68" s="665">
        <v>1.48</v>
      </c>
      <c r="AS68" s="102">
        <v>1.44</v>
      </c>
      <c r="AT68" s="231">
        <f>(AU68*2)-AS68</f>
        <v>1.44</v>
      </c>
      <c r="AU68" s="1000">
        <v>1.44</v>
      </c>
      <c r="AV68" s="102">
        <v>1.38</v>
      </c>
      <c r="AW68" s="238">
        <f>(AX68*2)-AV68</f>
        <v>1.38</v>
      </c>
      <c r="AX68" s="763">
        <v>1.38</v>
      </c>
      <c r="AY68" s="180">
        <f>BA68</f>
        <v>1.35</v>
      </c>
      <c r="AZ68" s="238">
        <f>(BA68*2)-AY68</f>
        <v>1.35</v>
      </c>
      <c r="BA68" s="763">
        <v>1.35</v>
      </c>
      <c r="BB68" s="180">
        <f>BD68</f>
        <v>1.32</v>
      </c>
      <c r="BC68" s="238">
        <f>(BD68*2)-BB68</f>
        <v>1.32</v>
      </c>
      <c r="BD68" s="763">
        <v>1.32</v>
      </c>
      <c r="BE68" s="180">
        <f>BG68</f>
        <v>1.32</v>
      </c>
      <c r="BF68" s="238">
        <f>(BG68*2)-BE68</f>
        <v>1.32</v>
      </c>
      <c r="BG68" s="763">
        <v>1.32</v>
      </c>
      <c r="BH68" s="180">
        <f>BJ68</f>
        <v>1.32</v>
      </c>
      <c r="BI68" s="238">
        <f>(BJ68*2)-BH68</f>
        <v>1.32</v>
      </c>
      <c r="BJ68" s="763">
        <v>1.32</v>
      </c>
      <c r="BK68"/>
    </row>
    <row r="69" spans="1:66" hidden="1" outlineLevel="1">
      <c r="A69" s="486" t="s">
        <v>516</v>
      </c>
      <c r="B69" s="487"/>
      <c r="C69" s="487"/>
      <c r="D69" s="487"/>
      <c r="E69" s="487"/>
      <c r="F69" s="487"/>
      <c r="G69" s="487"/>
      <c r="H69" s="487"/>
      <c r="I69" s="487"/>
      <c r="J69" s="487"/>
      <c r="K69" s="487"/>
      <c r="L69" s="487"/>
      <c r="M69" s="487"/>
      <c r="N69" s="487"/>
      <c r="O69" s="487"/>
      <c r="P69" s="488">
        <f>+AVERAGE(P67:P68)</f>
        <v>1.625</v>
      </c>
      <c r="Q69" s="488">
        <f t="shared" ref="Q69:BJ69" si="165">+AVERAGE(Q67:Q68)</f>
        <v>1.55</v>
      </c>
      <c r="R69" s="488">
        <f t="shared" ref="R69:S69" si="166">+AVERAGE(R67:R68)</f>
        <v>1.4049825</v>
      </c>
      <c r="S69" s="778">
        <f t="shared" si="166"/>
        <v>1.4376225000000002</v>
      </c>
      <c r="T69" s="785">
        <v>1.5</v>
      </c>
      <c r="U69" s="488">
        <f t="shared" ref="U69:V69" si="167">+AVERAGE(U67:U68)</f>
        <v>1.4049825</v>
      </c>
      <c r="V69" s="778">
        <f t="shared" si="167"/>
        <v>1.4376225000000002</v>
      </c>
      <c r="W69" s="785">
        <f>+AVERAGE(W67:W68)</f>
        <v>1.4144000000000001</v>
      </c>
      <c r="X69" s="488">
        <f t="shared" ref="X69:Y69" si="168">+AVERAGE(X67:X68)</f>
        <v>1.46</v>
      </c>
      <c r="Y69" s="778">
        <f t="shared" si="168"/>
        <v>1.44</v>
      </c>
      <c r="Z69" s="785">
        <f>+AVERAGE(Z67:Z68)</f>
        <v>1.4375</v>
      </c>
      <c r="AA69" s="488">
        <f t="shared" ref="AA69:AB69" si="169">+AVERAGE(AA67:AA68)</f>
        <v>1.4100000000000001</v>
      </c>
      <c r="AB69" s="778">
        <f t="shared" si="169"/>
        <v>1.415</v>
      </c>
      <c r="AC69" s="785">
        <f>+AVERAGE(AC67:AC68)</f>
        <v>1.4033</v>
      </c>
      <c r="AD69" s="488">
        <f t="shared" ref="AD69:AE69" si="170">+AVERAGE(AD67:AD68)</f>
        <v>1.25</v>
      </c>
      <c r="AE69" s="778">
        <f t="shared" si="170"/>
        <v>1.4100000000000001</v>
      </c>
      <c r="AF69" s="785">
        <f>+AVERAGE(AF67:AF68)</f>
        <v>1.40185</v>
      </c>
      <c r="AG69" s="488">
        <f t="shared" ref="AG69:AH69" si="171">+AVERAGE(AG67:AG68)</f>
        <v>1.395</v>
      </c>
      <c r="AH69" s="778">
        <f t="shared" si="171"/>
        <v>1.4906999999999999</v>
      </c>
      <c r="AI69" s="785">
        <f t="shared" si="165"/>
        <v>1.44285</v>
      </c>
      <c r="AJ69" s="488">
        <f t="shared" si="165"/>
        <v>1.405</v>
      </c>
      <c r="AK69" s="778">
        <f t="shared" si="165"/>
        <v>1.3311999999999999</v>
      </c>
      <c r="AL69" s="785">
        <f t="shared" si="165"/>
        <v>1.3681000000000001</v>
      </c>
      <c r="AM69" s="488">
        <f t="shared" ref="AM69" si="172">+AVERAGE(AM67:AM68)</f>
        <v>1.365</v>
      </c>
      <c r="AN69" s="778">
        <f>(AO69*2)-AM69</f>
        <v>1.3750000000000002</v>
      </c>
      <c r="AO69" s="785">
        <f t="shared" ref="AO69:AP69" si="173">+AVERAGE(AO67:AO68)</f>
        <v>1.37</v>
      </c>
      <c r="AP69" s="488">
        <f t="shared" si="173"/>
        <v>1.375</v>
      </c>
      <c r="AQ69" s="778">
        <f>(AR69*2)-AP69</f>
        <v>1.3839999999999999</v>
      </c>
      <c r="AR69" s="785">
        <f t="shared" ref="AR69:AS69" si="174">+AVERAGE(AR67:AR68)</f>
        <v>1.3794999999999999</v>
      </c>
      <c r="AS69" s="488">
        <f t="shared" si="174"/>
        <v>1.37</v>
      </c>
      <c r="AT69" s="778">
        <f>(AU69*2)-AS69</f>
        <v>1.3899999999999997</v>
      </c>
      <c r="AU69" s="785">
        <f t="shared" si="165"/>
        <v>1.38</v>
      </c>
      <c r="AV69" s="488">
        <f t="shared" si="165"/>
        <v>1.365</v>
      </c>
      <c r="AW69" s="751">
        <f>(AX69*2)-AV69</f>
        <v>1.3549999999999998</v>
      </c>
      <c r="AX69" s="764">
        <f t="shared" si="165"/>
        <v>1.3599999999999999</v>
      </c>
      <c r="AY69" s="485">
        <f t="shared" si="165"/>
        <v>1.3450000000000002</v>
      </c>
      <c r="AZ69" s="751">
        <f>(BA69*2)-AY69</f>
        <v>1.3450000000000002</v>
      </c>
      <c r="BA69" s="764">
        <f t="shared" si="165"/>
        <v>1.3450000000000002</v>
      </c>
      <c r="BB69" s="485">
        <f t="shared" si="165"/>
        <v>1.33</v>
      </c>
      <c r="BC69" s="751">
        <f>(BD69*2)-BB69</f>
        <v>1.33</v>
      </c>
      <c r="BD69" s="764">
        <f t="shared" si="165"/>
        <v>1.33</v>
      </c>
      <c r="BE69" s="485">
        <f t="shared" si="165"/>
        <v>1.33</v>
      </c>
      <c r="BF69" s="751">
        <f>(BG69*2)-BE69</f>
        <v>1.33</v>
      </c>
      <c r="BG69" s="764">
        <f t="shared" si="165"/>
        <v>1.33</v>
      </c>
      <c r="BH69" s="485">
        <f t="shared" si="165"/>
        <v>1.33</v>
      </c>
      <c r="BI69" s="751">
        <f>(BJ69*2)-BH69</f>
        <v>1.33</v>
      </c>
      <c r="BJ69" s="764">
        <f t="shared" si="165"/>
        <v>1.33</v>
      </c>
      <c r="BK69"/>
    </row>
    <row r="70" spans="1:66" collapsed="1">
      <c r="A70" s="25" t="s">
        <v>619</v>
      </c>
      <c r="B70" s="40"/>
      <c r="C70" s="40"/>
      <c r="D70" s="40"/>
      <c r="E70" s="40"/>
      <c r="F70" s="40"/>
      <c r="G70" s="40"/>
      <c r="H70" s="40"/>
      <c r="I70" s="40"/>
      <c r="J70" s="40"/>
      <c r="K70" s="40"/>
      <c r="L70" s="40"/>
      <c r="M70" s="40"/>
      <c r="N70" s="40"/>
      <c r="O70" s="40"/>
      <c r="P70" s="102"/>
      <c r="Q70" s="50" t="e">
        <f t="shared" ref="Q70:AC70" si="175">(1/(Q68/N68)-1)</f>
        <v>#DIV/0!</v>
      </c>
      <c r="R70" s="103" t="e">
        <f t="shared" si="175"/>
        <v>#DIV/0!</v>
      </c>
      <c r="S70" s="637">
        <f t="shared" si="175"/>
        <v>3.2258064516129004E-2</v>
      </c>
      <c r="T70" s="660">
        <f t="shared" si="175"/>
        <v>1.6181229773462924E-2</v>
      </c>
      <c r="U70" s="103">
        <f t="shared" si="175"/>
        <v>0</v>
      </c>
      <c r="V70" s="637">
        <f t="shared" si="175"/>
        <v>0</v>
      </c>
      <c r="W70" s="660">
        <f t="shared" si="175"/>
        <v>3.2467532467532756E-3</v>
      </c>
      <c r="X70" s="103">
        <f t="shared" si="175"/>
        <v>0</v>
      </c>
      <c r="Y70" s="637">
        <f t="shared" si="175"/>
        <v>0</v>
      </c>
      <c r="Z70" s="660">
        <f t="shared" si="175"/>
        <v>0</v>
      </c>
      <c r="AA70" s="103">
        <f t="shared" si="175"/>
        <v>1.3071895424836555E-2</v>
      </c>
      <c r="AB70" s="637">
        <f t="shared" si="175"/>
        <v>1.3071895424836555E-2</v>
      </c>
      <c r="AC70" s="660">
        <f t="shared" si="175"/>
        <v>6.5359477124182774E-3</v>
      </c>
      <c r="AD70" s="103">
        <f>(1/(AD68/AA68)-1)</f>
        <v>0.2338709677419355</v>
      </c>
      <c r="AE70" s="637">
        <f t="shared" ref="AE70:BJ70" si="176">(1/(AE68/AB68)-1)</f>
        <v>6.5789473684210176E-3</v>
      </c>
      <c r="AF70" s="660">
        <f t="shared" si="176"/>
        <v>6.5789473684210176E-3</v>
      </c>
      <c r="AG70" s="103">
        <f t="shared" si="176"/>
        <v>-0.10791366906474809</v>
      </c>
      <c r="AH70" s="637">
        <f t="shared" si="176"/>
        <v>-6.7484662576687171E-2</v>
      </c>
      <c r="AI70" s="660">
        <f t="shared" si="176"/>
        <v>6.6225165562914245E-3</v>
      </c>
      <c r="AJ70" s="103">
        <f t="shared" si="176"/>
        <v>-7.3333333333333472E-2</v>
      </c>
      <c r="AK70" s="637">
        <f t="shared" si="176"/>
        <v>8.666666666666667E-2</v>
      </c>
      <c r="AL70" s="660">
        <f t="shared" si="176"/>
        <v>6.6666666666665986E-3</v>
      </c>
      <c r="AM70" s="103">
        <f t="shared" si="176"/>
        <v>0</v>
      </c>
      <c r="AN70" s="931">
        <f t="shared" si="176"/>
        <v>0</v>
      </c>
      <c r="AO70" s="660">
        <f t="shared" si="176"/>
        <v>0</v>
      </c>
      <c r="AP70" s="103">
        <f t="shared" si="176"/>
        <v>1.3513513513513598E-2</v>
      </c>
      <c r="AQ70" s="931">
        <f t="shared" ref="AQ70" si="177">(1/(AQ68/AN68)-1)</f>
        <v>1.3513513513513598E-2</v>
      </c>
      <c r="AR70" s="660">
        <f t="shared" ref="AR70" si="178">(1/(AR68/AO68)-1)</f>
        <v>1.3513513513513598E-2</v>
      </c>
      <c r="AS70" s="103">
        <f t="shared" si="176"/>
        <v>2.7777777777777901E-2</v>
      </c>
      <c r="AT70" s="931">
        <f t="shared" si="176"/>
        <v>2.7777777777777901E-2</v>
      </c>
      <c r="AU70" s="937">
        <f t="shared" si="176"/>
        <v>2.7777777777777901E-2</v>
      </c>
      <c r="AV70" s="103">
        <f t="shared" si="176"/>
        <v>4.3478260869565188E-2</v>
      </c>
      <c r="AW70" s="752">
        <f t="shared" si="176"/>
        <v>4.3478260869565188E-2</v>
      </c>
      <c r="AX70" s="765">
        <f t="shared" si="176"/>
        <v>4.3478260869565188E-2</v>
      </c>
      <c r="AY70" s="324">
        <f t="shared" si="176"/>
        <v>2.2222222222222143E-2</v>
      </c>
      <c r="AZ70" s="752">
        <f t="shared" si="176"/>
        <v>2.2222222222222143E-2</v>
      </c>
      <c r="BA70" s="765">
        <f t="shared" si="176"/>
        <v>2.2222222222222143E-2</v>
      </c>
      <c r="BB70" s="324">
        <f t="shared" si="176"/>
        <v>2.2727272727272707E-2</v>
      </c>
      <c r="BC70" s="752">
        <f t="shared" si="176"/>
        <v>2.2727272727272707E-2</v>
      </c>
      <c r="BD70" s="765">
        <f t="shared" si="176"/>
        <v>2.2727272727272707E-2</v>
      </c>
      <c r="BE70" s="324">
        <f t="shared" si="176"/>
        <v>0</v>
      </c>
      <c r="BF70" s="752">
        <f t="shared" si="176"/>
        <v>0</v>
      </c>
      <c r="BG70" s="765">
        <f t="shared" si="176"/>
        <v>0</v>
      </c>
      <c r="BH70" s="324">
        <f t="shared" si="176"/>
        <v>0</v>
      </c>
      <c r="BI70" s="752">
        <f t="shared" si="176"/>
        <v>0</v>
      </c>
      <c r="BJ70" s="765">
        <f t="shared" si="176"/>
        <v>0</v>
      </c>
      <c r="BK70"/>
    </row>
    <row r="71" spans="1:66">
      <c r="B71" s="40"/>
      <c r="C71" s="40"/>
      <c r="D71" s="40"/>
      <c r="E71" s="40"/>
      <c r="F71" s="40"/>
      <c r="G71" s="40"/>
      <c r="H71" s="40"/>
      <c r="I71" s="40"/>
      <c r="J71" s="40"/>
      <c r="K71" s="40"/>
      <c r="L71" s="40"/>
      <c r="M71" s="40"/>
      <c r="N71" s="40"/>
      <c r="O71" s="40"/>
      <c r="P71" s="40"/>
      <c r="Q71" s="40"/>
      <c r="R71" s="40"/>
      <c r="S71" s="630"/>
      <c r="T71" s="653"/>
      <c r="U71" s="40"/>
      <c r="V71" s="630"/>
      <c r="W71" s="653"/>
      <c r="X71" s="40"/>
      <c r="Y71" s="630"/>
      <c r="Z71" s="653"/>
      <c r="AA71" s="40"/>
      <c r="AB71" s="630"/>
      <c r="AC71" s="653"/>
      <c r="AD71" s="40"/>
      <c r="AE71" s="630"/>
      <c r="AF71" s="653"/>
      <c r="AG71" s="40"/>
      <c r="AH71" s="630"/>
      <c r="AI71" s="653"/>
      <c r="AJ71" s="40"/>
      <c r="AK71" s="630"/>
      <c r="AL71" s="653"/>
      <c r="AM71" s="40"/>
      <c r="AN71" s="753"/>
      <c r="AO71" s="766"/>
      <c r="AP71" s="15"/>
      <c r="AQ71" s="753"/>
      <c r="AR71" s="766"/>
      <c r="AS71" s="15"/>
      <c r="AT71" s="753"/>
      <c r="AU71" s="766"/>
      <c r="AV71" s="15"/>
      <c r="AW71" s="753"/>
      <c r="AX71" s="766"/>
      <c r="AY71" s="15"/>
      <c r="AZ71" s="753"/>
      <c r="BA71" s="766"/>
      <c r="BB71" s="15"/>
      <c r="BC71" s="753"/>
      <c r="BD71" s="766"/>
      <c r="BE71" s="15"/>
      <c r="BF71" s="753"/>
      <c r="BG71" s="766"/>
      <c r="BH71" s="15"/>
      <c r="BI71" s="753"/>
      <c r="BJ71" s="766"/>
      <c r="BK71"/>
    </row>
    <row r="72" spans="1:66">
      <c r="A72" s="310" t="s">
        <v>722</v>
      </c>
      <c r="B72" s="311"/>
      <c r="C72" s="311"/>
      <c r="D72" s="311"/>
      <c r="E72" s="311"/>
      <c r="F72" s="311"/>
      <c r="G72" s="311"/>
      <c r="H72" s="311"/>
      <c r="I72" s="311"/>
      <c r="J72" s="311"/>
      <c r="K72" s="311"/>
      <c r="L72" s="311"/>
      <c r="M72" s="311"/>
      <c r="N72" s="311"/>
      <c r="O72" s="311"/>
      <c r="P72" s="311"/>
      <c r="Q72" s="311"/>
      <c r="R72" s="307"/>
      <c r="S72" s="316"/>
      <c r="T72" s="566"/>
      <c r="U72" s="307"/>
      <c r="V72" s="316"/>
      <c r="W72" s="566"/>
      <c r="X72" s="307"/>
      <c r="Y72" s="316"/>
      <c r="Z72" s="566"/>
      <c r="AA72" s="307"/>
      <c r="AB72" s="316"/>
      <c r="AC72" s="566"/>
      <c r="AD72" s="307"/>
      <c r="AE72" s="316"/>
      <c r="AF72" s="566"/>
      <c r="AG72" s="307"/>
      <c r="AH72" s="316"/>
      <c r="AI72" s="566"/>
      <c r="AJ72" s="307"/>
      <c r="AK72" s="316"/>
      <c r="AL72" s="566"/>
      <c r="AM72" s="307"/>
      <c r="AN72" s="316"/>
      <c r="AO72" s="566"/>
      <c r="AP72" s="307"/>
      <c r="AQ72" s="316"/>
      <c r="AR72" s="566"/>
      <c r="AS72" s="307"/>
      <c r="AT72" s="316"/>
      <c r="AU72" s="566"/>
      <c r="AV72" s="307"/>
      <c r="AW72" s="686"/>
      <c r="AX72" s="682"/>
      <c r="AY72" s="160"/>
      <c r="AZ72" s="686"/>
      <c r="BA72" s="682"/>
      <c r="BB72" s="160"/>
      <c r="BC72" s="686"/>
      <c r="BD72" s="682"/>
      <c r="BE72" s="160"/>
      <c r="BF72" s="686"/>
      <c r="BG72" s="682"/>
      <c r="BH72" s="160"/>
      <c r="BI72" s="686"/>
      <c r="BJ72" s="682"/>
      <c r="BK72"/>
    </row>
    <row r="73" spans="1:66">
      <c r="B73" s="40"/>
      <c r="C73" s="40"/>
      <c r="D73" s="40"/>
      <c r="E73" s="40"/>
      <c r="F73" s="40"/>
      <c r="G73" s="40"/>
      <c r="H73" s="40"/>
      <c r="I73" s="40"/>
      <c r="J73" s="40"/>
      <c r="K73" s="40"/>
      <c r="L73" s="40"/>
      <c r="M73" s="40"/>
      <c r="N73" s="40"/>
      <c r="O73" s="40"/>
      <c r="P73" s="40"/>
      <c r="Q73" s="40"/>
      <c r="R73" s="40"/>
      <c r="S73" s="630"/>
      <c r="T73" s="653"/>
      <c r="U73" s="40"/>
      <c r="V73" s="630"/>
      <c r="W73" s="653"/>
      <c r="X73" s="40"/>
      <c r="Y73" s="630"/>
      <c r="Z73" s="653"/>
      <c r="AA73" s="40"/>
      <c r="AB73" s="630"/>
      <c r="AC73" s="653"/>
      <c r="AD73" s="40"/>
      <c r="AE73" s="630"/>
      <c r="AF73" s="653"/>
      <c r="AG73" s="40"/>
      <c r="AH73" s="630"/>
      <c r="AI73" s="653"/>
      <c r="AJ73" s="40"/>
      <c r="AK73" s="630"/>
      <c r="AL73" s="653"/>
      <c r="AM73" s="40"/>
      <c r="AN73" s="539"/>
      <c r="AO73" s="550"/>
      <c r="AP73"/>
      <c r="AQ73" s="539"/>
      <c r="AR73" s="550"/>
      <c r="AS73"/>
      <c r="AT73" s="539"/>
      <c r="AU73" s="550"/>
      <c r="AV73"/>
      <c r="AW73" s="539"/>
      <c r="AX73" s="550"/>
      <c r="AY73"/>
      <c r="AZ73" s="539"/>
      <c r="BA73" s="550"/>
      <c r="BB73"/>
      <c r="BC73" s="539"/>
      <c r="BD73" s="550"/>
      <c r="BE73"/>
      <c r="BF73" s="539"/>
      <c r="BG73" s="550"/>
      <c r="BH73"/>
      <c r="BI73" s="539"/>
      <c r="BJ73" s="550"/>
      <c r="BK73"/>
    </row>
    <row r="74" spans="1:66">
      <c r="A74" s="66" t="s">
        <v>251</v>
      </c>
      <c r="B74" s="40">
        <v>0</v>
      </c>
      <c r="C74" s="40">
        <v>0</v>
      </c>
      <c r="D74" s="40">
        <v>0</v>
      </c>
      <c r="E74" s="40">
        <v>0</v>
      </c>
      <c r="F74" s="40">
        <v>0</v>
      </c>
      <c r="G74" s="40">
        <v>0</v>
      </c>
      <c r="H74" s="40">
        <v>0</v>
      </c>
      <c r="I74" s="40">
        <v>0</v>
      </c>
      <c r="J74" s="40">
        <v>0</v>
      </c>
      <c r="K74" s="40">
        <v>0</v>
      </c>
      <c r="L74" s="40">
        <v>0</v>
      </c>
      <c r="M74" s="40">
        <v>0</v>
      </c>
      <c r="N74" s="40">
        <v>0</v>
      </c>
      <c r="O74" s="40">
        <v>0</v>
      </c>
      <c r="P74" s="40">
        <v>0</v>
      </c>
      <c r="Q74" s="40">
        <v>0</v>
      </c>
      <c r="R74" s="40"/>
      <c r="S74" s="630"/>
      <c r="T74" s="653">
        <v>0</v>
      </c>
      <c r="U74" s="40">
        <v>0</v>
      </c>
      <c r="V74" s="630">
        <f>W74-U74</f>
        <v>0</v>
      </c>
      <c r="W74" s="653">
        <v>0</v>
      </c>
      <c r="X74" s="40">
        <v>0</v>
      </c>
      <c r="Y74" s="630">
        <f>Z74-X74</f>
        <v>0</v>
      </c>
      <c r="Z74" s="653">
        <v>0</v>
      </c>
      <c r="AA74" s="40">
        <v>0</v>
      </c>
      <c r="AB74" s="630">
        <f>AC74-AA74</f>
        <v>0</v>
      </c>
      <c r="AC74" s="653">
        <v>0</v>
      </c>
      <c r="AD74" s="40">
        <v>0</v>
      </c>
      <c r="AE74" s="630">
        <f>AF74-AD74</f>
        <v>0</v>
      </c>
      <c r="AF74" s="653">
        <v>0</v>
      </c>
      <c r="AG74" s="40">
        <v>0</v>
      </c>
      <c r="AH74" s="630">
        <f>AI74-AG74</f>
        <v>0</v>
      </c>
      <c r="AI74" s="653">
        <v>0</v>
      </c>
      <c r="AJ74" s="40">
        <v>0</v>
      </c>
      <c r="AK74" s="630">
        <f>AL74-AJ74</f>
        <v>0</v>
      </c>
      <c r="AL74" s="653">
        <v>0</v>
      </c>
      <c r="AM74" s="40">
        <v>0</v>
      </c>
      <c r="AN74" s="630">
        <f>AO74-AM74</f>
        <v>0</v>
      </c>
      <c r="AO74" s="653">
        <v>0</v>
      </c>
      <c r="AP74" s="40">
        <v>0</v>
      </c>
      <c r="AQ74" s="630">
        <f>AR74-AP74</f>
        <v>0</v>
      </c>
      <c r="AR74" s="653">
        <v>0</v>
      </c>
      <c r="AS74" s="40">
        <v>0</v>
      </c>
      <c r="AT74" s="216">
        <f>AU74-AS74</f>
        <v>0</v>
      </c>
      <c r="AU74" s="653">
        <v>0</v>
      </c>
      <c r="AV74" s="40">
        <v>0</v>
      </c>
      <c r="AW74" s="236">
        <f>AX74-AV74</f>
        <v>0</v>
      </c>
      <c r="AX74" s="580">
        <v>0</v>
      </c>
      <c r="AY74" s="56">
        <f t="shared" ref="AY74:AY76" si="179">BA74/2</f>
        <v>0</v>
      </c>
      <c r="AZ74" s="236">
        <f>BA74-AY74</f>
        <v>0</v>
      </c>
      <c r="BA74" s="580">
        <v>0</v>
      </c>
      <c r="BB74" s="56">
        <f t="shared" ref="BB74:BB76" si="180">BD74/2</f>
        <v>0</v>
      </c>
      <c r="BC74" s="236">
        <f>BD74-BB74</f>
        <v>0</v>
      </c>
      <c r="BD74" s="580">
        <v>0</v>
      </c>
      <c r="BE74" s="56">
        <f t="shared" ref="BE74:BE76" si="181">BG74/2</f>
        <v>0</v>
      </c>
      <c r="BF74" s="236">
        <f>BG74-BE74</f>
        <v>0</v>
      </c>
      <c r="BG74" s="580">
        <v>0</v>
      </c>
      <c r="BH74" s="56">
        <f t="shared" ref="BH74:BH76" si="182">BJ74/2</f>
        <v>0</v>
      </c>
      <c r="BI74" s="236">
        <f>BJ74-BH74</f>
        <v>0</v>
      </c>
      <c r="BJ74" s="580">
        <v>0</v>
      </c>
      <c r="BK74"/>
    </row>
    <row r="75" spans="1:66">
      <c r="A75" s="66" t="s">
        <v>252</v>
      </c>
      <c r="B75" s="40">
        <v>10</v>
      </c>
      <c r="C75" s="40">
        <v>14</v>
      </c>
      <c r="D75" s="40">
        <v>4</v>
      </c>
      <c r="E75" s="40">
        <v>2</v>
      </c>
      <c r="F75" s="40">
        <v>5</v>
      </c>
      <c r="G75" s="40">
        <v>7</v>
      </c>
      <c r="H75" s="40">
        <v>0</v>
      </c>
      <c r="I75" s="40">
        <v>5</v>
      </c>
      <c r="J75" s="40">
        <v>4</v>
      </c>
      <c r="K75" s="40">
        <v>0</v>
      </c>
      <c r="L75" s="40">
        <v>0</v>
      </c>
      <c r="M75" s="40">
        <v>0</v>
      </c>
      <c r="N75" s="40">
        <v>0</v>
      </c>
      <c r="O75" s="40">
        <v>0</v>
      </c>
      <c r="P75" s="40">
        <v>0</v>
      </c>
      <c r="Q75" s="40">
        <v>0</v>
      </c>
      <c r="R75" s="40"/>
      <c r="S75" s="630"/>
      <c r="T75" s="653">
        <v>0</v>
      </c>
      <c r="U75" s="40">
        <v>0</v>
      </c>
      <c r="V75" s="630">
        <f t="shared" ref="V75:V85" si="183">W75-U75</f>
        <v>0</v>
      </c>
      <c r="W75" s="653">
        <v>0</v>
      </c>
      <c r="X75" s="40">
        <v>0</v>
      </c>
      <c r="Y75" s="630">
        <f t="shared" ref="Y75:Y85" si="184">Z75-X75</f>
        <v>0</v>
      </c>
      <c r="Z75" s="653">
        <v>0</v>
      </c>
      <c r="AA75" s="40">
        <v>0</v>
      </c>
      <c r="AB75" s="630">
        <f t="shared" ref="AB75:AB85" si="185">AC75-AA75</f>
        <v>0</v>
      </c>
      <c r="AC75" s="653">
        <v>0</v>
      </c>
      <c r="AD75" s="40">
        <v>0</v>
      </c>
      <c r="AE75" s="630">
        <f t="shared" ref="AE75:AE85" si="186">AF75-AD75</f>
        <v>0</v>
      </c>
      <c r="AF75" s="653">
        <v>0</v>
      </c>
      <c r="AG75" s="40">
        <v>0</v>
      </c>
      <c r="AH75" s="630">
        <f t="shared" ref="AH75:AH85" si="187">AI75-AG75</f>
        <v>0</v>
      </c>
      <c r="AI75" s="653">
        <v>0</v>
      </c>
      <c r="AJ75" s="40">
        <v>0</v>
      </c>
      <c r="AK75" s="630">
        <f t="shared" ref="AK75:AK85" si="188">AL75-AJ75</f>
        <v>0</v>
      </c>
      <c r="AL75" s="653">
        <v>0</v>
      </c>
      <c r="AM75" s="40">
        <v>0</v>
      </c>
      <c r="AN75" s="630">
        <f t="shared" ref="AN75:AN76" si="189">AO75-AM75</f>
        <v>0</v>
      </c>
      <c r="AO75" s="653">
        <v>0</v>
      </c>
      <c r="AP75" s="40">
        <v>0</v>
      </c>
      <c r="AQ75" s="630">
        <f t="shared" ref="AQ75:AQ76" si="190">AR75-AP75</f>
        <v>0</v>
      </c>
      <c r="AR75" s="653">
        <v>0</v>
      </c>
      <c r="AS75" s="40">
        <v>0</v>
      </c>
      <c r="AT75" s="216">
        <f t="shared" ref="AT75:AT85" si="191">AU75-AS75</f>
        <v>0</v>
      </c>
      <c r="AU75" s="653">
        <v>0</v>
      </c>
      <c r="AV75" s="40">
        <v>0</v>
      </c>
      <c r="AW75" s="236">
        <f t="shared" ref="AW75:AW85" si="192">AX75-AV75</f>
        <v>0</v>
      </c>
      <c r="AX75" s="580">
        <v>0</v>
      </c>
      <c r="AY75" s="56">
        <f t="shared" si="179"/>
        <v>0</v>
      </c>
      <c r="AZ75" s="236">
        <f t="shared" ref="AZ75:AZ85" si="193">BA75-AY75</f>
        <v>0</v>
      </c>
      <c r="BA75" s="580">
        <v>0</v>
      </c>
      <c r="BB75" s="56">
        <f t="shared" si="180"/>
        <v>0</v>
      </c>
      <c r="BC75" s="236">
        <f t="shared" ref="BC75:BC85" si="194">BD75-BB75</f>
        <v>0</v>
      </c>
      <c r="BD75" s="580">
        <v>0</v>
      </c>
      <c r="BE75" s="56">
        <f t="shared" si="181"/>
        <v>0</v>
      </c>
      <c r="BF75" s="236">
        <f t="shared" ref="BF75:BF85" si="195">BG75-BE75</f>
        <v>0</v>
      </c>
      <c r="BG75" s="580">
        <v>0</v>
      </c>
      <c r="BH75" s="56">
        <f t="shared" si="182"/>
        <v>0</v>
      </c>
      <c r="BI75" s="236">
        <f t="shared" ref="BI75:BI85" si="196">BJ75-BH75</f>
        <v>0</v>
      </c>
      <c r="BJ75" s="580">
        <v>0</v>
      </c>
      <c r="BK75"/>
    </row>
    <row r="76" spans="1:66">
      <c r="A76" s="66" t="s">
        <v>253</v>
      </c>
      <c r="B76" s="40">
        <v>63</v>
      </c>
      <c r="C76" s="40">
        <v>85</v>
      </c>
      <c r="D76" s="40">
        <v>26</v>
      </c>
      <c r="E76" s="40">
        <v>14</v>
      </c>
      <c r="F76" s="40">
        <v>6</v>
      </c>
      <c r="G76" s="40">
        <v>0</v>
      </c>
      <c r="H76" s="40">
        <v>2</v>
      </c>
      <c r="I76" s="40">
        <v>0</v>
      </c>
      <c r="J76" s="40">
        <v>1</v>
      </c>
      <c r="K76" s="40">
        <v>1</v>
      </c>
      <c r="L76" s="40">
        <v>0</v>
      </c>
      <c r="M76" s="40">
        <v>0</v>
      </c>
      <c r="N76" s="40">
        <v>0</v>
      </c>
      <c r="O76" s="40">
        <v>0</v>
      </c>
      <c r="P76" s="40">
        <v>0</v>
      </c>
      <c r="Q76" s="40">
        <v>0</v>
      </c>
      <c r="R76" s="40"/>
      <c r="S76" s="630"/>
      <c r="T76" s="653">
        <v>0</v>
      </c>
      <c r="U76" s="40">
        <v>0</v>
      </c>
      <c r="V76" s="630">
        <f t="shared" si="183"/>
        <v>0</v>
      </c>
      <c r="W76" s="653">
        <v>0</v>
      </c>
      <c r="X76" s="40">
        <v>0</v>
      </c>
      <c r="Y76" s="630">
        <f t="shared" si="184"/>
        <v>0</v>
      </c>
      <c r="Z76" s="653">
        <v>0</v>
      </c>
      <c r="AA76" s="40">
        <v>0</v>
      </c>
      <c r="AB76" s="630">
        <f t="shared" si="185"/>
        <v>0</v>
      </c>
      <c r="AC76" s="653">
        <v>0</v>
      </c>
      <c r="AD76" s="40">
        <v>0</v>
      </c>
      <c r="AE76" s="630">
        <f t="shared" si="186"/>
        <v>0</v>
      </c>
      <c r="AF76" s="653">
        <v>0</v>
      </c>
      <c r="AG76" s="40">
        <v>0</v>
      </c>
      <c r="AH76" s="630">
        <f t="shared" si="187"/>
        <v>0</v>
      </c>
      <c r="AI76" s="653">
        <v>0</v>
      </c>
      <c r="AJ76" s="40">
        <v>0</v>
      </c>
      <c r="AK76" s="630">
        <f t="shared" si="188"/>
        <v>0</v>
      </c>
      <c r="AL76" s="653">
        <v>0</v>
      </c>
      <c r="AM76" s="40">
        <v>0</v>
      </c>
      <c r="AN76" s="630">
        <f t="shared" si="189"/>
        <v>0</v>
      </c>
      <c r="AO76" s="653">
        <v>0</v>
      </c>
      <c r="AP76" s="40">
        <v>0</v>
      </c>
      <c r="AQ76" s="630">
        <f t="shared" si="190"/>
        <v>0</v>
      </c>
      <c r="AR76" s="653">
        <v>0</v>
      </c>
      <c r="AS76" s="40">
        <v>0</v>
      </c>
      <c r="AT76" s="216">
        <f t="shared" si="191"/>
        <v>0</v>
      </c>
      <c r="AU76" s="653">
        <v>0</v>
      </c>
      <c r="AV76" s="40">
        <v>0</v>
      </c>
      <c r="AW76" s="236">
        <f t="shared" si="192"/>
        <v>0</v>
      </c>
      <c r="AX76" s="580">
        <v>0</v>
      </c>
      <c r="AY76" s="56">
        <f t="shared" si="179"/>
        <v>0</v>
      </c>
      <c r="AZ76" s="236">
        <f t="shared" si="193"/>
        <v>0</v>
      </c>
      <c r="BA76" s="580">
        <v>0</v>
      </c>
      <c r="BB76" s="56">
        <f t="shared" si="180"/>
        <v>0</v>
      </c>
      <c r="BC76" s="236">
        <f t="shared" si="194"/>
        <v>0</v>
      </c>
      <c r="BD76" s="580">
        <v>0</v>
      </c>
      <c r="BE76" s="56">
        <f t="shared" si="181"/>
        <v>0</v>
      </c>
      <c r="BF76" s="236">
        <f t="shared" si="195"/>
        <v>0</v>
      </c>
      <c r="BG76" s="580">
        <v>0</v>
      </c>
      <c r="BH76" s="56">
        <f t="shared" si="182"/>
        <v>0</v>
      </c>
      <c r="BI76" s="236">
        <f t="shared" si="196"/>
        <v>0</v>
      </c>
      <c r="BJ76" s="580">
        <v>0</v>
      </c>
      <c r="BK76"/>
    </row>
    <row r="77" spans="1:66" s="31" customFormat="1">
      <c r="A77" s="62" t="s">
        <v>267</v>
      </c>
      <c r="B77" s="82">
        <f t="shared" ref="B77:Z77" si="197">SUM(B74:B76)</f>
        <v>73</v>
      </c>
      <c r="C77" s="82">
        <f t="shared" si="197"/>
        <v>99</v>
      </c>
      <c r="D77" s="82">
        <f t="shared" si="197"/>
        <v>30</v>
      </c>
      <c r="E77" s="82">
        <f t="shared" si="197"/>
        <v>16</v>
      </c>
      <c r="F77" s="82">
        <f t="shared" si="197"/>
        <v>11</v>
      </c>
      <c r="G77" s="82">
        <f t="shared" si="197"/>
        <v>7</v>
      </c>
      <c r="H77" s="82">
        <f t="shared" si="197"/>
        <v>2</v>
      </c>
      <c r="I77" s="82">
        <f t="shared" si="197"/>
        <v>5</v>
      </c>
      <c r="J77" s="82">
        <f t="shared" si="197"/>
        <v>5</v>
      </c>
      <c r="K77" s="82">
        <f t="shared" si="197"/>
        <v>1</v>
      </c>
      <c r="L77" s="82">
        <f t="shared" si="197"/>
        <v>0</v>
      </c>
      <c r="M77" s="82">
        <f t="shared" si="197"/>
        <v>0</v>
      </c>
      <c r="N77" s="82">
        <f t="shared" si="197"/>
        <v>0</v>
      </c>
      <c r="O77" s="82">
        <f t="shared" si="197"/>
        <v>0</v>
      </c>
      <c r="P77" s="82">
        <f t="shared" si="197"/>
        <v>0</v>
      </c>
      <c r="Q77" s="82">
        <f t="shared" si="197"/>
        <v>0</v>
      </c>
      <c r="R77" s="82"/>
      <c r="S77" s="694"/>
      <c r="T77" s="709">
        <f t="shared" si="197"/>
        <v>0</v>
      </c>
      <c r="U77" s="82">
        <f>SUM(U74:U76)</f>
        <v>0</v>
      </c>
      <c r="V77" s="694">
        <f>SUM(V74:V76)</f>
        <v>0</v>
      </c>
      <c r="W77" s="709">
        <f t="shared" si="197"/>
        <v>0</v>
      </c>
      <c r="X77" s="82">
        <f>SUM(X74:X76)</f>
        <v>0</v>
      </c>
      <c r="Y77" s="694">
        <f>SUM(Y74:Y76)</f>
        <v>0</v>
      </c>
      <c r="Z77" s="709">
        <f t="shared" si="197"/>
        <v>0</v>
      </c>
      <c r="AA77" s="82">
        <f>SUM(AA74:AA76)</f>
        <v>0</v>
      </c>
      <c r="AB77" s="694">
        <f>SUM(AB74:AB76)</f>
        <v>0</v>
      </c>
      <c r="AC77" s="709">
        <v>0</v>
      </c>
      <c r="AD77" s="82">
        <f t="shared" ref="AD77:AT77" si="198">SUM(AD74:AD76)</f>
        <v>0</v>
      </c>
      <c r="AE77" s="694">
        <f t="shared" si="198"/>
        <v>0</v>
      </c>
      <c r="AF77" s="709">
        <f t="shared" si="198"/>
        <v>0</v>
      </c>
      <c r="AG77" s="82">
        <f t="shared" si="198"/>
        <v>0</v>
      </c>
      <c r="AH77" s="694">
        <f t="shared" si="198"/>
        <v>0</v>
      </c>
      <c r="AI77" s="709">
        <f t="shared" si="198"/>
        <v>0</v>
      </c>
      <c r="AJ77" s="82">
        <f t="shared" si="198"/>
        <v>0</v>
      </c>
      <c r="AK77" s="694">
        <f t="shared" si="198"/>
        <v>0</v>
      </c>
      <c r="AL77" s="709">
        <f t="shared" si="198"/>
        <v>0</v>
      </c>
      <c r="AM77" s="82">
        <f t="shared" si="198"/>
        <v>0</v>
      </c>
      <c r="AN77" s="694">
        <f t="shared" ref="AN77:AP77" si="199">SUM(AN74:AN76)</f>
        <v>0</v>
      </c>
      <c r="AO77" s="709">
        <f t="shared" si="199"/>
        <v>0</v>
      </c>
      <c r="AP77" s="82">
        <f t="shared" si="199"/>
        <v>0</v>
      </c>
      <c r="AQ77" s="694">
        <f t="shared" ref="AQ77:AR77" si="200">SUM(AQ74:AQ76)</f>
        <v>0</v>
      </c>
      <c r="AR77" s="709">
        <f t="shared" si="200"/>
        <v>0</v>
      </c>
      <c r="AS77" s="82">
        <f t="shared" ref="AS77" si="201">SUM(AS74:AS76)</f>
        <v>0</v>
      </c>
      <c r="AT77" s="226">
        <f t="shared" si="198"/>
        <v>0</v>
      </c>
      <c r="AU77" s="709">
        <f t="shared" ref="AU77:BJ77" si="202">SUM(AU74:AU76)</f>
        <v>0</v>
      </c>
      <c r="AV77" s="82">
        <f t="shared" si="202"/>
        <v>0</v>
      </c>
      <c r="AW77" s="241">
        <f>SUM(AW74:AW76)</f>
        <v>0</v>
      </c>
      <c r="AX77" s="579">
        <f t="shared" si="202"/>
        <v>0</v>
      </c>
      <c r="AY77" s="204">
        <f>SUM(AY74:AY76)</f>
        <v>0</v>
      </c>
      <c r="AZ77" s="241">
        <f>SUM(AZ74:AZ76)</f>
        <v>0</v>
      </c>
      <c r="BA77" s="579">
        <f t="shared" si="202"/>
        <v>0</v>
      </c>
      <c r="BB77" s="204">
        <f>SUM(BB74:BB76)</f>
        <v>0</v>
      </c>
      <c r="BC77" s="241">
        <f>SUM(BC74:BC76)</f>
        <v>0</v>
      </c>
      <c r="BD77" s="579">
        <f t="shared" si="202"/>
        <v>0</v>
      </c>
      <c r="BE77" s="204">
        <f>SUM(BE74:BE76)</f>
        <v>0</v>
      </c>
      <c r="BF77" s="241">
        <f>SUM(BF74:BF76)</f>
        <v>0</v>
      </c>
      <c r="BG77" s="579">
        <f t="shared" si="202"/>
        <v>0</v>
      </c>
      <c r="BH77" s="204">
        <f>SUM(BH74:BH76)</f>
        <v>0</v>
      </c>
      <c r="BI77" s="241">
        <f>SUM(BI74:BI76)</f>
        <v>0</v>
      </c>
      <c r="BJ77" s="579">
        <f t="shared" si="202"/>
        <v>0</v>
      </c>
      <c r="BK77" s="2"/>
    </row>
    <row r="78" spans="1:66">
      <c r="A78" s="66" t="s">
        <v>254</v>
      </c>
      <c r="B78" s="40">
        <v>6</v>
      </c>
      <c r="C78" s="40">
        <v>0</v>
      </c>
      <c r="D78" s="40">
        <v>37</v>
      </c>
      <c r="E78" s="40">
        <v>88</v>
      </c>
      <c r="F78" s="40">
        <v>115</v>
      </c>
      <c r="G78" s="40">
        <v>88</v>
      </c>
      <c r="H78" s="40">
        <v>97</v>
      </c>
      <c r="I78" s="40">
        <v>45</v>
      </c>
      <c r="J78" s="40">
        <v>45</v>
      </c>
      <c r="K78" s="40">
        <v>57</v>
      </c>
      <c r="L78" s="40">
        <v>16</v>
      </c>
      <c r="M78" s="40">
        <v>1</v>
      </c>
      <c r="N78" s="40">
        <v>8</v>
      </c>
      <c r="O78" s="40">
        <v>0</v>
      </c>
      <c r="P78" s="40">
        <v>0</v>
      </c>
      <c r="Q78" s="40">
        <v>0</v>
      </c>
      <c r="R78" s="40"/>
      <c r="S78" s="630"/>
      <c r="T78" s="653">
        <v>0</v>
      </c>
      <c r="U78" s="40">
        <v>0</v>
      </c>
      <c r="V78" s="630">
        <f t="shared" si="183"/>
        <v>0</v>
      </c>
      <c r="W78" s="653">
        <v>0</v>
      </c>
      <c r="X78" s="40">
        <v>0</v>
      </c>
      <c r="Y78" s="630">
        <f t="shared" si="184"/>
        <v>0</v>
      </c>
      <c r="Z78" s="653">
        <v>0</v>
      </c>
      <c r="AA78" s="40">
        <v>0</v>
      </c>
      <c r="AB78" s="630">
        <f t="shared" si="185"/>
        <v>0</v>
      </c>
      <c r="AC78" s="653">
        <v>0</v>
      </c>
      <c r="AD78" s="40">
        <v>0</v>
      </c>
      <c r="AE78" s="630">
        <f t="shared" si="186"/>
        <v>0</v>
      </c>
      <c r="AF78" s="653">
        <v>0</v>
      </c>
      <c r="AG78" s="40">
        <v>0</v>
      </c>
      <c r="AH78" s="630">
        <f t="shared" si="187"/>
        <v>0</v>
      </c>
      <c r="AI78" s="653">
        <v>0</v>
      </c>
      <c r="AJ78" s="40">
        <v>0</v>
      </c>
      <c r="AK78" s="630">
        <f t="shared" si="188"/>
        <v>0</v>
      </c>
      <c r="AL78" s="653">
        <v>0</v>
      </c>
      <c r="AM78" s="40">
        <v>0</v>
      </c>
      <c r="AN78" s="630">
        <f t="shared" ref="AN78:AN83" si="203">AO78-AM78</f>
        <v>0</v>
      </c>
      <c r="AO78" s="653">
        <v>0</v>
      </c>
      <c r="AP78" s="40">
        <v>0</v>
      </c>
      <c r="AQ78" s="630">
        <f t="shared" ref="AQ78:AQ83" si="204">AR78-AP78</f>
        <v>0</v>
      </c>
      <c r="AR78" s="653">
        <v>0</v>
      </c>
      <c r="AS78" s="40">
        <v>0</v>
      </c>
      <c r="AT78" s="216">
        <f t="shared" si="191"/>
        <v>0</v>
      </c>
      <c r="AU78" s="653">
        <v>0</v>
      </c>
      <c r="AV78" s="40">
        <v>0</v>
      </c>
      <c r="AW78" s="236">
        <f t="shared" si="192"/>
        <v>0</v>
      </c>
      <c r="AX78" s="580">
        <v>0</v>
      </c>
      <c r="AY78" s="56">
        <f t="shared" ref="AY78:AY80" si="205">BA78/2</f>
        <v>0</v>
      </c>
      <c r="AZ78" s="236">
        <f t="shared" si="193"/>
        <v>0</v>
      </c>
      <c r="BA78" s="580">
        <v>0</v>
      </c>
      <c r="BB78" s="56">
        <f t="shared" ref="BB78:BB80" si="206">BD78/2</f>
        <v>0</v>
      </c>
      <c r="BC78" s="236">
        <f t="shared" si="194"/>
        <v>0</v>
      </c>
      <c r="BD78" s="580">
        <v>0</v>
      </c>
      <c r="BE78" s="56">
        <f t="shared" ref="BE78:BE80" si="207">BG78/2</f>
        <v>0</v>
      </c>
      <c r="BF78" s="236">
        <f t="shared" si="195"/>
        <v>0</v>
      </c>
      <c r="BG78" s="580">
        <v>0</v>
      </c>
      <c r="BH78" s="56">
        <f t="shared" ref="BH78:BH80" si="208">BJ78/2</f>
        <v>0</v>
      </c>
      <c r="BI78" s="236">
        <f t="shared" si="196"/>
        <v>0</v>
      </c>
      <c r="BJ78" s="580">
        <v>0</v>
      </c>
      <c r="BK78"/>
    </row>
    <row r="79" spans="1:66">
      <c r="A79" s="66" t="s">
        <v>255</v>
      </c>
      <c r="B79" s="40">
        <v>47</v>
      </c>
      <c r="C79" s="40">
        <v>52</v>
      </c>
      <c r="D79" s="40">
        <v>30</v>
      </c>
      <c r="E79" s="40">
        <v>35</v>
      </c>
      <c r="F79" s="40">
        <v>30</v>
      </c>
      <c r="G79" s="40">
        <v>54</v>
      </c>
      <c r="H79" s="40">
        <v>59</v>
      </c>
      <c r="I79" s="40">
        <v>75</v>
      </c>
      <c r="J79" s="40">
        <v>88</v>
      </c>
      <c r="K79" s="40">
        <v>125</v>
      </c>
      <c r="L79" s="40">
        <v>139</v>
      </c>
      <c r="M79" s="40">
        <v>135</v>
      </c>
      <c r="N79" s="40">
        <v>157</v>
      </c>
      <c r="O79" s="40">
        <v>181</v>
      </c>
      <c r="P79" s="40">
        <v>184</v>
      </c>
      <c r="Q79" s="40">
        <v>140</v>
      </c>
      <c r="R79" s="40"/>
      <c r="S79" s="630"/>
      <c r="T79" s="653">
        <v>88</v>
      </c>
      <c r="U79" s="40">
        <v>47</v>
      </c>
      <c r="V79" s="630">
        <f t="shared" si="183"/>
        <v>63</v>
      </c>
      <c r="W79" s="653">
        <v>110</v>
      </c>
      <c r="X79" s="40">
        <v>41</v>
      </c>
      <c r="Y79" s="630">
        <f t="shared" si="184"/>
        <v>22</v>
      </c>
      <c r="Z79" s="653">
        <v>63</v>
      </c>
      <c r="AA79" s="40">
        <v>8</v>
      </c>
      <c r="AB79" s="630">
        <f t="shared" si="185"/>
        <v>2</v>
      </c>
      <c r="AC79" s="653">
        <v>10</v>
      </c>
      <c r="AD79" s="40">
        <v>0</v>
      </c>
      <c r="AE79" s="630">
        <f t="shared" si="186"/>
        <v>2</v>
      </c>
      <c r="AF79" s="653">
        <v>2</v>
      </c>
      <c r="AG79" s="40">
        <v>0</v>
      </c>
      <c r="AH79" s="630">
        <f t="shared" si="187"/>
        <v>2</v>
      </c>
      <c r="AI79" s="653">
        <v>2</v>
      </c>
      <c r="AJ79" s="40">
        <v>0</v>
      </c>
      <c r="AK79" s="630">
        <f t="shared" si="188"/>
        <v>1</v>
      </c>
      <c r="AL79" s="653">
        <v>1</v>
      </c>
      <c r="AM79" s="40">
        <v>1</v>
      </c>
      <c r="AN79" s="630">
        <f t="shared" si="203"/>
        <v>0</v>
      </c>
      <c r="AO79" s="653">
        <v>1</v>
      </c>
      <c r="AP79" s="40">
        <v>0</v>
      </c>
      <c r="AQ79" s="630">
        <f t="shared" si="204"/>
        <v>0</v>
      </c>
      <c r="AR79" s="653">
        <v>0</v>
      </c>
      <c r="AS79" s="40">
        <v>0</v>
      </c>
      <c r="AT79" s="216">
        <f t="shared" ref="AT79" si="209">AU79-AS79</f>
        <v>0</v>
      </c>
      <c r="AU79" s="653">
        <v>0</v>
      </c>
      <c r="AV79" s="40">
        <v>1</v>
      </c>
      <c r="AW79" s="236">
        <f t="shared" ref="AW79" si="210">AX79-AV79</f>
        <v>0</v>
      </c>
      <c r="AX79" s="580">
        <v>1</v>
      </c>
      <c r="AY79" s="56">
        <f t="shared" ref="AY79" si="211">BA79/2</f>
        <v>0</v>
      </c>
      <c r="AZ79" s="236">
        <f t="shared" ref="AZ79" si="212">BA79-AY79</f>
        <v>0</v>
      </c>
      <c r="BA79" s="580">
        <v>0</v>
      </c>
      <c r="BB79" s="56">
        <f t="shared" ref="BB79" si="213">BD79/2</f>
        <v>0</v>
      </c>
      <c r="BC79" s="236">
        <f t="shared" ref="BC79" si="214">BD79-BB79</f>
        <v>0</v>
      </c>
      <c r="BD79" s="580">
        <v>0</v>
      </c>
      <c r="BE79" s="56">
        <f t="shared" ref="BE79" si="215">BG79/2</f>
        <v>0</v>
      </c>
      <c r="BF79" s="236">
        <f t="shared" ref="BF79" si="216">BG79-BE79</f>
        <v>0</v>
      </c>
      <c r="BG79" s="580">
        <v>0</v>
      </c>
      <c r="BH79" s="56">
        <f t="shared" ref="BH79" si="217">BJ79/2</f>
        <v>0</v>
      </c>
      <c r="BI79" s="236">
        <f t="shared" ref="BI79" si="218">BJ79-BH79</f>
        <v>0</v>
      </c>
      <c r="BJ79" s="580">
        <v>0</v>
      </c>
      <c r="BK79"/>
    </row>
    <row r="80" spans="1:66">
      <c r="A80" s="66" t="s">
        <v>256</v>
      </c>
      <c r="B80" s="40">
        <v>55</v>
      </c>
      <c r="C80" s="40">
        <v>79</v>
      </c>
      <c r="D80" s="40">
        <v>54</v>
      </c>
      <c r="E80" s="40">
        <v>30</v>
      </c>
      <c r="F80" s="40">
        <v>15</v>
      </c>
      <c r="G80" s="40">
        <v>21</v>
      </c>
      <c r="H80" s="40">
        <v>25</v>
      </c>
      <c r="I80" s="40">
        <v>10</v>
      </c>
      <c r="J80" s="40">
        <v>7</v>
      </c>
      <c r="K80" s="40">
        <v>9</v>
      </c>
      <c r="L80" s="40">
        <v>0</v>
      </c>
      <c r="M80" s="40">
        <v>0</v>
      </c>
      <c r="N80" s="40">
        <v>0</v>
      </c>
      <c r="O80" s="40">
        <v>0</v>
      </c>
      <c r="P80" s="40">
        <v>0</v>
      </c>
      <c r="Q80" s="40">
        <v>0</v>
      </c>
      <c r="R80" s="40"/>
      <c r="S80" s="630"/>
      <c r="T80" s="653">
        <v>0</v>
      </c>
      <c r="U80" s="40">
        <v>0</v>
      </c>
      <c r="V80" s="630">
        <f t="shared" si="183"/>
        <v>0</v>
      </c>
      <c r="W80" s="653">
        <v>0</v>
      </c>
      <c r="X80" s="40">
        <v>0</v>
      </c>
      <c r="Y80" s="630">
        <f t="shared" si="184"/>
        <v>0</v>
      </c>
      <c r="Z80" s="653">
        <v>0</v>
      </c>
      <c r="AA80" s="40">
        <v>0</v>
      </c>
      <c r="AB80" s="630">
        <f t="shared" si="185"/>
        <v>0</v>
      </c>
      <c r="AC80" s="653">
        <v>0</v>
      </c>
      <c r="AD80" s="40">
        <v>0</v>
      </c>
      <c r="AE80" s="630">
        <f t="shared" si="186"/>
        <v>0</v>
      </c>
      <c r="AF80" s="653">
        <v>0</v>
      </c>
      <c r="AG80" s="40">
        <v>0</v>
      </c>
      <c r="AH80" s="630">
        <f t="shared" si="187"/>
        <v>0</v>
      </c>
      <c r="AI80" s="653">
        <v>0</v>
      </c>
      <c r="AJ80" s="40">
        <v>0</v>
      </c>
      <c r="AK80" s="630">
        <f t="shared" si="188"/>
        <v>0</v>
      </c>
      <c r="AL80" s="653">
        <v>0</v>
      </c>
      <c r="AM80" s="40">
        <v>0</v>
      </c>
      <c r="AN80" s="630">
        <f t="shared" si="203"/>
        <v>0</v>
      </c>
      <c r="AO80" s="653">
        <v>0</v>
      </c>
      <c r="AP80" s="40">
        <v>0</v>
      </c>
      <c r="AQ80" s="630">
        <f t="shared" si="204"/>
        <v>0</v>
      </c>
      <c r="AR80" s="653">
        <v>0</v>
      </c>
      <c r="AS80" s="40">
        <v>0</v>
      </c>
      <c r="AT80" s="216">
        <f t="shared" si="191"/>
        <v>0</v>
      </c>
      <c r="AU80" s="653">
        <v>0</v>
      </c>
      <c r="AV80" s="40">
        <v>0</v>
      </c>
      <c r="AW80" s="236">
        <f t="shared" si="192"/>
        <v>0</v>
      </c>
      <c r="AX80" s="580">
        <v>0</v>
      </c>
      <c r="AY80" s="56">
        <f t="shared" si="205"/>
        <v>0</v>
      </c>
      <c r="AZ80" s="236">
        <f t="shared" si="193"/>
        <v>0</v>
      </c>
      <c r="BA80" s="580">
        <v>0</v>
      </c>
      <c r="BB80" s="56">
        <f t="shared" si="206"/>
        <v>0</v>
      </c>
      <c r="BC80" s="236">
        <f t="shared" si="194"/>
        <v>0</v>
      </c>
      <c r="BD80" s="580">
        <v>0</v>
      </c>
      <c r="BE80" s="56">
        <f t="shared" si="207"/>
        <v>0</v>
      </c>
      <c r="BF80" s="236">
        <f t="shared" si="195"/>
        <v>0</v>
      </c>
      <c r="BG80" s="580">
        <v>0</v>
      </c>
      <c r="BH80" s="56">
        <f t="shared" si="208"/>
        <v>0</v>
      </c>
      <c r="BI80" s="236">
        <f t="shared" si="196"/>
        <v>0</v>
      </c>
      <c r="BJ80" s="580">
        <v>0</v>
      </c>
      <c r="BK80"/>
    </row>
    <row r="81" spans="1:66">
      <c r="A81" s="66" t="s">
        <v>257</v>
      </c>
      <c r="B81" s="40">
        <v>0</v>
      </c>
      <c r="C81" s="40">
        <v>0</v>
      </c>
      <c r="D81" s="40">
        <v>0</v>
      </c>
      <c r="E81" s="40">
        <v>0</v>
      </c>
      <c r="F81" s="40">
        <v>0</v>
      </c>
      <c r="G81" s="40">
        <v>0</v>
      </c>
      <c r="H81" s="40">
        <v>20</v>
      </c>
      <c r="I81" s="40">
        <v>10</v>
      </c>
      <c r="J81" s="40">
        <v>48</v>
      </c>
      <c r="K81" s="40">
        <v>33</v>
      </c>
      <c r="L81" s="40">
        <v>30</v>
      </c>
      <c r="M81" s="40">
        <v>70</v>
      </c>
      <c r="N81" s="40">
        <v>64</v>
      </c>
      <c r="O81" s="40">
        <v>42</v>
      </c>
      <c r="P81" s="40">
        <v>35</v>
      </c>
      <c r="Q81" s="40">
        <v>6</v>
      </c>
      <c r="R81" s="40"/>
      <c r="S81" s="630"/>
      <c r="T81" s="653">
        <v>30</v>
      </c>
      <c r="U81" s="40">
        <v>32</v>
      </c>
      <c r="V81" s="630">
        <f t="shared" si="183"/>
        <v>35</v>
      </c>
      <c r="W81" s="653">
        <v>67</v>
      </c>
      <c r="X81" s="40">
        <v>29</v>
      </c>
      <c r="Y81" s="630">
        <f t="shared" si="184"/>
        <v>15</v>
      </c>
      <c r="Z81" s="653">
        <v>44</v>
      </c>
      <c r="AA81" s="40">
        <v>18</v>
      </c>
      <c r="AB81" s="630">
        <f t="shared" si="185"/>
        <v>16</v>
      </c>
      <c r="AC81" s="653">
        <v>34</v>
      </c>
      <c r="AD81" s="40">
        <v>8</v>
      </c>
      <c r="AE81" s="630">
        <f t="shared" si="186"/>
        <v>7</v>
      </c>
      <c r="AF81" s="653">
        <v>15</v>
      </c>
      <c r="AG81" s="40">
        <v>0</v>
      </c>
      <c r="AH81" s="630">
        <f t="shared" si="187"/>
        <v>1</v>
      </c>
      <c r="AI81" s="653">
        <v>1</v>
      </c>
      <c r="AJ81" s="40">
        <v>1</v>
      </c>
      <c r="AK81" s="630">
        <f t="shared" si="188"/>
        <v>1</v>
      </c>
      <c r="AL81" s="653">
        <v>2</v>
      </c>
      <c r="AM81" s="40">
        <v>0</v>
      </c>
      <c r="AN81" s="630">
        <f t="shared" si="203"/>
        <v>0</v>
      </c>
      <c r="AO81" s="653">
        <v>0</v>
      </c>
      <c r="AP81" s="40">
        <v>0</v>
      </c>
      <c r="AQ81" s="630">
        <f t="shared" si="204"/>
        <v>0</v>
      </c>
      <c r="AR81" s="653">
        <v>0</v>
      </c>
      <c r="AS81" s="40">
        <v>0</v>
      </c>
      <c r="AT81" s="216">
        <f t="shared" ref="AT81" si="219">AU81-AS81</f>
        <v>0</v>
      </c>
      <c r="AU81" s="653">
        <v>0</v>
      </c>
      <c r="AV81" s="40">
        <v>0</v>
      </c>
      <c r="AW81" s="236">
        <f t="shared" ref="AW81" si="220">AX81-AV81</f>
        <v>0</v>
      </c>
      <c r="AX81" s="580">
        <v>0</v>
      </c>
      <c r="AY81" s="56">
        <f t="shared" ref="AY81" si="221">BA81/2</f>
        <v>0</v>
      </c>
      <c r="AZ81" s="236">
        <f t="shared" ref="AZ81" si="222">BA81-AY81</f>
        <v>0</v>
      </c>
      <c r="BA81" s="580">
        <v>0</v>
      </c>
      <c r="BB81" s="56">
        <f t="shared" ref="BB81" si="223">BD81/2</f>
        <v>0</v>
      </c>
      <c r="BC81" s="236">
        <f t="shared" ref="BC81" si="224">BD81-BB81</f>
        <v>0</v>
      </c>
      <c r="BD81" s="580">
        <v>0</v>
      </c>
      <c r="BE81" s="56">
        <f t="shared" ref="BE81" si="225">BG81/2</f>
        <v>0</v>
      </c>
      <c r="BF81" s="236">
        <f t="shared" ref="BF81" si="226">BG81-BE81</f>
        <v>0</v>
      </c>
      <c r="BG81" s="580">
        <v>0</v>
      </c>
      <c r="BH81" s="56">
        <f t="shared" ref="BH81" si="227">BJ81/2</f>
        <v>0</v>
      </c>
      <c r="BI81" s="236">
        <f t="shared" ref="BI81" si="228">BJ81-BH81</f>
        <v>0</v>
      </c>
      <c r="BJ81" s="580">
        <v>0</v>
      </c>
      <c r="BK81"/>
    </row>
    <row r="82" spans="1:66" ht="10.35" customHeight="1">
      <c r="A82" s="66" t="s">
        <v>258</v>
      </c>
      <c r="B82" s="40">
        <v>0</v>
      </c>
      <c r="C82" s="40">
        <v>0</v>
      </c>
      <c r="D82" s="40">
        <v>0</v>
      </c>
      <c r="E82" s="40">
        <v>0</v>
      </c>
      <c r="F82" s="40">
        <v>0</v>
      </c>
      <c r="G82" s="40">
        <v>0</v>
      </c>
      <c r="H82" s="40">
        <v>0</v>
      </c>
      <c r="I82" s="40">
        <v>0</v>
      </c>
      <c r="J82" s="40">
        <v>0</v>
      </c>
      <c r="K82" s="40">
        <v>0</v>
      </c>
      <c r="L82" s="40">
        <v>0</v>
      </c>
      <c r="M82" s="40">
        <v>18</v>
      </c>
      <c r="N82" s="40">
        <v>46</v>
      </c>
      <c r="O82" s="40">
        <v>59</v>
      </c>
      <c r="P82" s="40">
        <v>79</v>
      </c>
      <c r="Q82" s="40">
        <v>106</v>
      </c>
      <c r="R82" s="10"/>
      <c r="S82" s="216"/>
      <c r="T82" s="653">
        <v>122</v>
      </c>
      <c r="U82" s="40">
        <v>45</v>
      </c>
      <c r="V82" s="630">
        <f t="shared" si="183"/>
        <v>64</v>
      </c>
      <c r="W82" s="653">
        <v>109</v>
      </c>
      <c r="X82" s="40">
        <v>73</v>
      </c>
      <c r="Y82" s="630">
        <f t="shared" si="184"/>
        <v>52</v>
      </c>
      <c r="Z82" s="653">
        <v>125</v>
      </c>
      <c r="AA82" s="40">
        <v>59</v>
      </c>
      <c r="AB82" s="630">
        <f t="shared" si="185"/>
        <v>67</v>
      </c>
      <c r="AC82" s="653">
        <v>126</v>
      </c>
      <c r="AD82" s="40">
        <v>48</v>
      </c>
      <c r="AE82" s="630">
        <f t="shared" si="186"/>
        <v>34</v>
      </c>
      <c r="AF82" s="653">
        <v>82</v>
      </c>
      <c r="AG82" s="40">
        <v>11</v>
      </c>
      <c r="AH82" s="630">
        <f t="shared" si="187"/>
        <v>1</v>
      </c>
      <c r="AI82" s="653">
        <v>12</v>
      </c>
      <c r="AJ82" s="40">
        <v>0</v>
      </c>
      <c r="AK82" s="630">
        <f t="shared" si="188"/>
        <v>5</v>
      </c>
      <c r="AL82" s="653">
        <v>5</v>
      </c>
      <c r="AM82" s="40">
        <v>13</v>
      </c>
      <c r="AN82" s="630">
        <f t="shared" si="203"/>
        <v>25</v>
      </c>
      <c r="AO82" s="653">
        <v>38</v>
      </c>
      <c r="AP82" s="40">
        <v>24</v>
      </c>
      <c r="AQ82" s="630">
        <f t="shared" si="204"/>
        <v>23</v>
      </c>
      <c r="AR82" s="653">
        <v>47</v>
      </c>
      <c r="AS82" s="40">
        <v>19</v>
      </c>
      <c r="AT82" s="216">
        <f t="shared" si="191"/>
        <v>21</v>
      </c>
      <c r="AU82" s="653">
        <v>40</v>
      </c>
      <c r="AV82" s="40">
        <v>9</v>
      </c>
      <c r="AW82" s="236">
        <f t="shared" si="192"/>
        <v>41.909090909090914</v>
      </c>
      <c r="AX82" s="605">
        <f>+'Civil OE'!AX182/(1-AX122)</f>
        <v>50.909090909090914</v>
      </c>
      <c r="AY82" s="56">
        <f>+'Civil OE'!AY182/(1-AY122)</f>
        <v>28.235294117647058</v>
      </c>
      <c r="AZ82" s="236">
        <f t="shared" si="193"/>
        <v>28.235294117647058</v>
      </c>
      <c r="BA82" s="605">
        <f>+'Civil OE'!BA182/(1-BA122)</f>
        <v>56.470588235294116</v>
      </c>
      <c r="BB82" s="56">
        <f>+'Civil OE'!BB182/(1-BB122)</f>
        <v>28.235294117647058</v>
      </c>
      <c r="BC82" s="236">
        <f t="shared" si="194"/>
        <v>28.235294117647058</v>
      </c>
      <c r="BD82" s="605">
        <f>+'Civil OE'!BD182/(1-BD122)</f>
        <v>56.470588235294116</v>
      </c>
      <c r="BE82" s="56">
        <f>+'Civil OE'!BE182/(1-BE122)</f>
        <v>28.235294117647058</v>
      </c>
      <c r="BF82" s="236">
        <f t="shared" si="195"/>
        <v>28.235294117647058</v>
      </c>
      <c r="BG82" s="605">
        <f>+'Civil OE'!BG182/(1-BG122)</f>
        <v>56.470588235294116</v>
      </c>
      <c r="BH82" s="56">
        <f>+'Civil OE'!BH182/(1-BH122)</f>
        <v>28.235294117647058</v>
      </c>
      <c r="BI82" s="236">
        <f t="shared" si="196"/>
        <v>28.235294117647058</v>
      </c>
      <c r="BJ82" s="605">
        <f>+'Civil OE'!BJ182/(1-BJ122)</f>
        <v>56.470588235294116</v>
      </c>
      <c r="BK82"/>
      <c r="BL82" s="432"/>
      <c r="BM82" s="432"/>
      <c r="BN82" s="432"/>
    </row>
    <row r="83" spans="1:66">
      <c r="A83" s="66" t="s">
        <v>486</v>
      </c>
      <c r="B83" s="40">
        <v>0</v>
      </c>
      <c r="C83" s="40">
        <v>0</v>
      </c>
      <c r="D83" s="40">
        <v>0</v>
      </c>
      <c r="E83" s="40">
        <v>0</v>
      </c>
      <c r="F83" s="40">
        <v>0</v>
      </c>
      <c r="G83" s="40">
        <v>0</v>
      </c>
      <c r="H83" s="40">
        <v>0</v>
      </c>
      <c r="I83" s="40">
        <v>0</v>
      </c>
      <c r="J83" s="40">
        <v>0</v>
      </c>
      <c r="K83" s="40">
        <v>0</v>
      </c>
      <c r="L83" s="40">
        <v>0</v>
      </c>
      <c r="M83" s="40">
        <v>0</v>
      </c>
      <c r="N83" s="40">
        <v>0</v>
      </c>
      <c r="O83" s="40">
        <v>0</v>
      </c>
      <c r="P83" s="40">
        <v>13</v>
      </c>
      <c r="Q83" s="40">
        <v>56</v>
      </c>
      <c r="R83" s="40"/>
      <c r="S83" s="630"/>
      <c r="T83" s="653">
        <v>117</v>
      </c>
      <c r="U83" s="40">
        <v>85</v>
      </c>
      <c r="V83" s="630">
        <f t="shared" si="183"/>
        <v>111</v>
      </c>
      <c r="W83" s="653">
        <v>196</v>
      </c>
      <c r="X83" s="40">
        <v>102</v>
      </c>
      <c r="Y83" s="630">
        <f t="shared" si="184"/>
        <v>82</v>
      </c>
      <c r="Z83" s="653">
        <v>184</v>
      </c>
      <c r="AA83" s="40">
        <v>85</v>
      </c>
      <c r="AB83" s="630">
        <f t="shared" si="185"/>
        <v>93</v>
      </c>
      <c r="AC83" s="653">
        <v>178</v>
      </c>
      <c r="AD83" s="40">
        <v>51</v>
      </c>
      <c r="AE83" s="630">
        <f t="shared" si="186"/>
        <v>58</v>
      </c>
      <c r="AF83" s="653">
        <v>109</v>
      </c>
      <c r="AG83" s="40">
        <v>60</v>
      </c>
      <c r="AH83" s="630">
        <f t="shared" si="187"/>
        <v>60</v>
      </c>
      <c r="AI83" s="653">
        <v>120</v>
      </c>
      <c r="AJ83" s="40">
        <v>43</v>
      </c>
      <c r="AK83" s="630">
        <f t="shared" si="188"/>
        <v>53</v>
      </c>
      <c r="AL83" s="653">
        <v>96</v>
      </c>
      <c r="AM83" s="40">
        <v>55</v>
      </c>
      <c r="AN83" s="630">
        <f t="shared" si="203"/>
        <v>63</v>
      </c>
      <c r="AO83" s="653">
        <v>118</v>
      </c>
      <c r="AP83" s="40">
        <v>44</v>
      </c>
      <c r="AQ83" s="630">
        <f t="shared" si="204"/>
        <v>65</v>
      </c>
      <c r="AR83" s="653">
        <v>109</v>
      </c>
      <c r="AS83" s="40">
        <v>52</v>
      </c>
      <c r="AT83" s="216">
        <f t="shared" si="191"/>
        <v>54</v>
      </c>
      <c r="AU83" s="653">
        <v>106</v>
      </c>
      <c r="AV83" s="40">
        <v>62</v>
      </c>
      <c r="AW83" s="236">
        <f t="shared" si="192"/>
        <v>72.117647058823536</v>
      </c>
      <c r="AX83" s="605">
        <f>+'Civil OE'!AX192/(1-AX123)</f>
        <v>134.11764705882354</v>
      </c>
      <c r="AY83" s="56">
        <f>+'Civil OE'!AY192/(1-AY123)</f>
        <v>76.744186046511629</v>
      </c>
      <c r="AZ83" s="236">
        <f t="shared" si="193"/>
        <v>81.395348837209298</v>
      </c>
      <c r="BA83" s="605">
        <f>+'Civil OE'!BA192/(1-BA123)</f>
        <v>158.13953488372093</v>
      </c>
      <c r="BB83" s="56">
        <f>+'Civil OE'!BB192/(1-BB123)</f>
        <v>84.571428571428569</v>
      </c>
      <c r="BC83" s="236">
        <f t="shared" si="194"/>
        <v>90.285714285714292</v>
      </c>
      <c r="BD83" s="605">
        <f>+'Civil OE'!BD192/(1-BD123)</f>
        <v>174.85714285714286</v>
      </c>
      <c r="BE83" s="56">
        <f>+'Civil OE'!BE192/(1-BE123)</f>
        <v>96</v>
      </c>
      <c r="BF83" s="236">
        <f t="shared" si="195"/>
        <v>93.714285714285722</v>
      </c>
      <c r="BG83" s="605">
        <f>+'Civil OE'!BG192/(1-BG123)</f>
        <v>189.71428571428572</v>
      </c>
      <c r="BH83" s="56">
        <f>+'Civil OE'!BH192/(1-BH123)</f>
        <v>96</v>
      </c>
      <c r="BI83" s="236">
        <f t="shared" si="196"/>
        <v>93.714285714285722</v>
      </c>
      <c r="BJ83" s="605">
        <f>+'Civil OE'!BJ192/(1-BJ123)</f>
        <v>189.71428571428572</v>
      </c>
      <c r="BK83"/>
      <c r="BL83" s="432"/>
      <c r="BM83" s="432"/>
      <c r="BN83" s="432"/>
    </row>
    <row r="84" spans="1:66">
      <c r="A84" s="66" t="s">
        <v>487</v>
      </c>
      <c r="B84" s="40"/>
      <c r="C84" s="40"/>
      <c r="D84" s="40"/>
      <c r="E84" s="40"/>
      <c r="F84" s="40"/>
      <c r="G84" s="40"/>
      <c r="H84" s="40"/>
      <c r="I84" s="40"/>
      <c r="J84" s="40"/>
      <c r="K84" s="40"/>
      <c r="L84" s="40"/>
      <c r="M84" s="40"/>
      <c r="N84" s="40"/>
      <c r="O84" s="40"/>
      <c r="P84" s="40"/>
      <c r="Q84" s="40"/>
      <c r="R84" s="40"/>
      <c r="S84" s="630"/>
      <c r="T84" s="653"/>
      <c r="U84" s="40">
        <v>0</v>
      </c>
      <c r="V84" s="630">
        <f>W84-U84</f>
        <v>1</v>
      </c>
      <c r="W84" s="653">
        <v>1</v>
      </c>
      <c r="X84" s="40">
        <v>14</v>
      </c>
      <c r="Y84" s="630">
        <f>Z84-X84</f>
        <v>31</v>
      </c>
      <c r="Z84" s="653">
        <v>45</v>
      </c>
      <c r="AA84" s="40">
        <v>33</v>
      </c>
      <c r="AB84" s="630">
        <f>AC84-AA84</f>
        <v>73</v>
      </c>
      <c r="AC84" s="653">
        <v>106</v>
      </c>
      <c r="AD84" s="40">
        <v>22</v>
      </c>
      <c r="AE84" s="630">
        <f>AF84-AD84</f>
        <v>12</v>
      </c>
      <c r="AF84" s="653">
        <v>34</v>
      </c>
      <c r="AG84" s="40">
        <v>9</v>
      </c>
      <c r="AH84" s="630">
        <f>AI84-AG84</f>
        <v>20</v>
      </c>
      <c r="AI84" s="653">
        <v>29</v>
      </c>
      <c r="AJ84" s="40">
        <v>11</v>
      </c>
      <c r="AK84" s="630">
        <f>AL84-AJ84</f>
        <v>12</v>
      </c>
      <c r="AL84" s="653">
        <v>23</v>
      </c>
      <c r="AM84" s="40">
        <v>11</v>
      </c>
      <c r="AN84" s="630">
        <f>AO84-AM84</f>
        <v>20</v>
      </c>
      <c r="AO84" s="653">
        <v>31</v>
      </c>
      <c r="AP84" s="40">
        <v>15</v>
      </c>
      <c r="AQ84" s="630">
        <f>AR84-AP84</f>
        <v>21</v>
      </c>
      <c r="AR84" s="653">
        <v>36</v>
      </c>
      <c r="AS84" s="40">
        <v>17</v>
      </c>
      <c r="AT84" s="216">
        <f>AU84-AS84</f>
        <v>21</v>
      </c>
      <c r="AU84" s="653">
        <v>38</v>
      </c>
      <c r="AV84" s="40">
        <v>34</v>
      </c>
      <c r="AW84" s="236">
        <f>AX84-AV84</f>
        <v>15.032258064516128</v>
      </c>
      <c r="AX84" s="605">
        <f>+AX202/(1-AX124)</f>
        <v>49.032258064516128</v>
      </c>
      <c r="AY84" s="56">
        <f>+AY202/(1-AY124)</f>
        <v>26.666666666666668</v>
      </c>
      <c r="AZ84" s="236">
        <f>BA84-AY84</f>
        <v>29.09090909090909</v>
      </c>
      <c r="BA84" s="605">
        <f>+BA202/(1-BA124)</f>
        <v>55.757575757575758</v>
      </c>
      <c r="BB84" s="56">
        <f>+BB202/(1-BB124)</f>
        <v>29.411764705882355</v>
      </c>
      <c r="BC84" s="236">
        <f>BD84-BB84</f>
        <v>31.764705882352942</v>
      </c>
      <c r="BD84" s="605">
        <f>+BD202/(1-BD124)</f>
        <v>61.176470588235297</v>
      </c>
      <c r="BE84" s="56">
        <f>+BE202/(1-BE124)</f>
        <v>32.941176470588239</v>
      </c>
      <c r="BF84" s="236">
        <f>BG84-BE84</f>
        <v>32.941176470588239</v>
      </c>
      <c r="BG84" s="605">
        <f>+BG202/(1-BG124)</f>
        <v>65.882352941176478</v>
      </c>
      <c r="BH84" s="56">
        <f>+BH202/(1-BH124)</f>
        <v>32.941176470588239</v>
      </c>
      <c r="BI84" s="236">
        <f>BJ84-BH84</f>
        <v>32.941176470588239</v>
      </c>
      <c r="BJ84" s="605">
        <f>+BJ202/(1-BJ124)</f>
        <v>65.882352941176478</v>
      </c>
      <c r="BK84"/>
      <c r="BL84" s="432"/>
      <c r="BM84" s="432"/>
      <c r="BN84" s="432"/>
    </row>
    <row r="85" spans="1:66">
      <c r="A85" s="66" t="s">
        <v>277</v>
      </c>
      <c r="B85" s="40">
        <v>0</v>
      </c>
      <c r="C85" s="40">
        <v>0</v>
      </c>
      <c r="D85" s="40">
        <v>0</v>
      </c>
      <c r="E85" s="40">
        <v>0</v>
      </c>
      <c r="F85" s="40">
        <v>0</v>
      </c>
      <c r="G85" s="40">
        <v>0</v>
      </c>
      <c r="H85" s="40">
        <v>0</v>
      </c>
      <c r="I85" s="40">
        <v>0</v>
      </c>
      <c r="J85" s="40">
        <v>0</v>
      </c>
      <c r="K85" s="40">
        <v>0</v>
      </c>
      <c r="L85" s="40">
        <v>0</v>
      </c>
      <c r="M85" s="40">
        <v>0</v>
      </c>
      <c r="N85" s="40">
        <v>0</v>
      </c>
      <c r="O85" s="40">
        <v>0</v>
      </c>
      <c r="P85" s="40">
        <v>0</v>
      </c>
      <c r="Q85" s="40">
        <v>0</v>
      </c>
      <c r="R85" s="40"/>
      <c r="S85" s="630"/>
      <c r="T85" s="653">
        <v>0</v>
      </c>
      <c r="U85" s="40">
        <v>0</v>
      </c>
      <c r="V85" s="630">
        <f t="shared" si="183"/>
        <v>0</v>
      </c>
      <c r="W85" s="653">
        <v>0</v>
      </c>
      <c r="X85" s="40">
        <v>0</v>
      </c>
      <c r="Y85" s="630">
        <f t="shared" si="184"/>
        <v>8</v>
      </c>
      <c r="Z85" s="653">
        <v>8</v>
      </c>
      <c r="AA85" s="40">
        <v>54</v>
      </c>
      <c r="AB85" s="630">
        <f t="shared" si="185"/>
        <v>2</v>
      </c>
      <c r="AC85" s="653">
        <v>56</v>
      </c>
      <c r="AD85" s="40">
        <v>8</v>
      </c>
      <c r="AE85" s="630">
        <f t="shared" si="186"/>
        <v>14</v>
      </c>
      <c r="AF85" s="653">
        <v>22</v>
      </c>
      <c r="AG85" s="40">
        <v>20</v>
      </c>
      <c r="AH85" s="630">
        <f t="shared" si="187"/>
        <v>11</v>
      </c>
      <c r="AI85" s="653">
        <v>31</v>
      </c>
      <c r="AJ85" s="40">
        <v>23</v>
      </c>
      <c r="AK85" s="630">
        <f t="shared" si="188"/>
        <v>40</v>
      </c>
      <c r="AL85" s="653">
        <v>63</v>
      </c>
      <c r="AM85" s="40">
        <v>35</v>
      </c>
      <c r="AN85" s="630">
        <f t="shared" ref="AN85" si="229">AO85-AM85</f>
        <v>39</v>
      </c>
      <c r="AO85" s="653">
        <v>74</v>
      </c>
      <c r="AP85" s="40">
        <v>37</v>
      </c>
      <c r="AQ85" s="630">
        <f t="shared" ref="AQ85" si="230">AR85-AP85</f>
        <v>49</v>
      </c>
      <c r="AR85" s="653">
        <v>86</v>
      </c>
      <c r="AS85" s="40">
        <v>34</v>
      </c>
      <c r="AT85" s="216">
        <f t="shared" si="191"/>
        <v>41</v>
      </c>
      <c r="AU85" s="653">
        <v>75</v>
      </c>
      <c r="AV85" s="40">
        <v>51</v>
      </c>
      <c r="AW85" s="236">
        <f t="shared" si="192"/>
        <v>26.64705882352942</v>
      </c>
      <c r="AX85" s="605">
        <f>+AX212/(1-AX125)</f>
        <v>77.64705882352942</v>
      </c>
      <c r="AY85" s="56">
        <f>+AY212/(1-AY125)</f>
        <v>40</v>
      </c>
      <c r="AZ85" s="236">
        <f t="shared" si="193"/>
        <v>37.64705882352942</v>
      </c>
      <c r="BA85" s="605">
        <f>+BA212/(1-BA125)</f>
        <v>77.64705882352942</v>
      </c>
      <c r="BB85" s="56">
        <f>+BB212/(1-BB125)</f>
        <v>40</v>
      </c>
      <c r="BC85" s="236">
        <f t="shared" si="194"/>
        <v>37.64705882352942</v>
      </c>
      <c r="BD85" s="605">
        <f>+BD212/(1-BD125)</f>
        <v>77.64705882352942</v>
      </c>
      <c r="BE85" s="56">
        <f>+BE212/(1-BE125)</f>
        <v>38.857142857142854</v>
      </c>
      <c r="BF85" s="236">
        <f t="shared" si="195"/>
        <v>40.000000000000007</v>
      </c>
      <c r="BG85" s="605">
        <f>+BG212/(1-BG125)</f>
        <v>78.857142857142861</v>
      </c>
      <c r="BH85" s="56">
        <f>+BH212/(1-BH125)</f>
        <v>45.714285714285715</v>
      </c>
      <c r="BI85" s="236">
        <f t="shared" si="196"/>
        <v>33.142857142857146</v>
      </c>
      <c r="BJ85" s="605">
        <f>+BJ212/(1-BJ125)</f>
        <v>78.857142857142861</v>
      </c>
      <c r="BK85"/>
      <c r="BL85" s="432"/>
      <c r="BM85" s="432"/>
      <c r="BN85" s="432"/>
    </row>
    <row r="86" spans="1:66">
      <c r="A86" s="62" t="s">
        <v>259</v>
      </c>
      <c r="B86" s="82">
        <f t="shared" ref="B86:Q86" si="231">SUM(B78:B85)</f>
        <v>108</v>
      </c>
      <c r="C86" s="82">
        <f t="shared" si="231"/>
        <v>131</v>
      </c>
      <c r="D86" s="82">
        <f t="shared" si="231"/>
        <v>121</v>
      </c>
      <c r="E86" s="82">
        <f t="shared" si="231"/>
        <v>153</v>
      </c>
      <c r="F86" s="82">
        <f t="shared" si="231"/>
        <v>160</v>
      </c>
      <c r="G86" s="82">
        <f t="shared" si="231"/>
        <v>163</v>
      </c>
      <c r="H86" s="82">
        <f t="shared" si="231"/>
        <v>201</v>
      </c>
      <c r="I86" s="82">
        <f t="shared" si="231"/>
        <v>140</v>
      </c>
      <c r="J86" s="82">
        <f t="shared" si="231"/>
        <v>188</v>
      </c>
      <c r="K86" s="82">
        <f t="shared" si="231"/>
        <v>224</v>
      </c>
      <c r="L86" s="82">
        <f t="shared" si="231"/>
        <v>185</v>
      </c>
      <c r="M86" s="82">
        <f t="shared" si="231"/>
        <v>224</v>
      </c>
      <c r="N86" s="82">
        <f t="shared" si="231"/>
        <v>275</v>
      </c>
      <c r="O86" s="82">
        <f t="shared" si="231"/>
        <v>282</v>
      </c>
      <c r="P86" s="82">
        <f t="shared" si="231"/>
        <v>311</v>
      </c>
      <c r="Q86" s="82">
        <f t="shared" si="231"/>
        <v>308</v>
      </c>
      <c r="R86" s="82"/>
      <c r="S86" s="694"/>
      <c r="T86" s="709">
        <f t="shared" ref="T86:BJ86" si="232">SUM(T78:T85)</f>
        <v>357</v>
      </c>
      <c r="U86" s="82">
        <f t="shared" si="232"/>
        <v>209</v>
      </c>
      <c r="V86" s="694">
        <f t="shared" si="232"/>
        <v>274</v>
      </c>
      <c r="W86" s="709">
        <f t="shared" si="232"/>
        <v>483</v>
      </c>
      <c r="X86" s="82">
        <f t="shared" si="232"/>
        <v>259</v>
      </c>
      <c r="Y86" s="694">
        <f t="shared" si="232"/>
        <v>210</v>
      </c>
      <c r="Z86" s="709">
        <f t="shared" si="232"/>
        <v>469</v>
      </c>
      <c r="AA86" s="82">
        <f t="shared" si="232"/>
        <v>257</v>
      </c>
      <c r="AB86" s="694">
        <f t="shared" si="232"/>
        <v>253</v>
      </c>
      <c r="AC86" s="709">
        <f t="shared" si="232"/>
        <v>510</v>
      </c>
      <c r="AD86" s="82">
        <f t="shared" si="232"/>
        <v>137</v>
      </c>
      <c r="AE86" s="694">
        <f t="shared" si="232"/>
        <v>127</v>
      </c>
      <c r="AF86" s="709">
        <f t="shared" si="232"/>
        <v>264</v>
      </c>
      <c r="AG86" s="82">
        <f t="shared" si="232"/>
        <v>100</v>
      </c>
      <c r="AH86" s="694">
        <f t="shared" si="232"/>
        <v>95</v>
      </c>
      <c r="AI86" s="709">
        <f t="shared" si="232"/>
        <v>195</v>
      </c>
      <c r="AJ86" s="82">
        <f t="shared" si="232"/>
        <v>78</v>
      </c>
      <c r="AK86" s="694">
        <f t="shared" si="232"/>
        <v>112</v>
      </c>
      <c r="AL86" s="709">
        <f t="shared" si="232"/>
        <v>190</v>
      </c>
      <c r="AM86" s="82">
        <f t="shared" si="232"/>
        <v>115</v>
      </c>
      <c r="AN86" s="694">
        <f t="shared" ref="AN86:AO86" si="233">SUM(AN78:AN85)</f>
        <v>147</v>
      </c>
      <c r="AO86" s="709">
        <f t="shared" si="233"/>
        <v>262</v>
      </c>
      <c r="AP86" s="82">
        <f t="shared" ref="AP86:AR86" si="234">SUM(AP78:AP85)</f>
        <v>120</v>
      </c>
      <c r="AQ86" s="694">
        <f t="shared" si="234"/>
        <v>158</v>
      </c>
      <c r="AR86" s="709">
        <f t="shared" si="234"/>
        <v>278</v>
      </c>
      <c r="AS86" s="82">
        <f t="shared" ref="AS86" si="235">SUM(AS78:AS85)</f>
        <v>122</v>
      </c>
      <c r="AT86" s="226">
        <f t="shared" si="232"/>
        <v>137</v>
      </c>
      <c r="AU86" s="709">
        <f t="shared" si="232"/>
        <v>259</v>
      </c>
      <c r="AV86" s="82">
        <f t="shared" si="232"/>
        <v>157</v>
      </c>
      <c r="AW86" s="241">
        <f t="shared" si="232"/>
        <v>155.70605485595999</v>
      </c>
      <c r="AX86" s="579">
        <f t="shared" si="232"/>
        <v>312.70605485596002</v>
      </c>
      <c r="AY86" s="204">
        <f t="shared" si="232"/>
        <v>171.64614683082536</v>
      </c>
      <c r="AZ86" s="241">
        <f t="shared" si="232"/>
        <v>176.36861086929486</v>
      </c>
      <c r="BA86" s="579">
        <f t="shared" si="232"/>
        <v>348.01475770012019</v>
      </c>
      <c r="BB86" s="204">
        <f t="shared" si="232"/>
        <v>182.21848739495798</v>
      </c>
      <c r="BC86" s="241">
        <f t="shared" si="232"/>
        <v>187.9327731092437</v>
      </c>
      <c r="BD86" s="579">
        <f t="shared" si="232"/>
        <v>370.15126050420167</v>
      </c>
      <c r="BE86" s="204">
        <f t="shared" si="232"/>
        <v>196.03361344537817</v>
      </c>
      <c r="BF86" s="241">
        <f t="shared" si="232"/>
        <v>194.89075630252103</v>
      </c>
      <c r="BG86" s="579">
        <f t="shared" si="232"/>
        <v>390.92436974789916</v>
      </c>
      <c r="BH86" s="204">
        <f t="shared" si="232"/>
        <v>202.89075630252103</v>
      </c>
      <c r="BI86" s="241">
        <f t="shared" si="232"/>
        <v>188.03361344537817</v>
      </c>
      <c r="BJ86" s="579">
        <f t="shared" si="232"/>
        <v>390.92436974789916</v>
      </c>
      <c r="BK86"/>
    </row>
    <row r="87" spans="1:66">
      <c r="A87" s="37" t="s">
        <v>260</v>
      </c>
      <c r="B87" s="84">
        <f t="shared" ref="B87:Q87" si="236">B77+B86</f>
        <v>181</v>
      </c>
      <c r="C87" s="84">
        <f t="shared" si="236"/>
        <v>230</v>
      </c>
      <c r="D87" s="84">
        <f t="shared" si="236"/>
        <v>151</v>
      </c>
      <c r="E87" s="84">
        <f t="shared" si="236"/>
        <v>169</v>
      </c>
      <c r="F87" s="84">
        <f t="shared" si="236"/>
        <v>171</v>
      </c>
      <c r="G87" s="84">
        <f t="shared" si="236"/>
        <v>170</v>
      </c>
      <c r="H87" s="84">
        <f t="shared" si="236"/>
        <v>203</v>
      </c>
      <c r="I87" s="84">
        <f t="shared" si="236"/>
        <v>145</v>
      </c>
      <c r="J87" s="84">
        <f t="shared" si="236"/>
        <v>193</v>
      </c>
      <c r="K87" s="84">
        <f t="shared" si="236"/>
        <v>225</v>
      </c>
      <c r="L87" s="84">
        <f t="shared" si="236"/>
        <v>185</v>
      </c>
      <c r="M87" s="84">
        <f t="shared" si="236"/>
        <v>224</v>
      </c>
      <c r="N87" s="84">
        <f t="shared" si="236"/>
        <v>275</v>
      </c>
      <c r="O87" s="84">
        <f t="shared" si="236"/>
        <v>282</v>
      </c>
      <c r="P87" s="84">
        <f t="shared" si="236"/>
        <v>311</v>
      </c>
      <c r="Q87" s="84">
        <f t="shared" si="236"/>
        <v>308</v>
      </c>
      <c r="R87" s="84"/>
      <c r="S87" s="632"/>
      <c r="T87" s="655">
        <f t="shared" ref="T87:BJ87" si="237">T77+T86</f>
        <v>357</v>
      </c>
      <c r="U87" s="84">
        <f t="shared" si="237"/>
        <v>209</v>
      </c>
      <c r="V87" s="632">
        <f t="shared" si="237"/>
        <v>274</v>
      </c>
      <c r="W87" s="655">
        <f t="shared" si="237"/>
        <v>483</v>
      </c>
      <c r="X87" s="84">
        <f t="shared" si="237"/>
        <v>259</v>
      </c>
      <c r="Y87" s="632">
        <f t="shared" si="237"/>
        <v>210</v>
      </c>
      <c r="Z87" s="655">
        <f t="shared" si="237"/>
        <v>469</v>
      </c>
      <c r="AA87" s="84">
        <f t="shared" si="237"/>
        <v>257</v>
      </c>
      <c r="AB87" s="632">
        <f t="shared" si="237"/>
        <v>253</v>
      </c>
      <c r="AC87" s="655">
        <f t="shared" si="237"/>
        <v>510</v>
      </c>
      <c r="AD87" s="84">
        <f t="shared" si="237"/>
        <v>137</v>
      </c>
      <c r="AE87" s="632">
        <f t="shared" si="237"/>
        <v>127</v>
      </c>
      <c r="AF87" s="655">
        <f t="shared" si="237"/>
        <v>264</v>
      </c>
      <c r="AG87" s="84">
        <f t="shared" si="237"/>
        <v>100</v>
      </c>
      <c r="AH87" s="632">
        <f t="shared" si="237"/>
        <v>95</v>
      </c>
      <c r="AI87" s="655">
        <f t="shared" si="237"/>
        <v>195</v>
      </c>
      <c r="AJ87" s="84">
        <f t="shared" si="237"/>
        <v>78</v>
      </c>
      <c r="AK87" s="632">
        <f t="shared" si="237"/>
        <v>112</v>
      </c>
      <c r="AL87" s="655">
        <f t="shared" si="237"/>
        <v>190</v>
      </c>
      <c r="AM87" s="84">
        <f t="shared" si="237"/>
        <v>115</v>
      </c>
      <c r="AN87" s="632">
        <f t="shared" ref="AN87:AO87" si="238">AN77+AN86</f>
        <v>147</v>
      </c>
      <c r="AO87" s="655">
        <f t="shared" si="238"/>
        <v>262</v>
      </c>
      <c r="AP87" s="84">
        <f t="shared" ref="AP87:AR87" si="239">AP77+AP86</f>
        <v>120</v>
      </c>
      <c r="AQ87" s="632">
        <f t="shared" si="239"/>
        <v>158</v>
      </c>
      <c r="AR87" s="655">
        <f t="shared" si="239"/>
        <v>278</v>
      </c>
      <c r="AS87" s="84">
        <f t="shared" ref="AS87" si="240">AS77+AS86</f>
        <v>122</v>
      </c>
      <c r="AT87" s="227">
        <f t="shared" si="237"/>
        <v>137</v>
      </c>
      <c r="AU87" s="655">
        <f t="shared" si="237"/>
        <v>259</v>
      </c>
      <c r="AV87" s="84">
        <f t="shared" si="237"/>
        <v>157</v>
      </c>
      <c r="AW87" s="244">
        <f t="shared" si="237"/>
        <v>155.70605485595999</v>
      </c>
      <c r="AX87" s="581">
        <f t="shared" si="237"/>
        <v>312.70605485596002</v>
      </c>
      <c r="AY87" s="181">
        <f t="shared" si="237"/>
        <v>171.64614683082536</v>
      </c>
      <c r="AZ87" s="244">
        <f t="shared" si="237"/>
        <v>176.36861086929486</v>
      </c>
      <c r="BA87" s="581">
        <f t="shared" si="237"/>
        <v>348.01475770012019</v>
      </c>
      <c r="BB87" s="181">
        <f t="shared" si="237"/>
        <v>182.21848739495798</v>
      </c>
      <c r="BC87" s="244">
        <f t="shared" si="237"/>
        <v>187.9327731092437</v>
      </c>
      <c r="BD87" s="581">
        <f t="shared" si="237"/>
        <v>370.15126050420167</v>
      </c>
      <c r="BE87" s="181">
        <f t="shared" si="237"/>
        <v>196.03361344537817</v>
      </c>
      <c r="BF87" s="244">
        <f t="shared" si="237"/>
        <v>194.89075630252103</v>
      </c>
      <c r="BG87" s="581">
        <f t="shared" si="237"/>
        <v>390.92436974789916</v>
      </c>
      <c r="BH87" s="181">
        <f t="shared" si="237"/>
        <v>202.89075630252103</v>
      </c>
      <c r="BI87" s="244">
        <f t="shared" si="237"/>
        <v>188.03361344537817</v>
      </c>
      <c r="BJ87" s="581">
        <f t="shared" si="237"/>
        <v>390.92436974789916</v>
      </c>
      <c r="BK87" s="182"/>
    </row>
    <row r="88" spans="1:66">
      <c r="A88" s="66" t="s">
        <v>261</v>
      </c>
      <c r="B88" s="40">
        <v>0</v>
      </c>
      <c r="C88" s="40">
        <v>0</v>
      </c>
      <c r="D88" s="40">
        <v>0</v>
      </c>
      <c r="E88" s="40">
        <v>0</v>
      </c>
      <c r="F88" s="40">
        <v>0</v>
      </c>
      <c r="G88" s="40">
        <v>0</v>
      </c>
      <c r="H88" s="40">
        <v>0</v>
      </c>
      <c r="I88" s="40">
        <v>0</v>
      </c>
      <c r="J88" s="40">
        <v>0</v>
      </c>
      <c r="K88" s="40">
        <v>0</v>
      </c>
      <c r="L88" s="40">
        <v>0</v>
      </c>
      <c r="M88" s="40">
        <v>0</v>
      </c>
      <c r="N88" s="40">
        <v>0</v>
      </c>
      <c r="O88" s="40">
        <v>0</v>
      </c>
      <c r="P88" s="40">
        <v>0</v>
      </c>
      <c r="Q88" s="40">
        <v>0</v>
      </c>
      <c r="R88" s="40"/>
      <c r="S88" s="630"/>
      <c r="T88" s="653">
        <v>0</v>
      </c>
      <c r="U88" s="40">
        <v>0</v>
      </c>
      <c r="V88" s="630">
        <f t="shared" ref="V88:V91" si="241">W88-U88</f>
        <v>0</v>
      </c>
      <c r="W88" s="653">
        <v>0</v>
      </c>
      <c r="X88" s="40">
        <v>0</v>
      </c>
      <c r="Y88" s="630">
        <f t="shared" ref="Y88:Y91" si="242">Z88-X88</f>
        <v>0</v>
      </c>
      <c r="Z88" s="653">
        <v>0</v>
      </c>
      <c r="AA88" s="40">
        <v>0</v>
      </c>
      <c r="AB88" s="630">
        <f t="shared" ref="AB88:AB91" si="243">AC88-AA88</f>
        <v>0</v>
      </c>
      <c r="AC88" s="653">
        <v>0</v>
      </c>
      <c r="AD88" s="40">
        <v>0</v>
      </c>
      <c r="AE88" s="630">
        <f t="shared" ref="AE88:AE91" si="244">AF88-AD88</f>
        <v>0</v>
      </c>
      <c r="AF88" s="653">
        <v>0</v>
      </c>
      <c r="AG88" s="40">
        <v>0</v>
      </c>
      <c r="AH88" s="630">
        <f t="shared" ref="AH88:AH91" si="245">AI88-AG88</f>
        <v>0</v>
      </c>
      <c r="AI88" s="653">
        <v>0</v>
      </c>
      <c r="AJ88" s="40">
        <v>0</v>
      </c>
      <c r="AK88" s="630">
        <f t="shared" ref="AK88:AK91" si="246">AL88-AJ88</f>
        <v>0</v>
      </c>
      <c r="AL88" s="653">
        <v>0</v>
      </c>
      <c r="AM88" s="40">
        <v>0</v>
      </c>
      <c r="AN88" s="630">
        <f t="shared" ref="AN88:AN91" si="247">AO88-AM88</f>
        <v>0</v>
      </c>
      <c r="AO88" s="653">
        <v>0</v>
      </c>
      <c r="AP88" s="40">
        <v>0</v>
      </c>
      <c r="AQ88" s="630">
        <f t="shared" ref="AQ88:AQ91" si="248">AR88-AP88</f>
        <v>0</v>
      </c>
      <c r="AR88" s="653">
        <v>0</v>
      </c>
      <c r="AS88" s="40">
        <v>0</v>
      </c>
      <c r="AT88" s="236">
        <f t="shared" ref="AT88:AT94" si="249">AU88-AS88</f>
        <v>0</v>
      </c>
      <c r="AU88" s="653">
        <v>0</v>
      </c>
      <c r="AV88" s="40">
        <v>0</v>
      </c>
      <c r="AW88" s="236">
        <f t="shared" ref="AW88:AW94" si="250">AX88-AV88</f>
        <v>0</v>
      </c>
      <c r="AX88" s="580">
        <v>0</v>
      </c>
      <c r="AY88" s="56">
        <f t="shared" ref="AY88:AY91" si="251">BA88/2</f>
        <v>0</v>
      </c>
      <c r="AZ88" s="236">
        <f t="shared" ref="AZ88:AZ94" si="252">BA88-AY88</f>
        <v>0</v>
      </c>
      <c r="BA88" s="580">
        <v>0</v>
      </c>
      <c r="BB88" s="56">
        <f t="shared" ref="BB88:BB91" si="253">BD88/2</f>
        <v>0</v>
      </c>
      <c r="BC88" s="236">
        <f t="shared" ref="BC88:BC94" si="254">BD88-BB88</f>
        <v>0</v>
      </c>
      <c r="BD88" s="580">
        <v>0</v>
      </c>
      <c r="BE88" s="56">
        <f t="shared" ref="BE88:BE91" si="255">BG88/2</f>
        <v>0</v>
      </c>
      <c r="BF88" s="236">
        <f t="shared" ref="BF88:BF94" si="256">BG88-BE88</f>
        <v>0</v>
      </c>
      <c r="BG88" s="580">
        <v>0</v>
      </c>
      <c r="BH88" s="56">
        <f t="shared" ref="BH88:BH91" si="257">BJ88/2</f>
        <v>0</v>
      </c>
      <c r="BI88" s="236">
        <f t="shared" ref="BI88:BI94" si="258">BJ88-BH88</f>
        <v>0</v>
      </c>
      <c r="BJ88" s="580">
        <v>0</v>
      </c>
      <c r="BK88"/>
    </row>
    <row r="89" spans="1:66">
      <c r="A89" s="66" t="s">
        <v>262</v>
      </c>
      <c r="B89" s="40">
        <v>80</v>
      </c>
      <c r="C89" s="40">
        <v>75</v>
      </c>
      <c r="D89" s="40">
        <v>66</v>
      </c>
      <c r="E89" s="40">
        <v>48</v>
      </c>
      <c r="F89" s="40">
        <v>43</v>
      </c>
      <c r="G89" s="40">
        <v>55</v>
      </c>
      <c r="H89" s="40">
        <v>66</v>
      </c>
      <c r="I89" s="40">
        <v>80</v>
      </c>
      <c r="J89" s="40">
        <v>92</v>
      </c>
      <c r="K89" s="40">
        <v>68</v>
      </c>
      <c r="L89" s="40">
        <v>51</v>
      </c>
      <c r="M89" s="40">
        <v>57</v>
      </c>
      <c r="N89" s="40">
        <v>60</v>
      </c>
      <c r="O89" s="40">
        <v>67</v>
      </c>
      <c r="P89" s="40">
        <v>46</v>
      </c>
      <c r="Q89" s="40">
        <v>38</v>
      </c>
      <c r="R89" s="40"/>
      <c r="S89" s="630"/>
      <c r="T89" s="653">
        <v>28</v>
      </c>
      <c r="U89" s="40">
        <v>0</v>
      </c>
      <c r="V89" s="630">
        <f t="shared" si="241"/>
        <v>2</v>
      </c>
      <c r="W89" s="653">
        <v>2</v>
      </c>
      <c r="X89" s="40">
        <v>0</v>
      </c>
      <c r="Y89" s="630">
        <f t="shared" si="242"/>
        <v>0</v>
      </c>
      <c r="Z89" s="653">
        <v>0</v>
      </c>
      <c r="AA89" s="40">
        <v>0</v>
      </c>
      <c r="AB89" s="630">
        <f t="shared" si="243"/>
        <v>0</v>
      </c>
      <c r="AC89" s="653">
        <v>0</v>
      </c>
      <c r="AD89" s="40">
        <v>0</v>
      </c>
      <c r="AE89" s="630">
        <f t="shared" si="244"/>
        <v>0</v>
      </c>
      <c r="AF89" s="653">
        <f>AC89</f>
        <v>0</v>
      </c>
      <c r="AG89" s="40">
        <v>0</v>
      </c>
      <c r="AH89" s="630">
        <f t="shared" si="245"/>
        <v>0</v>
      </c>
      <c r="AI89" s="653">
        <v>0</v>
      </c>
      <c r="AJ89" s="40">
        <v>0</v>
      </c>
      <c r="AK89" s="630">
        <f t="shared" si="246"/>
        <v>0</v>
      </c>
      <c r="AL89" s="653">
        <f>AI89</f>
        <v>0</v>
      </c>
      <c r="AM89" s="40">
        <v>0</v>
      </c>
      <c r="AN89" s="630">
        <f t="shared" si="247"/>
        <v>0</v>
      </c>
      <c r="AO89" s="653">
        <f>AL89</f>
        <v>0</v>
      </c>
      <c r="AP89" s="40">
        <v>0</v>
      </c>
      <c r="AQ89" s="630">
        <f t="shared" si="248"/>
        <v>0</v>
      </c>
      <c r="AR89" s="653">
        <f>AO89</f>
        <v>0</v>
      </c>
      <c r="AS89" s="40">
        <v>0</v>
      </c>
      <c r="AT89" s="236">
        <f t="shared" si="249"/>
        <v>0</v>
      </c>
      <c r="AU89" s="653">
        <f>AR89</f>
        <v>0</v>
      </c>
      <c r="AV89" s="40">
        <v>0</v>
      </c>
      <c r="AW89" s="236">
        <f t="shared" si="250"/>
        <v>0</v>
      </c>
      <c r="AX89" s="605">
        <f>AU89</f>
        <v>0</v>
      </c>
      <c r="AY89" s="56">
        <f t="shared" si="251"/>
        <v>0</v>
      </c>
      <c r="AZ89" s="236">
        <f t="shared" si="252"/>
        <v>0</v>
      </c>
      <c r="BA89" s="605">
        <f>AX89</f>
        <v>0</v>
      </c>
      <c r="BB89" s="56">
        <f t="shared" si="253"/>
        <v>0</v>
      </c>
      <c r="BC89" s="236">
        <f t="shared" si="254"/>
        <v>0</v>
      </c>
      <c r="BD89" s="605">
        <f>BA89</f>
        <v>0</v>
      </c>
      <c r="BE89" s="56">
        <f t="shared" si="255"/>
        <v>0</v>
      </c>
      <c r="BF89" s="236">
        <f t="shared" si="256"/>
        <v>0</v>
      </c>
      <c r="BG89" s="605">
        <f>BD89</f>
        <v>0</v>
      </c>
      <c r="BH89" s="56">
        <f t="shared" si="257"/>
        <v>0</v>
      </c>
      <c r="BI89" s="236">
        <f t="shared" si="258"/>
        <v>0</v>
      </c>
      <c r="BJ89" s="605">
        <f t="shared" ref="BJ89:BJ90" si="259">BG89</f>
        <v>0</v>
      </c>
      <c r="BK89"/>
    </row>
    <row r="90" spans="1:66">
      <c r="A90" s="66" t="s">
        <v>263</v>
      </c>
      <c r="B90" s="40">
        <v>416</v>
      </c>
      <c r="C90" s="40">
        <v>519</v>
      </c>
      <c r="D90" s="40">
        <v>288</v>
      </c>
      <c r="E90" s="40">
        <v>217</v>
      </c>
      <c r="F90" s="40">
        <v>242</v>
      </c>
      <c r="G90" s="40">
        <v>168</v>
      </c>
      <c r="H90" s="40">
        <v>113</v>
      </c>
      <c r="I90" s="40">
        <v>135</v>
      </c>
      <c r="J90" s="40">
        <v>135</v>
      </c>
      <c r="K90" s="40">
        <v>32</v>
      </c>
      <c r="L90" s="40">
        <v>55</v>
      </c>
      <c r="M90" s="40">
        <v>31</v>
      </c>
      <c r="N90" s="40">
        <v>43</v>
      </c>
      <c r="O90" s="40">
        <v>78</v>
      </c>
      <c r="P90" s="40">
        <v>48</v>
      </c>
      <c r="Q90" s="40">
        <v>34</v>
      </c>
      <c r="R90" s="40"/>
      <c r="S90" s="630"/>
      <c r="T90" s="653">
        <v>20</v>
      </c>
      <c r="U90" s="40">
        <v>4</v>
      </c>
      <c r="V90" s="630">
        <f t="shared" si="241"/>
        <v>4</v>
      </c>
      <c r="W90" s="653">
        <v>8</v>
      </c>
      <c r="X90" s="40">
        <v>2</v>
      </c>
      <c r="Y90" s="630">
        <f t="shared" si="242"/>
        <v>8</v>
      </c>
      <c r="Z90" s="653">
        <v>10</v>
      </c>
      <c r="AA90" s="40">
        <v>4</v>
      </c>
      <c r="AB90" s="630">
        <f t="shared" si="243"/>
        <v>0</v>
      </c>
      <c r="AC90" s="653">
        <v>4</v>
      </c>
      <c r="AD90" s="40">
        <v>0</v>
      </c>
      <c r="AE90" s="630">
        <f t="shared" si="244"/>
        <v>0</v>
      </c>
      <c r="AF90" s="653">
        <v>0</v>
      </c>
      <c r="AG90" s="40">
        <v>0</v>
      </c>
      <c r="AH90" s="630">
        <f t="shared" si="245"/>
        <v>0</v>
      </c>
      <c r="AI90" s="653">
        <v>0</v>
      </c>
      <c r="AJ90" s="40">
        <v>0</v>
      </c>
      <c r="AK90" s="630">
        <f t="shared" si="246"/>
        <v>0</v>
      </c>
      <c r="AL90" s="653">
        <v>0</v>
      </c>
      <c r="AM90" s="40">
        <v>0</v>
      </c>
      <c r="AN90" s="630">
        <f t="shared" si="247"/>
        <v>0</v>
      </c>
      <c r="AO90" s="653">
        <v>0</v>
      </c>
      <c r="AP90" s="40">
        <v>0</v>
      </c>
      <c r="AQ90" s="630">
        <f t="shared" si="248"/>
        <v>0</v>
      </c>
      <c r="AR90" s="653">
        <v>0</v>
      </c>
      <c r="AS90" s="40">
        <v>0</v>
      </c>
      <c r="AT90" s="236">
        <f t="shared" si="249"/>
        <v>0</v>
      </c>
      <c r="AU90" s="653">
        <v>0</v>
      </c>
      <c r="AV90" s="40">
        <v>0</v>
      </c>
      <c r="AW90" s="236">
        <f t="shared" si="250"/>
        <v>0</v>
      </c>
      <c r="AX90" s="580">
        <f>AU90</f>
        <v>0</v>
      </c>
      <c r="AY90" s="56">
        <f t="shared" si="251"/>
        <v>0</v>
      </c>
      <c r="AZ90" s="236">
        <f t="shared" si="252"/>
        <v>0</v>
      </c>
      <c r="BA90" s="580">
        <f>AX90</f>
        <v>0</v>
      </c>
      <c r="BB90" s="56">
        <f t="shared" si="253"/>
        <v>0</v>
      </c>
      <c r="BC90" s="236">
        <f t="shared" si="254"/>
        <v>0</v>
      </c>
      <c r="BD90" s="580">
        <f>BA90</f>
        <v>0</v>
      </c>
      <c r="BE90" s="56">
        <f t="shared" si="255"/>
        <v>0</v>
      </c>
      <c r="BF90" s="236">
        <f t="shared" si="256"/>
        <v>0</v>
      </c>
      <c r="BG90" s="580">
        <f>BD90</f>
        <v>0</v>
      </c>
      <c r="BH90" s="56">
        <f t="shared" si="257"/>
        <v>0</v>
      </c>
      <c r="BI90" s="236">
        <f t="shared" si="258"/>
        <v>0</v>
      </c>
      <c r="BJ90" s="580">
        <f t="shared" si="259"/>
        <v>0</v>
      </c>
      <c r="BK90"/>
    </row>
    <row r="91" spans="1:66">
      <c r="A91" s="66" t="s">
        <v>264</v>
      </c>
      <c r="B91" s="40">
        <v>198</v>
      </c>
      <c r="C91" s="40">
        <v>253</v>
      </c>
      <c r="D91" s="40">
        <v>127</v>
      </c>
      <c r="E91" s="40">
        <v>96</v>
      </c>
      <c r="F91" s="40">
        <v>131</v>
      </c>
      <c r="G91" s="40">
        <v>161</v>
      </c>
      <c r="H91" s="40">
        <v>155</v>
      </c>
      <c r="I91" s="40">
        <v>183</v>
      </c>
      <c r="J91" s="40">
        <v>216</v>
      </c>
      <c r="K91" s="40">
        <v>172</v>
      </c>
      <c r="L91" s="40">
        <v>184</v>
      </c>
      <c r="M91" s="40">
        <v>232</v>
      </c>
      <c r="N91" s="40">
        <v>290</v>
      </c>
      <c r="O91" s="40">
        <v>326</v>
      </c>
      <c r="P91" s="40">
        <v>334</v>
      </c>
      <c r="Q91" s="40">
        <v>332</v>
      </c>
      <c r="R91" s="40"/>
      <c r="S91" s="630"/>
      <c r="T91" s="653">
        <v>244</v>
      </c>
      <c r="U91" s="40">
        <v>95</v>
      </c>
      <c r="V91" s="630">
        <f t="shared" si="241"/>
        <v>95</v>
      </c>
      <c r="W91" s="653">
        <v>190</v>
      </c>
      <c r="X91" s="40">
        <v>104</v>
      </c>
      <c r="Y91" s="630">
        <f t="shared" si="242"/>
        <v>101</v>
      </c>
      <c r="Z91" s="653">
        <v>205</v>
      </c>
      <c r="AA91" s="40">
        <v>107</v>
      </c>
      <c r="AB91" s="630">
        <f t="shared" si="243"/>
        <v>84</v>
      </c>
      <c r="AC91" s="653">
        <v>191</v>
      </c>
      <c r="AD91" s="40">
        <v>68</v>
      </c>
      <c r="AE91" s="630">
        <f t="shared" si="244"/>
        <v>44</v>
      </c>
      <c r="AF91" s="653">
        <v>112</v>
      </c>
      <c r="AG91" s="40">
        <v>28</v>
      </c>
      <c r="AH91" s="630">
        <f t="shared" si="245"/>
        <v>42</v>
      </c>
      <c r="AI91" s="653">
        <v>70</v>
      </c>
      <c r="AJ91" s="40">
        <v>35</v>
      </c>
      <c r="AK91" s="630">
        <f t="shared" si="246"/>
        <v>42</v>
      </c>
      <c r="AL91" s="653">
        <v>77</v>
      </c>
      <c r="AM91" s="40">
        <v>34</v>
      </c>
      <c r="AN91" s="630">
        <f t="shared" si="247"/>
        <v>59</v>
      </c>
      <c r="AO91" s="653">
        <v>93</v>
      </c>
      <c r="AP91" s="40">
        <v>33</v>
      </c>
      <c r="AQ91" s="630">
        <f t="shared" si="248"/>
        <v>44</v>
      </c>
      <c r="AR91" s="653">
        <v>77</v>
      </c>
      <c r="AS91" s="40">
        <v>3</v>
      </c>
      <c r="AT91" s="216">
        <f t="shared" si="249"/>
        <v>2</v>
      </c>
      <c r="AU91" s="653">
        <v>5</v>
      </c>
      <c r="AV91" s="40">
        <v>0</v>
      </c>
      <c r="AW91" s="236">
        <f t="shared" si="250"/>
        <v>0</v>
      </c>
      <c r="AX91" s="580">
        <v>0</v>
      </c>
      <c r="AY91" s="56">
        <f t="shared" si="251"/>
        <v>0</v>
      </c>
      <c r="AZ91" s="236">
        <f t="shared" si="252"/>
        <v>0</v>
      </c>
      <c r="BA91" s="580">
        <v>0</v>
      </c>
      <c r="BB91" s="56">
        <f t="shared" si="253"/>
        <v>0</v>
      </c>
      <c r="BC91" s="236">
        <f t="shared" si="254"/>
        <v>0</v>
      </c>
      <c r="BD91" s="580">
        <v>0</v>
      </c>
      <c r="BE91" s="56">
        <f t="shared" si="255"/>
        <v>0</v>
      </c>
      <c r="BF91" s="236">
        <f t="shared" si="256"/>
        <v>0</v>
      </c>
      <c r="BG91" s="580">
        <v>0</v>
      </c>
      <c r="BH91" s="56">
        <f t="shared" si="257"/>
        <v>0</v>
      </c>
      <c r="BI91" s="236">
        <f t="shared" si="258"/>
        <v>0</v>
      </c>
      <c r="BJ91" s="580">
        <v>0</v>
      </c>
      <c r="BK91" s="182"/>
    </row>
    <row r="92" spans="1:66">
      <c r="A92" s="66" t="s">
        <v>734</v>
      </c>
      <c r="B92" s="40"/>
      <c r="C92" s="40"/>
      <c r="D92" s="40"/>
      <c r="E92" s="40"/>
      <c r="F92" s="40"/>
      <c r="G92" s="40"/>
      <c r="H92" s="40"/>
      <c r="I92" s="40"/>
      <c r="J92" s="40"/>
      <c r="K92" s="40"/>
      <c r="L92" s="40"/>
      <c r="M92" s="40"/>
      <c r="N92" s="40"/>
      <c r="O92" s="40"/>
      <c r="P92" s="40"/>
      <c r="Q92" s="40"/>
      <c r="R92" s="40"/>
      <c r="S92" s="630"/>
      <c r="T92" s="653"/>
      <c r="U92" s="40">
        <v>0</v>
      </c>
      <c r="V92" s="630">
        <f>W92-U92</f>
        <v>0</v>
      </c>
      <c r="W92" s="653"/>
      <c r="X92" s="40">
        <v>0</v>
      </c>
      <c r="Y92" s="630">
        <f>Z92-X92</f>
        <v>2</v>
      </c>
      <c r="Z92" s="653">
        <v>2</v>
      </c>
      <c r="AA92" s="40">
        <v>1</v>
      </c>
      <c r="AB92" s="630">
        <f>AC92-AA92</f>
        <v>23</v>
      </c>
      <c r="AC92" s="653">
        <v>24</v>
      </c>
      <c r="AD92" s="40">
        <f>31+4</f>
        <v>35</v>
      </c>
      <c r="AE92" s="630">
        <f>AF92-AD92</f>
        <v>37</v>
      </c>
      <c r="AF92" s="653">
        <v>72</v>
      </c>
      <c r="AG92" s="40">
        <v>20</v>
      </c>
      <c r="AH92" s="630">
        <f>AI92-AG92</f>
        <v>24</v>
      </c>
      <c r="AI92" s="653">
        <v>44</v>
      </c>
      <c r="AJ92" s="40">
        <v>36</v>
      </c>
      <c r="AK92" s="630">
        <f>AL92-AJ92</f>
        <v>52</v>
      </c>
      <c r="AL92" s="653">
        <v>88</v>
      </c>
      <c r="AM92" s="40">
        <v>39</v>
      </c>
      <c r="AN92" s="630">
        <f>AO92-AM92</f>
        <v>64</v>
      </c>
      <c r="AO92" s="653">
        <v>103</v>
      </c>
      <c r="AP92" s="40">
        <v>83</v>
      </c>
      <c r="AQ92" s="630">
        <f>AR92-AP92</f>
        <v>91</v>
      </c>
      <c r="AR92" s="653">
        <v>174</v>
      </c>
      <c r="AS92" s="40">
        <v>112</v>
      </c>
      <c r="AT92" s="216">
        <f>AU92-AS92</f>
        <v>107</v>
      </c>
      <c r="AU92" s="653">
        <v>219</v>
      </c>
      <c r="AV92" s="40">
        <v>122</v>
      </c>
      <c r="AW92" s="236">
        <f>AX92-AV92</f>
        <v>128</v>
      </c>
      <c r="AX92" s="580">
        <f>(44+50+31)*2</f>
        <v>250</v>
      </c>
      <c r="AY92" s="56">
        <f>BA92/2</f>
        <v>129</v>
      </c>
      <c r="AZ92" s="236">
        <f>BA92-AY92</f>
        <v>129</v>
      </c>
      <c r="BA92" s="580">
        <f>(43+52+34)*2</f>
        <v>258</v>
      </c>
      <c r="BB92" s="56">
        <f>BD92/2</f>
        <v>135</v>
      </c>
      <c r="BC92" s="236">
        <f>BD92-BB92</f>
        <v>135</v>
      </c>
      <c r="BD92" s="580">
        <f>(46+53+36)*2</f>
        <v>270</v>
      </c>
      <c r="BE92" s="56">
        <f>BG92/2</f>
        <v>141</v>
      </c>
      <c r="BF92" s="236">
        <f>BG92-BE92</f>
        <v>141</v>
      </c>
      <c r="BG92" s="580">
        <f>(46+52+34+9)*2</f>
        <v>282</v>
      </c>
      <c r="BH92" s="56">
        <f>BJ92/2</f>
        <v>147</v>
      </c>
      <c r="BI92" s="236">
        <f>BJ92-BH92</f>
        <v>147</v>
      </c>
      <c r="BJ92" s="580">
        <f>(47+53+35+12)*2</f>
        <v>294</v>
      </c>
      <c r="BK92" s="182"/>
    </row>
    <row r="93" spans="1:66">
      <c r="A93" s="62" t="s">
        <v>265</v>
      </c>
      <c r="B93" s="82">
        <f>SUM(B88:B92)</f>
        <v>694</v>
      </c>
      <c r="C93" s="82">
        <f t="shared" ref="C93:BJ93" si="260">SUM(C88:C92)</f>
        <v>847</v>
      </c>
      <c r="D93" s="82">
        <f t="shared" si="260"/>
        <v>481</v>
      </c>
      <c r="E93" s="82">
        <f t="shared" si="260"/>
        <v>361</v>
      </c>
      <c r="F93" s="82">
        <f t="shared" si="260"/>
        <v>416</v>
      </c>
      <c r="G93" s="82">
        <f t="shared" si="260"/>
        <v>384</v>
      </c>
      <c r="H93" s="82">
        <f t="shared" si="260"/>
        <v>334</v>
      </c>
      <c r="I93" s="82">
        <f t="shared" si="260"/>
        <v>398</v>
      </c>
      <c r="J93" s="82">
        <f t="shared" si="260"/>
        <v>443</v>
      </c>
      <c r="K93" s="82">
        <f t="shared" si="260"/>
        <v>272</v>
      </c>
      <c r="L93" s="82">
        <f t="shared" si="260"/>
        <v>290</v>
      </c>
      <c r="M93" s="82">
        <f t="shared" si="260"/>
        <v>320</v>
      </c>
      <c r="N93" s="82">
        <f t="shared" si="260"/>
        <v>393</v>
      </c>
      <c r="O93" s="82">
        <f t="shared" si="260"/>
        <v>471</v>
      </c>
      <c r="P93" s="82">
        <f t="shared" si="260"/>
        <v>428</v>
      </c>
      <c r="Q93" s="82">
        <f t="shared" si="260"/>
        <v>404</v>
      </c>
      <c r="R93" s="82">
        <f t="shared" si="260"/>
        <v>0</v>
      </c>
      <c r="S93" s="694">
        <f t="shared" si="260"/>
        <v>0</v>
      </c>
      <c r="T93" s="709">
        <f t="shared" si="260"/>
        <v>292</v>
      </c>
      <c r="U93" s="82">
        <f t="shared" si="260"/>
        <v>99</v>
      </c>
      <c r="V93" s="694">
        <f t="shared" si="260"/>
        <v>101</v>
      </c>
      <c r="W93" s="709">
        <f t="shared" si="260"/>
        <v>200</v>
      </c>
      <c r="X93" s="82">
        <f t="shared" si="260"/>
        <v>106</v>
      </c>
      <c r="Y93" s="694">
        <f t="shared" si="260"/>
        <v>111</v>
      </c>
      <c r="Z93" s="709">
        <f t="shared" si="260"/>
        <v>217</v>
      </c>
      <c r="AA93" s="82">
        <f t="shared" si="260"/>
        <v>112</v>
      </c>
      <c r="AB93" s="694">
        <f t="shared" si="260"/>
        <v>107</v>
      </c>
      <c r="AC93" s="709">
        <f t="shared" si="260"/>
        <v>219</v>
      </c>
      <c r="AD93" s="82">
        <f t="shared" si="260"/>
        <v>103</v>
      </c>
      <c r="AE93" s="694">
        <f t="shared" si="260"/>
        <v>81</v>
      </c>
      <c r="AF93" s="709">
        <f t="shared" si="260"/>
        <v>184</v>
      </c>
      <c r="AG93" s="82">
        <f t="shared" si="260"/>
        <v>48</v>
      </c>
      <c r="AH93" s="694">
        <f t="shared" si="260"/>
        <v>66</v>
      </c>
      <c r="AI93" s="709">
        <f t="shared" si="260"/>
        <v>114</v>
      </c>
      <c r="AJ93" s="82">
        <f t="shared" si="260"/>
        <v>71</v>
      </c>
      <c r="AK93" s="694">
        <f t="shared" si="260"/>
        <v>94</v>
      </c>
      <c r="AL93" s="709">
        <f t="shared" si="260"/>
        <v>165</v>
      </c>
      <c r="AM93" s="82">
        <f t="shared" si="260"/>
        <v>73</v>
      </c>
      <c r="AN93" s="694">
        <f t="shared" si="260"/>
        <v>123</v>
      </c>
      <c r="AO93" s="709">
        <f t="shared" si="260"/>
        <v>196</v>
      </c>
      <c r="AP93" s="82">
        <f t="shared" ref="AP93:AR93" si="261">SUM(AP88:AP92)</f>
        <v>116</v>
      </c>
      <c r="AQ93" s="694">
        <f t="shared" si="261"/>
        <v>135</v>
      </c>
      <c r="AR93" s="709">
        <f t="shared" si="261"/>
        <v>251</v>
      </c>
      <c r="AS93" s="82">
        <f t="shared" ref="AS93" si="262">SUM(AS88:AS92)</f>
        <v>115</v>
      </c>
      <c r="AT93" s="226">
        <f t="shared" si="260"/>
        <v>109</v>
      </c>
      <c r="AU93" s="709">
        <f t="shared" si="260"/>
        <v>224</v>
      </c>
      <c r="AV93" s="82">
        <f t="shared" si="260"/>
        <v>122</v>
      </c>
      <c r="AW93" s="241">
        <f t="shared" si="260"/>
        <v>128</v>
      </c>
      <c r="AX93" s="579">
        <f t="shared" si="260"/>
        <v>250</v>
      </c>
      <c r="AY93" s="204">
        <f t="shared" si="260"/>
        <v>129</v>
      </c>
      <c r="AZ93" s="241">
        <f t="shared" si="260"/>
        <v>129</v>
      </c>
      <c r="BA93" s="579">
        <f t="shared" si="260"/>
        <v>258</v>
      </c>
      <c r="BB93" s="204">
        <f t="shared" si="260"/>
        <v>135</v>
      </c>
      <c r="BC93" s="241">
        <f t="shared" si="260"/>
        <v>135</v>
      </c>
      <c r="BD93" s="579">
        <f t="shared" si="260"/>
        <v>270</v>
      </c>
      <c r="BE93" s="204">
        <f t="shared" si="260"/>
        <v>141</v>
      </c>
      <c r="BF93" s="241">
        <f t="shared" si="260"/>
        <v>141</v>
      </c>
      <c r="BG93" s="579">
        <f t="shared" si="260"/>
        <v>282</v>
      </c>
      <c r="BH93" s="204">
        <f t="shared" si="260"/>
        <v>147</v>
      </c>
      <c r="BI93" s="241">
        <f t="shared" si="260"/>
        <v>147</v>
      </c>
      <c r="BJ93" s="579">
        <f t="shared" si="260"/>
        <v>294</v>
      </c>
      <c r="BK93" s="182">
        <f>(BJ93/AL93)^(1/8)-1</f>
        <v>7.4874904261789998E-2</v>
      </c>
    </row>
    <row r="94" spans="1:66">
      <c r="A94" s="31" t="s">
        <v>268</v>
      </c>
      <c r="B94" s="51">
        <v>216</v>
      </c>
      <c r="C94" s="51">
        <v>285</v>
      </c>
      <c r="D94" s="51">
        <v>224</v>
      </c>
      <c r="E94" s="51">
        <v>216</v>
      </c>
      <c r="F94" s="51">
        <v>237</v>
      </c>
      <c r="G94" s="51">
        <v>327</v>
      </c>
      <c r="H94" s="51">
        <v>319</v>
      </c>
      <c r="I94" s="51">
        <v>308</v>
      </c>
      <c r="J94" s="51">
        <v>351</v>
      </c>
      <c r="K94" s="51">
        <v>347</v>
      </c>
      <c r="L94" s="51">
        <v>371</v>
      </c>
      <c r="M94" s="51">
        <v>418</v>
      </c>
      <c r="N94" s="51">
        <v>220</v>
      </c>
      <c r="O94" s="51">
        <v>0</v>
      </c>
      <c r="P94" s="51">
        <v>0</v>
      </c>
      <c r="Q94" s="51">
        <v>0</v>
      </c>
      <c r="R94" s="51"/>
      <c r="S94" s="629"/>
      <c r="T94" s="652">
        <v>0</v>
      </c>
      <c r="U94" s="51">
        <v>0</v>
      </c>
      <c r="V94" s="630">
        <f t="shared" ref="V94" si="263">W94-U94</f>
        <v>0</v>
      </c>
      <c r="W94" s="652">
        <v>0</v>
      </c>
      <c r="X94" s="51">
        <v>0</v>
      </c>
      <c r="Y94" s="630">
        <f t="shared" ref="Y94" si="264">Z94-X94</f>
        <v>0</v>
      </c>
      <c r="Z94" s="652">
        <v>0</v>
      </c>
      <c r="AA94" s="51">
        <v>0</v>
      </c>
      <c r="AB94" s="630">
        <f t="shared" ref="AB94" si="265">AC94-AA94</f>
        <v>0</v>
      </c>
      <c r="AC94" s="652">
        <v>0</v>
      </c>
      <c r="AD94" s="51">
        <v>0</v>
      </c>
      <c r="AE94" s="630">
        <f t="shared" ref="AE94" si="266">AF94-AD94</f>
        <v>0</v>
      </c>
      <c r="AF94" s="652">
        <v>0</v>
      </c>
      <c r="AG94" s="51">
        <v>0</v>
      </c>
      <c r="AH94" s="630">
        <f t="shared" ref="AH94" si="267">AI94-AG94</f>
        <v>0</v>
      </c>
      <c r="AI94" s="652">
        <v>0</v>
      </c>
      <c r="AJ94" s="51">
        <v>0</v>
      </c>
      <c r="AK94" s="630">
        <f t="shared" ref="AK94" si="268">AL94-AJ94</f>
        <v>0</v>
      </c>
      <c r="AL94" s="652">
        <v>0</v>
      </c>
      <c r="AM94" s="51">
        <v>0</v>
      </c>
      <c r="AN94" s="630">
        <f t="shared" ref="AN94" si="269">AO94-AM94</f>
        <v>0</v>
      </c>
      <c r="AO94" s="652">
        <v>0</v>
      </c>
      <c r="AP94" s="51">
        <v>0</v>
      </c>
      <c r="AQ94" s="630">
        <f t="shared" ref="AQ94" si="270">AR94-AP94</f>
        <v>0</v>
      </c>
      <c r="AR94" s="652">
        <v>0</v>
      </c>
      <c r="AS94" s="51">
        <v>0</v>
      </c>
      <c r="AT94" s="216">
        <f t="shared" si="249"/>
        <v>0</v>
      </c>
      <c r="AU94" s="652">
        <v>0</v>
      </c>
      <c r="AV94" s="51">
        <f t="shared" ref="AV94" si="271">AX94/2</f>
        <v>0</v>
      </c>
      <c r="AW94" s="236">
        <f t="shared" si="250"/>
        <v>0</v>
      </c>
      <c r="AX94" s="586">
        <v>0</v>
      </c>
      <c r="AY94" s="56">
        <f t="shared" ref="AY94" si="272">BA94/2</f>
        <v>0</v>
      </c>
      <c r="AZ94" s="236">
        <f t="shared" si="252"/>
        <v>0</v>
      </c>
      <c r="BA94" s="586">
        <v>0</v>
      </c>
      <c r="BB94" s="56">
        <f t="shared" ref="BB94" si="273">BD94/2</f>
        <v>0</v>
      </c>
      <c r="BC94" s="236">
        <f t="shared" si="254"/>
        <v>0</v>
      </c>
      <c r="BD94" s="586">
        <v>0</v>
      </c>
      <c r="BE94" s="56">
        <f t="shared" ref="BE94" si="274">BG94/2</f>
        <v>0</v>
      </c>
      <c r="BF94" s="236">
        <f t="shared" si="256"/>
        <v>0</v>
      </c>
      <c r="BG94" s="586">
        <v>0</v>
      </c>
      <c r="BH94" s="56">
        <f t="shared" ref="BH94" si="275">BJ94/2</f>
        <v>0</v>
      </c>
      <c r="BI94" s="236">
        <f t="shared" si="258"/>
        <v>0</v>
      </c>
      <c r="BJ94" s="586">
        <v>0</v>
      </c>
      <c r="BK94"/>
    </row>
    <row r="95" spans="1:66">
      <c r="A95" s="37" t="s">
        <v>266</v>
      </c>
      <c r="B95" s="84">
        <f t="shared" ref="B95:Q95" si="276">B87+B93+B94</f>
        <v>1091</v>
      </c>
      <c r="C95" s="84">
        <f t="shared" si="276"/>
        <v>1362</v>
      </c>
      <c r="D95" s="84">
        <f t="shared" si="276"/>
        <v>856</v>
      </c>
      <c r="E95" s="84">
        <f t="shared" si="276"/>
        <v>746</v>
      </c>
      <c r="F95" s="84">
        <f t="shared" si="276"/>
        <v>824</v>
      </c>
      <c r="G95" s="84">
        <f t="shared" si="276"/>
        <v>881</v>
      </c>
      <c r="H95" s="84">
        <f t="shared" si="276"/>
        <v>856</v>
      </c>
      <c r="I95" s="84">
        <f t="shared" si="276"/>
        <v>851</v>
      </c>
      <c r="J95" s="84">
        <f t="shared" si="276"/>
        <v>987</v>
      </c>
      <c r="K95" s="84">
        <f t="shared" si="276"/>
        <v>844</v>
      </c>
      <c r="L95" s="84">
        <f t="shared" si="276"/>
        <v>846</v>
      </c>
      <c r="M95" s="84">
        <f t="shared" si="276"/>
        <v>962</v>
      </c>
      <c r="N95" s="84">
        <f t="shared" si="276"/>
        <v>888</v>
      </c>
      <c r="O95" s="84">
        <f t="shared" si="276"/>
        <v>753</v>
      </c>
      <c r="P95" s="84">
        <f t="shared" si="276"/>
        <v>739</v>
      </c>
      <c r="Q95" s="84">
        <f t="shared" si="276"/>
        <v>712</v>
      </c>
      <c r="R95" s="84"/>
      <c r="S95" s="632"/>
      <c r="T95" s="655">
        <f t="shared" ref="T95:BJ95" si="277">T87+T93+T94</f>
        <v>649</v>
      </c>
      <c r="U95" s="84">
        <f t="shared" si="277"/>
        <v>308</v>
      </c>
      <c r="V95" s="632">
        <f t="shared" si="277"/>
        <v>375</v>
      </c>
      <c r="W95" s="655">
        <f t="shared" si="277"/>
        <v>683</v>
      </c>
      <c r="X95" s="84">
        <f t="shared" si="277"/>
        <v>365</v>
      </c>
      <c r="Y95" s="632">
        <f t="shared" si="277"/>
        <v>321</v>
      </c>
      <c r="Z95" s="655">
        <f t="shared" si="277"/>
        <v>686</v>
      </c>
      <c r="AA95" s="84">
        <f t="shared" si="277"/>
        <v>369</v>
      </c>
      <c r="AB95" s="632">
        <f t="shared" si="277"/>
        <v>360</v>
      </c>
      <c r="AC95" s="655">
        <f t="shared" si="277"/>
        <v>729</v>
      </c>
      <c r="AD95" s="84">
        <f t="shared" si="277"/>
        <v>240</v>
      </c>
      <c r="AE95" s="632">
        <f t="shared" si="277"/>
        <v>208</v>
      </c>
      <c r="AF95" s="655">
        <f t="shared" si="277"/>
        <v>448</v>
      </c>
      <c r="AG95" s="84">
        <f t="shared" si="277"/>
        <v>148</v>
      </c>
      <c r="AH95" s="632">
        <f t="shared" si="277"/>
        <v>161</v>
      </c>
      <c r="AI95" s="655">
        <f t="shared" si="277"/>
        <v>309</v>
      </c>
      <c r="AJ95" s="84">
        <f t="shared" si="277"/>
        <v>149</v>
      </c>
      <c r="AK95" s="632">
        <f t="shared" si="277"/>
        <v>206</v>
      </c>
      <c r="AL95" s="655">
        <f t="shared" si="277"/>
        <v>355</v>
      </c>
      <c r="AM95" s="84">
        <f t="shared" si="277"/>
        <v>188</v>
      </c>
      <c r="AN95" s="632">
        <f t="shared" si="277"/>
        <v>270</v>
      </c>
      <c r="AO95" s="655">
        <f t="shared" si="277"/>
        <v>458</v>
      </c>
      <c r="AP95" s="84">
        <f t="shared" ref="AP95:AR95" si="278">AP87+AP93+AP94</f>
        <v>236</v>
      </c>
      <c r="AQ95" s="632">
        <f t="shared" si="278"/>
        <v>293</v>
      </c>
      <c r="AR95" s="655">
        <f t="shared" si="278"/>
        <v>529</v>
      </c>
      <c r="AS95" s="84">
        <f t="shared" ref="AS95" si="279">AS87+AS93+AS94</f>
        <v>237</v>
      </c>
      <c r="AT95" s="227">
        <f t="shared" si="277"/>
        <v>246</v>
      </c>
      <c r="AU95" s="655">
        <f t="shared" si="277"/>
        <v>483</v>
      </c>
      <c r="AV95" s="84">
        <f t="shared" si="277"/>
        <v>279</v>
      </c>
      <c r="AW95" s="244">
        <f t="shared" si="277"/>
        <v>283.70605485596002</v>
      </c>
      <c r="AX95" s="581">
        <f t="shared" si="277"/>
        <v>562.70605485596002</v>
      </c>
      <c r="AY95" s="181">
        <f t="shared" si="277"/>
        <v>300.64614683082539</v>
      </c>
      <c r="AZ95" s="244">
        <f t="shared" si="277"/>
        <v>305.36861086929486</v>
      </c>
      <c r="BA95" s="581">
        <f t="shared" si="277"/>
        <v>606.01475770012019</v>
      </c>
      <c r="BB95" s="181">
        <f t="shared" si="277"/>
        <v>317.21848739495795</v>
      </c>
      <c r="BC95" s="244">
        <f t="shared" si="277"/>
        <v>322.93277310924373</v>
      </c>
      <c r="BD95" s="581">
        <f t="shared" si="277"/>
        <v>640.15126050420167</v>
      </c>
      <c r="BE95" s="181">
        <f t="shared" si="277"/>
        <v>337.03361344537814</v>
      </c>
      <c r="BF95" s="244">
        <f t="shared" si="277"/>
        <v>335.89075630252103</v>
      </c>
      <c r="BG95" s="581">
        <f t="shared" si="277"/>
        <v>672.92436974789916</v>
      </c>
      <c r="BH95" s="181">
        <f t="shared" si="277"/>
        <v>349.89075630252103</v>
      </c>
      <c r="BI95" s="244">
        <f t="shared" si="277"/>
        <v>335.03361344537814</v>
      </c>
      <c r="BJ95" s="581">
        <f t="shared" si="277"/>
        <v>684.92436974789916</v>
      </c>
      <c r="BK95" s="182">
        <f>(AR95/AI95)^(1/3)-1</f>
        <v>0.19627877558377271</v>
      </c>
    </row>
    <row r="96" spans="1:66">
      <c r="B96" s="40"/>
      <c r="C96" s="40"/>
      <c r="D96" s="40"/>
      <c r="E96" s="40"/>
      <c r="F96" s="40"/>
      <c r="G96" s="40"/>
      <c r="H96" s="40"/>
      <c r="I96" s="40"/>
      <c r="J96" s="40"/>
      <c r="K96" s="40"/>
      <c r="L96" s="50"/>
      <c r="M96" s="50"/>
      <c r="N96" s="50"/>
      <c r="O96" s="50"/>
      <c r="P96" s="50"/>
      <c r="Q96" s="50"/>
      <c r="R96" s="40"/>
      <c r="S96" s="630"/>
      <c r="T96" s="653">
        <f t="shared" ref="T96:W96" si="280">T87-T49-T58</f>
        <v>0</v>
      </c>
      <c r="U96" s="10">
        <f t="shared" si="280"/>
        <v>0</v>
      </c>
      <c r="V96" s="630">
        <f t="shared" si="280"/>
        <v>0</v>
      </c>
      <c r="W96" s="653">
        <f t="shared" si="280"/>
        <v>0</v>
      </c>
      <c r="X96" s="10">
        <f t="shared" ref="X96:Z96" si="281">X87-X49-X58</f>
        <v>0</v>
      </c>
      <c r="Y96" s="630">
        <f t="shared" si="281"/>
        <v>0</v>
      </c>
      <c r="Z96" s="653">
        <f t="shared" si="281"/>
        <v>0</v>
      </c>
      <c r="AA96" s="10">
        <f t="shared" ref="AA96:AN96" si="282">AA87-AA49-AA58</f>
        <v>0</v>
      </c>
      <c r="AB96" s="630">
        <f t="shared" si="282"/>
        <v>0</v>
      </c>
      <c r="AC96" s="653">
        <f t="shared" si="282"/>
        <v>0</v>
      </c>
      <c r="AD96" s="10">
        <f t="shared" si="282"/>
        <v>0</v>
      </c>
      <c r="AE96" s="630">
        <f t="shared" si="282"/>
        <v>0</v>
      </c>
      <c r="AF96" s="653">
        <f t="shared" si="282"/>
        <v>0</v>
      </c>
      <c r="AG96" s="10">
        <f t="shared" si="282"/>
        <v>0</v>
      </c>
      <c r="AH96" s="630">
        <f t="shared" si="282"/>
        <v>0</v>
      </c>
      <c r="AI96" s="653">
        <f t="shared" si="282"/>
        <v>0</v>
      </c>
      <c r="AJ96" s="10">
        <f t="shared" si="282"/>
        <v>0</v>
      </c>
      <c r="AK96" s="630">
        <f t="shared" si="282"/>
        <v>0</v>
      </c>
      <c r="AL96" s="556">
        <f t="shared" si="282"/>
        <v>0</v>
      </c>
      <c r="AM96" s="10">
        <f t="shared" ref="AM96:BJ96" si="283">AM87-AM49-AM58</f>
        <v>0</v>
      </c>
      <c r="AN96" s="236">
        <f t="shared" si="282"/>
        <v>0</v>
      </c>
      <c r="AO96" s="556">
        <f t="shared" si="283"/>
        <v>0</v>
      </c>
      <c r="AP96" s="10">
        <f t="shared" ref="AP96:AR96" si="284">AP87-AP49-AP58</f>
        <v>0</v>
      </c>
      <c r="AQ96" s="236">
        <f t="shared" si="284"/>
        <v>0</v>
      </c>
      <c r="AR96" s="556">
        <f t="shared" si="284"/>
        <v>0</v>
      </c>
      <c r="AS96" s="10">
        <f t="shared" ref="AS96" si="285">AS87-AS49-AS58</f>
        <v>0</v>
      </c>
      <c r="AT96" s="216">
        <f t="shared" si="283"/>
        <v>0</v>
      </c>
      <c r="AU96" s="556">
        <f t="shared" si="283"/>
        <v>0</v>
      </c>
      <c r="AV96" s="10">
        <f t="shared" si="283"/>
        <v>0</v>
      </c>
      <c r="AW96" s="236">
        <f t="shared" si="283"/>
        <v>-2.8421709430404007E-14</v>
      </c>
      <c r="AX96" s="605">
        <f t="shared" si="283"/>
        <v>0</v>
      </c>
      <c r="AY96" s="56">
        <f t="shared" si="283"/>
        <v>0</v>
      </c>
      <c r="AZ96" s="236">
        <f t="shared" si="283"/>
        <v>0</v>
      </c>
      <c r="BA96" s="605">
        <f t="shared" si="283"/>
        <v>0</v>
      </c>
      <c r="BB96" s="56">
        <f t="shared" si="283"/>
        <v>0</v>
      </c>
      <c r="BC96" s="236">
        <f t="shared" si="283"/>
        <v>0</v>
      </c>
      <c r="BD96" s="605">
        <f t="shared" si="283"/>
        <v>0</v>
      </c>
      <c r="BE96" s="56">
        <f t="shared" si="283"/>
        <v>0</v>
      </c>
      <c r="BF96" s="236">
        <f t="shared" si="283"/>
        <v>0</v>
      </c>
      <c r="BG96" s="605">
        <f t="shared" si="283"/>
        <v>0</v>
      </c>
      <c r="BH96" s="56">
        <f t="shared" si="283"/>
        <v>0</v>
      </c>
      <c r="BI96" s="236">
        <f t="shared" si="283"/>
        <v>0</v>
      </c>
      <c r="BJ96" s="605">
        <f t="shared" si="283"/>
        <v>0</v>
      </c>
      <c r="BK96"/>
    </row>
    <row r="97" spans="1:63">
      <c r="A97" s="31" t="s">
        <v>919</v>
      </c>
      <c r="B97" s="40"/>
      <c r="C97" s="40"/>
      <c r="D97" s="40"/>
      <c r="E97" s="40"/>
      <c r="F97" s="40"/>
      <c r="G97" s="40"/>
      <c r="H97" s="40"/>
      <c r="I97" s="40"/>
      <c r="J97" s="40"/>
      <c r="K97" s="40"/>
      <c r="L97" s="50"/>
      <c r="M97" s="50"/>
      <c r="N97" s="50"/>
      <c r="O97" s="50"/>
      <c r="P97" s="50"/>
      <c r="Q97" s="50"/>
      <c r="R97" s="40"/>
      <c r="S97" s="630"/>
      <c r="T97" s="653"/>
      <c r="U97" s="40"/>
      <c r="V97" s="630"/>
      <c r="W97" s="653"/>
      <c r="X97" s="40"/>
      <c r="Y97" s="630"/>
      <c r="Z97" s="653"/>
      <c r="AA97" s="40"/>
      <c r="AB97" s="630"/>
      <c r="AC97" s="653"/>
      <c r="AD97" s="40"/>
      <c r="AE97" s="630"/>
      <c r="AF97" s="653"/>
      <c r="AG97" s="40"/>
      <c r="AH97" s="630"/>
      <c r="AI97" s="653"/>
      <c r="AJ97" s="40"/>
      <c r="AK97" s="630"/>
      <c r="AL97" s="653"/>
      <c r="AM97" s="40"/>
      <c r="AN97" s="236"/>
      <c r="AO97" s="605"/>
      <c r="AP97" s="182"/>
      <c r="AQ97" s="236"/>
      <c r="AR97" s="605"/>
      <c r="AS97" s="56"/>
      <c r="AT97" s="236"/>
      <c r="AU97" s="605"/>
      <c r="AV97" s="159"/>
      <c r="AW97" s="236"/>
      <c r="AX97" s="1127"/>
      <c r="AY97" s="56"/>
      <c r="AZ97" s="236"/>
      <c r="BA97" s="605"/>
      <c r="BB97" s="56"/>
      <c r="BC97" s="236"/>
      <c r="BD97" s="605"/>
      <c r="BE97" s="56"/>
      <c r="BF97" s="236"/>
      <c r="BG97" s="605"/>
      <c r="BH97" s="56"/>
      <c r="BI97" s="236"/>
      <c r="BJ97" s="605"/>
      <c r="BK97"/>
    </row>
    <row r="98" spans="1:63" s="33" customFormat="1">
      <c r="A98" s="33" t="s">
        <v>920</v>
      </c>
      <c r="B98" s="103"/>
      <c r="C98" s="103"/>
      <c r="D98" s="103"/>
      <c r="E98" s="103"/>
      <c r="F98" s="103"/>
      <c r="G98" s="103"/>
      <c r="H98" s="103"/>
      <c r="I98" s="103"/>
      <c r="J98" s="103"/>
      <c r="K98" s="103"/>
      <c r="L98" s="50"/>
      <c r="M98" s="50"/>
      <c r="N98" s="50"/>
      <c r="O98" s="50"/>
      <c r="P98" s="50"/>
      <c r="Q98" s="50"/>
      <c r="R98" s="103"/>
      <c r="S98" s="637"/>
      <c r="T98" s="660"/>
      <c r="U98" s="103">
        <f t="shared" ref="U98:BJ98" si="286">U87/U95</f>
        <v>0.6785714285714286</v>
      </c>
      <c r="V98" s="637">
        <f t="shared" si="286"/>
        <v>0.73066666666666669</v>
      </c>
      <c r="W98" s="660">
        <f t="shared" si="286"/>
        <v>0.70717423133235724</v>
      </c>
      <c r="X98" s="103">
        <f t="shared" si="286"/>
        <v>0.70958904109589038</v>
      </c>
      <c r="Y98" s="637">
        <f t="shared" si="286"/>
        <v>0.65420560747663548</v>
      </c>
      <c r="Z98" s="660">
        <f t="shared" si="286"/>
        <v>0.68367346938775508</v>
      </c>
      <c r="AA98" s="103">
        <f t="shared" si="286"/>
        <v>0.69647696476964771</v>
      </c>
      <c r="AB98" s="637">
        <f t="shared" si="286"/>
        <v>0.70277777777777772</v>
      </c>
      <c r="AC98" s="660">
        <f t="shared" si="286"/>
        <v>0.69958847736625518</v>
      </c>
      <c r="AD98" s="103">
        <f t="shared" si="286"/>
        <v>0.5708333333333333</v>
      </c>
      <c r="AE98" s="637">
        <f t="shared" si="286"/>
        <v>0.61057692307692313</v>
      </c>
      <c r="AF98" s="660">
        <f t="shared" si="286"/>
        <v>0.5892857142857143</v>
      </c>
      <c r="AG98" s="103">
        <f t="shared" si="286"/>
        <v>0.67567567567567566</v>
      </c>
      <c r="AH98" s="637">
        <f t="shared" si="286"/>
        <v>0.59006211180124224</v>
      </c>
      <c r="AI98" s="660">
        <f t="shared" si="286"/>
        <v>0.6310679611650486</v>
      </c>
      <c r="AJ98" s="103">
        <f t="shared" si="286"/>
        <v>0.52348993288590606</v>
      </c>
      <c r="AK98" s="637">
        <f t="shared" si="286"/>
        <v>0.5436893203883495</v>
      </c>
      <c r="AL98" s="660">
        <f t="shared" si="286"/>
        <v>0.53521126760563376</v>
      </c>
      <c r="AM98" s="103">
        <f t="shared" si="286"/>
        <v>0.61170212765957444</v>
      </c>
      <c r="AN98" s="637">
        <f t="shared" si="286"/>
        <v>0.5444444444444444</v>
      </c>
      <c r="AO98" s="660">
        <f t="shared" si="286"/>
        <v>0.57205240174672489</v>
      </c>
      <c r="AP98" s="103">
        <f t="shared" ref="AP98:AR98" si="287">AP87/AP95</f>
        <v>0.50847457627118642</v>
      </c>
      <c r="AQ98" s="637">
        <f t="shared" si="287"/>
        <v>0.53924914675767921</v>
      </c>
      <c r="AR98" s="660">
        <f t="shared" si="287"/>
        <v>0.52551984877126656</v>
      </c>
      <c r="AS98" s="103">
        <f t="shared" ref="AS98" si="288">AS87/AS95</f>
        <v>0.51476793248945152</v>
      </c>
      <c r="AT98" s="637">
        <f t="shared" si="286"/>
        <v>0.55691056910569103</v>
      </c>
      <c r="AU98" s="660">
        <f t="shared" si="286"/>
        <v>0.53623188405797106</v>
      </c>
      <c r="AV98" s="103">
        <f t="shared" si="286"/>
        <v>0.56272401433691754</v>
      </c>
      <c r="AW98" s="754">
        <f t="shared" si="286"/>
        <v>0.54882880428834446</v>
      </c>
      <c r="AX98" s="767">
        <f t="shared" si="286"/>
        <v>0.55571830471240558</v>
      </c>
      <c r="AY98" s="464">
        <f t="shared" si="286"/>
        <v>0.57092415332836854</v>
      </c>
      <c r="AZ98" s="754">
        <f t="shared" si="286"/>
        <v>0.57755972484278972</v>
      </c>
      <c r="BA98" s="767">
        <f t="shared" si="286"/>
        <v>0.57426779344593371</v>
      </c>
      <c r="BB98" s="464">
        <f t="shared" si="286"/>
        <v>0.57442581260430747</v>
      </c>
      <c r="BC98" s="754">
        <f t="shared" si="286"/>
        <v>0.58195633505946021</v>
      </c>
      <c r="BD98" s="767">
        <f t="shared" si="286"/>
        <v>0.57822468429205287</v>
      </c>
      <c r="BE98" s="464">
        <f t="shared" si="286"/>
        <v>0.58164410202707761</v>
      </c>
      <c r="BF98" s="754">
        <f t="shared" si="286"/>
        <v>0.58022065997848438</v>
      </c>
      <c r="BG98" s="767">
        <f t="shared" si="286"/>
        <v>0.58093358974999376</v>
      </c>
      <c r="BH98" s="464">
        <f t="shared" si="286"/>
        <v>0.57986886663304271</v>
      </c>
      <c r="BI98" s="754">
        <f t="shared" si="286"/>
        <v>0.56123805462890974</v>
      </c>
      <c r="BJ98" s="767">
        <f t="shared" si="286"/>
        <v>0.57075552720045153</v>
      </c>
      <c r="BK98" s="324">
        <f>AVERAGE(AL98:AR98)</f>
        <v>0.54809340189378708</v>
      </c>
    </row>
    <row r="99" spans="1:63" s="33" customFormat="1">
      <c r="A99" s="33" t="s">
        <v>515</v>
      </c>
      <c r="B99" s="103"/>
      <c r="C99" s="103"/>
      <c r="D99" s="103"/>
      <c r="E99" s="103"/>
      <c r="F99" s="103"/>
      <c r="G99" s="103"/>
      <c r="H99" s="103"/>
      <c r="I99" s="103"/>
      <c r="J99" s="103"/>
      <c r="K99" s="103"/>
      <c r="L99" s="50"/>
      <c r="M99" s="50"/>
      <c r="N99" s="50"/>
      <c r="O99" s="50"/>
      <c r="P99" s="50"/>
      <c r="Q99" s="50"/>
      <c r="R99" s="103"/>
      <c r="S99" s="637"/>
      <c r="T99" s="660"/>
      <c r="U99" s="103">
        <f t="shared" ref="U99:V99" si="289">1-U98</f>
        <v>0.3214285714285714</v>
      </c>
      <c r="V99" s="637">
        <f t="shared" si="289"/>
        <v>0.26933333333333331</v>
      </c>
      <c r="W99" s="660">
        <f t="shared" ref="W99:AL99" si="290">1-W98</f>
        <v>0.29282576866764276</v>
      </c>
      <c r="X99" s="103">
        <f t="shared" si="290"/>
        <v>0.29041095890410962</v>
      </c>
      <c r="Y99" s="637">
        <f t="shared" si="290"/>
        <v>0.34579439252336452</v>
      </c>
      <c r="Z99" s="660">
        <f t="shared" si="290"/>
        <v>0.31632653061224492</v>
      </c>
      <c r="AA99" s="103">
        <f t="shared" ref="AA99:AB99" si="291">1-AA98</f>
        <v>0.30352303523035229</v>
      </c>
      <c r="AB99" s="637">
        <f t="shared" si="291"/>
        <v>0.29722222222222228</v>
      </c>
      <c r="AC99" s="660">
        <f t="shared" si="290"/>
        <v>0.30041152263374482</v>
      </c>
      <c r="AD99" s="103">
        <f t="shared" si="290"/>
        <v>0.4291666666666667</v>
      </c>
      <c r="AE99" s="637">
        <f t="shared" si="290"/>
        <v>0.38942307692307687</v>
      </c>
      <c r="AF99" s="660">
        <f t="shared" si="290"/>
        <v>0.4107142857142857</v>
      </c>
      <c r="AG99" s="103">
        <f t="shared" ref="AG99:AH99" si="292">1-AG98</f>
        <v>0.32432432432432434</v>
      </c>
      <c r="AH99" s="637">
        <f t="shared" si="292"/>
        <v>0.40993788819875776</v>
      </c>
      <c r="AI99" s="660">
        <f t="shared" si="290"/>
        <v>0.3689320388349514</v>
      </c>
      <c r="AJ99" s="103">
        <f t="shared" si="290"/>
        <v>0.47651006711409394</v>
      </c>
      <c r="AK99" s="637">
        <f t="shared" ref="AK99" si="293">1-AK98</f>
        <v>0.4563106796116505</v>
      </c>
      <c r="AL99" s="660">
        <f t="shared" si="290"/>
        <v>0.46478873239436624</v>
      </c>
      <c r="AM99" s="103">
        <f t="shared" ref="AM99:AO99" si="294">1-AM98</f>
        <v>0.38829787234042556</v>
      </c>
      <c r="AN99" s="637">
        <f t="shared" si="294"/>
        <v>0.4555555555555556</v>
      </c>
      <c r="AO99" s="660">
        <f t="shared" si="294"/>
        <v>0.42794759825327511</v>
      </c>
      <c r="AP99" s="103">
        <f t="shared" ref="AP99:AR99" si="295">1-AP98</f>
        <v>0.49152542372881358</v>
      </c>
      <c r="AQ99" s="637">
        <f t="shared" si="295"/>
        <v>0.46075085324232079</v>
      </c>
      <c r="AR99" s="660">
        <f t="shared" si="295"/>
        <v>0.47448015122873344</v>
      </c>
      <c r="AS99" s="103">
        <f t="shared" ref="AS99" si="296">1-AS98</f>
        <v>0.48523206751054848</v>
      </c>
      <c r="AT99" s="931">
        <f t="shared" ref="AT99:BJ99" si="297">1-AT98</f>
        <v>0.44308943089430897</v>
      </c>
      <c r="AU99" s="660">
        <f t="shared" si="297"/>
        <v>0.46376811594202894</v>
      </c>
      <c r="AV99" s="103">
        <f t="shared" si="297"/>
        <v>0.43727598566308246</v>
      </c>
      <c r="AW99" s="752">
        <f t="shared" si="297"/>
        <v>0.45117119571165554</v>
      </c>
      <c r="AX99" s="765">
        <f t="shared" si="297"/>
        <v>0.44428169528759442</v>
      </c>
      <c r="AY99" s="324">
        <f t="shared" si="297"/>
        <v>0.42907584667163146</v>
      </c>
      <c r="AZ99" s="752">
        <f t="shared" si="297"/>
        <v>0.42244027515721028</v>
      </c>
      <c r="BA99" s="765">
        <f t="shared" si="297"/>
        <v>0.42573220655406629</v>
      </c>
      <c r="BB99" s="324">
        <f t="shared" si="297"/>
        <v>0.42557418739569253</v>
      </c>
      <c r="BC99" s="752">
        <f t="shared" si="297"/>
        <v>0.41804366494053979</v>
      </c>
      <c r="BD99" s="765">
        <f t="shared" si="297"/>
        <v>0.42177531570794713</v>
      </c>
      <c r="BE99" s="324">
        <f t="shared" si="297"/>
        <v>0.41835589797292239</v>
      </c>
      <c r="BF99" s="752">
        <f t="shared" si="297"/>
        <v>0.41977934002151562</v>
      </c>
      <c r="BG99" s="765">
        <f t="shared" si="297"/>
        <v>0.41906641025000624</v>
      </c>
      <c r="BH99" s="324">
        <f t="shared" si="297"/>
        <v>0.42013113336695729</v>
      </c>
      <c r="BI99" s="752">
        <f t="shared" si="297"/>
        <v>0.43876194537109026</v>
      </c>
      <c r="BJ99" s="765">
        <f t="shared" si="297"/>
        <v>0.42924447279954847</v>
      </c>
      <c r="BK99" s="169"/>
    </row>
    <row r="100" spans="1:63">
      <c r="B100" s="40"/>
      <c r="C100" s="40"/>
      <c r="D100" s="40"/>
      <c r="E100" s="40"/>
      <c r="F100" s="40"/>
      <c r="G100" s="40"/>
      <c r="H100" s="40"/>
      <c r="I100" s="40"/>
      <c r="J100" s="40"/>
      <c r="K100" s="40"/>
      <c r="L100" s="50"/>
      <c r="M100" s="50"/>
      <c r="N100" s="50"/>
      <c r="O100" s="50"/>
      <c r="P100" s="50"/>
      <c r="Q100" s="50"/>
      <c r="R100" s="40"/>
      <c r="S100" s="630"/>
      <c r="T100" s="653"/>
      <c r="U100" s="40"/>
      <c r="V100" s="630"/>
      <c r="W100" s="653"/>
      <c r="X100" s="40"/>
      <c r="Y100" s="630"/>
      <c r="Z100" s="653"/>
      <c r="AA100" s="40"/>
      <c r="AB100" s="630"/>
      <c r="AC100" s="653"/>
      <c r="AD100" s="40"/>
      <c r="AE100" s="630"/>
      <c r="AF100" s="653"/>
      <c r="AG100" s="40"/>
      <c r="AH100" s="630"/>
      <c r="AI100" s="653"/>
      <c r="AJ100" s="40"/>
      <c r="AK100" s="630"/>
      <c r="AL100" s="653"/>
      <c r="AM100" s="40"/>
      <c r="AN100" s="236"/>
      <c r="AO100" s="605"/>
      <c r="AP100" s="56"/>
      <c r="AQ100" s="236"/>
      <c r="AR100" s="605"/>
      <c r="AS100" s="56"/>
      <c r="AT100" s="236"/>
      <c r="AU100" s="605"/>
      <c r="AV100" s="56"/>
      <c r="AW100" s="236"/>
      <c r="AX100" s="605"/>
      <c r="AY100" s="56"/>
      <c r="AZ100" s="236"/>
      <c r="BA100" s="605"/>
      <c r="BB100" s="56"/>
      <c r="BC100" s="236"/>
      <c r="BD100" s="605"/>
      <c r="BE100" s="56"/>
      <c r="BF100" s="236"/>
      <c r="BG100" s="605"/>
      <c r="BH100" s="56"/>
      <c r="BI100" s="236"/>
      <c r="BJ100" s="605"/>
      <c r="BK100"/>
    </row>
    <row r="101" spans="1:63">
      <c r="B101" s="40"/>
      <c r="C101" s="40"/>
      <c r="D101" s="40"/>
      <c r="E101" s="40"/>
      <c r="F101" s="40"/>
      <c r="G101" s="40"/>
      <c r="H101" s="40"/>
      <c r="I101" s="40"/>
      <c r="J101" s="40"/>
      <c r="K101" s="40"/>
      <c r="L101" s="50"/>
      <c r="M101" s="50"/>
      <c r="N101" s="50"/>
      <c r="O101" s="50"/>
      <c r="P101" s="50"/>
      <c r="Q101" s="50"/>
      <c r="R101" s="40"/>
      <c r="S101" s="630"/>
      <c r="T101" s="653"/>
      <c r="U101" s="40"/>
      <c r="V101" s="630"/>
      <c r="W101" s="653"/>
      <c r="X101" s="40"/>
      <c r="Y101" s="630"/>
      <c r="Z101" s="653"/>
      <c r="AA101" s="40"/>
      <c r="AB101" s="630"/>
      <c r="AC101" s="653"/>
      <c r="AD101" s="40"/>
      <c r="AE101" s="630"/>
      <c r="AF101" s="653"/>
      <c r="AG101" s="40"/>
      <c r="AH101" s="630"/>
      <c r="AI101" s="653"/>
      <c r="AJ101" s="40"/>
      <c r="AK101" s="630"/>
      <c r="AL101" s="653"/>
      <c r="AM101" s="40"/>
      <c r="AN101" s="236"/>
      <c r="AO101" s="605"/>
      <c r="AP101" s="56"/>
      <c r="AQ101" s="236"/>
      <c r="AR101" s="605"/>
      <c r="AS101" s="56"/>
      <c r="AT101" s="236"/>
      <c r="AU101" s="605"/>
      <c r="AV101" s="56"/>
      <c r="AW101" s="236"/>
      <c r="AX101" s="605"/>
      <c r="AY101" s="56"/>
      <c r="AZ101" s="236"/>
      <c r="BA101" s="605"/>
      <c r="BB101" s="56"/>
      <c r="BC101" s="236"/>
      <c r="BD101" s="605"/>
      <c r="BE101" s="56"/>
      <c r="BF101" s="236"/>
      <c r="BG101" s="605"/>
      <c r="BH101" s="56"/>
      <c r="BI101" s="236"/>
      <c r="BJ101" s="605"/>
      <c r="BK101"/>
    </row>
    <row r="102" spans="1:63">
      <c r="A102" s="310" t="s">
        <v>1054</v>
      </c>
      <c r="B102" s="318"/>
      <c r="C102" s="318"/>
      <c r="D102" s="318"/>
      <c r="E102" s="318"/>
      <c r="F102" s="318"/>
      <c r="G102" s="318"/>
      <c r="H102" s="318"/>
      <c r="I102" s="318"/>
      <c r="J102" s="318"/>
      <c r="K102" s="318"/>
      <c r="L102" s="318"/>
      <c r="M102" s="318"/>
      <c r="N102" s="318"/>
      <c r="O102" s="318"/>
      <c r="P102" s="318"/>
      <c r="Q102" s="318"/>
      <c r="R102" s="527"/>
      <c r="S102" s="320"/>
      <c r="T102" s="664"/>
      <c r="U102" s="527"/>
      <c r="V102" s="320"/>
      <c r="W102" s="664"/>
      <c r="X102" s="527"/>
      <c r="Y102" s="320"/>
      <c r="Z102" s="664"/>
      <c r="AA102" s="527"/>
      <c r="AB102" s="320"/>
      <c r="AC102" s="664"/>
      <c r="AD102" s="527"/>
      <c r="AE102" s="320"/>
      <c r="AF102" s="664"/>
      <c r="AG102" s="527"/>
      <c r="AH102" s="320"/>
      <c r="AI102" s="664"/>
      <c r="AJ102" s="527"/>
      <c r="AK102" s="320"/>
      <c r="AL102" s="664"/>
      <c r="AM102" s="527"/>
      <c r="AN102" s="320"/>
      <c r="AO102" s="664"/>
      <c r="AP102" s="527"/>
      <c r="AQ102" s="320"/>
      <c r="AR102" s="664"/>
      <c r="AS102" s="527"/>
      <c r="AT102" s="320"/>
      <c r="AU102" s="664"/>
      <c r="AV102" s="527"/>
      <c r="AW102" s="215"/>
      <c r="AX102" s="574"/>
      <c r="AY102" s="179"/>
      <c r="AZ102" s="215"/>
      <c r="BA102" s="574"/>
      <c r="BB102" s="179"/>
      <c r="BC102" s="215"/>
      <c r="BD102" s="574"/>
      <c r="BE102" s="179"/>
      <c r="BF102" s="215"/>
      <c r="BG102" s="574"/>
      <c r="BH102" s="179"/>
      <c r="BI102" s="215"/>
      <c r="BJ102" s="574"/>
      <c r="BK102"/>
    </row>
    <row r="103" spans="1:63">
      <c r="B103" s="40"/>
      <c r="C103" s="40"/>
      <c r="D103" s="40"/>
      <c r="E103" s="40"/>
      <c r="F103" s="40"/>
      <c r="G103" s="40"/>
      <c r="H103" s="40"/>
      <c r="I103" s="40"/>
      <c r="J103" s="40"/>
      <c r="K103" s="40"/>
      <c r="L103" s="50"/>
      <c r="M103" s="50"/>
      <c r="N103" s="50"/>
      <c r="O103" s="50"/>
      <c r="P103" s="50"/>
      <c r="Q103" s="50"/>
      <c r="R103" s="40"/>
      <c r="S103" s="630"/>
      <c r="T103" s="653"/>
      <c r="U103" s="40"/>
      <c r="V103" s="630"/>
      <c r="W103" s="653"/>
      <c r="X103" s="40"/>
      <c r="Y103" s="630"/>
      <c r="Z103" s="653"/>
      <c r="AA103" s="40"/>
      <c r="AB103" s="630"/>
      <c r="AC103" s="653"/>
      <c r="AD103" s="40"/>
      <c r="AE103" s="630"/>
      <c r="AF103" s="653"/>
      <c r="AG103" s="40"/>
      <c r="AH103" s="630"/>
      <c r="AI103" s="653"/>
      <c r="AJ103" s="40"/>
      <c r="AK103" s="630"/>
      <c r="AL103" s="653"/>
      <c r="AM103" s="40"/>
      <c r="AN103" s="236"/>
      <c r="AO103" s="605"/>
      <c r="AP103" s="56"/>
      <c r="AQ103" s="236"/>
      <c r="AR103" s="605"/>
      <c r="AS103" s="56"/>
      <c r="AT103" s="236"/>
      <c r="AU103" s="605"/>
      <c r="AV103" s="56"/>
      <c r="AW103" s="236"/>
      <c r="AX103" s="605"/>
      <c r="AY103" s="56"/>
      <c r="AZ103" s="236"/>
      <c r="BA103" s="605"/>
      <c r="BB103" s="56"/>
      <c r="BC103" s="236"/>
      <c r="BD103" s="605"/>
      <c r="BE103" s="56"/>
      <c r="BF103" s="236"/>
      <c r="BG103" s="605"/>
      <c r="BH103" s="56"/>
      <c r="BI103" s="236"/>
      <c r="BJ103" s="605"/>
      <c r="BK103"/>
    </row>
    <row r="104" spans="1:63">
      <c r="A104" s="25" t="str">
        <f>A82</f>
        <v>Trent 1000</v>
      </c>
      <c r="B104" s="40"/>
      <c r="C104" s="40"/>
      <c r="D104" s="40"/>
      <c r="E104" s="40"/>
      <c r="F104" s="40"/>
      <c r="G104" s="40"/>
      <c r="H104" s="40"/>
      <c r="I104" s="40"/>
      <c r="J104" s="40"/>
      <c r="K104" s="40"/>
      <c r="L104" s="50"/>
      <c r="M104" s="50"/>
      <c r="N104" s="50"/>
      <c r="O104" s="50"/>
      <c r="P104" s="50"/>
      <c r="Q104" s="50"/>
      <c r="R104" s="40"/>
      <c r="S104" s="630"/>
      <c r="T104" s="653"/>
      <c r="U104" s="40"/>
      <c r="V104" s="630"/>
      <c r="W104" s="653"/>
      <c r="X104" s="40"/>
      <c r="Y104" s="630"/>
      <c r="Z104" s="653"/>
      <c r="AA104" s="40"/>
      <c r="AB104" s="630"/>
      <c r="AC104" s="653">
        <v>30</v>
      </c>
      <c r="AD104" s="40"/>
      <c r="AE104" s="630"/>
      <c r="AF104" s="653">
        <v>31</v>
      </c>
      <c r="AG104" s="40"/>
      <c r="AH104" s="630"/>
      <c r="AI104" s="653">
        <v>31</v>
      </c>
      <c r="AJ104" s="40"/>
      <c r="AK104" s="630"/>
      <c r="AL104" s="653">
        <v>33</v>
      </c>
      <c r="AM104" s="40"/>
      <c r="AN104" s="236"/>
      <c r="AO104" s="556">
        <v>34</v>
      </c>
      <c r="AP104" s="10"/>
      <c r="AQ104" s="216"/>
      <c r="AR104" s="556">
        <v>36</v>
      </c>
      <c r="AS104" s="10"/>
      <c r="AT104" s="216"/>
      <c r="AU104" s="556">
        <v>37</v>
      </c>
      <c r="AV104" s="56"/>
      <c r="AW104" s="236"/>
      <c r="AX104" s="1081">
        <v>38</v>
      </c>
      <c r="AY104" s="56"/>
      <c r="AZ104" s="236"/>
      <c r="BA104" s="605">
        <f>AX104*(1+BA109)</f>
        <v>38.76</v>
      </c>
      <c r="BB104" s="56"/>
      <c r="BC104" s="236"/>
      <c r="BD104" s="605">
        <f>BA104*(1+BD109)</f>
        <v>39.535199999999996</v>
      </c>
      <c r="BE104" s="56"/>
      <c r="BF104" s="236"/>
      <c r="BG104" s="605">
        <f>BD104*(1+BG109)</f>
        <v>40.325903999999994</v>
      </c>
      <c r="BH104" s="56"/>
      <c r="BI104" s="236"/>
      <c r="BJ104" s="605">
        <f>BG104*(1+BJ109)</f>
        <v>41.132422079999998</v>
      </c>
      <c r="BK104"/>
    </row>
    <row r="105" spans="1:63">
      <c r="A105" s="25" t="str">
        <f t="shared" ref="A105:A107" si="298">A83</f>
        <v>Trent XWB-84</v>
      </c>
      <c r="B105" s="40"/>
      <c r="C105" s="40"/>
      <c r="D105" s="40"/>
      <c r="E105" s="40"/>
      <c r="F105" s="40"/>
      <c r="G105" s="40"/>
      <c r="H105" s="40"/>
      <c r="I105" s="40"/>
      <c r="J105" s="40"/>
      <c r="K105" s="40"/>
      <c r="L105" s="50"/>
      <c r="M105" s="50"/>
      <c r="N105" s="50"/>
      <c r="O105" s="50"/>
      <c r="P105" s="50"/>
      <c r="Q105" s="50"/>
      <c r="R105" s="40"/>
      <c r="S105" s="630"/>
      <c r="T105" s="653"/>
      <c r="U105" s="40"/>
      <c r="V105" s="630"/>
      <c r="W105" s="653"/>
      <c r="X105" s="40"/>
      <c r="Y105" s="630"/>
      <c r="Z105" s="653"/>
      <c r="AA105" s="40"/>
      <c r="AB105" s="630"/>
      <c r="AC105" s="653">
        <v>35</v>
      </c>
      <c r="AD105" s="40"/>
      <c r="AE105" s="630"/>
      <c r="AF105" s="653">
        <v>36</v>
      </c>
      <c r="AG105" s="40"/>
      <c r="AH105" s="630"/>
      <c r="AI105" s="653">
        <v>36</v>
      </c>
      <c r="AJ105" s="40"/>
      <c r="AK105" s="630"/>
      <c r="AL105" s="653">
        <v>38</v>
      </c>
      <c r="AM105" s="40"/>
      <c r="AN105" s="236"/>
      <c r="AO105" s="556">
        <v>40</v>
      </c>
      <c r="AP105" s="10"/>
      <c r="AQ105" s="216"/>
      <c r="AR105" s="556">
        <v>42</v>
      </c>
      <c r="AS105" s="10"/>
      <c r="AT105" s="216"/>
      <c r="AU105" s="556">
        <v>43</v>
      </c>
      <c r="AV105" s="56"/>
      <c r="AW105" s="236"/>
      <c r="AX105" s="1081">
        <v>44</v>
      </c>
      <c r="AY105" s="56"/>
      <c r="AZ105" s="236"/>
      <c r="BA105" s="605">
        <f>AX105*(1+BA109)</f>
        <v>44.88</v>
      </c>
      <c r="BB105" s="56"/>
      <c r="BC105" s="236"/>
      <c r="BD105" s="605">
        <f>BA105*(1+BD109)</f>
        <v>45.777600000000007</v>
      </c>
      <c r="BE105" s="56"/>
      <c r="BF105" s="236"/>
      <c r="BG105" s="605">
        <f>BD105*(1+BG109)</f>
        <v>46.693152000000005</v>
      </c>
      <c r="BH105" s="56"/>
      <c r="BI105" s="236"/>
      <c r="BJ105" s="605">
        <f>BG105*(1+BJ109)</f>
        <v>47.627015040000003</v>
      </c>
      <c r="BK105"/>
    </row>
    <row r="106" spans="1:63">
      <c r="A106" s="25" t="str">
        <f t="shared" si="298"/>
        <v>Trent XWB-97</v>
      </c>
      <c r="B106" s="40"/>
      <c r="C106" s="40"/>
      <c r="D106" s="40"/>
      <c r="E106" s="40"/>
      <c r="F106" s="40"/>
      <c r="G106" s="40"/>
      <c r="H106" s="40"/>
      <c r="I106" s="40"/>
      <c r="J106" s="40"/>
      <c r="K106" s="40"/>
      <c r="L106" s="50"/>
      <c r="M106" s="50"/>
      <c r="N106" s="50"/>
      <c r="O106" s="50"/>
      <c r="P106" s="50"/>
      <c r="Q106" s="50"/>
      <c r="R106" s="40"/>
      <c r="S106" s="630"/>
      <c r="T106" s="653"/>
      <c r="U106" s="40"/>
      <c r="V106" s="630"/>
      <c r="W106" s="653"/>
      <c r="X106" s="40"/>
      <c r="Y106" s="630"/>
      <c r="Z106" s="653"/>
      <c r="AA106" s="40"/>
      <c r="AB106" s="630"/>
      <c r="AC106" s="653">
        <v>39</v>
      </c>
      <c r="AD106" s="40"/>
      <c r="AE106" s="630"/>
      <c r="AF106" s="653">
        <v>40</v>
      </c>
      <c r="AG106" s="40"/>
      <c r="AH106" s="630"/>
      <c r="AI106" s="653">
        <v>41</v>
      </c>
      <c r="AJ106" s="40"/>
      <c r="AK106" s="630"/>
      <c r="AL106" s="653">
        <v>43</v>
      </c>
      <c r="AM106" s="40"/>
      <c r="AN106" s="236"/>
      <c r="AO106" s="556">
        <v>45</v>
      </c>
      <c r="AP106" s="10"/>
      <c r="AQ106" s="216"/>
      <c r="AR106" s="556">
        <v>46</v>
      </c>
      <c r="AS106" s="10"/>
      <c r="AT106" s="216"/>
      <c r="AU106" s="556">
        <v>48</v>
      </c>
      <c r="AV106" s="56"/>
      <c r="AW106" s="236"/>
      <c r="AX106" s="1081">
        <v>49</v>
      </c>
      <c r="AY106" s="56"/>
      <c r="AZ106" s="236"/>
      <c r="BA106" s="605">
        <f>AX106*(1+BA109)</f>
        <v>49.980000000000004</v>
      </c>
      <c r="BB106" s="56"/>
      <c r="BC106" s="236"/>
      <c r="BD106" s="605">
        <f>BA106*(1+BD109)</f>
        <v>50.979600000000005</v>
      </c>
      <c r="BE106" s="56"/>
      <c r="BF106" s="236"/>
      <c r="BG106" s="605">
        <f>BD106*(1+BG109)</f>
        <v>51.999192000000008</v>
      </c>
      <c r="BH106" s="56"/>
      <c r="BI106" s="236"/>
      <c r="BJ106" s="605">
        <f>BG106*(1+BJ109)</f>
        <v>53.039175840000006</v>
      </c>
      <c r="BK106"/>
    </row>
    <row r="107" spans="1:63">
      <c r="A107" s="25" t="str">
        <f t="shared" si="298"/>
        <v>Trent 7000</v>
      </c>
      <c r="B107" s="40"/>
      <c r="C107" s="40"/>
      <c r="D107" s="40"/>
      <c r="E107" s="40"/>
      <c r="F107" s="40"/>
      <c r="G107" s="40"/>
      <c r="H107" s="40"/>
      <c r="I107" s="40"/>
      <c r="J107" s="40"/>
      <c r="K107" s="40"/>
      <c r="L107" s="50"/>
      <c r="M107" s="50"/>
      <c r="N107" s="50"/>
      <c r="O107" s="50"/>
      <c r="P107" s="50"/>
      <c r="Q107" s="50"/>
      <c r="R107" s="40"/>
      <c r="S107" s="630"/>
      <c r="T107" s="653"/>
      <c r="U107" s="40"/>
      <c r="V107" s="630"/>
      <c r="W107" s="653"/>
      <c r="X107" s="40"/>
      <c r="Y107" s="630"/>
      <c r="Z107" s="653"/>
      <c r="AA107" s="40"/>
      <c r="AB107" s="630"/>
      <c r="AC107" s="653">
        <v>29</v>
      </c>
      <c r="AD107" s="40"/>
      <c r="AE107" s="630"/>
      <c r="AF107" s="653">
        <v>30</v>
      </c>
      <c r="AG107" s="40"/>
      <c r="AH107" s="630"/>
      <c r="AI107" s="653">
        <v>30</v>
      </c>
      <c r="AJ107" s="40"/>
      <c r="AK107" s="630"/>
      <c r="AL107" s="653">
        <v>32</v>
      </c>
      <c r="AM107" s="40"/>
      <c r="AN107" s="236"/>
      <c r="AO107" s="556">
        <v>33</v>
      </c>
      <c r="AP107" s="10"/>
      <c r="AQ107" s="216"/>
      <c r="AR107" s="556">
        <v>34</v>
      </c>
      <c r="AS107" s="10"/>
      <c r="AT107" s="216"/>
      <c r="AU107" s="556">
        <v>36</v>
      </c>
      <c r="AV107" s="56"/>
      <c r="AW107" s="236"/>
      <c r="AX107" s="1081">
        <v>37</v>
      </c>
      <c r="AY107" s="56"/>
      <c r="AZ107" s="236"/>
      <c r="BA107" s="605">
        <f>AX107*(1+BA109)</f>
        <v>37.74</v>
      </c>
      <c r="BB107" s="56"/>
      <c r="BC107" s="236"/>
      <c r="BD107" s="605">
        <f>BA107*(1+BD109)</f>
        <v>38.494800000000005</v>
      </c>
      <c r="BE107" s="56"/>
      <c r="BF107" s="236"/>
      <c r="BG107" s="605">
        <f>BD107*(1+BG109)</f>
        <v>39.264696000000008</v>
      </c>
      <c r="BH107" s="56"/>
      <c r="BI107" s="236"/>
      <c r="BJ107" s="605">
        <f>BG107*(1+BJ109)</f>
        <v>40.049989920000009</v>
      </c>
      <c r="BK107"/>
    </row>
    <row r="108" spans="1:63">
      <c r="B108" s="40"/>
      <c r="C108" s="40"/>
      <c r="D108" s="40"/>
      <c r="E108" s="40"/>
      <c r="F108" s="40"/>
      <c r="G108" s="40"/>
      <c r="H108" s="40"/>
      <c r="I108" s="40"/>
      <c r="J108" s="40"/>
      <c r="K108" s="40"/>
      <c r="L108" s="50"/>
      <c r="M108" s="50"/>
      <c r="N108" s="50"/>
      <c r="O108" s="50"/>
      <c r="P108" s="50"/>
      <c r="Q108" s="50"/>
      <c r="R108" s="40"/>
      <c r="S108" s="630"/>
      <c r="T108" s="653"/>
      <c r="U108" s="40"/>
      <c r="V108" s="630"/>
      <c r="W108" s="653"/>
      <c r="X108" s="40"/>
      <c r="Y108" s="630"/>
      <c r="Z108" s="653"/>
      <c r="AA108" s="40"/>
      <c r="AB108" s="630"/>
      <c r="AC108" s="653"/>
      <c r="AD108" s="40"/>
      <c r="AE108" s="630"/>
      <c r="AF108" s="653"/>
      <c r="AG108" s="40"/>
      <c r="AH108" s="630"/>
      <c r="AI108" s="653"/>
      <c r="AJ108" s="40"/>
      <c r="AK108" s="630"/>
      <c r="AL108" s="653"/>
      <c r="AM108" s="40"/>
      <c r="AN108" s="236"/>
      <c r="AO108" s="605"/>
      <c r="AP108" s="56"/>
      <c r="AQ108" s="236"/>
      <c r="AR108" s="605"/>
      <c r="AS108" s="56"/>
      <c r="AT108" s="236"/>
      <c r="AU108" s="605"/>
      <c r="AV108" s="56"/>
      <c r="AW108" s="236"/>
      <c r="AX108" s="605"/>
      <c r="AY108" s="56"/>
      <c r="AZ108" s="236"/>
      <c r="BA108" s="605"/>
      <c r="BB108" s="56"/>
      <c r="BC108" s="236"/>
      <c r="BD108" s="605"/>
      <c r="BE108" s="56"/>
      <c r="BF108" s="236"/>
      <c r="BG108" s="605"/>
      <c r="BH108" s="56"/>
      <c r="BI108" s="236"/>
      <c r="BJ108" s="605"/>
      <c r="BK108"/>
    </row>
    <row r="109" spans="1:63">
      <c r="A109" s="40" t="s">
        <v>644</v>
      </c>
      <c r="B109" s="40"/>
      <c r="C109" s="40"/>
      <c r="D109" s="40"/>
      <c r="E109" s="40"/>
      <c r="F109" s="40"/>
      <c r="G109" s="40"/>
      <c r="H109" s="40"/>
      <c r="I109" s="40"/>
      <c r="J109" s="40"/>
      <c r="K109" s="40"/>
      <c r="L109" s="50"/>
      <c r="M109" s="50"/>
      <c r="N109" s="50"/>
      <c r="O109" s="50"/>
      <c r="P109" s="50"/>
      <c r="Q109" s="50"/>
      <c r="R109" s="40"/>
      <c r="S109" s="630"/>
      <c r="T109" s="653"/>
      <c r="U109" s="40"/>
      <c r="V109" s="630"/>
      <c r="W109" s="653"/>
      <c r="X109" s="40"/>
      <c r="Y109" s="630"/>
      <c r="Z109" s="653"/>
      <c r="AA109" s="40"/>
      <c r="AB109" s="630"/>
      <c r="AC109" s="653"/>
      <c r="AD109" s="40"/>
      <c r="AE109" s="630"/>
      <c r="AF109" s="671">
        <f>AVERAGE((AF104/AC104-1),(AF105/AC105-1),(AF106/AC106-1),(AF107/AC107-1))</f>
        <v>3.0507136541619295E-2</v>
      </c>
      <c r="AG109" s="40"/>
      <c r="AH109" s="630"/>
      <c r="AI109" s="671">
        <f>AVERAGE((AI104/AF104-1),(AI105/AF105-1),(AI106/AF106-1),(AI107/AF107-1))</f>
        <v>6.2499999999999778E-3</v>
      </c>
      <c r="AJ109" s="40"/>
      <c r="AK109" s="630"/>
      <c r="AL109" s="671">
        <f>AVERAGE((AL104/AI104-1),(AL105/AI105-1),(AL106/AI106-1),(AL107/AI107-1))</f>
        <v>5.8879709764839583E-2</v>
      </c>
      <c r="AM109" s="40"/>
      <c r="AN109" s="236"/>
      <c r="AO109" s="671">
        <f>AVERAGE((AO104/AL104-1),(AO105/AL105-1),(AO106/AL106-1),(AO107/AL107-1))</f>
        <v>4.0174059289343866E-2</v>
      </c>
      <c r="AP109" s="56"/>
      <c r="AQ109" s="236"/>
      <c r="AR109" s="671">
        <f>AVERAGE((AR104/AO104-1),(AR105/AO105-1),(AR106/AO106-1),(AR107/AO107-1))</f>
        <v>4.0337195484254296E-2</v>
      </c>
      <c r="AS109" s="56"/>
      <c r="AT109" s="236"/>
      <c r="AU109" s="671">
        <f>AVERAGE((AU104/AR104-1),(AU105/AR105-1),(AU106/AR106-1),(AU107/AR107-1))</f>
        <v>3.8472272967157828E-2</v>
      </c>
      <c r="AV109" s="56"/>
      <c r="AW109" s="236"/>
      <c r="AX109" s="623">
        <f>AVERAGE((AX104/AU104-1),(AX105/AU105-1),(AX106/AU106-1),(AX107/AU107-1))</f>
        <v>2.4723488022906581E-2</v>
      </c>
      <c r="AY109" s="56"/>
      <c r="AZ109" s="236"/>
      <c r="BA109" s="837">
        <v>0.02</v>
      </c>
      <c r="BB109" s="56"/>
      <c r="BC109" s="236"/>
      <c r="BD109" s="837">
        <v>0.02</v>
      </c>
      <c r="BE109" s="56"/>
      <c r="BF109" s="236"/>
      <c r="BG109" s="837">
        <v>0.02</v>
      </c>
      <c r="BH109" s="56"/>
      <c r="BI109" s="236"/>
      <c r="BJ109" s="837">
        <v>0.02</v>
      </c>
      <c r="BK109"/>
    </row>
    <row r="110" spans="1:63">
      <c r="B110" s="40"/>
      <c r="C110" s="40"/>
      <c r="D110" s="40"/>
      <c r="E110" s="40"/>
      <c r="F110" s="40"/>
      <c r="G110" s="40"/>
      <c r="H110" s="40"/>
      <c r="I110" s="40"/>
      <c r="J110" s="40"/>
      <c r="K110" s="40"/>
      <c r="L110" s="50"/>
      <c r="M110" s="50"/>
      <c r="N110" s="50"/>
      <c r="O110" s="50"/>
      <c r="P110" s="50"/>
      <c r="Q110" s="50"/>
      <c r="R110" s="40"/>
      <c r="S110" s="630"/>
      <c r="T110" s="653"/>
      <c r="U110" s="40"/>
      <c r="V110" s="630"/>
      <c r="W110" s="653"/>
      <c r="X110" s="40"/>
      <c r="Y110" s="630"/>
      <c r="Z110" s="653"/>
      <c r="AA110" s="40"/>
      <c r="AB110" s="630"/>
      <c r="AC110" s="653"/>
      <c r="AD110" s="40"/>
      <c r="AE110" s="630"/>
      <c r="AF110" s="653"/>
      <c r="AG110" s="40"/>
      <c r="AH110" s="630"/>
      <c r="AI110" s="653"/>
      <c r="AJ110" s="40"/>
      <c r="AK110" s="630"/>
      <c r="AL110" s="653"/>
      <c r="AM110" s="40"/>
      <c r="AN110" s="236"/>
      <c r="AO110" s="605"/>
      <c r="AP110" s="56"/>
      <c r="AQ110" s="236"/>
      <c r="AR110" s="605"/>
      <c r="AS110" s="56"/>
      <c r="AT110" s="236"/>
      <c r="AU110" s="605"/>
      <c r="AV110" s="56"/>
      <c r="AW110" s="236"/>
      <c r="AX110" s="605"/>
      <c r="AY110" s="56"/>
      <c r="AZ110" s="236"/>
      <c r="BA110" s="605"/>
      <c r="BB110" s="56"/>
      <c r="BC110" s="236"/>
      <c r="BD110" s="605"/>
      <c r="BE110" s="56"/>
      <c r="BF110" s="236"/>
      <c r="BG110" s="605"/>
      <c r="BH110" s="56"/>
      <c r="BI110" s="236"/>
      <c r="BJ110" s="605"/>
      <c r="BK110"/>
    </row>
    <row r="111" spans="1:63" s="33" customFormat="1">
      <c r="A111" s="33" t="s">
        <v>1057</v>
      </c>
      <c r="B111" s="103"/>
      <c r="C111" s="103"/>
      <c r="D111" s="103"/>
      <c r="E111" s="103"/>
      <c r="F111" s="103"/>
      <c r="G111" s="103"/>
      <c r="H111" s="103"/>
      <c r="I111" s="103"/>
      <c r="J111" s="103"/>
      <c r="K111" s="103"/>
      <c r="L111" s="50"/>
      <c r="M111" s="50"/>
      <c r="N111" s="50"/>
      <c r="O111" s="50"/>
      <c r="P111" s="50"/>
      <c r="Q111" s="50"/>
      <c r="R111" s="103"/>
      <c r="S111" s="637"/>
      <c r="T111" s="660"/>
      <c r="U111" s="103"/>
      <c r="V111" s="637"/>
      <c r="W111" s="660"/>
      <c r="X111" s="103"/>
      <c r="Y111" s="637"/>
      <c r="Z111" s="660"/>
      <c r="AA111" s="103"/>
      <c r="AB111" s="637"/>
      <c r="AC111" s="660">
        <v>0.77500000000000002</v>
      </c>
      <c r="AD111" s="103"/>
      <c r="AE111" s="637"/>
      <c r="AF111" s="660">
        <v>0.77500000000000002</v>
      </c>
      <c r="AG111" s="103"/>
      <c r="AH111" s="637"/>
      <c r="AI111" s="660">
        <v>0.77500000000000002</v>
      </c>
      <c r="AJ111" s="103"/>
      <c r="AK111" s="637"/>
      <c r="AL111" s="660">
        <v>0.77500000000000002</v>
      </c>
      <c r="AM111" s="103"/>
      <c r="AN111" s="752"/>
      <c r="AO111" s="660">
        <v>0.77500000000000002</v>
      </c>
      <c r="AP111" s="324"/>
      <c r="AQ111" s="752"/>
      <c r="AR111" s="660">
        <v>0.77500000000000002</v>
      </c>
      <c r="AS111" s="324"/>
      <c r="AT111" s="752"/>
      <c r="AU111" s="660">
        <v>0.77500000000000002</v>
      </c>
      <c r="AV111" s="324"/>
      <c r="AW111" s="752"/>
      <c r="AX111" s="610">
        <v>0.77500000000000002</v>
      </c>
      <c r="AY111" s="324"/>
      <c r="AZ111" s="752"/>
      <c r="BA111" s="610">
        <v>0.77500000000000002</v>
      </c>
      <c r="BB111" s="324"/>
      <c r="BC111" s="752"/>
      <c r="BD111" s="610">
        <v>0.77500000000000002</v>
      </c>
      <c r="BE111" s="324"/>
      <c r="BF111" s="752"/>
      <c r="BG111" s="610">
        <v>0.77500000000000002</v>
      </c>
      <c r="BH111" s="324"/>
      <c r="BI111" s="752"/>
      <c r="BJ111" s="610">
        <v>0.77500000000000002</v>
      </c>
      <c r="BK111" s="169"/>
    </row>
    <row r="112" spans="1:63" s="33" customFormat="1">
      <c r="A112" s="33" t="s">
        <v>1056</v>
      </c>
      <c r="B112" s="103"/>
      <c r="C112" s="103"/>
      <c r="D112" s="103"/>
      <c r="E112" s="103"/>
      <c r="F112" s="103"/>
      <c r="G112" s="103"/>
      <c r="H112" s="103"/>
      <c r="I112" s="103"/>
      <c r="J112" s="103"/>
      <c r="K112" s="103"/>
      <c r="L112" s="50"/>
      <c r="M112" s="50"/>
      <c r="N112" s="50"/>
      <c r="O112" s="50"/>
      <c r="P112" s="50"/>
      <c r="Q112" s="50"/>
      <c r="R112" s="103"/>
      <c r="S112" s="637"/>
      <c r="T112" s="660"/>
      <c r="U112" s="103"/>
      <c r="V112" s="637"/>
      <c r="W112" s="660"/>
      <c r="X112" s="103"/>
      <c r="Y112" s="637"/>
      <c r="Z112" s="660"/>
      <c r="AA112" s="103"/>
      <c r="AB112" s="637"/>
      <c r="AC112" s="660">
        <f>(AVERAGE(AC104:AC107)/(AC60*AC68))-1</f>
        <v>0.55228758169934622</v>
      </c>
      <c r="AD112" s="103"/>
      <c r="AE112" s="637"/>
      <c r="AF112" s="660">
        <f>(AVERAGE(AF104:AF107)/(AF60*AF68))-1</f>
        <v>0.40830592105263164</v>
      </c>
      <c r="AG112" s="103"/>
      <c r="AH112" s="637"/>
      <c r="AI112" s="660">
        <f>(AVERAGE(AI104:AI107)/(AI60*AI68))-1</f>
        <v>0.42798013245033117</v>
      </c>
      <c r="AJ112" s="103"/>
      <c r="AK112" s="637"/>
      <c r="AL112" s="660">
        <f>(AVERAGE(AL104:AL107)/(AL60*AL68))-1</f>
        <v>0.52083333333333326</v>
      </c>
      <c r="AM112" s="103"/>
      <c r="AN112" s="752"/>
      <c r="AO112" s="660">
        <f>(AVERAGE(AO104:AO107)/(AO60*AO68))-1</f>
        <v>0.49019607843137258</v>
      </c>
      <c r="AP112" s="324"/>
      <c r="AQ112" s="752"/>
      <c r="AR112" s="660">
        <f>(AVERAGE(AR104:AR107)/(AR60*AR68))-1</f>
        <v>0.48273273273273265</v>
      </c>
      <c r="AS112" s="324"/>
      <c r="AT112" s="752"/>
      <c r="AU112" s="660">
        <f>(AVERAGE(AU104:AU107)/(AU60*AU68))-1</f>
        <v>0.42361111111111116</v>
      </c>
      <c r="AV112" s="324"/>
      <c r="AW112" s="752"/>
      <c r="AX112" s="767">
        <f>(AVERAGE(AX104:AX107)/(AX60*AX68))-1</f>
        <v>0.21739130434782616</v>
      </c>
      <c r="AY112" s="324"/>
      <c r="AZ112" s="752"/>
      <c r="BA112" s="767">
        <f>(AVERAGE(BA104:BA107)/(BA60*BA68))-1</f>
        <v>0.24444444444444446</v>
      </c>
      <c r="BB112" s="324"/>
      <c r="BC112" s="752"/>
      <c r="BD112" s="767">
        <f>(AVERAGE(BD104:BD107)/(BD60*BD68))-1</f>
        <v>0.27272727272727271</v>
      </c>
      <c r="BE112" s="324"/>
      <c r="BF112" s="752"/>
      <c r="BG112" s="767">
        <f>(AVERAGE(BG104:BG107)/(BG60*BG68))-1</f>
        <v>0.27272727272727293</v>
      </c>
      <c r="BH112" s="324"/>
      <c r="BI112" s="752"/>
      <c r="BJ112" s="767">
        <f>(AVERAGE(BJ104:BJ107)/(BJ60*BJ68))-1</f>
        <v>0.27272727272727271</v>
      </c>
      <c r="BK112" s="169"/>
    </row>
    <row r="113" spans="1:63">
      <c r="B113" s="40"/>
      <c r="C113" s="40"/>
      <c r="D113" s="40"/>
      <c r="E113" s="40"/>
      <c r="F113" s="40"/>
      <c r="G113" s="40"/>
      <c r="H113" s="40"/>
      <c r="I113" s="40"/>
      <c r="J113" s="40"/>
      <c r="K113" s="40"/>
      <c r="L113" s="50"/>
      <c r="M113" s="50"/>
      <c r="N113" s="50"/>
      <c r="O113" s="50"/>
      <c r="P113" s="50"/>
      <c r="Q113" s="50"/>
      <c r="R113" s="40"/>
      <c r="S113" s="630"/>
      <c r="T113" s="653"/>
      <c r="U113" s="40"/>
      <c r="V113" s="630"/>
      <c r="W113" s="653"/>
      <c r="X113" s="40"/>
      <c r="Y113" s="630"/>
      <c r="Z113" s="653"/>
      <c r="AA113" s="40"/>
      <c r="AB113" s="630"/>
      <c r="AC113" s="653"/>
      <c r="AD113" s="40"/>
      <c r="AE113" s="630"/>
      <c r="AF113" s="653"/>
      <c r="AG113" s="40"/>
      <c r="AH113" s="630"/>
      <c r="AI113" s="653"/>
      <c r="AJ113" s="40"/>
      <c r="AK113" s="630"/>
      <c r="AL113" s="653"/>
      <c r="AM113" s="40"/>
      <c r="AN113" s="236"/>
      <c r="AO113" s="605"/>
      <c r="AP113" s="56"/>
      <c r="AQ113" s="236"/>
      <c r="AR113" s="605"/>
      <c r="AS113" s="56"/>
      <c r="AT113" s="236"/>
      <c r="AU113" s="605"/>
      <c r="AV113" s="56"/>
      <c r="AW113" s="236"/>
      <c r="AX113" s="605"/>
      <c r="AY113" s="56"/>
      <c r="AZ113" s="236"/>
      <c r="BA113" s="605"/>
      <c r="BB113" s="56"/>
      <c r="BC113" s="236"/>
      <c r="BD113" s="605"/>
      <c r="BE113" s="56"/>
      <c r="BF113" s="236"/>
      <c r="BG113" s="605"/>
      <c r="BH113" s="56"/>
      <c r="BI113" s="236"/>
      <c r="BJ113" s="605"/>
      <c r="BK113"/>
    </row>
    <row r="114" spans="1:63">
      <c r="A114" s="310" t="s">
        <v>991</v>
      </c>
      <c r="B114" s="318"/>
      <c r="C114" s="318"/>
      <c r="D114" s="318"/>
      <c r="E114" s="318"/>
      <c r="F114" s="318"/>
      <c r="G114" s="318"/>
      <c r="H114" s="318"/>
      <c r="I114" s="318"/>
      <c r="J114" s="318"/>
      <c r="K114" s="318"/>
      <c r="L114" s="318"/>
      <c r="M114" s="318"/>
      <c r="N114" s="318"/>
      <c r="O114" s="318"/>
      <c r="P114" s="318"/>
      <c r="Q114" s="318"/>
      <c r="R114" s="527"/>
      <c r="S114" s="320"/>
      <c r="T114" s="664"/>
      <c r="U114" s="527"/>
      <c r="V114" s="320"/>
      <c r="W114" s="664"/>
      <c r="X114" s="527"/>
      <c r="Y114" s="320"/>
      <c r="Z114" s="664"/>
      <c r="AA114" s="527"/>
      <c r="AB114" s="320"/>
      <c r="AC114" s="664"/>
      <c r="AD114" s="527"/>
      <c r="AE114" s="320"/>
      <c r="AF114" s="664"/>
      <c r="AG114" s="527"/>
      <c r="AH114" s="320"/>
      <c r="AI114" s="664"/>
      <c r="AJ114" s="527"/>
      <c r="AK114" s="320"/>
      <c r="AL114" s="664"/>
      <c r="AM114" s="527"/>
      <c r="AN114" s="320"/>
      <c r="AO114" s="664"/>
      <c r="AP114" s="527"/>
      <c r="AQ114" s="320"/>
      <c r="AR114" s="664"/>
      <c r="AS114" s="527"/>
      <c r="AT114" s="320"/>
      <c r="AU114" s="664"/>
      <c r="AV114" s="527"/>
      <c r="AW114" s="215"/>
      <c r="AX114" s="574"/>
      <c r="AY114" s="179"/>
      <c r="AZ114" s="215"/>
      <c r="BA114" s="574"/>
      <c r="BB114" s="179"/>
      <c r="BC114" s="215"/>
      <c r="BD114" s="574"/>
      <c r="BE114" s="179"/>
      <c r="BF114" s="215"/>
      <c r="BG114" s="574"/>
      <c r="BH114" s="179"/>
      <c r="BI114" s="215"/>
      <c r="BJ114" s="574"/>
      <c r="BK114"/>
    </row>
    <row r="115" spans="1:63">
      <c r="B115" s="40"/>
      <c r="C115" s="40"/>
      <c r="D115" s="40"/>
      <c r="E115" s="40"/>
      <c r="F115" s="40"/>
      <c r="G115" s="40"/>
      <c r="H115" s="40"/>
      <c r="I115" s="40"/>
      <c r="J115" s="40"/>
      <c r="K115" s="40"/>
      <c r="L115" s="50"/>
      <c r="M115" s="50"/>
      <c r="N115" s="50"/>
      <c r="O115" s="50"/>
      <c r="P115" s="50"/>
      <c r="Q115" s="50"/>
      <c r="R115" s="40"/>
      <c r="S115" s="630"/>
      <c r="T115" s="653"/>
      <c r="U115" s="40"/>
      <c r="V115" s="630"/>
      <c r="W115" s="653"/>
      <c r="X115" s="40"/>
      <c r="Y115" s="630"/>
      <c r="Z115" s="653"/>
      <c r="AA115" s="40"/>
      <c r="AB115" s="630"/>
      <c r="AC115" s="653"/>
      <c r="AD115" s="40"/>
      <c r="AE115" s="630"/>
      <c r="AF115" s="653"/>
      <c r="AG115" s="40"/>
      <c r="AH115" s="630"/>
      <c r="AI115" s="653"/>
      <c r="AJ115" s="40"/>
      <c r="AK115" s="630"/>
      <c r="AL115" s="653"/>
      <c r="AM115" s="40"/>
      <c r="AN115" s="236"/>
      <c r="AO115" s="605"/>
      <c r="AP115" s="56"/>
      <c r="AQ115" s="236"/>
      <c r="AR115" s="605"/>
      <c r="AS115" s="56"/>
      <c r="AT115" s="236"/>
      <c r="AU115" s="605"/>
      <c r="AV115" s="56"/>
      <c r="AW115" s="236"/>
      <c r="AX115" s="605"/>
      <c r="AY115" s="56"/>
      <c r="AZ115" s="236"/>
      <c r="BA115" s="605"/>
      <c r="BB115" s="56"/>
      <c r="BC115" s="236"/>
      <c r="BD115" s="605"/>
      <c r="BE115" s="56"/>
      <c r="BF115" s="236"/>
      <c r="BG115" s="605"/>
      <c r="BH115" s="56"/>
      <c r="BI115" s="236"/>
      <c r="BJ115" s="605"/>
      <c r="BK115"/>
    </row>
    <row r="116" spans="1:63">
      <c r="A116" s="25" t="str">
        <f>A82</f>
        <v>Trent 1000</v>
      </c>
      <c r="B116" s="40"/>
      <c r="C116" s="40"/>
      <c r="D116" s="40"/>
      <c r="E116" s="40"/>
      <c r="F116" s="40"/>
      <c r="G116" s="40"/>
      <c r="H116" s="40"/>
      <c r="I116" s="40"/>
      <c r="J116" s="40"/>
      <c r="K116" s="40"/>
      <c r="L116" s="50"/>
      <c r="M116" s="50"/>
      <c r="N116" s="50"/>
      <c r="O116" s="50"/>
      <c r="P116" s="50"/>
      <c r="Q116" s="50"/>
      <c r="R116" s="40"/>
      <c r="S116" s="630"/>
      <c r="T116" s="653"/>
      <c r="U116" s="40"/>
      <c r="V116" s="630"/>
      <c r="W116" s="653"/>
      <c r="X116" s="40"/>
      <c r="Y116" s="630"/>
      <c r="Z116" s="653"/>
      <c r="AA116" s="40"/>
      <c r="AB116" s="630"/>
      <c r="AC116" s="653"/>
      <c r="AD116" s="40"/>
      <c r="AE116" s="630"/>
      <c r="AF116" s="653"/>
      <c r="AG116" s="40"/>
      <c r="AH116" s="630"/>
      <c r="AI116" s="653"/>
      <c r="AJ116" s="40"/>
      <c r="AK116" s="630"/>
      <c r="AL116" s="653"/>
      <c r="AM116" s="40"/>
      <c r="AN116" s="236"/>
      <c r="AO116" s="605"/>
      <c r="AP116" s="56"/>
      <c r="AQ116" s="236"/>
      <c r="AR116" s="556">
        <f t="shared" ref="AR116:AS118" si="299">(AR82*AR122)</f>
        <v>9.4</v>
      </c>
      <c r="AS116" s="10">
        <f t="shared" si="299"/>
        <v>3.8000000000000003</v>
      </c>
      <c r="AT116" s="216">
        <f>AU116-AS116</f>
        <v>4.1999999999999993</v>
      </c>
      <c r="AU116" s="556">
        <f t="shared" ref="AU116:AV118" si="300">(AU82*AU122)</f>
        <v>8</v>
      </c>
      <c r="AV116" s="10">
        <f t="shared" si="300"/>
        <v>1.3499999999999999</v>
      </c>
      <c r="AW116" s="236">
        <f>AX116-AV116</f>
        <v>7.559090909090914</v>
      </c>
      <c r="AX116" s="605">
        <f>(AX182/(1-AX122))-AX182</f>
        <v>8.9090909090909136</v>
      </c>
      <c r="AY116" s="56">
        <f>(AY182/(1-AY122))-AY182</f>
        <v>4.235294117647058</v>
      </c>
      <c r="AZ116" s="236">
        <f>BA116-AY116</f>
        <v>4.235294117647058</v>
      </c>
      <c r="BA116" s="605">
        <f>(BA182/(1-BA122))-BA182</f>
        <v>8.470588235294116</v>
      </c>
      <c r="BB116" s="56">
        <f>(BB182/(1-BB122))-BB182</f>
        <v>4.235294117647058</v>
      </c>
      <c r="BC116" s="236">
        <f>BD116-BB116</f>
        <v>4.235294117647058</v>
      </c>
      <c r="BD116" s="605">
        <f>(BD182/(1-BD122))-BD182</f>
        <v>8.470588235294116</v>
      </c>
      <c r="BE116" s="56">
        <f>(BE182/(1-BE122))-BE182</f>
        <v>4.235294117647058</v>
      </c>
      <c r="BF116" s="236">
        <f>BG116-BE116</f>
        <v>4.235294117647058</v>
      </c>
      <c r="BG116" s="605">
        <f>(BG182/(1-BG122))-BG182</f>
        <v>8.470588235294116</v>
      </c>
      <c r="BH116" s="56">
        <f>(BH182/(1-BH122))-BH182</f>
        <v>4.235294117647058</v>
      </c>
      <c r="BI116" s="236">
        <f>BJ116-BH116</f>
        <v>4.235294117647058</v>
      </c>
      <c r="BJ116" s="605">
        <f>(BJ182/(1-BJ122))-BJ182</f>
        <v>8.470588235294116</v>
      </c>
      <c r="BK116"/>
    </row>
    <row r="117" spans="1:63">
      <c r="A117" s="25" t="str">
        <f t="shared" ref="A117:A119" si="301">A83</f>
        <v>Trent XWB-84</v>
      </c>
      <c r="B117" s="40"/>
      <c r="C117" s="40"/>
      <c r="D117" s="40"/>
      <c r="E117" s="40"/>
      <c r="F117" s="40"/>
      <c r="G117" s="40"/>
      <c r="H117" s="40"/>
      <c r="I117" s="40"/>
      <c r="J117" s="40"/>
      <c r="K117" s="40"/>
      <c r="L117" s="50"/>
      <c r="M117" s="50"/>
      <c r="N117" s="50"/>
      <c r="O117" s="50"/>
      <c r="P117" s="50"/>
      <c r="Q117" s="50"/>
      <c r="R117" s="40"/>
      <c r="S117" s="630"/>
      <c r="T117" s="653"/>
      <c r="U117" s="40"/>
      <c r="V117" s="630"/>
      <c r="W117" s="653"/>
      <c r="X117" s="40"/>
      <c r="Y117" s="630"/>
      <c r="Z117" s="653"/>
      <c r="AA117" s="40"/>
      <c r="AB117" s="630"/>
      <c r="AC117" s="653"/>
      <c r="AD117" s="40"/>
      <c r="AE117" s="630"/>
      <c r="AF117" s="653"/>
      <c r="AG117" s="40"/>
      <c r="AH117" s="630"/>
      <c r="AI117" s="653"/>
      <c r="AJ117" s="40"/>
      <c r="AK117" s="630"/>
      <c r="AL117" s="653"/>
      <c r="AM117" s="40"/>
      <c r="AN117" s="236"/>
      <c r="AO117" s="605"/>
      <c r="AP117" s="56"/>
      <c r="AQ117" s="236"/>
      <c r="AR117" s="556">
        <f t="shared" si="299"/>
        <v>19.074999999999999</v>
      </c>
      <c r="AS117" s="10">
        <f t="shared" si="299"/>
        <v>10.4</v>
      </c>
      <c r="AT117" s="216">
        <f t="shared" ref="AT117:AT120" si="302">AU117-AS117</f>
        <v>10.800000000000002</v>
      </c>
      <c r="AU117" s="556">
        <f t="shared" si="300"/>
        <v>21.200000000000003</v>
      </c>
      <c r="AV117" s="10">
        <f t="shared" si="300"/>
        <v>9.2999999999999989</v>
      </c>
      <c r="AW117" s="236">
        <f t="shared" ref="AW117:AW119" si="303">AX117-AV117</f>
        <v>10.817647058823537</v>
      </c>
      <c r="AX117" s="605">
        <f>(AX192/(1-AX123))-AX192</f>
        <v>20.117647058823536</v>
      </c>
      <c r="AY117" s="56">
        <f>(AY192/(1-AY123))-AY192</f>
        <v>10.744186046511629</v>
      </c>
      <c r="AZ117" s="236">
        <f t="shared" ref="AZ117:AZ119" si="304">BA117-AY117</f>
        <v>11.395348837209298</v>
      </c>
      <c r="BA117" s="605">
        <f>(BA192/(1-BA123))-BA192</f>
        <v>22.139534883720927</v>
      </c>
      <c r="BB117" s="56">
        <f>(BB192/(1-BB123))-BB192</f>
        <v>10.571428571428569</v>
      </c>
      <c r="BC117" s="236">
        <f t="shared" ref="BC117:BC119" si="305">BD117-BB117</f>
        <v>11.285714285714292</v>
      </c>
      <c r="BD117" s="605">
        <f>(BD192/(1-BD123))-BD192</f>
        <v>21.857142857142861</v>
      </c>
      <c r="BE117" s="56">
        <f>(BE192/(1-BE123))-BE192</f>
        <v>12</v>
      </c>
      <c r="BF117" s="236">
        <f t="shared" ref="BF117:BF119" si="306">BG117-BE117</f>
        <v>11.714285714285722</v>
      </c>
      <c r="BG117" s="605">
        <f>(BG192/(1-BG123))-BG192</f>
        <v>23.714285714285722</v>
      </c>
      <c r="BH117" s="56">
        <f>(BH192/(1-BH123))-BH192</f>
        <v>12</v>
      </c>
      <c r="BI117" s="236">
        <f t="shared" ref="BI117:BI119" si="307">BJ117-BH117</f>
        <v>11.714285714285722</v>
      </c>
      <c r="BJ117" s="605">
        <f>(BJ192/(1-BJ123))-BJ192</f>
        <v>23.714285714285722</v>
      </c>
      <c r="BK117"/>
    </row>
    <row r="118" spans="1:63">
      <c r="A118" s="25" t="str">
        <f t="shared" si="301"/>
        <v>Trent XWB-97</v>
      </c>
      <c r="B118" s="40"/>
      <c r="C118" s="40"/>
      <c r="D118" s="40"/>
      <c r="E118" s="40"/>
      <c r="F118" s="40"/>
      <c r="G118" s="40"/>
      <c r="H118" s="40"/>
      <c r="I118" s="40"/>
      <c r="J118" s="40"/>
      <c r="K118" s="40"/>
      <c r="L118" s="50"/>
      <c r="M118" s="50"/>
      <c r="N118" s="50"/>
      <c r="O118" s="50"/>
      <c r="P118" s="50"/>
      <c r="Q118" s="50"/>
      <c r="R118" s="40"/>
      <c r="S118" s="630"/>
      <c r="T118" s="653"/>
      <c r="U118" s="40"/>
      <c r="V118" s="630"/>
      <c r="W118" s="653"/>
      <c r="X118" s="40"/>
      <c r="Y118" s="630"/>
      <c r="Z118" s="653"/>
      <c r="AA118" s="40"/>
      <c r="AB118" s="630"/>
      <c r="AC118" s="653"/>
      <c r="AD118" s="40"/>
      <c r="AE118" s="630"/>
      <c r="AF118" s="653"/>
      <c r="AG118" s="40"/>
      <c r="AH118" s="630"/>
      <c r="AI118" s="653"/>
      <c r="AJ118" s="40"/>
      <c r="AK118" s="630"/>
      <c r="AL118" s="653"/>
      <c r="AM118" s="40"/>
      <c r="AN118" s="236"/>
      <c r="AO118" s="605"/>
      <c r="AP118" s="56"/>
      <c r="AQ118" s="236"/>
      <c r="AR118" s="556">
        <f t="shared" si="299"/>
        <v>7.2</v>
      </c>
      <c r="AS118" s="10">
        <f t="shared" si="299"/>
        <v>3.4000000000000004</v>
      </c>
      <c r="AT118" s="216">
        <f t="shared" si="302"/>
        <v>4.2</v>
      </c>
      <c r="AU118" s="556">
        <f t="shared" si="300"/>
        <v>7.6000000000000005</v>
      </c>
      <c r="AV118" s="10">
        <f t="shared" si="300"/>
        <v>7.65</v>
      </c>
      <c r="AW118" s="236">
        <f t="shared" si="303"/>
        <v>3.3822580645161278</v>
      </c>
      <c r="AX118" s="605">
        <f>(AX202/(1-AX124))-AX202</f>
        <v>11.032258064516128</v>
      </c>
      <c r="AY118" s="56">
        <f>(AY202/(1-AY124))-AY202</f>
        <v>4.6666666666666679</v>
      </c>
      <c r="AZ118" s="236">
        <f t="shared" si="304"/>
        <v>5.0909090909090899</v>
      </c>
      <c r="BA118" s="605">
        <f>(BA202/(1-BA124))-BA202</f>
        <v>9.7575757575757578</v>
      </c>
      <c r="BB118" s="56">
        <f>(BB202/(1-BB124))-BB202</f>
        <v>4.411764705882355</v>
      </c>
      <c r="BC118" s="236">
        <f t="shared" si="305"/>
        <v>4.764705882352942</v>
      </c>
      <c r="BD118" s="605">
        <f>(BD202/(1-BD124))-BD202</f>
        <v>9.176470588235297</v>
      </c>
      <c r="BE118" s="56">
        <f>(BE202/(1-BE124))-BE202</f>
        <v>4.9411764705882391</v>
      </c>
      <c r="BF118" s="236">
        <f t="shared" si="306"/>
        <v>4.9411764705882391</v>
      </c>
      <c r="BG118" s="605">
        <f>(BG202/(1-BG124))-BG202</f>
        <v>9.8823529411764781</v>
      </c>
      <c r="BH118" s="56">
        <f>(BH202/(1-BH124))-BH202</f>
        <v>4.9411764705882391</v>
      </c>
      <c r="BI118" s="236">
        <f t="shared" si="307"/>
        <v>4.9411764705882391</v>
      </c>
      <c r="BJ118" s="605">
        <f>(BJ202/(1-BJ124))-BJ202</f>
        <v>9.8823529411764781</v>
      </c>
      <c r="BK118"/>
    </row>
    <row r="119" spans="1:63">
      <c r="A119" s="25" t="str">
        <f t="shared" si="301"/>
        <v>Trent 7000</v>
      </c>
      <c r="B119" s="40"/>
      <c r="C119" s="40"/>
      <c r="D119" s="40"/>
      <c r="E119" s="40"/>
      <c r="F119" s="40"/>
      <c r="G119" s="40"/>
      <c r="H119" s="40"/>
      <c r="I119" s="40"/>
      <c r="J119" s="40"/>
      <c r="K119" s="40"/>
      <c r="L119" s="50"/>
      <c r="M119" s="50"/>
      <c r="N119" s="50"/>
      <c r="O119" s="50"/>
      <c r="P119" s="50"/>
      <c r="Q119" s="50"/>
      <c r="R119" s="40"/>
      <c r="S119" s="630"/>
      <c r="T119" s="653"/>
      <c r="U119" s="40"/>
      <c r="V119" s="630"/>
      <c r="W119" s="653"/>
      <c r="X119" s="40"/>
      <c r="Y119" s="630"/>
      <c r="Z119" s="653"/>
      <c r="AA119" s="40"/>
      <c r="AB119" s="630"/>
      <c r="AC119" s="653"/>
      <c r="AD119" s="40"/>
      <c r="AE119" s="630"/>
      <c r="AF119" s="653"/>
      <c r="AG119" s="40"/>
      <c r="AH119" s="630"/>
      <c r="AI119" s="653"/>
      <c r="AJ119" s="40"/>
      <c r="AK119" s="630"/>
      <c r="AL119" s="653"/>
      <c r="AM119" s="40"/>
      <c r="AN119" s="236"/>
      <c r="AO119" s="605"/>
      <c r="AP119" s="56"/>
      <c r="AQ119" s="236"/>
      <c r="AR119" s="556">
        <f>AR120-AR116-AR117-AR118</f>
        <v>21.325000000000003</v>
      </c>
      <c r="AS119" s="10">
        <f>AS120-AS116-AS117-AS118</f>
        <v>5.3999999999999986</v>
      </c>
      <c r="AT119" s="216">
        <f t="shared" si="302"/>
        <v>9.7999999999999972</v>
      </c>
      <c r="AU119" s="556">
        <f>AU120-AU116-AU117-AU118</f>
        <v>15.199999999999996</v>
      </c>
      <c r="AV119" s="10">
        <f>AV120-AV116-AV117-AV118</f>
        <v>6.6999999999999993</v>
      </c>
      <c r="AW119" s="236">
        <f t="shared" si="303"/>
        <v>4.9470588235294208</v>
      </c>
      <c r="AX119" s="605">
        <f>(AX212/(1-AX125))-AX212</f>
        <v>11.64705882352942</v>
      </c>
      <c r="AY119" s="56">
        <f>(AY212/(1-AY125))-AY212</f>
        <v>6</v>
      </c>
      <c r="AZ119" s="236">
        <f t="shared" si="304"/>
        <v>5.6470588235294201</v>
      </c>
      <c r="BA119" s="605">
        <f>(BA212/(1-BA125))-BA212</f>
        <v>11.64705882352942</v>
      </c>
      <c r="BB119" s="56">
        <f>(BB212/(1-BB125))-BB212</f>
        <v>6</v>
      </c>
      <c r="BC119" s="236">
        <f t="shared" si="305"/>
        <v>5.6470588235294201</v>
      </c>
      <c r="BD119" s="605">
        <f>(BD212/(1-BD125))-BD212</f>
        <v>11.64705882352942</v>
      </c>
      <c r="BE119" s="56">
        <f>(BE212/(1-BE125))-BE212</f>
        <v>4.8571428571428541</v>
      </c>
      <c r="BF119" s="236">
        <f t="shared" si="306"/>
        <v>5.0000000000000071</v>
      </c>
      <c r="BG119" s="605">
        <f>(BG212/(1-BG125))-BG212</f>
        <v>9.8571428571428612</v>
      </c>
      <c r="BH119" s="56">
        <f>(BH212/(1-BH125))-BH212</f>
        <v>5.7142857142857153</v>
      </c>
      <c r="BI119" s="236">
        <f t="shared" si="307"/>
        <v>4.1428571428571459</v>
      </c>
      <c r="BJ119" s="605">
        <f>(BJ212/(1-BJ125))-BJ212</f>
        <v>9.8571428571428612</v>
      </c>
      <c r="BK119"/>
    </row>
    <row r="120" spans="1:63" s="31" customFormat="1">
      <c r="A120" s="31" t="str">
        <f>A87</f>
        <v>Civil Large Engines</v>
      </c>
      <c r="B120" s="51"/>
      <c r="C120" s="51"/>
      <c r="D120" s="51"/>
      <c r="E120" s="51"/>
      <c r="F120" s="51"/>
      <c r="G120" s="51"/>
      <c r="H120" s="51"/>
      <c r="I120" s="51"/>
      <c r="J120" s="51"/>
      <c r="K120" s="51"/>
      <c r="L120" s="112"/>
      <c r="M120" s="112"/>
      <c r="N120" s="112"/>
      <c r="O120" s="112"/>
      <c r="P120" s="112"/>
      <c r="Q120" s="112"/>
      <c r="R120" s="51"/>
      <c r="S120" s="629"/>
      <c r="T120" s="652"/>
      <c r="U120" s="51"/>
      <c r="V120" s="629"/>
      <c r="W120" s="652"/>
      <c r="X120" s="51"/>
      <c r="Y120" s="629"/>
      <c r="Z120" s="652"/>
      <c r="AA120" s="51"/>
      <c r="AB120" s="629"/>
      <c r="AC120" s="652"/>
      <c r="AD120" s="51"/>
      <c r="AE120" s="629"/>
      <c r="AF120" s="652"/>
      <c r="AG120" s="51"/>
      <c r="AH120" s="629"/>
      <c r="AI120" s="652"/>
      <c r="AJ120" s="51"/>
      <c r="AK120" s="629"/>
      <c r="AL120" s="652"/>
      <c r="AM120" s="51"/>
      <c r="AN120" s="237"/>
      <c r="AO120" s="576"/>
      <c r="AP120" s="48"/>
      <c r="AQ120" s="237"/>
      <c r="AR120" s="553">
        <f>AR58</f>
        <v>57</v>
      </c>
      <c r="AS120" s="27">
        <f>AS58</f>
        <v>23</v>
      </c>
      <c r="AT120" s="218">
        <f t="shared" si="302"/>
        <v>29</v>
      </c>
      <c r="AU120" s="553">
        <f>AU58</f>
        <v>52</v>
      </c>
      <c r="AV120" s="27">
        <f>AV58</f>
        <v>25</v>
      </c>
      <c r="AW120" s="237">
        <f>AX120-AV120</f>
        <v>26.706054855959998</v>
      </c>
      <c r="AX120" s="576">
        <f>SUM(AX116:AX119)</f>
        <v>51.706054855959998</v>
      </c>
      <c r="AY120" s="48">
        <f>SUM(AY116:AY119)</f>
        <v>25.646146830825355</v>
      </c>
      <c r="AZ120" s="237">
        <f>BA120-AY120</f>
        <v>26.368610869294866</v>
      </c>
      <c r="BA120" s="576">
        <f>SUM(BA116:BA119)</f>
        <v>52.014757700120221</v>
      </c>
      <c r="BB120" s="48">
        <f>SUM(BB116:BB119)</f>
        <v>25.218487394957982</v>
      </c>
      <c r="BC120" s="237">
        <f>BD120-BB120</f>
        <v>25.932773109243712</v>
      </c>
      <c r="BD120" s="576">
        <f>SUM(BD116:BD119)</f>
        <v>51.151260504201694</v>
      </c>
      <c r="BE120" s="48">
        <f>SUM(BE116:BE119)</f>
        <v>26.033613445378151</v>
      </c>
      <c r="BF120" s="237">
        <f>BG120-BE120</f>
        <v>25.890756302521027</v>
      </c>
      <c r="BG120" s="576">
        <f>SUM(BG116:BG119)</f>
        <v>51.924369747899178</v>
      </c>
      <c r="BH120" s="48">
        <f>SUM(BH116:BH119)</f>
        <v>26.890756302521012</v>
      </c>
      <c r="BI120" s="237">
        <f>BJ120-BH120</f>
        <v>25.033613445378165</v>
      </c>
      <c r="BJ120" s="576">
        <f>SUM(BJ116:BJ119)</f>
        <v>51.924369747899178</v>
      </c>
      <c r="BK120" s="2"/>
    </row>
    <row r="121" spans="1:63">
      <c r="B121" s="40"/>
      <c r="C121" s="40"/>
      <c r="D121" s="40"/>
      <c r="E121" s="40"/>
      <c r="F121" s="40"/>
      <c r="G121" s="40"/>
      <c r="H121" s="40"/>
      <c r="I121" s="40"/>
      <c r="J121" s="40"/>
      <c r="K121" s="40"/>
      <c r="L121" s="50"/>
      <c r="M121" s="50"/>
      <c r="N121" s="50"/>
      <c r="O121" s="50"/>
      <c r="P121" s="50"/>
      <c r="Q121" s="50"/>
      <c r="R121" s="40"/>
      <c r="S121" s="630"/>
      <c r="T121" s="653"/>
      <c r="U121" s="40"/>
      <c r="V121" s="630"/>
      <c r="W121" s="653"/>
      <c r="X121" s="40"/>
      <c r="Y121" s="630"/>
      <c r="Z121" s="653"/>
      <c r="AA121" s="40"/>
      <c r="AB121" s="630"/>
      <c r="AC121" s="653"/>
      <c r="AD121" s="40"/>
      <c r="AE121" s="630"/>
      <c r="AF121" s="653"/>
      <c r="AG121" s="40"/>
      <c r="AH121" s="630"/>
      <c r="AI121" s="653"/>
      <c r="AJ121" s="40"/>
      <c r="AK121" s="630"/>
      <c r="AL121" s="653"/>
      <c r="AM121" s="40"/>
      <c r="AN121" s="236"/>
      <c r="AO121" s="605"/>
      <c r="AP121" s="56"/>
      <c r="AQ121" s="236"/>
      <c r="AR121" s="605"/>
      <c r="AS121" s="56"/>
      <c r="AT121" s="236"/>
      <c r="AU121" s="605"/>
      <c r="AV121" s="56"/>
      <c r="AW121" s="236"/>
      <c r="AX121" s="605"/>
      <c r="AY121" s="56"/>
      <c r="AZ121" s="236"/>
      <c r="BA121" s="605"/>
      <c r="BB121" s="56"/>
      <c r="BC121" s="236"/>
      <c r="BD121" s="605"/>
      <c r="BE121" s="56"/>
      <c r="BF121" s="236"/>
      <c r="BG121" s="605"/>
      <c r="BH121" s="56"/>
      <c r="BI121" s="236"/>
      <c r="BJ121" s="605"/>
      <c r="BK121"/>
    </row>
    <row r="122" spans="1:63" s="53" customFormat="1">
      <c r="A122" s="53" t="str">
        <f>A82</f>
        <v>Trent 1000</v>
      </c>
      <c r="B122" s="121"/>
      <c r="C122" s="121"/>
      <c r="D122" s="121"/>
      <c r="E122" s="121"/>
      <c r="F122" s="121"/>
      <c r="G122" s="121"/>
      <c r="H122" s="121"/>
      <c r="I122" s="121"/>
      <c r="J122" s="121"/>
      <c r="K122" s="121"/>
      <c r="L122" s="58"/>
      <c r="M122" s="58"/>
      <c r="N122" s="58"/>
      <c r="O122" s="58"/>
      <c r="P122" s="58"/>
      <c r="Q122" s="58"/>
      <c r="R122" s="121"/>
      <c r="S122" s="776"/>
      <c r="T122" s="783"/>
      <c r="U122" s="121"/>
      <c r="V122" s="776"/>
      <c r="W122" s="783"/>
      <c r="X122" s="121"/>
      <c r="Y122" s="776"/>
      <c r="Z122" s="783"/>
      <c r="AA122" s="121"/>
      <c r="AB122" s="776"/>
      <c r="AC122" s="783"/>
      <c r="AD122" s="121"/>
      <c r="AE122" s="776"/>
      <c r="AF122" s="783"/>
      <c r="AG122" s="121"/>
      <c r="AH122" s="776"/>
      <c r="AI122" s="783"/>
      <c r="AJ122" s="121"/>
      <c r="AK122" s="776"/>
      <c r="AL122" s="783"/>
      <c r="AM122" s="121"/>
      <c r="AN122" s="720"/>
      <c r="AO122" s="729"/>
      <c r="AP122" s="1009"/>
      <c r="AQ122" s="734"/>
      <c r="AR122" s="738">
        <v>0.2</v>
      </c>
      <c r="AS122" s="261">
        <f>AU122</f>
        <v>0.2</v>
      </c>
      <c r="AT122" s="734">
        <f>AT116/AT82</f>
        <v>0.19999999999999996</v>
      </c>
      <c r="AU122" s="738">
        <v>0.2</v>
      </c>
      <c r="AV122" s="261">
        <v>0.15</v>
      </c>
      <c r="AW122" s="720">
        <f>AW116/AW82</f>
        <v>0.18036876355748382</v>
      </c>
      <c r="AX122" s="771">
        <v>0.17499999999999999</v>
      </c>
      <c r="AY122" s="343">
        <f>BA122</f>
        <v>0.15</v>
      </c>
      <c r="AZ122" s="720">
        <f>(AZ82-AZ182)/AZ82</f>
        <v>0.14999999999999997</v>
      </c>
      <c r="BA122" s="771">
        <v>0.15</v>
      </c>
      <c r="BB122" s="343">
        <f>BD122</f>
        <v>0.15</v>
      </c>
      <c r="BC122" s="720">
        <f>(BC82-BC182)/BC82</f>
        <v>0.14999999999999997</v>
      </c>
      <c r="BD122" s="771">
        <v>0.15</v>
      </c>
      <c r="BE122" s="343">
        <f>BG122</f>
        <v>0.15</v>
      </c>
      <c r="BF122" s="720">
        <f>(BF82-BF182)/BF82</f>
        <v>0.14999999999999997</v>
      </c>
      <c r="BG122" s="729">
        <f>BD122</f>
        <v>0.15</v>
      </c>
      <c r="BH122" s="343">
        <f>BJ122</f>
        <v>0.15</v>
      </c>
      <c r="BI122" s="720">
        <f>(BI82-BI182)/BI82</f>
        <v>0.14999999999999997</v>
      </c>
      <c r="BJ122" s="729">
        <f>BG122</f>
        <v>0.15</v>
      </c>
      <c r="BK122" s="257"/>
    </row>
    <row r="123" spans="1:63" s="53" customFormat="1">
      <c r="A123" s="53" t="str">
        <f>A83</f>
        <v>Trent XWB-84</v>
      </c>
      <c r="B123" s="121"/>
      <c r="C123" s="121"/>
      <c r="D123" s="121"/>
      <c r="E123" s="121"/>
      <c r="F123" s="121"/>
      <c r="G123" s="121"/>
      <c r="H123" s="121"/>
      <c r="I123" s="121"/>
      <c r="J123" s="121"/>
      <c r="K123" s="121"/>
      <c r="L123" s="58"/>
      <c r="M123" s="58"/>
      <c r="N123" s="58"/>
      <c r="O123" s="58"/>
      <c r="P123" s="58"/>
      <c r="Q123" s="58"/>
      <c r="R123" s="121"/>
      <c r="S123" s="776"/>
      <c r="T123" s="783"/>
      <c r="U123" s="121"/>
      <c r="V123" s="776"/>
      <c r="W123" s="783"/>
      <c r="X123" s="121"/>
      <c r="Y123" s="776"/>
      <c r="Z123" s="783"/>
      <c r="AA123" s="121"/>
      <c r="AB123" s="776"/>
      <c r="AC123" s="783"/>
      <c r="AD123" s="121"/>
      <c r="AE123" s="776"/>
      <c r="AF123" s="783"/>
      <c r="AG123" s="121"/>
      <c r="AH123" s="776"/>
      <c r="AI123" s="783"/>
      <c r="AJ123" s="121"/>
      <c r="AK123" s="776"/>
      <c r="AL123" s="783"/>
      <c r="AM123" s="121"/>
      <c r="AN123" s="720"/>
      <c r="AO123" s="729"/>
      <c r="AP123" s="1009"/>
      <c r="AQ123" s="734"/>
      <c r="AR123" s="738">
        <v>0.17499999999999999</v>
      </c>
      <c r="AS123" s="261">
        <f t="shared" ref="AS123:AS124" si="308">AU123</f>
        <v>0.2</v>
      </c>
      <c r="AT123" s="734">
        <f>AT117/AT83</f>
        <v>0.20000000000000004</v>
      </c>
      <c r="AU123" s="738">
        <v>0.2</v>
      </c>
      <c r="AV123" s="261">
        <f t="shared" ref="AV123" si="309">AX123</f>
        <v>0.15</v>
      </c>
      <c r="AW123" s="720">
        <f>AW117/AW83</f>
        <v>0.15000000000000011</v>
      </c>
      <c r="AX123" s="771">
        <v>0.15</v>
      </c>
      <c r="AY123" s="343">
        <f t="shared" ref="AY123:AY125" si="310">BA123</f>
        <v>0.14000000000000001</v>
      </c>
      <c r="AZ123" s="720">
        <f>(AZ83-AZ192)/AZ83</f>
        <v>0.13999999999999996</v>
      </c>
      <c r="BA123" s="771">
        <v>0.14000000000000001</v>
      </c>
      <c r="BB123" s="343">
        <f t="shared" ref="BB123:BB125" si="311">BD123</f>
        <v>0.125</v>
      </c>
      <c r="BC123" s="720">
        <f>(BC83-BC192)/BC83</f>
        <v>0.12500000000000006</v>
      </c>
      <c r="BD123" s="771">
        <v>0.125</v>
      </c>
      <c r="BE123" s="343">
        <f t="shared" ref="BE123:BE125" si="312">BG123</f>
        <v>0.125</v>
      </c>
      <c r="BF123" s="720">
        <f>(BF83-BF192)/BF83</f>
        <v>0.12500000000000008</v>
      </c>
      <c r="BG123" s="729">
        <f>BD123</f>
        <v>0.125</v>
      </c>
      <c r="BH123" s="343">
        <f t="shared" ref="BH123:BH125" si="313">BJ123</f>
        <v>0.125</v>
      </c>
      <c r="BI123" s="720">
        <f>(BI83-BI192)/BI83</f>
        <v>0.12500000000000008</v>
      </c>
      <c r="BJ123" s="729">
        <f>BG123</f>
        <v>0.125</v>
      </c>
      <c r="BK123" s="257"/>
    </row>
    <row r="124" spans="1:63" s="53" customFormat="1">
      <c r="A124" s="53" t="str">
        <f>A84</f>
        <v>Trent XWB-97</v>
      </c>
      <c r="B124" s="121"/>
      <c r="C124" s="121"/>
      <c r="D124" s="121"/>
      <c r="E124" s="121"/>
      <c r="F124" s="121"/>
      <c r="G124" s="121"/>
      <c r="H124" s="121"/>
      <c r="I124" s="121"/>
      <c r="J124" s="121"/>
      <c r="K124" s="121"/>
      <c r="L124" s="58"/>
      <c r="M124" s="58"/>
      <c r="N124" s="58"/>
      <c r="O124" s="58"/>
      <c r="P124" s="58"/>
      <c r="Q124" s="58"/>
      <c r="R124" s="121"/>
      <c r="S124" s="776"/>
      <c r="T124" s="783"/>
      <c r="U124" s="121"/>
      <c r="V124" s="776"/>
      <c r="W124" s="783"/>
      <c r="X124" s="121"/>
      <c r="Y124" s="776"/>
      <c r="Z124" s="783"/>
      <c r="AA124" s="121"/>
      <c r="AB124" s="776"/>
      <c r="AC124" s="783"/>
      <c r="AD124" s="121"/>
      <c r="AE124" s="776"/>
      <c r="AF124" s="783"/>
      <c r="AG124" s="121"/>
      <c r="AH124" s="776"/>
      <c r="AI124" s="783"/>
      <c r="AJ124" s="121"/>
      <c r="AK124" s="776"/>
      <c r="AL124" s="783"/>
      <c r="AM124" s="121"/>
      <c r="AN124" s="720"/>
      <c r="AO124" s="729"/>
      <c r="AP124" s="1009"/>
      <c r="AQ124" s="734"/>
      <c r="AR124" s="738">
        <v>0.2</v>
      </c>
      <c r="AS124" s="261">
        <f t="shared" si="308"/>
        <v>0.2</v>
      </c>
      <c r="AT124" s="734">
        <f>AT118/AT84</f>
        <v>0.2</v>
      </c>
      <c r="AU124" s="738">
        <v>0.2</v>
      </c>
      <c r="AV124" s="261">
        <v>0.22500000000000001</v>
      </c>
      <c r="AW124" s="720">
        <f>AW118/AW84</f>
        <v>0.22499999999999992</v>
      </c>
      <c r="AX124" s="771">
        <v>0.22500000000000001</v>
      </c>
      <c r="AY124" s="343">
        <f t="shared" si="310"/>
        <v>0.17499999999999999</v>
      </c>
      <c r="AZ124" s="720">
        <f>(AZ84-AZ202)/AZ84</f>
        <v>0.17499999999999996</v>
      </c>
      <c r="BA124" s="771">
        <v>0.17499999999999999</v>
      </c>
      <c r="BB124" s="343">
        <f t="shared" si="311"/>
        <v>0.15</v>
      </c>
      <c r="BC124" s="720">
        <f>(BC84-BC202)/BC84</f>
        <v>0.15000000000000002</v>
      </c>
      <c r="BD124" s="771">
        <v>0.15</v>
      </c>
      <c r="BE124" s="343">
        <f t="shared" si="312"/>
        <v>0.15</v>
      </c>
      <c r="BF124" s="720">
        <f>(BF84-BF202)/BF84</f>
        <v>0.15000000000000011</v>
      </c>
      <c r="BG124" s="771">
        <v>0.15</v>
      </c>
      <c r="BH124" s="343">
        <f t="shared" si="313"/>
        <v>0.15</v>
      </c>
      <c r="BI124" s="720">
        <f>(BI84-BI202)/BI84</f>
        <v>0.15000000000000011</v>
      </c>
      <c r="BJ124" s="729">
        <f>BG124</f>
        <v>0.15</v>
      </c>
      <c r="BK124" s="257"/>
    </row>
    <row r="125" spans="1:63" s="53" customFormat="1">
      <c r="A125" s="53" t="str">
        <f>A85</f>
        <v>Trent 7000</v>
      </c>
      <c r="B125" s="121"/>
      <c r="C125" s="121"/>
      <c r="D125" s="121"/>
      <c r="E125" s="121"/>
      <c r="F125" s="121"/>
      <c r="G125" s="121"/>
      <c r="H125" s="121"/>
      <c r="I125" s="121"/>
      <c r="J125" s="121"/>
      <c r="K125" s="121"/>
      <c r="L125" s="58"/>
      <c r="M125" s="58"/>
      <c r="N125" s="58"/>
      <c r="O125" s="58"/>
      <c r="P125" s="58"/>
      <c r="Q125" s="58"/>
      <c r="R125" s="121"/>
      <c r="S125" s="776"/>
      <c r="T125" s="783"/>
      <c r="U125" s="121"/>
      <c r="V125" s="776"/>
      <c r="W125" s="783"/>
      <c r="X125" s="121"/>
      <c r="Y125" s="776"/>
      <c r="Z125" s="783"/>
      <c r="AA125" s="121"/>
      <c r="AB125" s="776"/>
      <c r="AC125" s="783"/>
      <c r="AD125" s="121"/>
      <c r="AE125" s="776"/>
      <c r="AF125" s="783"/>
      <c r="AG125" s="121"/>
      <c r="AH125" s="776"/>
      <c r="AI125" s="783"/>
      <c r="AJ125" s="121"/>
      <c r="AK125" s="776"/>
      <c r="AL125" s="783"/>
      <c r="AM125" s="121"/>
      <c r="AN125" s="720"/>
      <c r="AO125" s="729"/>
      <c r="AP125" s="1009"/>
      <c r="AQ125" s="734"/>
      <c r="AR125" s="738">
        <f>AR119/AR85</f>
        <v>0.24796511627906981</v>
      </c>
      <c r="AS125" s="261">
        <f>AS119/AS85</f>
        <v>0.15882352941176467</v>
      </c>
      <c r="AT125" s="734">
        <f>AT119/AT85</f>
        <v>0.23902439024390237</v>
      </c>
      <c r="AU125" s="738">
        <f>AU119/AU85</f>
        <v>0.20266666666666661</v>
      </c>
      <c r="AV125" s="261">
        <f>AV119/AV85</f>
        <v>0.13137254901960782</v>
      </c>
      <c r="AW125" s="720">
        <f>AW119/AW85</f>
        <v>0.18565121412803559</v>
      </c>
      <c r="AX125" s="771">
        <v>0.15</v>
      </c>
      <c r="AY125" s="343">
        <f t="shared" si="310"/>
        <v>0.15</v>
      </c>
      <c r="AZ125" s="720">
        <f>(AZ85-AZ212)/AZ85</f>
        <v>0.15000000000000019</v>
      </c>
      <c r="BA125" s="771">
        <v>0.15</v>
      </c>
      <c r="BB125" s="343">
        <f t="shared" si="311"/>
        <v>0.15</v>
      </c>
      <c r="BC125" s="720">
        <f>(BC85-BC212)/BC85</f>
        <v>0.15000000000000019</v>
      </c>
      <c r="BD125" s="771">
        <v>0.15</v>
      </c>
      <c r="BE125" s="343">
        <f t="shared" si="312"/>
        <v>0.125</v>
      </c>
      <c r="BF125" s="720">
        <f>(BF85-BF212)/BF85</f>
        <v>0.12500000000000017</v>
      </c>
      <c r="BG125" s="771">
        <v>0.125</v>
      </c>
      <c r="BH125" s="343">
        <f t="shared" si="313"/>
        <v>0.125</v>
      </c>
      <c r="BI125" s="720">
        <f>(BI85-BI212)/BI85</f>
        <v>0.12500000000000008</v>
      </c>
      <c r="BJ125" s="729">
        <f>BG125</f>
        <v>0.125</v>
      </c>
      <c r="BK125" s="257"/>
    </row>
    <row r="126" spans="1:63" s="1008" customFormat="1">
      <c r="A126" s="1008" t="str">
        <f>A87</f>
        <v>Civil Large Engines</v>
      </c>
      <c r="B126" s="1044"/>
      <c r="C126" s="1044"/>
      <c r="D126" s="1044"/>
      <c r="E126" s="1044"/>
      <c r="F126" s="1044"/>
      <c r="G126" s="1044"/>
      <c r="H126" s="1044"/>
      <c r="I126" s="1044"/>
      <c r="J126" s="1044"/>
      <c r="K126" s="1044"/>
      <c r="L126" s="132"/>
      <c r="M126" s="132"/>
      <c r="N126" s="132"/>
      <c r="O126" s="132"/>
      <c r="P126" s="132"/>
      <c r="Q126" s="132"/>
      <c r="R126" s="1044"/>
      <c r="S126" s="1045"/>
      <c r="T126" s="1046"/>
      <c r="U126" s="1044"/>
      <c r="V126" s="1045"/>
      <c r="W126" s="1046"/>
      <c r="X126" s="1044"/>
      <c r="Y126" s="1045"/>
      <c r="Z126" s="1046"/>
      <c r="AA126" s="1044"/>
      <c r="AB126" s="1045"/>
      <c r="AC126" s="1046">
        <f t="shared" ref="AC126:BJ126" si="314">AC59</f>
        <v>0.11764705882352941</v>
      </c>
      <c r="AD126" s="1044">
        <f t="shared" si="314"/>
        <v>0.1</v>
      </c>
      <c r="AE126" s="1045">
        <f t="shared" si="314"/>
        <v>8.8976377952755897E-2</v>
      </c>
      <c r="AF126" s="1046">
        <f t="shared" si="314"/>
        <v>9.4696969696969696E-2</v>
      </c>
      <c r="AG126" s="1044">
        <f t="shared" si="314"/>
        <v>0.1</v>
      </c>
      <c r="AH126" s="1045">
        <f t="shared" si="314"/>
        <v>0.27368421052631581</v>
      </c>
      <c r="AI126" s="1046">
        <f t="shared" si="314"/>
        <v>0.18461538461538463</v>
      </c>
      <c r="AJ126" s="1044">
        <f t="shared" si="314"/>
        <v>0.10256410256410256</v>
      </c>
      <c r="AK126" s="1045">
        <f t="shared" si="314"/>
        <v>0.32142857142857145</v>
      </c>
      <c r="AL126" s="1046">
        <f t="shared" si="314"/>
        <v>0.23157894736842105</v>
      </c>
      <c r="AM126" s="1044">
        <f t="shared" si="314"/>
        <v>0.15652173913043479</v>
      </c>
      <c r="AN126" s="1047">
        <f t="shared" si="314"/>
        <v>0.23809523809523808</v>
      </c>
      <c r="AO126" s="1048">
        <f t="shared" si="314"/>
        <v>0.20229007633587787</v>
      </c>
      <c r="AP126" s="1044">
        <f t="shared" si="314"/>
        <v>0.17499999999999999</v>
      </c>
      <c r="AQ126" s="1047">
        <f t="shared" si="314"/>
        <v>0.22784810126582278</v>
      </c>
      <c r="AR126" s="1048">
        <f t="shared" si="314"/>
        <v>0.20503597122302158</v>
      </c>
      <c r="AS126" s="1044">
        <f t="shared" si="314"/>
        <v>0.18852459016393441</v>
      </c>
      <c r="AT126" s="1047">
        <f t="shared" si="314"/>
        <v>0.21167883211678831</v>
      </c>
      <c r="AU126" s="1048">
        <f t="shared" si="314"/>
        <v>0.20077220077220076</v>
      </c>
      <c r="AV126" s="1124">
        <f t="shared" si="314"/>
        <v>0.15923566878980891</v>
      </c>
      <c r="AW126" s="1050">
        <f t="shared" si="314"/>
        <v>0.17151584041266194</v>
      </c>
      <c r="AX126" s="1051">
        <f t="shared" si="314"/>
        <v>0.16535034756451095</v>
      </c>
      <c r="AY126" s="1049">
        <f t="shared" si="314"/>
        <v>0.14941288985707457</v>
      </c>
      <c r="AZ126" s="1050">
        <f t="shared" si="314"/>
        <v>0.14950852501092946</v>
      </c>
      <c r="BA126" s="1051">
        <f t="shared" si="314"/>
        <v>0.14946135630529964</v>
      </c>
      <c r="BB126" s="1049">
        <f t="shared" si="314"/>
        <v>0.13839697472790993</v>
      </c>
      <c r="BC126" s="1050">
        <f t="shared" si="314"/>
        <v>0.1379896261849401</v>
      </c>
      <c r="BD126" s="1051">
        <f t="shared" si="314"/>
        <v>0.13819015619324371</v>
      </c>
      <c r="BE126" s="1049">
        <f t="shared" si="314"/>
        <v>0.13280178326474629</v>
      </c>
      <c r="BF126" s="1050">
        <f t="shared" si="314"/>
        <v>0.13284753363228707</v>
      </c>
      <c r="BG126" s="1051">
        <f t="shared" si="314"/>
        <v>0.13282459157351678</v>
      </c>
      <c r="BH126" s="1049">
        <f t="shared" si="314"/>
        <v>0.1325381047051028</v>
      </c>
      <c r="BI126" s="1050">
        <f t="shared" si="314"/>
        <v>0.1331337146943154</v>
      </c>
      <c r="BJ126" s="1051">
        <f t="shared" si="314"/>
        <v>0.13282459157351678</v>
      </c>
      <c r="BK126" s="1128"/>
    </row>
    <row r="127" spans="1:63">
      <c r="B127" s="40"/>
      <c r="C127" s="40"/>
      <c r="D127" s="40"/>
      <c r="E127" s="40"/>
      <c r="F127" s="40"/>
      <c r="G127" s="40"/>
      <c r="H127" s="40"/>
      <c r="I127" s="40"/>
      <c r="J127" s="40"/>
      <c r="K127" s="40"/>
      <c r="L127" s="50"/>
      <c r="M127" s="50"/>
      <c r="N127" s="50"/>
      <c r="O127" s="50"/>
      <c r="P127" s="50"/>
      <c r="Q127" s="50"/>
      <c r="R127" s="40"/>
      <c r="S127" s="630"/>
      <c r="T127" s="653"/>
      <c r="U127" s="40"/>
      <c r="V127" s="630"/>
      <c r="W127" s="653"/>
      <c r="X127" s="40"/>
      <c r="Y127" s="630"/>
      <c r="Z127" s="653"/>
      <c r="AA127" s="40"/>
      <c r="AB127" s="630"/>
      <c r="AC127" s="653"/>
      <c r="AD127" s="40"/>
      <c r="AE127" s="630"/>
      <c r="AF127" s="653"/>
      <c r="AG127" s="40"/>
      <c r="AH127" s="630"/>
      <c r="AI127" s="653"/>
      <c r="AJ127" s="40"/>
      <c r="AK127" s="630"/>
      <c r="AL127" s="653"/>
      <c r="AM127" s="40"/>
      <c r="AN127" s="236"/>
      <c r="AO127" s="605"/>
      <c r="AP127" s="56"/>
      <c r="AQ127" s="236"/>
      <c r="AR127" s="605"/>
      <c r="AS127" s="56"/>
      <c r="AT127" s="236"/>
      <c r="AU127" s="605"/>
      <c r="AV127" s="56"/>
      <c r="AW127" s="236"/>
      <c r="AX127" s="605"/>
      <c r="AY127" s="56"/>
      <c r="AZ127" s="236"/>
      <c r="BA127" s="605"/>
      <c r="BB127" s="56"/>
      <c r="BC127" s="236"/>
      <c r="BD127" s="605"/>
      <c r="BE127" s="56"/>
      <c r="BF127" s="236"/>
      <c r="BG127" s="605"/>
      <c r="BH127" s="56"/>
      <c r="BI127" s="236"/>
      <c r="BJ127" s="605"/>
      <c r="BK127"/>
    </row>
    <row r="128" spans="1:63">
      <c r="A128" s="310" t="s">
        <v>837</v>
      </c>
      <c r="B128" s="318"/>
      <c r="C128" s="318"/>
      <c r="D128" s="318"/>
      <c r="E128" s="318"/>
      <c r="F128" s="318"/>
      <c r="G128" s="318"/>
      <c r="H128" s="318"/>
      <c r="I128" s="318"/>
      <c r="J128" s="318"/>
      <c r="K128" s="318"/>
      <c r="L128" s="318"/>
      <c r="M128" s="318"/>
      <c r="N128" s="318"/>
      <c r="O128" s="318"/>
      <c r="P128" s="318"/>
      <c r="Q128" s="318"/>
      <c r="R128" s="527"/>
      <c r="S128" s="320"/>
      <c r="T128" s="664"/>
      <c r="U128" s="527"/>
      <c r="V128" s="320"/>
      <c r="W128" s="664"/>
      <c r="X128" s="527"/>
      <c r="Y128" s="320"/>
      <c r="Z128" s="664"/>
      <c r="AA128" s="527"/>
      <c r="AB128" s="320"/>
      <c r="AC128" s="664"/>
      <c r="AD128" s="527"/>
      <c r="AE128" s="320"/>
      <c r="AF128" s="664"/>
      <c r="AG128" s="527"/>
      <c r="AH128" s="320"/>
      <c r="AI128" s="664"/>
      <c r="AJ128" s="527"/>
      <c r="AK128" s="320"/>
      <c r="AL128" s="664"/>
      <c r="AM128" s="527"/>
      <c r="AN128" s="320"/>
      <c r="AO128" s="664"/>
      <c r="AP128" s="527"/>
      <c r="AQ128" s="320"/>
      <c r="AR128" s="664"/>
      <c r="AS128" s="527"/>
      <c r="AT128" s="320"/>
      <c r="AU128" s="664"/>
      <c r="AV128" s="527"/>
      <c r="AW128" s="215"/>
      <c r="AX128" s="574"/>
      <c r="AY128" s="179"/>
      <c r="AZ128" s="215"/>
      <c r="BA128" s="574"/>
      <c r="BB128" s="179"/>
      <c r="BC128" s="215"/>
      <c r="BD128" s="574"/>
      <c r="BE128" s="179"/>
      <c r="BF128" s="215"/>
      <c r="BG128" s="574"/>
      <c r="BH128" s="179"/>
      <c r="BI128" s="215"/>
      <c r="BJ128" s="574"/>
      <c r="BK128"/>
    </row>
    <row r="129" spans="1:63" ht="11.4">
      <c r="B129" s="40"/>
      <c r="C129" s="40"/>
      <c r="D129" s="40"/>
      <c r="E129" s="40"/>
      <c r="F129" s="40"/>
      <c r="G129" s="40"/>
      <c r="H129" s="40"/>
      <c r="I129" s="40"/>
      <c r="J129" s="40"/>
      <c r="K129" s="40"/>
      <c r="L129" s="40"/>
      <c r="M129" s="40"/>
      <c r="N129" s="40"/>
      <c r="O129" s="40"/>
      <c r="P129" s="40"/>
      <c r="Q129" s="40"/>
      <c r="R129" s="40"/>
      <c r="S129" s="630"/>
      <c r="T129" s="679"/>
      <c r="U129" s="40"/>
      <c r="V129" s="630"/>
      <c r="W129" s="679"/>
      <c r="X129" s="40"/>
      <c r="Y129" s="630"/>
      <c r="Z129" s="679"/>
      <c r="AA129" s="108"/>
      <c r="AB129" s="676"/>
      <c r="AC129" s="679"/>
      <c r="AD129" s="108"/>
      <c r="AE129" s="676"/>
      <c r="AF129" s="679"/>
      <c r="AG129" s="108"/>
      <c r="AH129" s="676"/>
      <c r="AI129" s="679"/>
      <c r="AJ129" s="108"/>
      <c r="AK129" s="676"/>
      <c r="AL129" s="679"/>
      <c r="AM129" s="108"/>
      <c r="AN129" s="688"/>
      <c r="AO129" s="685"/>
      <c r="AP129" s="19"/>
      <c r="AQ129" s="688"/>
      <c r="AR129" s="685"/>
      <c r="AS129" s="19"/>
      <c r="AT129" s="688"/>
      <c r="AU129" s="685"/>
      <c r="AV129" s="19"/>
      <c r="AW129" s="688"/>
      <c r="AX129" s="685"/>
      <c r="AY129" s="19"/>
      <c r="AZ129" s="688"/>
      <c r="BA129" s="685"/>
      <c r="BB129" s="19"/>
      <c r="BC129" s="688"/>
      <c r="BD129" s="685"/>
      <c r="BE129" s="19"/>
      <c r="BF129" s="688"/>
      <c r="BG129" s="685"/>
      <c r="BH129" s="19"/>
      <c r="BI129" s="688"/>
      <c r="BJ129" s="685"/>
      <c r="BK129"/>
    </row>
    <row r="130" spans="1:63">
      <c r="A130" s="80" t="str">
        <f t="shared" ref="A130:A145" si="315">A74</f>
        <v>RB211 22B</v>
      </c>
      <c r="B130" s="81">
        <v>0</v>
      </c>
      <c r="C130" s="81">
        <v>0</v>
      </c>
      <c r="D130" s="81">
        <v>0</v>
      </c>
      <c r="E130" s="81">
        <v>0</v>
      </c>
      <c r="F130" s="81">
        <v>0</v>
      </c>
      <c r="G130" s="81">
        <v>0</v>
      </c>
      <c r="H130" s="81">
        <v>0</v>
      </c>
      <c r="I130" s="81">
        <v>0</v>
      </c>
      <c r="J130" s="81">
        <v>0</v>
      </c>
      <c r="K130" s="81">
        <v>0</v>
      </c>
      <c r="L130" s="81">
        <v>0</v>
      </c>
      <c r="M130" s="81">
        <v>0</v>
      </c>
      <c r="N130" s="81">
        <v>0</v>
      </c>
      <c r="O130" s="81">
        <v>0</v>
      </c>
      <c r="P130" s="81">
        <v>0</v>
      </c>
      <c r="Q130" s="81">
        <v>0</v>
      </c>
      <c r="R130" s="81"/>
      <c r="S130" s="636"/>
      <c r="T130" s="653">
        <v>0</v>
      </c>
      <c r="U130" s="40">
        <v>0</v>
      </c>
      <c r="V130" s="630">
        <v>0</v>
      </c>
      <c r="W130" s="653">
        <v>0</v>
      </c>
      <c r="X130" s="40">
        <v>0</v>
      </c>
      <c r="Y130" s="630">
        <v>0</v>
      </c>
      <c r="Z130" s="653">
        <v>0</v>
      </c>
      <c r="AA130" s="40">
        <v>0</v>
      </c>
      <c r="AB130" s="630">
        <v>0</v>
      </c>
      <c r="AC130" s="653">
        <v>0</v>
      </c>
      <c r="AD130" s="40">
        <v>0</v>
      </c>
      <c r="AE130" s="630">
        <v>0</v>
      </c>
      <c r="AF130" s="653">
        <v>0</v>
      </c>
      <c r="AG130" s="40">
        <v>0</v>
      </c>
      <c r="AH130" s="630">
        <v>0</v>
      </c>
      <c r="AI130" s="653">
        <v>0</v>
      </c>
      <c r="AJ130" s="40">
        <v>0</v>
      </c>
      <c r="AK130" s="630">
        <v>0</v>
      </c>
      <c r="AL130" s="653">
        <v>0</v>
      </c>
      <c r="AM130" s="40">
        <v>0</v>
      </c>
      <c r="AN130" s="216">
        <v>0</v>
      </c>
      <c r="AO130" s="556">
        <v>0</v>
      </c>
      <c r="AP130" s="40">
        <v>0</v>
      </c>
      <c r="AQ130" s="216">
        <v>0</v>
      </c>
      <c r="AR130" s="556">
        <v>0</v>
      </c>
      <c r="AS130" s="40">
        <v>0</v>
      </c>
      <c r="AT130" s="216">
        <v>0</v>
      </c>
      <c r="AU130" s="556">
        <v>0</v>
      </c>
      <c r="AV130" s="10">
        <v>0</v>
      </c>
      <c r="AW130" s="236">
        <v>0</v>
      </c>
      <c r="AX130" s="605">
        <v>0</v>
      </c>
      <c r="AY130" s="56">
        <v>0</v>
      </c>
      <c r="AZ130" s="236">
        <v>0</v>
      </c>
      <c r="BA130" s="605">
        <v>0</v>
      </c>
      <c r="BB130" s="56">
        <v>0</v>
      </c>
      <c r="BC130" s="236">
        <v>0</v>
      </c>
      <c r="BD130" s="605">
        <v>0</v>
      </c>
      <c r="BE130" s="56">
        <v>0</v>
      </c>
      <c r="BF130" s="236">
        <v>0</v>
      </c>
      <c r="BG130" s="605">
        <v>0</v>
      </c>
      <c r="BH130" s="56">
        <v>0</v>
      </c>
      <c r="BI130" s="236">
        <v>0</v>
      </c>
      <c r="BJ130" s="605">
        <v>0</v>
      </c>
      <c r="BK130"/>
    </row>
    <row r="131" spans="1:63">
      <c r="A131" s="80" t="str">
        <f t="shared" si="315"/>
        <v>RB211 524</v>
      </c>
      <c r="B131" s="81">
        <v>0.6</v>
      </c>
      <c r="C131" s="81">
        <v>0.84</v>
      </c>
      <c r="D131" s="81">
        <v>0.24</v>
      </c>
      <c r="E131" s="81">
        <v>0.12</v>
      </c>
      <c r="F131" s="81">
        <v>0.3</v>
      </c>
      <c r="G131" s="81">
        <v>0.42</v>
      </c>
      <c r="H131" s="81">
        <v>0</v>
      </c>
      <c r="I131" s="81">
        <v>0.3</v>
      </c>
      <c r="J131" s="81">
        <v>0.24</v>
      </c>
      <c r="K131" s="81">
        <v>0</v>
      </c>
      <c r="L131" s="81">
        <v>0</v>
      </c>
      <c r="M131" s="81">
        <v>0</v>
      </c>
      <c r="N131" s="81">
        <v>0</v>
      </c>
      <c r="O131" s="81">
        <v>0</v>
      </c>
      <c r="P131" s="81">
        <v>0</v>
      </c>
      <c r="Q131" s="81">
        <v>0</v>
      </c>
      <c r="R131" s="81"/>
      <c r="S131" s="636"/>
      <c r="T131" s="653">
        <v>0</v>
      </c>
      <c r="U131" s="40">
        <v>0</v>
      </c>
      <c r="V131" s="630">
        <v>0</v>
      </c>
      <c r="W131" s="653">
        <v>0</v>
      </c>
      <c r="X131" s="40">
        <v>0</v>
      </c>
      <c r="Y131" s="630">
        <v>0</v>
      </c>
      <c r="Z131" s="653">
        <v>0</v>
      </c>
      <c r="AA131" s="40">
        <v>0</v>
      </c>
      <c r="AB131" s="630">
        <v>0</v>
      </c>
      <c r="AC131" s="653">
        <v>0</v>
      </c>
      <c r="AD131" s="40">
        <v>0</v>
      </c>
      <c r="AE131" s="630">
        <v>0</v>
      </c>
      <c r="AF131" s="653">
        <v>0</v>
      </c>
      <c r="AG131" s="40">
        <v>0</v>
      </c>
      <c r="AH131" s="630">
        <v>0</v>
      </c>
      <c r="AI131" s="653">
        <v>0</v>
      </c>
      <c r="AJ131" s="40">
        <v>0</v>
      </c>
      <c r="AK131" s="630">
        <v>0</v>
      </c>
      <c r="AL131" s="653">
        <v>0</v>
      </c>
      <c r="AM131" s="40">
        <v>0</v>
      </c>
      <c r="AN131" s="216">
        <v>0</v>
      </c>
      <c r="AO131" s="556">
        <v>0</v>
      </c>
      <c r="AP131" s="40">
        <v>0</v>
      </c>
      <c r="AQ131" s="216">
        <v>0</v>
      </c>
      <c r="AR131" s="556">
        <v>0</v>
      </c>
      <c r="AS131" s="40">
        <v>0</v>
      </c>
      <c r="AT131" s="216">
        <v>0</v>
      </c>
      <c r="AU131" s="556">
        <v>0</v>
      </c>
      <c r="AV131" s="10">
        <v>0</v>
      </c>
      <c r="AW131" s="236">
        <v>0</v>
      </c>
      <c r="AX131" s="605">
        <v>0</v>
      </c>
      <c r="AY131" s="56">
        <v>0</v>
      </c>
      <c r="AZ131" s="236">
        <v>0</v>
      </c>
      <c r="BA131" s="605">
        <v>0</v>
      </c>
      <c r="BB131" s="56">
        <v>0</v>
      </c>
      <c r="BC131" s="236">
        <v>0</v>
      </c>
      <c r="BD131" s="605">
        <v>0</v>
      </c>
      <c r="BE131" s="56">
        <v>0</v>
      </c>
      <c r="BF131" s="236">
        <v>0</v>
      </c>
      <c r="BG131" s="605">
        <v>0</v>
      </c>
      <c r="BH131" s="56">
        <v>0</v>
      </c>
      <c r="BI131" s="236">
        <v>0</v>
      </c>
      <c r="BJ131" s="605">
        <v>0</v>
      </c>
      <c r="BK131"/>
    </row>
    <row r="132" spans="1:63">
      <c r="A132" s="80" t="str">
        <f t="shared" si="315"/>
        <v>RB211 535</v>
      </c>
      <c r="B132" s="81">
        <v>2.52</v>
      </c>
      <c r="C132" s="81">
        <v>3.4</v>
      </c>
      <c r="D132" s="81">
        <v>1.04</v>
      </c>
      <c r="E132" s="81">
        <v>0.56000000000000005</v>
      </c>
      <c r="F132" s="81">
        <v>0.24</v>
      </c>
      <c r="G132" s="81">
        <v>0</v>
      </c>
      <c r="H132" s="81">
        <v>0.08</v>
      </c>
      <c r="I132" s="81">
        <v>0</v>
      </c>
      <c r="J132" s="81">
        <v>0.04</v>
      </c>
      <c r="K132" s="81">
        <v>0.04</v>
      </c>
      <c r="L132" s="81">
        <v>0</v>
      </c>
      <c r="M132" s="81">
        <v>0</v>
      </c>
      <c r="N132" s="81">
        <v>0</v>
      </c>
      <c r="O132" s="81">
        <v>0</v>
      </c>
      <c r="P132" s="81">
        <v>0</v>
      </c>
      <c r="Q132" s="81">
        <v>0</v>
      </c>
      <c r="R132" s="81"/>
      <c r="S132" s="636"/>
      <c r="T132" s="653">
        <v>0</v>
      </c>
      <c r="U132" s="40">
        <v>0</v>
      </c>
      <c r="V132" s="630">
        <v>0</v>
      </c>
      <c r="W132" s="653">
        <v>0</v>
      </c>
      <c r="X132" s="40">
        <v>0</v>
      </c>
      <c r="Y132" s="630">
        <v>0</v>
      </c>
      <c r="Z132" s="653">
        <v>0</v>
      </c>
      <c r="AA132" s="40">
        <v>0</v>
      </c>
      <c r="AB132" s="630">
        <v>0</v>
      </c>
      <c r="AC132" s="653">
        <v>0</v>
      </c>
      <c r="AD132" s="40">
        <v>0</v>
      </c>
      <c r="AE132" s="630">
        <v>0</v>
      </c>
      <c r="AF132" s="653">
        <v>0</v>
      </c>
      <c r="AG132" s="40">
        <v>0</v>
      </c>
      <c r="AH132" s="630">
        <v>0</v>
      </c>
      <c r="AI132" s="653">
        <v>0</v>
      </c>
      <c r="AJ132" s="40">
        <v>0</v>
      </c>
      <c r="AK132" s="630">
        <v>0</v>
      </c>
      <c r="AL132" s="653">
        <v>0</v>
      </c>
      <c r="AM132" s="40">
        <v>0</v>
      </c>
      <c r="AN132" s="216">
        <v>0</v>
      </c>
      <c r="AO132" s="556">
        <v>0</v>
      </c>
      <c r="AP132" s="40">
        <v>0</v>
      </c>
      <c r="AQ132" s="216">
        <v>0</v>
      </c>
      <c r="AR132" s="556">
        <v>0</v>
      </c>
      <c r="AS132" s="40">
        <v>0</v>
      </c>
      <c r="AT132" s="216">
        <v>0</v>
      </c>
      <c r="AU132" s="556">
        <v>0</v>
      </c>
      <c r="AV132" s="10">
        <v>0</v>
      </c>
      <c r="AW132" s="236">
        <v>0</v>
      </c>
      <c r="AX132" s="605">
        <v>0</v>
      </c>
      <c r="AY132" s="56">
        <v>0</v>
      </c>
      <c r="AZ132" s="236">
        <v>0</v>
      </c>
      <c r="BA132" s="605">
        <v>0</v>
      </c>
      <c r="BB132" s="56">
        <v>0</v>
      </c>
      <c r="BC132" s="236">
        <v>0</v>
      </c>
      <c r="BD132" s="605">
        <v>0</v>
      </c>
      <c r="BE132" s="56">
        <v>0</v>
      </c>
      <c r="BF132" s="236">
        <v>0</v>
      </c>
      <c r="BG132" s="605">
        <v>0</v>
      </c>
      <c r="BH132" s="56">
        <v>0</v>
      </c>
      <c r="BI132" s="236">
        <v>0</v>
      </c>
      <c r="BJ132" s="605">
        <v>0</v>
      </c>
      <c r="BK132"/>
    </row>
    <row r="133" spans="1:63">
      <c r="A133" s="82" t="str">
        <f t="shared" si="315"/>
        <v>RB211</v>
      </c>
      <c r="B133" s="83">
        <f>SUM(B130:B132)</f>
        <v>3.12</v>
      </c>
      <c r="C133" s="83">
        <f t="shared" ref="C133:BJ133" si="316">SUM(C130:C132)</f>
        <v>4.24</v>
      </c>
      <c r="D133" s="83">
        <f t="shared" si="316"/>
        <v>1.28</v>
      </c>
      <c r="E133" s="83">
        <f t="shared" si="316"/>
        <v>0.68</v>
      </c>
      <c r="F133" s="83">
        <f t="shared" si="316"/>
        <v>0.54</v>
      </c>
      <c r="G133" s="83">
        <f t="shared" si="316"/>
        <v>0.42</v>
      </c>
      <c r="H133" s="83">
        <f t="shared" si="316"/>
        <v>0.08</v>
      </c>
      <c r="I133" s="83">
        <f t="shared" si="316"/>
        <v>0.3</v>
      </c>
      <c r="J133" s="83">
        <f t="shared" si="316"/>
        <v>0.27999999999999997</v>
      </c>
      <c r="K133" s="83">
        <f t="shared" si="316"/>
        <v>0.04</v>
      </c>
      <c r="L133" s="83">
        <f t="shared" si="316"/>
        <v>0</v>
      </c>
      <c r="M133" s="83">
        <f t="shared" si="316"/>
        <v>0</v>
      </c>
      <c r="N133" s="83">
        <f t="shared" si="316"/>
        <v>0</v>
      </c>
      <c r="O133" s="83">
        <f t="shared" si="316"/>
        <v>0</v>
      </c>
      <c r="P133" s="83">
        <f t="shared" si="316"/>
        <v>0</v>
      </c>
      <c r="Q133" s="83">
        <f t="shared" si="316"/>
        <v>0</v>
      </c>
      <c r="R133" s="83"/>
      <c r="S133" s="779"/>
      <c r="T133" s="709">
        <f t="shared" si="316"/>
        <v>0</v>
      </c>
      <c r="U133" s="82">
        <f t="shared" si="316"/>
        <v>0</v>
      </c>
      <c r="V133" s="694">
        <f t="shared" si="316"/>
        <v>0</v>
      </c>
      <c r="W133" s="709">
        <f>SUM(W130:W132)</f>
        <v>0</v>
      </c>
      <c r="X133" s="82">
        <f t="shared" ref="X133:Y133" si="317">SUM(X130:X132)</f>
        <v>0</v>
      </c>
      <c r="Y133" s="694">
        <f t="shared" si="317"/>
        <v>0</v>
      </c>
      <c r="Z133" s="709">
        <f t="shared" si="316"/>
        <v>0</v>
      </c>
      <c r="AA133" s="82">
        <f t="shared" si="316"/>
        <v>0</v>
      </c>
      <c r="AB133" s="694">
        <f t="shared" si="316"/>
        <v>0</v>
      </c>
      <c r="AC133" s="709">
        <f>SUM(AC130:AC132)</f>
        <v>0</v>
      </c>
      <c r="AD133" s="82">
        <f t="shared" ref="AD133:AE133" si="318">SUM(AD130:AD132)</f>
        <v>0</v>
      </c>
      <c r="AE133" s="694">
        <f t="shared" si="318"/>
        <v>0</v>
      </c>
      <c r="AF133" s="709">
        <f>SUM(AF130:AF132)</f>
        <v>0</v>
      </c>
      <c r="AG133" s="82">
        <f t="shared" ref="AG133:AH133" si="319">SUM(AG130:AG132)</f>
        <v>0</v>
      </c>
      <c r="AH133" s="694">
        <f t="shared" si="319"/>
        <v>0</v>
      </c>
      <c r="AI133" s="709">
        <f>SUM(AI130:AI132)</f>
        <v>0</v>
      </c>
      <c r="AJ133" s="82">
        <f t="shared" ref="AJ133:AK133" si="320">SUM(AJ130:AJ132)</f>
        <v>0</v>
      </c>
      <c r="AK133" s="694">
        <f t="shared" si="320"/>
        <v>0</v>
      </c>
      <c r="AL133" s="709">
        <f t="shared" si="316"/>
        <v>0</v>
      </c>
      <c r="AM133" s="82">
        <f t="shared" ref="AM133:AN133" si="321">SUM(AM130:AM132)</f>
        <v>0</v>
      </c>
      <c r="AN133" s="226">
        <f t="shared" si="321"/>
        <v>0</v>
      </c>
      <c r="AO133" s="555">
        <f t="shared" si="316"/>
        <v>0</v>
      </c>
      <c r="AP133" s="82">
        <f t="shared" si="316"/>
        <v>0</v>
      </c>
      <c r="AQ133" s="226">
        <f t="shared" ref="AQ133" si="322">SUM(AQ130:AQ132)</f>
        <v>0</v>
      </c>
      <c r="AR133" s="555">
        <f t="shared" si="316"/>
        <v>0</v>
      </c>
      <c r="AS133" s="82">
        <f t="shared" ref="AS133" si="323">SUM(AS130:AS132)</f>
        <v>0</v>
      </c>
      <c r="AT133" s="226">
        <f t="shared" si="316"/>
        <v>0</v>
      </c>
      <c r="AU133" s="555">
        <f t="shared" si="316"/>
        <v>0</v>
      </c>
      <c r="AV133" s="190">
        <f t="shared" si="316"/>
        <v>0</v>
      </c>
      <c r="AW133" s="241">
        <f t="shared" si="316"/>
        <v>0</v>
      </c>
      <c r="AX133" s="579">
        <f t="shared" si="316"/>
        <v>0</v>
      </c>
      <c r="AY133" s="204">
        <f t="shared" si="316"/>
        <v>0</v>
      </c>
      <c r="AZ133" s="241">
        <f t="shared" si="316"/>
        <v>0</v>
      </c>
      <c r="BA133" s="579">
        <f t="shared" si="316"/>
        <v>0</v>
      </c>
      <c r="BB133" s="204">
        <f t="shared" si="316"/>
        <v>0</v>
      </c>
      <c r="BC133" s="241">
        <f t="shared" si="316"/>
        <v>0</v>
      </c>
      <c r="BD133" s="579">
        <f t="shared" si="316"/>
        <v>0</v>
      </c>
      <c r="BE133" s="204">
        <f t="shared" si="316"/>
        <v>0</v>
      </c>
      <c r="BF133" s="241">
        <f t="shared" si="316"/>
        <v>0</v>
      </c>
      <c r="BG133" s="579">
        <f t="shared" si="316"/>
        <v>0</v>
      </c>
      <c r="BH133" s="204">
        <f t="shared" si="316"/>
        <v>0</v>
      </c>
      <c r="BI133" s="241">
        <f t="shared" si="316"/>
        <v>0</v>
      </c>
      <c r="BJ133" s="579">
        <f t="shared" si="316"/>
        <v>0</v>
      </c>
      <c r="BK133"/>
    </row>
    <row r="134" spans="1:63">
      <c r="A134" s="80" t="str">
        <f t="shared" si="315"/>
        <v>Trent 500</v>
      </c>
      <c r="B134" s="81">
        <v>0.33600000000000002</v>
      </c>
      <c r="C134" s="81">
        <v>0</v>
      </c>
      <c r="D134" s="81">
        <v>2.0720000000000001</v>
      </c>
      <c r="E134" s="81">
        <v>4.9279999999999999</v>
      </c>
      <c r="F134" s="81">
        <v>6.44</v>
      </c>
      <c r="G134" s="81">
        <v>4.9279999999999999</v>
      </c>
      <c r="H134" s="81">
        <v>5.4320000000000004</v>
      </c>
      <c r="I134" s="81">
        <v>2.52</v>
      </c>
      <c r="J134" s="81">
        <v>2.52</v>
      </c>
      <c r="K134" s="81">
        <v>3.1920000000000002</v>
      </c>
      <c r="L134" s="81">
        <v>0.89600000000000002</v>
      </c>
      <c r="M134" s="81">
        <v>5.6000000000000001E-2</v>
      </c>
      <c r="N134" s="81">
        <v>0.44800000000000001</v>
      </c>
      <c r="O134" s="81">
        <v>0</v>
      </c>
      <c r="P134" s="81">
        <v>0</v>
      </c>
      <c r="Q134" s="81">
        <v>0</v>
      </c>
      <c r="R134" s="81"/>
      <c r="S134" s="636"/>
      <c r="T134" s="653">
        <v>0</v>
      </c>
      <c r="U134" s="40">
        <v>0</v>
      </c>
      <c r="V134" s="630">
        <v>0</v>
      </c>
      <c r="W134" s="653">
        <v>0</v>
      </c>
      <c r="X134" s="40">
        <v>0</v>
      </c>
      <c r="Y134" s="630">
        <v>0</v>
      </c>
      <c r="Z134" s="653">
        <v>0</v>
      </c>
      <c r="AA134" s="40">
        <v>0</v>
      </c>
      <c r="AB134" s="630">
        <v>0</v>
      </c>
      <c r="AC134" s="653">
        <v>0</v>
      </c>
      <c r="AD134" s="40">
        <v>0</v>
      </c>
      <c r="AE134" s="630">
        <v>0</v>
      </c>
      <c r="AF134" s="653">
        <v>0</v>
      </c>
      <c r="AG134" s="40">
        <v>0</v>
      </c>
      <c r="AH134" s="630">
        <v>0</v>
      </c>
      <c r="AI134" s="653">
        <v>0</v>
      </c>
      <c r="AJ134" s="40">
        <v>0</v>
      </c>
      <c r="AK134" s="630">
        <v>0</v>
      </c>
      <c r="AL134" s="653">
        <v>0</v>
      </c>
      <c r="AM134" s="40">
        <v>0</v>
      </c>
      <c r="AN134" s="216">
        <v>0</v>
      </c>
      <c r="AO134" s="556">
        <v>0</v>
      </c>
      <c r="AP134" s="40">
        <v>0</v>
      </c>
      <c r="AQ134" s="216">
        <v>0</v>
      </c>
      <c r="AR134" s="556">
        <v>0</v>
      </c>
      <c r="AS134" s="40">
        <v>0</v>
      </c>
      <c r="AT134" s="216">
        <v>0</v>
      </c>
      <c r="AU134" s="556">
        <v>0</v>
      </c>
      <c r="AV134" s="10">
        <v>0</v>
      </c>
      <c r="AW134" s="236">
        <v>0</v>
      </c>
      <c r="AX134" s="605">
        <v>0</v>
      </c>
      <c r="AY134" s="56">
        <v>0</v>
      </c>
      <c r="AZ134" s="236">
        <v>0</v>
      </c>
      <c r="BA134" s="605">
        <v>0</v>
      </c>
      <c r="BB134" s="56">
        <v>0</v>
      </c>
      <c r="BC134" s="236">
        <v>0</v>
      </c>
      <c r="BD134" s="605">
        <v>0</v>
      </c>
      <c r="BE134" s="56">
        <v>0</v>
      </c>
      <c r="BF134" s="236">
        <v>0</v>
      </c>
      <c r="BG134" s="605">
        <v>0</v>
      </c>
      <c r="BH134" s="56">
        <v>0</v>
      </c>
      <c r="BI134" s="236">
        <v>0</v>
      </c>
      <c r="BJ134" s="605">
        <v>0</v>
      </c>
      <c r="BK134"/>
    </row>
    <row r="135" spans="1:63">
      <c r="A135" s="80" t="str">
        <f t="shared" si="315"/>
        <v>Trent 700</v>
      </c>
      <c r="B135" s="81">
        <v>3.3839999999999999</v>
      </c>
      <c r="C135" s="81">
        <v>3.7440000000000002</v>
      </c>
      <c r="D135" s="81">
        <v>2.16</v>
      </c>
      <c r="E135" s="81">
        <v>2.52</v>
      </c>
      <c r="F135" s="81">
        <v>2.16</v>
      </c>
      <c r="G135" s="81">
        <v>3.8879999999999999</v>
      </c>
      <c r="H135" s="81">
        <v>4.2480000000000002</v>
      </c>
      <c r="I135" s="81">
        <v>5.4</v>
      </c>
      <c r="J135" s="81">
        <v>6.3360000000000003</v>
      </c>
      <c r="K135" s="81">
        <v>9</v>
      </c>
      <c r="L135" s="81">
        <v>10.007999999999999</v>
      </c>
      <c r="M135" s="81">
        <v>9.7200000000000006</v>
      </c>
      <c r="N135" s="81">
        <v>11.304</v>
      </c>
      <c r="O135" s="81">
        <v>13.032</v>
      </c>
      <c r="P135" s="81">
        <v>13.247999999999999</v>
      </c>
      <c r="Q135" s="81">
        <v>10.08</v>
      </c>
      <c r="R135" s="81"/>
      <c r="S135" s="636"/>
      <c r="T135" s="659">
        <v>6.3360000000000003</v>
      </c>
      <c r="U135" s="81">
        <v>3.3839999999999999</v>
      </c>
      <c r="V135" s="636">
        <v>4.5359999999999996</v>
      </c>
      <c r="W135" s="659">
        <v>7.92</v>
      </c>
      <c r="X135" s="81">
        <v>2.952</v>
      </c>
      <c r="Y135" s="636">
        <v>1.5840000000000001</v>
      </c>
      <c r="Z135" s="659">
        <v>4.5359999999999996</v>
      </c>
      <c r="AA135" s="81">
        <v>0.57599999999999996</v>
      </c>
      <c r="AB135" s="636">
        <v>0.14399999999999999</v>
      </c>
      <c r="AC135" s="659">
        <v>0.72</v>
      </c>
      <c r="AD135" s="81">
        <v>0</v>
      </c>
      <c r="AE135" s="636">
        <v>0.14399999999999999</v>
      </c>
      <c r="AF135" s="659">
        <v>0.14399999999999999</v>
      </c>
      <c r="AG135" s="81">
        <v>0</v>
      </c>
      <c r="AH135" s="636">
        <v>0.14399999999999999</v>
      </c>
      <c r="AI135" s="659">
        <v>0.14399999999999999</v>
      </c>
      <c r="AJ135" s="81">
        <v>0</v>
      </c>
      <c r="AK135" s="636">
        <v>7.1999999999999995E-2</v>
      </c>
      <c r="AL135" s="659">
        <v>7.1999999999999995E-2</v>
      </c>
      <c r="AM135" s="81">
        <v>7.1999999999999995E-2</v>
      </c>
      <c r="AN135" s="234">
        <v>0</v>
      </c>
      <c r="AO135" s="561">
        <v>7.1999999999999995E-2</v>
      </c>
      <c r="AP135" s="81">
        <v>0</v>
      </c>
      <c r="AQ135" s="234">
        <v>0</v>
      </c>
      <c r="AR135" s="561">
        <v>0</v>
      </c>
      <c r="AS135" s="81">
        <v>0</v>
      </c>
      <c r="AT135" s="234">
        <v>0</v>
      </c>
      <c r="AU135" s="561">
        <v>0</v>
      </c>
      <c r="AV135" s="203">
        <v>7.1999999999999995E-2</v>
      </c>
      <c r="AW135" s="235">
        <v>0</v>
      </c>
      <c r="AX135" s="611">
        <v>7.1999999999999995E-2</v>
      </c>
      <c r="AY135" s="173">
        <v>0</v>
      </c>
      <c r="AZ135" s="235">
        <v>0</v>
      </c>
      <c r="BA135" s="611">
        <v>0</v>
      </c>
      <c r="BB135" s="173">
        <v>0</v>
      </c>
      <c r="BC135" s="235">
        <v>0</v>
      </c>
      <c r="BD135" s="611">
        <v>0</v>
      </c>
      <c r="BE135" s="173">
        <v>0</v>
      </c>
      <c r="BF135" s="235">
        <v>0</v>
      </c>
      <c r="BG135" s="611">
        <v>0</v>
      </c>
      <c r="BH135" s="173">
        <v>0</v>
      </c>
      <c r="BI135" s="235">
        <v>0</v>
      </c>
      <c r="BJ135" s="611">
        <v>0</v>
      </c>
      <c r="BK135"/>
    </row>
    <row r="136" spans="1:63">
      <c r="A136" s="80" t="str">
        <f t="shared" si="315"/>
        <v>Trent 800</v>
      </c>
      <c r="B136" s="81">
        <v>5.0599999999999996</v>
      </c>
      <c r="C136" s="81">
        <v>7.2679999999999998</v>
      </c>
      <c r="D136" s="81">
        <v>4.968</v>
      </c>
      <c r="E136" s="81">
        <v>2.76</v>
      </c>
      <c r="F136" s="81">
        <v>1.38</v>
      </c>
      <c r="G136" s="81">
        <v>1.9319999999999999</v>
      </c>
      <c r="H136" s="81">
        <v>2.2999999999999998</v>
      </c>
      <c r="I136" s="81">
        <v>0.92</v>
      </c>
      <c r="J136" s="81">
        <v>0.64400000000000002</v>
      </c>
      <c r="K136" s="81">
        <v>0.82799999999999996</v>
      </c>
      <c r="L136" s="81">
        <v>0</v>
      </c>
      <c r="M136" s="81">
        <v>0</v>
      </c>
      <c r="N136" s="81">
        <v>0</v>
      </c>
      <c r="O136" s="81">
        <v>0</v>
      </c>
      <c r="P136" s="81">
        <v>0</v>
      </c>
      <c r="Q136" s="81">
        <v>0</v>
      </c>
      <c r="R136" s="81"/>
      <c r="S136" s="636"/>
      <c r="T136" s="659">
        <v>0</v>
      </c>
      <c r="U136" s="81">
        <v>0</v>
      </c>
      <c r="V136" s="636">
        <v>0</v>
      </c>
      <c r="W136" s="659">
        <v>0</v>
      </c>
      <c r="X136" s="81">
        <v>0</v>
      </c>
      <c r="Y136" s="636">
        <v>0</v>
      </c>
      <c r="Z136" s="659">
        <v>0</v>
      </c>
      <c r="AA136" s="81">
        <v>0</v>
      </c>
      <c r="AB136" s="636">
        <v>0</v>
      </c>
      <c r="AC136" s="659">
        <v>0</v>
      </c>
      <c r="AD136" s="81">
        <v>0</v>
      </c>
      <c r="AE136" s="636">
        <v>0</v>
      </c>
      <c r="AF136" s="659">
        <v>0</v>
      </c>
      <c r="AG136" s="81">
        <v>0</v>
      </c>
      <c r="AH136" s="636">
        <v>0</v>
      </c>
      <c r="AI136" s="659">
        <v>0</v>
      </c>
      <c r="AJ136" s="81">
        <v>0</v>
      </c>
      <c r="AK136" s="636">
        <v>0</v>
      </c>
      <c r="AL136" s="659">
        <v>0</v>
      </c>
      <c r="AM136" s="81">
        <v>0</v>
      </c>
      <c r="AN136" s="234">
        <v>0</v>
      </c>
      <c r="AO136" s="561">
        <v>0</v>
      </c>
      <c r="AP136" s="81">
        <v>0</v>
      </c>
      <c r="AQ136" s="234">
        <v>0</v>
      </c>
      <c r="AR136" s="561">
        <v>0</v>
      </c>
      <c r="AS136" s="81">
        <v>0</v>
      </c>
      <c r="AT136" s="234">
        <v>0</v>
      </c>
      <c r="AU136" s="561">
        <v>0</v>
      </c>
      <c r="AV136" s="203">
        <v>0</v>
      </c>
      <c r="AW136" s="235">
        <v>0</v>
      </c>
      <c r="AX136" s="611">
        <v>0</v>
      </c>
      <c r="AY136" s="173">
        <v>0</v>
      </c>
      <c r="AZ136" s="235">
        <v>0</v>
      </c>
      <c r="BA136" s="611">
        <v>0</v>
      </c>
      <c r="BB136" s="173">
        <v>0</v>
      </c>
      <c r="BC136" s="235">
        <v>0</v>
      </c>
      <c r="BD136" s="611">
        <v>0</v>
      </c>
      <c r="BE136" s="173">
        <v>0</v>
      </c>
      <c r="BF136" s="235">
        <v>0</v>
      </c>
      <c r="BG136" s="611">
        <v>0</v>
      </c>
      <c r="BH136" s="173">
        <v>0</v>
      </c>
      <c r="BI136" s="235">
        <v>0</v>
      </c>
      <c r="BJ136" s="611">
        <v>0</v>
      </c>
      <c r="BK136"/>
    </row>
    <row r="137" spans="1:63">
      <c r="A137" s="80" t="str">
        <f t="shared" si="315"/>
        <v>Trent 900</v>
      </c>
      <c r="B137" s="81">
        <v>0</v>
      </c>
      <c r="C137" s="81">
        <v>0</v>
      </c>
      <c r="D137" s="81">
        <v>0</v>
      </c>
      <c r="E137" s="81">
        <v>0</v>
      </c>
      <c r="F137" s="81">
        <v>0</v>
      </c>
      <c r="G137" s="81">
        <v>0</v>
      </c>
      <c r="H137" s="81">
        <v>1.4</v>
      </c>
      <c r="I137" s="81">
        <v>0.7</v>
      </c>
      <c r="J137" s="81">
        <v>3.36</v>
      </c>
      <c r="K137" s="81">
        <v>2.31</v>
      </c>
      <c r="L137" s="81">
        <v>2.1</v>
      </c>
      <c r="M137" s="81">
        <v>4.9000000000000004</v>
      </c>
      <c r="N137" s="81">
        <v>4.4800000000000004</v>
      </c>
      <c r="O137" s="81">
        <v>2.94</v>
      </c>
      <c r="P137" s="81">
        <v>2.4500000000000002</v>
      </c>
      <c r="Q137" s="81">
        <v>0.42</v>
      </c>
      <c r="R137" s="81"/>
      <c r="S137" s="636"/>
      <c r="T137" s="659">
        <v>2.1</v>
      </c>
      <c r="U137" s="81">
        <v>2.2400000000000002</v>
      </c>
      <c r="V137" s="636">
        <v>2.4500000000000002</v>
      </c>
      <c r="W137" s="659">
        <v>4.6900000000000004</v>
      </c>
      <c r="X137" s="81">
        <v>2.0299999999999998</v>
      </c>
      <c r="Y137" s="636">
        <v>1.05</v>
      </c>
      <c r="Z137" s="659">
        <v>3.08</v>
      </c>
      <c r="AA137" s="81">
        <v>1.26</v>
      </c>
      <c r="AB137" s="636">
        <v>1.1200000000000001</v>
      </c>
      <c r="AC137" s="659">
        <v>2.38</v>
      </c>
      <c r="AD137" s="81">
        <v>0.56000000000000005</v>
      </c>
      <c r="AE137" s="636">
        <v>0.49</v>
      </c>
      <c r="AF137" s="659">
        <v>1.05</v>
      </c>
      <c r="AG137" s="81">
        <v>0</v>
      </c>
      <c r="AH137" s="636">
        <v>7.0000000000000007E-2</v>
      </c>
      <c r="AI137" s="659">
        <v>7.0000000000000007E-2</v>
      </c>
      <c r="AJ137" s="81">
        <v>7.0000000000000007E-2</v>
      </c>
      <c r="AK137" s="636">
        <v>7.0000000000000007E-2</v>
      </c>
      <c r="AL137" s="659">
        <v>0.14000000000000001</v>
      </c>
      <c r="AM137" s="81">
        <v>0</v>
      </c>
      <c r="AN137" s="234">
        <v>0</v>
      </c>
      <c r="AO137" s="561">
        <v>0</v>
      </c>
      <c r="AP137" s="81">
        <v>0</v>
      </c>
      <c r="AQ137" s="234">
        <v>0</v>
      </c>
      <c r="AR137" s="561">
        <v>0</v>
      </c>
      <c r="AS137" s="81">
        <v>0</v>
      </c>
      <c r="AT137" s="234">
        <v>0</v>
      </c>
      <c r="AU137" s="561">
        <v>0</v>
      </c>
      <c r="AV137" s="203">
        <v>0</v>
      </c>
      <c r="AW137" s="235">
        <v>0</v>
      </c>
      <c r="AX137" s="611">
        <v>0</v>
      </c>
      <c r="AY137" s="173">
        <v>0</v>
      </c>
      <c r="AZ137" s="235">
        <v>0</v>
      </c>
      <c r="BA137" s="611">
        <v>0</v>
      </c>
      <c r="BB137" s="173">
        <v>0</v>
      </c>
      <c r="BC137" s="235">
        <v>0</v>
      </c>
      <c r="BD137" s="611">
        <v>0</v>
      </c>
      <c r="BE137" s="173">
        <v>0</v>
      </c>
      <c r="BF137" s="235">
        <v>0</v>
      </c>
      <c r="BG137" s="611">
        <v>0</v>
      </c>
      <c r="BH137" s="173">
        <v>0</v>
      </c>
      <c r="BI137" s="235">
        <v>0</v>
      </c>
      <c r="BJ137" s="611">
        <v>0</v>
      </c>
      <c r="BK137"/>
    </row>
    <row r="138" spans="1:63">
      <c r="A138" s="80" t="str">
        <f t="shared" si="315"/>
        <v>Trent 1000</v>
      </c>
      <c r="B138" s="81">
        <v>0</v>
      </c>
      <c r="C138" s="81">
        <v>0</v>
      </c>
      <c r="D138" s="81">
        <v>0</v>
      </c>
      <c r="E138" s="81">
        <v>0</v>
      </c>
      <c r="F138" s="81">
        <v>0</v>
      </c>
      <c r="G138" s="81">
        <v>0</v>
      </c>
      <c r="H138" s="81">
        <v>0</v>
      </c>
      <c r="I138" s="81">
        <v>0</v>
      </c>
      <c r="J138" s="81">
        <v>0</v>
      </c>
      <c r="K138" s="81">
        <v>0</v>
      </c>
      <c r="L138" s="81">
        <v>0</v>
      </c>
      <c r="M138" s="81">
        <v>1.278</v>
      </c>
      <c r="N138" s="81">
        <v>3.266</v>
      </c>
      <c r="O138" s="81">
        <v>4.1890000000000001</v>
      </c>
      <c r="P138" s="81">
        <v>5.609</v>
      </c>
      <c r="Q138" s="81">
        <v>7.5259999999999998</v>
      </c>
      <c r="R138" s="81"/>
      <c r="S138" s="636"/>
      <c r="T138" s="659">
        <v>8.6620000000000008</v>
      </c>
      <c r="U138" s="81">
        <v>3.1949999999999998</v>
      </c>
      <c r="V138" s="636">
        <v>4.5439999999999996</v>
      </c>
      <c r="W138" s="659">
        <v>7.7389999999999999</v>
      </c>
      <c r="X138" s="81">
        <v>5.1829999999999998</v>
      </c>
      <c r="Y138" s="636">
        <v>3.6920000000000002</v>
      </c>
      <c r="Z138" s="659">
        <v>8.875</v>
      </c>
      <c r="AA138" s="81">
        <v>4.1890000000000001</v>
      </c>
      <c r="AB138" s="636">
        <v>4.7569999999999997</v>
      </c>
      <c r="AC138" s="659">
        <v>8.9459999999999997</v>
      </c>
      <c r="AD138" s="81">
        <v>3.4079999999999999</v>
      </c>
      <c r="AE138" s="636">
        <v>2.4140000000000001</v>
      </c>
      <c r="AF138" s="659">
        <v>5.8220000000000001</v>
      </c>
      <c r="AG138" s="81">
        <v>0.78100000000000003</v>
      </c>
      <c r="AH138" s="636">
        <v>7.0999999999999994E-2</v>
      </c>
      <c r="AI138" s="659">
        <v>0.85199999999999998</v>
      </c>
      <c r="AJ138" s="81">
        <v>0</v>
      </c>
      <c r="AK138" s="636">
        <v>0.35499999999999998</v>
      </c>
      <c r="AL138" s="659">
        <v>0.35499999999999998</v>
      </c>
      <c r="AM138" s="81">
        <v>0.92300000000000004</v>
      </c>
      <c r="AN138" s="234">
        <v>1.7749999999999999</v>
      </c>
      <c r="AO138" s="561">
        <v>2.698</v>
      </c>
      <c r="AP138" s="81">
        <v>1.704</v>
      </c>
      <c r="AQ138" s="234">
        <v>1.633</v>
      </c>
      <c r="AR138" s="561">
        <v>3.3370000000000002</v>
      </c>
      <c r="AS138" s="81">
        <v>1.349</v>
      </c>
      <c r="AT138" s="234">
        <v>1.4910000000000001</v>
      </c>
      <c r="AU138" s="561">
        <v>2.84</v>
      </c>
      <c r="AV138" s="203">
        <v>0.63900000000000001</v>
      </c>
      <c r="AW138" s="235">
        <v>2.343</v>
      </c>
      <c r="AX138" s="611">
        <v>2.9820000000000002</v>
      </c>
      <c r="AY138" s="173">
        <v>1.704</v>
      </c>
      <c r="AZ138" s="235">
        <v>1.704</v>
      </c>
      <c r="BA138" s="611">
        <v>3.4079999999999999</v>
      </c>
      <c r="BB138" s="173">
        <v>1.704</v>
      </c>
      <c r="BC138" s="235">
        <v>1.704</v>
      </c>
      <c r="BD138" s="611">
        <v>3.4079999999999999</v>
      </c>
      <c r="BE138" s="173">
        <v>1.704</v>
      </c>
      <c r="BF138" s="235">
        <v>1.704</v>
      </c>
      <c r="BG138" s="611">
        <v>3.4079999999999999</v>
      </c>
      <c r="BH138" s="173">
        <v>1.704</v>
      </c>
      <c r="BI138" s="235">
        <v>1.704</v>
      </c>
      <c r="BJ138" s="611">
        <v>3.4079999999999999</v>
      </c>
      <c r="BK138"/>
    </row>
    <row r="139" spans="1:63">
      <c r="A139" s="66" t="str">
        <f t="shared" si="315"/>
        <v>Trent XWB-84</v>
      </c>
      <c r="B139" s="81">
        <v>0</v>
      </c>
      <c r="C139" s="81">
        <v>0</v>
      </c>
      <c r="D139" s="81">
        <v>0</v>
      </c>
      <c r="E139" s="81">
        <v>0</v>
      </c>
      <c r="F139" s="81">
        <v>0</v>
      </c>
      <c r="G139" s="81">
        <v>0</v>
      </c>
      <c r="H139" s="81">
        <v>0</v>
      </c>
      <c r="I139" s="81">
        <v>0</v>
      </c>
      <c r="J139" s="81">
        <v>0</v>
      </c>
      <c r="K139" s="81">
        <v>0</v>
      </c>
      <c r="L139" s="81">
        <v>0</v>
      </c>
      <c r="M139" s="81">
        <v>0</v>
      </c>
      <c r="N139" s="81">
        <v>0</v>
      </c>
      <c r="O139" s="81">
        <v>0</v>
      </c>
      <c r="P139" s="81">
        <v>1.0920000000000001</v>
      </c>
      <c r="Q139" s="81">
        <v>4.7039999999999997</v>
      </c>
      <c r="R139" s="81"/>
      <c r="S139" s="636"/>
      <c r="T139" s="659">
        <v>9.8279999999999994</v>
      </c>
      <c r="U139" s="81">
        <v>7.14</v>
      </c>
      <c r="V139" s="636">
        <v>9.3239999999999998</v>
      </c>
      <c r="W139" s="659">
        <v>16.463999999999999</v>
      </c>
      <c r="X139" s="81">
        <v>8.5679999999999996</v>
      </c>
      <c r="Y139" s="636">
        <v>6.8879999999999999</v>
      </c>
      <c r="Z139" s="659">
        <v>15.456</v>
      </c>
      <c r="AA139" s="81">
        <v>7.14</v>
      </c>
      <c r="AB139" s="636">
        <v>7.8120000000000003</v>
      </c>
      <c r="AC139" s="659">
        <v>14.952</v>
      </c>
      <c r="AD139" s="81">
        <v>4.2839999999999998</v>
      </c>
      <c r="AE139" s="636">
        <v>4.8719999999999999</v>
      </c>
      <c r="AF139" s="659">
        <v>9.1560000000000006</v>
      </c>
      <c r="AG139" s="81">
        <v>5.04</v>
      </c>
      <c r="AH139" s="636">
        <v>5.04</v>
      </c>
      <c r="AI139" s="659">
        <v>10.08</v>
      </c>
      <c r="AJ139" s="81">
        <v>3.6120000000000001</v>
      </c>
      <c r="AK139" s="636">
        <v>4.452</v>
      </c>
      <c r="AL139" s="659">
        <v>8.0640000000000001</v>
      </c>
      <c r="AM139" s="81">
        <v>4.62</v>
      </c>
      <c r="AN139" s="234">
        <v>5.2919999999999998</v>
      </c>
      <c r="AO139" s="561">
        <v>9.9120000000000008</v>
      </c>
      <c r="AP139" s="81">
        <v>3.6960000000000002</v>
      </c>
      <c r="AQ139" s="234">
        <v>5.46</v>
      </c>
      <c r="AR139" s="561">
        <v>9.1560000000000006</v>
      </c>
      <c r="AS139" s="81">
        <v>4.3680000000000003</v>
      </c>
      <c r="AT139" s="234">
        <v>4.5359999999999996</v>
      </c>
      <c r="AU139" s="561">
        <v>8.9039999999999999</v>
      </c>
      <c r="AV139" s="203">
        <v>5.2080000000000002</v>
      </c>
      <c r="AW139" s="235">
        <v>4.3680000000000003</v>
      </c>
      <c r="AX139" s="611">
        <v>9.5760000000000005</v>
      </c>
      <c r="AY139" s="173">
        <v>5.5439999999999996</v>
      </c>
      <c r="AZ139" s="235">
        <v>5.88</v>
      </c>
      <c r="BA139" s="611">
        <v>11.423999999999999</v>
      </c>
      <c r="BB139" s="173">
        <v>6.2160000000000002</v>
      </c>
      <c r="BC139" s="235">
        <v>6.6360000000000001</v>
      </c>
      <c r="BD139" s="611">
        <v>12.852</v>
      </c>
      <c r="BE139" s="173">
        <v>7.056</v>
      </c>
      <c r="BF139" s="235">
        <v>6.8879999999999999</v>
      </c>
      <c r="BG139" s="611">
        <v>13.944000000000001</v>
      </c>
      <c r="BH139" s="173">
        <v>7.056</v>
      </c>
      <c r="BI139" s="235">
        <v>6.8879999999999999</v>
      </c>
      <c r="BJ139" s="611">
        <v>13.944000000000001</v>
      </c>
      <c r="BK139"/>
    </row>
    <row r="140" spans="1:63">
      <c r="A140" s="66" t="str">
        <f t="shared" si="315"/>
        <v>Trent XWB-97</v>
      </c>
      <c r="B140" s="81">
        <v>0</v>
      </c>
      <c r="C140" s="81">
        <v>0</v>
      </c>
      <c r="D140" s="81">
        <v>0</v>
      </c>
      <c r="E140" s="81">
        <v>0</v>
      </c>
      <c r="F140" s="81">
        <v>0</v>
      </c>
      <c r="G140" s="81">
        <v>0</v>
      </c>
      <c r="H140" s="81">
        <v>0</v>
      </c>
      <c r="I140" s="81">
        <v>0</v>
      </c>
      <c r="J140" s="81">
        <v>0</v>
      </c>
      <c r="K140" s="81">
        <v>0</v>
      </c>
      <c r="L140" s="81">
        <v>0</v>
      </c>
      <c r="M140" s="81">
        <v>0</v>
      </c>
      <c r="N140" s="81">
        <v>0</v>
      </c>
      <c r="O140" s="81">
        <v>0</v>
      </c>
      <c r="P140" s="81">
        <v>0</v>
      </c>
      <c r="Q140" s="81">
        <v>0</v>
      </c>
      <c r="R140" s="81"/>
      <c r="S140" s="636"/>
      <c r="T140" s="659">
        <v>0</v>
      </c>
      <c r="U140" s="81">
        <v>0</v>
      </c>
      <c r="V140" s="636">
        <v>9.7000000000000003E-2</v>
      </c>
      <c r="W140" s="659">
        <v>9.7000000000000003E-2</v>
      </c>
      <c r="X140" s="81">
        <v>1.3580000000000001</v>
      </c>
      <c r="Y140" s="636">
        <v>3.0070000000000001</v>
      </c>
      <c r="Z140" s="659">
        <v>4.3650000000000002</v>
      </c>
      <c r="AA140" s="81">
        <v>3.2010000000000001</v>
      </c>
      <c r="AB140" s="636">
        <v>7.0810000000000004</v>
      </c>
      <c r="AC140" s="659">
        <v>10.282</v>
      </c>
      <c r="AD140" s="81">
        <v>2.1339999999999999</v>
      </c>
      <c r="AE140" s="636">
        <v>1.1639999999999999</v>
      </c>
      <c r="AF140" s="659">
        <v>3.298</v>
      </c>
      <c r="AG140" s="81">
        <v>0.873</v>
      </c>
      <c r="AH140" s="636">
        <v>1.94</v>
      </c>
      <c r="AI140" s="659">
        <v>2.8130000000000002</v>
      </c>
      <c r="AJ140" s="81">
        <v>1.0669999999999999</v>
      </c>
      <c r="AK140" s="636">
        <v>1.1639999999999999</v>
      </c>
      <c r="AL140" s="659">
        <v>2.2309999999999999</v>
      </c>
      <c r="AM140" s="81">
        <v>1.0669999999999999</v>
      </c>
      <c r="AN140" s="234">
        <v>1.94</v>
      </c>
      <c r="AO140" s="561">
        <v>3.0070000000000001</v>
      </c>
      <c r="AP140" s="81">
        <v>1.4550000000000001</v>
      </c>
      <c r="AQ140" s="234">
        <v>2.0369999999999999</v>
      </c>
      <c r="AR140" s="561">
        <v>3.492</v>
      </c>
      <c r="AS140" s="81">
        <v>1.649</v>
      </c>
      <c r="AT140" s="234">
        <v>2.0369999999999999</v>
      </c>
      <c r="AU140" s="561">
        <v>3.6859999999999999</v>
      </c>
      <c r="AV140" s="203">
        <v>3.298</v>
      </c>
      <c r="AW140" s="235">
        <v>1.4581290322580645</v>
      </c>
      <c r="AX140" s="611">
        <v>4.7561290322580643</v>
      </c>
      <c r="AY140" s="173">
        <v>2.5866666666666669</v>
      </c>
      <c r="AZ140" s="235">
        <v>2.8218181818181818</v>
      </c>
      <c r="BA140" s="611">
        <v>5.4084848484848482</v>
      </c>
      <c r="BB140" s="173">
        <v>2.8529411764705883</v>
      </c>
      <c r="BC140" s="235">
        <v>3.0811764705882352</v>
      </c>
      <c r="BD140" s="611">
        <v>5.9341176470588239</v>
      </c>
      <c r="BE140" s="173">
        <v>3.1952941176470593</v>
      </c>
      <c r="BF140" s="235">
        <v>3.1952941176470593</v>
      </c>
      <c r="BG140" s="611">
        <v>6.3905882352941186</v>
      </c>
      <c r="BH140" s="173">
        <v>3.1952941176470593</v>
      </c>
      <c r="BI140" s="235">
        <v>3.1952941176470593</v>
      </c>
      <c r="BJ140" s="611">
        <v>6.3905882352941186</v>
      </c>
      <c r="BK140"/>
    </row>
    <row r="141" spans="1:63">
      <c r="A141" s="66" t="str">
        <f t="shared" si="315"/>
        <v>Trent 7000</v>
      </c>
      <c r="B141" s="81">
        <v>0</v>
      </c>
      <c r="C141" s="81">
        <v>0</v>
      </c>
      <c r="D141" s="81">
        <v>0</v>
      </c>
      <c r="E141" s="81">
        <v>0</v>
      </c>
      <c r="F141" s="81">
        <v>0</v>
      </c>
      <c r="G141" s="81">
        <v>0</v>
      </c>
      <c r="H141" s="81">
        <v>0</v>
      </c>
      <c r="I141" s="81">
        <v>0</v>
      </c>
      <c r="J141" s="81">
        <v>0</v>
      </c>
      <c r="K141" s="81">
        <v>0</v>
      </c>
      <c r="L141" s="81">
        <v>0</v>
      </c>
      <c r="M141" s="81">
        <v>0</v>
      </c>
      <c r="N141" s="81">
        <v>0</v>
      </c>
      <c r="O141" s="81">
        <v>0</v>
      </c>
      <c r="P141" s="81">
        <v>0</v>
      </c>
      <c r="Q141" s="81">
        <v>0</v>
      </c>
      <c r="R141" s="81"/>
      <c r="S141" s="636"/>
      <c r="T141" s="659">
        <v>0</v>
      </c>
      <c r="U141" s="81">
        <v>0</v>
      </c>
      <c r="V141" s="636">
        <v>0</v>
      </c>
      <c r="W141" s="659">
        <v>0</v>
      </c>
      <c r="X141" s="81">
        <v>0</v>
      </c>
      <c r="Y141" s="636">
        <v>0.57599999999999996</v>
      </c>
      <c r="Z141" s="659">
        <v>0.57599999999999996</v>
      </c>
      <c r="AA141" s="81">
        <v>3.8879999999999999</v>
      </c>
      <c r="AB141" s="636">
        <v>0.14399999999999999</v>
      </c>
      <c r="AC141" s="659">
        <v>4.032</v>
      </c>
      <c r="AD141" s="81">
        <v>0.57599999999999996</v>
      </c>
      <c r="AE141" s="636">
        <v>1.008</v>
      </c>
      <c r="AF141" s="659">
        <v>1.5840000000000001</v>
      </c>
      <c r="AG141" s="81">
        <v>1.44</v>
      </c>
      <c r="AH141" s="636">
        <v>0.79200000000000004</v>
      </c>
      <c r="AI141" s="659">
        <v>2.2320000000000002</v>
      </c>
      <c r="AJ141" s="81">
        <v>1.6559999999999999</v>
      </c>
      <c r="AK141" s="636">
        <v>2.88</v>
      </c>
      <c r="AL141" s="659">
        <v>4.5359999999999996</v>
      </c>
      <c r="AM141" s="81">
        <v>2.52</v>
      </c>
      <c r="AN141" s="234">
        <v>2.8079999999999998</v>
      </c>
      <c r="AO141" s="561">
        <v>5.3280000000000003</v>
      </c>
      <c r="AP141" s="81">
        <v>2.6640000000000001</v>
      </c>
      <c r="AQ141" s="234">
        <v>3.528</v>
      </c>
      <c r="AR141" s="561">
        <v>6.1920000000000002</v>
      </c>
      <c r="AS141" s="81">
        <v>2.448</v>
      </c>
      <c r="AT141" s="234">
        <v>2.952</v>
      </c>
      <c r="AU141" s="561">
        <v>5.4</v>
      </c>
      <c r="AV141" s="203">
        <v>3.6720000000000002</v>
      </c>
      <c r="AW141" s="235">
        <v>1.08</v>
      </c>
      <c r="AX141" s="611">
        <v>4.7519999999999998</v>
      </c>
      <c r="AY141" s="173">
        <v>2.448</v>
      </c>
      <c r="AZ141" s="235">
        <v>2.3039999999999998</v>
      </c>
      <c r="BA141" s="611">
        <v>4.7519999999999998</v>
      </c>
      <c r="BB141" s="173">
        <v>2.448</v>
      </c>
      <c r="BC141" s="235">
        <v>2.3039999999999998</v>
      </c>
      <c r="BD141" s="611">
        <v>4.7519999999999998</v>
      </c>
      <c r="BE141" s="173">
        <v>2.448</v>
      </c>
      <c r="BF141" s="235">
        <v>2.52</v>
      </c>
      <c r="BG141" s="611">
        <v>4.968</v>
      </c>
      <c r="BH141" s="173">
        <v>2.88</v>
      </c>
      <c r="BI141" s="235">
        <v>2.0880000000000001</v>
      </c>
      <c r="BJ141" s="611">
        <v>4.968</v>
      </c>
      <c r="BK141"/>
    </row>
    <row r="142" spans="1:63">
      <c r="A142" s="82" t="str">
        <f t="shared" si="315"/>
        <v>Trent</v>
      </c>
      <c r="B142" s="83">
        <f t="shared" ref="B142:Q142" si="324">SUM(B134:B141)</f>
        <v>8.7799999999999994</v>
      </c>
      <c r="C142" s="83">
        <f t="shared" si="324"/>
        <v>11.012</v>
      </c>
      <c r="D142" s="83">
        <f t="shared" si="324"/>
        <v>9.1999999999999993</v>
      </c>
      <c r="E142" s="83">
        <f t="shared" si="324"/>
        <v>10.208</v>
      </c>
      <c r="F142" s="83">
        <f t="shared" si="324"/>
        <v>9.98</v>
      </c>
      <c r="G142" s="83">
        <f t="shared" si="324"/>
        <v>10.747999999999999</v>
      </c>
      <c r="H142" s="83">
        <f t="shared" si="324"/>
        <v>13.38</v>
      </c>
      <c r="I142" s="83">
        <f t="shared" si="324"/>
        <v>9.5399999999999991</v>
      </c>
      <c r="J142" s="83">
        <f t="shared" si="324"/>
        <v>12.86</v>
      </c>
      <c r="K142" s="83">
        <f t="shared" si="324"/>
        <v>15.33</v>
      </c>
      <c r="L142" s="83">
        <f t="shared" si="324"/>
        <v>13.004</v>
      </c>
      <c r="M142" s="83">
        <f t="shared" si="324"/>
        <v>15.954000000000001</v>
      </c>
      <c r="N142" s="83">
        <f t="shared" si="324"/>
        <v>19.497999999999998</v>
      </c>
      <c r="O142" s="83">
        <f t="shared" si="324"/>
        <v>20.161000000000001</v>
      </c>
      <c r="P142" s="83">
        <f t="shared" si="324"/>
        <v>22.399000000000001</v>
      </c>
      <c r="Q142" s="83">
        <f t="shared" si="324"/>
        <v>22.73</v>
      </c>
      <c r="R142" s="83"/>
      <c r="S142" s="779"/>
      <c r="T142" s="786">
        <f t="shared" ref="T142:BJ142" si="325">SUM(T134:T141)</f>
        <v>26.925999999999998</v>
      </c>
      <c r="U142" s="83">
        <f t="shared" si="325"/>
        <v>15.959</v>
      </c>
      <c r="V142" s="779">
        <f t="shared" si="325"/>
        <v>20.951000000000001</v>
      </c>
      <c r="W142" s="786">
        <f t="shared" si="325"/>
        <v>36.910000000000004</v>
      </c>
      <c r="X142" s="83">
        <f t="shared" si="325"/>
        <v>20.090999999999998</v>
      </c>
      <c r="Y142" s="779">
        <f t="shared" si="325"/>
        <v>16.797000000000001</v>
      </c>
      <c r="Z142" s="786">
        <f t="shared" si="325"/>
        <v>36.887999999999998</v>
      </c>
      <c r="AA142" s="83">
        <f t="shared" si="325"/>
        <v>20.253999999999998</v>
      </c>
      <c r="AB142" s="779">
        <f t="shared" si="325"/>
        <v>21.058</v>
      </c>
      <c r="AC142" s="786">
        <f t="shared" si="325"/>
        <v>41.311999999999998</v>
      </c>
      <c r="AD142" s="83">
        <f t="shared" si="325"/>
        <v>10.962</v>
      </c>
      <c r="AE142" s="779">
        <f t="shared" si="325"/>
        <v>10.091999999999999</v>
      </c>
      <c r="AF142" s="786">
        <f t="shared" si="325"/>
        <v>21.053999999999998</v>
      </c>
      <c r="AG142" s="83">
        <f t="shared" si="325"/>
        <v>8.1340000000000003</v>
      </c>
      <c r="AH142" s="779">
        <f t="shared" si="325"/>
        <v>8.0570000000000004</v>
      </c>
      <c r="AI142" s="786">
        <f t="shared" si="325"/>
        <v>16.191000000000003</v>
      </c>
      <c r="AJ142" s="83">
        <f t="shared" si="325"/>
        <v>6.4049999999999994</v>
      </c>
      <c r="AK142" s="779">
        <f t="shared" si="325"/>
        <v>8.9929999999999986</v>
      </c>
      <c r="AL142" s="786">
        <f t="shared" si="325"/>
        <v>15.398</v>
      </c>
      <c r="AM142" s="83">
        <f t="shared" si="325"/>
        <v>9.202</v>
      </c>
      <c r="AN142" s="1001">
        <f t="shared" si="325"/>
        <v>11.815</v>
      </c>
      <c r="AO142" s="1002">
        <f t="shared" si="325"/>
        <v>21.016999999999999</v>
      </c>
      <c r="AP142" s="83">
        <f t="shared" ref="AP142" si="326">SUM(AP134:AP141)</f>
        <v>9.5190000000000001</v>
      </c>
      <c r="AQ142" s="1001">
        <f t="shared" si="325"/>
        <v>12.657999999999999</v>
      </c>
      <c r="AR142" s="1002">
        <f t="shared" si="325"/>
        <v>22.177</v>
      </c>
      <c r="AS142" s="83">
        <f t="shared" si="325"/>
        <v>9.8140000000000001</v>
      </c>
      <c r="AT142" s="1001">
        <f t="shared" si="325"/>
        <v>11.016</v>
      </c>
      <c r="AU142" s="1002">
        <f t="shared" si="325"/>
        <v>20.83</v>
      </c>
      <c r="AV142" s="1125">
        <f t="shared" si="325"/>
        <v>12.889000000000001</v>
      </c>
      <c r="AW142" s="755">
        <f t="shared" si="325"/>
        <v>9.2491290322580646</v>
      </c>
      <c r="AX142" s="768">
        <f t="shared" si="325"/>
        <v>22.138129032258064</v>
      </c>
      <c r="AY142" s="347">
        <f t="shared" si="325"/>
        <v>12.282666666666668</v>
      </c>
      <c r="AZ142" s="755">
        <f t="shared" si="325"/>
        <v>12.709818181818182</v>
      </c>
      <c r="BA142" s="768">
        <f t="shared" si="325"/>
        <v>24.992484848484846</v>
      </c>
      <c r="BB142" s="347">
        <f t="shared" si="325"/>
        <v>13.220941176470589</v>
      </c>
      <c r="BC142" s="755">
        <f t="shared" si="325"/>
        <v>13.725176470588236</v>
      </c>
      <c r="BD142" s="768">
        <f t="shared" si="325"/>
        <v>26.946117647058824</v>
      </c>
      <c r="BE142" s="347">
        <f t="shared" si="325"/>
        <v>14.403294117647059</v>
      </c>
      <c r="BF142" s="755">
        <f t="shared" si="325"/>
        <v>14.307294117647059</v>
      </c>
      <c r="BG142" s="768">
        <f t="shared" si="325"/>
        <v>28.710588235294118</v>
      </c>
      <c r="BH142" s="347">
        <f t="shared" si="325"/>
        <v>14.835294117647059</v>
      </c>
      <c r="BI142" s="755">
        <f t="shared" si="325"/>
        <v>13.875294117647059</v>
      </c>
      <c r="BJ142" s="768">
        <f t="shared" si="325"/>
        <v>28.710588235294118</v>
      </c>
      <c r="BK142"/>
    </row>
    <row r="143" spans="1:63">
      <c r="A143" s="84" t="str">
        <f t="shared" si="315"/>
        <v>Civil Large Engines</v>
      </c>
      <c r="B143" s="85">
        <f t="shared" ref="B143:Q143" si="327">B133+B142</f>
        <v>11.899999999999999</v>
      </c>
      <c r="C143" s="85">
        <f t="shared" si="327"/>
        <v>15.252000000000001</v>
      </c>
      <c r="D143" s="85">
        <f t="shared" si="327"/>
        <v>10.479999999999999</v>
      </c>
      <c r="E143" s="85">
        <f t="shared" si="327"/>
        <v>10.888</v>
      </c>
      <c r="F143" s="85">
        <f t="shared" si="327"/>
        <v>10.52</v>
      </c>
      <c r="G143" s="85">
        <f t="shared" si="327"/>
        <v>11.167999999999999</v>
      </c>
      <c r="H143" s="85">
        <f t="shared" si="327"/>
        <v>13.46</v>
      </c>
      <c r="I143" s="85">
        <f t="shared" si="327"/>
        <v>9.84</v>
      </c>
      <c r="J143" s="85">
        <f t="shared" si="327"/>
        <v>13.139999999999999</v>
      </c>
      <c r="K143" s="85">
        <f t="shared" si="327"/>
        <v>15.37</v>
      </c>
      <c r="L143" s="85">
        <f t="shared" si="327"/>
        <v>13.004</v>
      </c>
      <c r="M143" s="85">
        <f t="shared" si="327"/>
        <v>15.954000000000001</v>
      </c>
      <c r="N143" s="85">
        <f t="shared" si="327"/>
        <v>19.497999999999998</v>
      </c>
      <c r="O143" s="85">
        <f t="shared" si="327"/>
        <v>20.161000000000001</v>
      </c>
      <c r="P143" s="85">
        <f t="shared" si="327"/>
        <v>22.399000000000001</v>
      </c>
      <c r="Q143" s="85">
        <f t="shared" si="327"/>
        <v>22.73</v>
      </c>
      <c r="R143" s="85"/>
      <c r="S143" s="635"/>
      <c r="T143" s="658">
        <f t="shared" ref="T143:BJ143" si="328">T133+T142</f>
        <v>26.925999999999998</v>
      </c>
      <c r="U143" s="85">
        <f t="shared" si="328"/>
        <v>15.959</v>
      </c>
      <c r="V143" s="635">
        <f t="shared" si="328"/>
        <v>20.951000000000001</v>
      </c>
      <c r="W143" s="658">
        <f t="shared" si="328"/>
        <v>36.910000000000004</v>
      </c>
      <c r="X143" s="85">
        <f t="shared" si="328"/>
        <v>20.090999999999998</v>
      </c>
      <c r="Y143" s="635">
        <f t="shared" si="328"/>
        <v>16.797000000000001</v>
      </c>
      <c r="Z143" s="658">
        <f t="shared" si="328"/>
        <v>36.887999999999998</v>
      </c>
      <c r="AA143" s="85">
        <f t="shared" si="328"/>
        <v>20.253999999999998</v>
      </c>
      <c r="AB143" s="635">
        <f t="shared" si="328"/>
        <v>21.058</v>
      </c>
      <c r="AC143" s="658">
        <f t="shared" si="328"/>
        <v>41.311999999999998</v>
      </c>
      <c r="AD143" s="85">
        <f t="shared" si="328"/>
        <v>10.962</v>
      </c>
      <c r="AE143" s="635">
        <f t="shared" si="328"/>
        <v>10.091999999999999</v>
      </c>
      <c r="AF143" s="658">
        <f t="shared" si="328"/>
        <v>21.053999999999998</v>
      </c>
      <c r="AG143" s="85">
        <f t="shared" si="328"/>
        <v>8.1340000000000003</v>
      </c>
      <c r="AH143" s="635">
        <f t="shared" si="328"/>
        <v>8.0570000000000004</v>
      </c>
      <c r="AI143" s="658">
        <f t="shared" si="328"/>
        <v>16.191000000000003</v>
      </c>
      <c r="AJ143" s="85">
        <f t="shared" si="328"/>
        <v>6.4049999999999994</v>
      </c>
      <c r="AK143" s="635">
        <f t="shared" si="328"/>
        <v>8.9929999999999986</v>
      </c>
      <c r="AL143" s="658">
        <f t="shared" si="328"/>
        <v>15.398</v>
      </c>
      <c r="AM143" s="85">
        <f t="shared" si="328"/>
        <v>9.202</v>
      </c>
      <c r="AN143" s="1003">
        <f t="shared" si="328"/>
        <v>11.815</v>
      </c>
      <c r="AO143" s="1004">
        <f t="shared" si="328"/>
        <v>21.016999999999999</v>
      </c>
      <c r="AP143" s="85">
        <f t="shared" ref="AP143" si="329">AP133+AP142</f>
        <v>9.5190000000000001</v>
      </c>
      <c r="AQ143" s="1003">
        <f t="shared" si="328"/>
        <v>12.657999999999999</v>
      </c>
      <c r="AR143" s="1004">
        <f>AR133+AR142</f>
        <v>22.177</v>
      </c>
      <c r="AS143" s="85">
        <f t="shared" ref="AS143" si="330">AS133+AS142</f>
        <v>9.8140000000000001</v>
      </c>
      <c r="AT143" s="1003">
        <f t="shared" si="328"/>
        <v>11.016</v>
      </c>
      <c r="AU143" s="1004">
        <f t="shared" si="328"/>
        <v>20.83</v>
      </c>
      <c r="AV143" s="1126">
        <f t="shared" si="328"/>
        <v>12.889000000000001</v>
      </c>
      <c r="AW143" s="756">
        <f t="shared" si="328"/>
        <v>9.2491290322580646</v>
      </c>
      <c r="AX143" s="769">
        <f t="shared" si="328"/>
        <v>22.138129032258064</v>
      </c>
      <c r="AY143" s="348">
        <f t="shared" si="328"/>
        <v>12.282666666666668</v>
      </c>
      <c r="AZ143" s="756">
        <f t="shared" si="328"/>
        <v>12.709818181818182</v>
      </c>
      <c r="BA143" s="769">
        <f t="shared" si="328"/>
        <v>24.992484848484846</v>
      </c>
      <c r="BB143" s="348">
        <f t="shared" si="328"/>
        <v>13.220941176470589</v>
      </c>
      <c r="BC143" s="756">
        <f t="shared" si="328"/>
        <v>13.725176470588236</v>
      </c>
      <c r="BD143" s="769">
        <f t="shared" si="328"/>
        <v>26.946117647058824</v>
      </c>
      <c r="BE143" s="348">
        <f t="shared" si="328"/>
        <v>14.403294117647059</v>
      </c>
      <c r="BF143" s="756">
        <f t="shared" si="328"/>
        <v>14.307294117647059</v>
      </c>
      <c r="BG143" s="769">
        <f t="shared" si="328"/>
        <v>28.710588235294118</v>
      </c>
      <c r="BH143" s="348">
        <f t="shared" si="328"/>
        <v>14.835294117647059</v>
      </c>
      <c r="BI143" s="756">
        <f t="shared" si="328"/>
        <v>13.875294117647059</v>
      </c>
      <c r="BJ143" s="769">
        <f t="shared" si="328"/>
        <v>28.710588235294118</v>
      </c>
      <c r="BK143"/>
    </row>
    <row r="144" spans="1:63">
      <c r="A144" s="80" t="str">
        <f t="shared" si="315"/>
        <v>Spey</v>
      </c>
      <c r="B144" s="81">
        <v>0</v>
      </c>
      <c r="C144" s="81">
        <v>0</v>
      </c>
      <c r="D144" s="81">
        <v>0</v>
      </c>
      <c r="E144" s="81">
        <v>0</v>
      </c>
      <c r="F144" s="81">
        <v>0</v>
      </c>
      <c r="G144" s="81">
        <v>0</v>
      </c>
      <c r="H144" s="81">
        <v>0</v>
      </c>
      <c r="I144" s="81">
        <v>0</v>
      </c>
      <c r="J144" s="81">
        <v>0</v>
      </c>
      <c r="K144" s="81">
        <v>0</v>
      </c>
      <c r="L144" s="81">
        <v>0</v>
      </c>
      <c r="M144" s="81">
        <v>0</v>
      </c>
      <c r="N144" s="81">
        <v>0</v>
      </c>
      <c r="O144" s="81">
        <v>0</v>
      </c>
      <c r="P144" s="81">
        <v>0</v>
      </c>
      <c r="Q144" s="81">
        <v>0</v>
      </c>
      <c r="R144" s="81"/>
      <c r="S144" s="636"/>
      <c r="T144" s="659">
        <v>0</v>
      </c>
      <c r="U144" s="81">
        <v>0</v>
      </c>
      <c r="V144" s="636">
        <v>0</v>
      </c>
      <c r="W144" s="659">
        <v>0</v>
      </c>
      <c r="X144" s="81">
        <v>0</v>
      </c>
      <c r="Y144" s="636">
        <v>0</v>
      </c>
      <c r="Z144" s="659">
        <v>0</v>
      </c>
      <c r="AA144" s="81">
        <v>0</v>
      </c>
      <c r="AB144" s="636">
        <v>0</v>
      </c>
      <c r="AC144" s="659">
        <v>0</v>
      </c>
      <c r="AD144" s="81">
        <v>0</v>
      </c>
      <c r="AE144" s="636">
        <v>0</v>
      </c>
      <c r="AF144" s="659">
        <v>0</v>
      </c>
      <c r="AG144" s="81">
        <v>0</v>
      </c>
      <c r="AH144" s="636">
        <v>0</v>
      </c>
      <c r="AI144" s="659">
        <v>0</v>
      </c>
      <c r="AJ144" s="81">
        <v>0</v>
      </c>
      <c r="AK144" s="636">
        <v>0</v>
      </c>
      <c r="AL144" s="659">
        <v>0</v>
      </c>
      <c r="AM144" s="81">
        <v>0</v>
      </c>
      <c r="AN144" s="234">
        <v>0</v>
      </c>
      <c r="AO144" s="561">
        <v>0</v>
      </c>
      <c r="AP144" s="81">
        <v>0</v>
      </c>
      <c r="AQ144" s="234">
        <v>0</v>
      </c>
      <c r="AR144" s="561">
        <v>0</v>
      </c>
      <c r="AS144" s="81">
        <v>0</v>
      </c>
      <c r="AT144" s="234">
        <v>0</v>
      </c>
      <c r="AU144" s="561">
        <v>0</v>
      </c>
      <c r="AV144" s="203">
        <v>0</v>
      </c>
      <c r="AW144" s="235">
        <v>0</v>
      </c>
      <c r="AX144" s="611">
        <v>0</v>
      </c>
      <c r="AY144" s="173">
        <v>0</v>
      </c>
      <c r="AZ144" s="235">
        <v>0</v>
      </c>
      <c r="BA144" s="611">
        <v>0</v>
      </c>
      <c r="BB144" s="173">
        <v>0</v>
      </c>
      <c r="BC144" s="235">
        <v>0</v>
      </c>
      <c r="BD144" s="611">
        <v>0</v>
      </c>
      <c r="BE144" s="173">
        <v>0</v>
      </c>
      <c r="BF144" s="235">
        <v>0</v>
      </c>
      <c r="BG144" s="611">
        <v>0</v>
      </c>
      <c r="BH144" s="173">
        <v>0</v>
      </c>
      <c r="BI144" s="235">
        <v>0</v>
      </c>
      <c r="BJ144" s="611">
        <v>0</v>
      </c>
      <c r="BK144"/>
    </row>
    <row r="145" spans="1:66">
      <c r="A145" s="80" t="str">
        <f t="shared" si="315"/>
        <v>Tay</v>
      </c>
      <c r="B145" s="81">
        <v>1.2</v>
      </c>
      <c r="C145" s="81">
        <v>1.125</v>
      </c>
      <c r="D145" s="81">
        <v>0.99</v>
      </c>
      <c r="E145" s="81">
        <v>0.72</v>
      </c>
      <c r="F145" s="81">
        <v>0.64500000000000002</v>
      </c>
      <c r="G145" s="81">
        <v>0.82499999999999996</v>
      </c>
      <c r="H145" s="81">
        <v>0.99</v>
      </c>
      <c r="I145" s="81">
        <v>1.2</v>
      </c>
      <c r="J145" s="81">
        <v>1.38</v>
      </c>
      <c r="K145" s="81">
        <v>1.02</v>
      </c>
      <c r="L145" s="81">
        <v>0.76500000000000001</v>
      </c>
      <c r="M145" s="81">
        <v>0.85499999999999998</v>
      </c>
      <c r="N145" s="81">
        <v>0.9</v>
      </c>
      <c r="O145" s="81">
        <v>1.0049999999999999</v>
      </c>
      <c r="P145" s="81">
        <v>0.69</v>
      </c>
      <c r="Q145" s="81">
        <v>0.56999999999999995</v>
      </c>
      <c r="R145" s="81"/>
      <c r="S145" s="636"/>
      <c r="T145" s="659">
        <v>0.42</v>
      </c>
      <c r="U145" s="81">
        <v>0</v>
      </c>
      <c r="V145" s="636">
        <v>0.03</v>
      </c>
      <c r="W145" s="659">
        <v>0.03</v>
      </c>
      <c r="X145" s="81">
        <v>0</v>
      </c>
      <c r="Y145" s="636">
        <v>0</v>
      </c>
      <c r="Z145" s="659">
        <v>0</v>
      </c>
      <c r="AA145" s="81">
        <v>0</v>
      </c>
      <c r="AB145" s="636">
        <v>0</v>
      </c>
      <c r="AC145" s="659">
        <v>0</v>
      </c>
      <c r="AD145" s="81">
        <v>0</v>
      </c>
      <c r="AE145" s="636">
        <v>0</v>
      </c>
      <c r="AF145" s="659">
        <v>0</v>
      </c>
      <c r="AG145" s="81">
        <v>0</v>
      </c>
      <c r="AH145" s="636">
        <v>0</v>
      </c>
      <c r="AI145" s="659">
        <v>0</v>
      </c>
      <c r="AJ145" s="81">
        <v>0</v>
      </c>
      <c r="AK145" s="636">
        <v>0</v>
      </c>
      <c r="AL145" s="659">
        <v>0</v>
      </c>
      <c r="AM145" s="81">
        <v>0</v>
      </c>
      <c r="AN145" s="234">
        <v>0</v>
      </c>
      <c r="AO145" s="561">
        <v>0</v>
      </c>
      <c r="AP145" s="81">
        <v>0</v>
      </c>
      <c r="AQ145" s="234">
        <v>0</v>
      </c>
      <c r="AR145" s="561">
        <v>0</v>
      </c>
      <c r="AS145" s="81">
        <v>0</v>
      </c>
      <c r="AT145" s="234">
        <v>0</v>
      </c>
      <c r="AU145" s="561">
        <v>0</v>
      </c>
      <c r="AV145" s="203">
        <v>0</v>
      </c>
      <c r="AW145" s="235">
        <v>0</v>
      </c>
      <c r="AX145" s="611">
        <v>0</v>
      </c>
      <c r="AY145" s="173">
        <v>0</v>
      </c>
      <c r="AZ145" s="235">
        <v>0</v>
      </c>
      <c r="BA145" s="611">
        <v>0</v>
      </c>
      <c r="BB145" s="173">
        <v>0</v>
      </c>
      <c r="BC145" s="235">
        <v>0</v>
      </c>
      <c r="BD145" s="611">
        <v>0</v>
      </c>
      <c r="BE145" s="173">
        <v>0</v>
      </c>
      <c r="BF145" s="235">
        <v>0</v>
      </c>
      <c r="BG145" s="611">
        <v>0</v>
      </c>
      <c r="BH145" s="173">
        <v>0</v>
      </c>
      <c r="BI145" s="235">
        <v>0</v>
      </c>
      <c r="BJ145" s="611">
        <v>0</v>
      </c>
      <c r="BK145"/>
    </row>
    <row r="146" spans="1:66">
      <c r="A146" s="1010" t="str">
        <f>A92</f>
        <v>Pearl</v>
      </c>
      <c r="B146" s="81"/>
      <c r="C146" s="81"/>
      <c r="D146" s="81"/>
      <c r="E146" s="81"/>
      <c r="F146" s="81"/>
      <c r="G146" s="81"/>
      <c r="H146" s="81"/>
      <c r="I146" s="81"/>
      <c r="J146" s="81"/>
      <c r="K146" s="81"/>
      <c r="L146" s="81"/>
      <c r="M146" s="81"/>
      <c r="N146" s="81"/>
      <c r="O146" s="81"/>
      <c r="P146" s="81"/>
      <c r="Q146" s="81"/>
      <c r="R146" s="81"/>
      <c r="S146" s="636"/>
      <c r="T146" s="659"/>
      <c r="U146" s="81"/>
      <c r="V146" s="636"/>
      <c r="W146" s="659"/>
      <c r="X146" s="81"/>
      <c r="Y146" s="636"/>
      <c r="Z146" s="659"/>
      <c r="AA146" s="81"/>
      <c r="AB146" s="636"/>
      <c r="AC146" s="659">
        <v>0.36</v>
      </c>
      <c r="AD146" s="81">
        <v>0.52500000000000002</v>
      </c>
      <c r="AE146" s="636">
        <v>0.55500000000000005</v>
      </c>
      <c r="AF146" s="659">
        <v>1.08</v>
      </c>
      <c r="AG146" s="81">
        <v>0.3</v>
      </c>
      <c r="AH146" s="636">
        <v>0.36</v>
      </c>
      <c r="AI146" s="659">
        <v>0.66</v>
      </c>
      <c r="AJ146" s="81">
        <v>0.54</v>
      </c>
      <c r="AK146" s="636">
        <v>0.78</v>
      </c>
      <c r="AL146" s="659">
        <v>1.32</v>
      </c>
      <c r="AM146" s="81">
        <v>0.58499999999999996</v>
      </c>
      <c r="AN146" s="234">
        <v>0.96</v>
      </c>
      <c r="AO146" s="561">
        <v>1.5449999999999999</v>
      </c>
      <c r="AP146" s="81">
        <v>1.2450000000000001</v>
      </c>
      <c r="AQ146" s="234">
        <v>1.365</v>
      </c>
      <c r="AR146" s="561">
        <v>2.61</v>
      </c>
      <c r="AS146" s="81">
        <v>1.68</v>
      </c>
      <c r="AT146" s="234">
        <v>1.605</v>
      </c>
      <c r="AU146" s="561">
        <v>3.2850000000000001</v>
      </c>
      <c r="AV146" s="203">
        <v>1.83</v>
      </c>
      <c r="AW146" s="235">
        <v>1.92</v>
      </c>
      <c r="AX146" s="611">
        <v>3.75</v>
      </c>
      <c r="AY146" s="173">
        <v>1.9350000000000001</v>
      </c>
      <c r="AZ146" s="235">
        <v>1.9350000000000001</v>
      </c>
      <c r="BA146" s="611">
        <v>3.87</v>
      </c>
      <c r="BB146" s="173">
        <v>2.0249999999999999</v>
      </c>
      <c r="BC146" s="235">
        <v>2.0249999999999999</v>
      </c>
      <c r="BD146" s="611">
        <v>4.05</v>
      </c>
      <c r="BE146" s="173">
        <v>2.1150000000000002</v>
      </c>
      <c r="BF146" s="235">
        <v>2.1150000000000002</v>
      </c>
      <c r="BG146" s="611">
        <v>4.2300000000000004</v>
      </c>
      <c r="BH146" s="173">
        <v>2.2050000000000001</v>
      </c>
      <c r="BI146" s="235">
        <v>2.2050000000000001</v>
      </c>
      <c r="BJ146" s="611">
        <v>4.41</v>
      </c>
      <c r="BK146"/>
    </row>
    <row r="147" spans="1:66">
      <c r="A147" s="80" t="str">
        <f>A90</f>
        <v>AE3007</v>
      </c>
      <c r="B147" s="81">
        <v>3.12</v>
      </c>
      <c r="C147" s="81">
        <v>3.8925000000000001</v>
      </c>
      <c r="D147" s="81">
        <v>2.16</v>
      </c>
      <c r="E147" s="81">
        <v>1.6274999999999999</v>
      </c>
      <c r="F147" s="81">
        <v>1.8149999999999999</v>
      </c>
      <c r="G147" s="81">
        <v>1.26</v>
      </c>
      <c r="H147" s="81">
        <v>0.84750000000000003</v>
      </c>
      <c r="I147" s="81">
        <v>1.0125</v>
      </c>
      <c r="J147" s="81">
        <v>1.0125</v>
      </c>
      <c r="K147" s="81">
        <v>0.24</v>
      </c>
      <c r="L147" s="81">
        <v>0.41249999999999998</v>
      </c>
      <c r="M147" s="81">
        <v>0.23250000000000001</v>
      </c>
      <c r="N147" s="81">
        <v>0.32250000000000001</v>
      </c>
      <c r="O147" s="81">
        <v>0.58499999999999996</v>
      </c>
      <c r="P147" s="81">
        <v>0.36</v>
      </c>
      <c r="Q147" s="81">
        <v>0.255</v>
      </c>
      <c r="R147" s="81"/>
      <c r="S147" s="636"/>
      <c r="T147" s="659">
        <v>0.15</v>
      </c>
      <c r="U147" s="81">
        <v>0.03</v>
      </c>
      <c r="V147" s="636">
        <v>0.03</v>
      </c>
      <c r="W147" s="659">
        <v>0.06</v>
      </c>
      <c r="X147" s="81">
        <v>1.4999999999999999E-2</v>
      </c>
      <c r="Y147" s="636">
        <v>0.06</v>
      </c>
      <c r="Z147" s="659">
        <v>7.4999999999999997E-2</v>
      </c>
      <c r="AA147" s="81">
        <v>0.03</v>
      </c>
      <c r="AB147" s="636">
        <v>0</v>
      </c>
      <c r="AC147" s="659">
        <v>0.03</v>
      </c>
      <c r="AD147" s="81">
        <v>0</v>
      </c>
      <c r="AE147" s="636">
        <v>0</v>
      </c>
      <c r="AF147" s="659">
        <v>0</v>
      </c>
      <c r="AG147" s="81">
        <v>0</v>
      </c>
      <c r="AH147" s="636">
        <v>0</v>
      </c>
      <c r="AI147" s="659">
        <v>0</v>
      </c>
      <c r="AJ147" s="81">
        <v>0</v>
      </c>
      <c r="AK147" s="636">
        <v>0</v>
      </c>
      <c r="AL147" s="659">
        <v>0</v>
      </c>
      <c r="AM147" s="81">
        <v>0</v>
      </c>
      <c r="AN147" s="234">
        <v>0</v>
      </c>
      <c r="AO147" s="561">
        <v>0</v>
      </c>
      <c r="AP147" s="81">
        <v>0</v>
      </c>
      <c r="AQ147" s="234">
        <v>0</v>
      </c>
      <c r="AR147" s="561">
        <v>0</v>
      </c>
      <c r="AS147" s="81">
        <v>0</v>
      </c>
      <c r="AT147" s="234">
        <v>0</v>
      </c>
      <c r="AU147" s="561">
        <v>0</v>
      </c>
      <c r="AV147" s="203">
        <v>0</v>
      </c>
      <c r="AW147" s="235">
        <v>0</v>
      </c>
      <c r="AX147" s="611">
        <v>0</v>
      </c>
      <c r="AY147" s="173">
        <v>0</v>
      </c>
      <c r="AZ147" s="235">
        <v>0</v>
      </c>
      <c r="BA147" s="611">
        <v>0</v>
      </c>
      <c r="BB147" s="173">
        <v>0</v>
      </c>
      <c r="BC147" s="235">
        <v>0</v>
      </c>
      <c r="BD147" s="611">
        <v>0</v>
      </c>
      <c r="BE147" s="173">
        <v>0</v>
      </c>
      <c r="BF147" s="235">
        <v>0</v>
      </c>
      <c r="BG147" s="611">
        <v>0</v>
      </c>
      <c r="BH147" s="173">
        <v>0</v>
      </c>
      <c r="BI147" s="235">
        <v>0</v>
      </c>
      <c r="BJ147" s="611">
        <v>0</v>
      </c>
      <c r="BK147"/>
    </row>
    <row r="148" spans="1:66">
      <c r="A148" s="80" t="str">
        <f>A91</f>
        <v>BR700</v>
      </c>
      <c r="B148" s="81">
        <v>2.97</v>
      </c>
      <c r="C148" s="81">
        <v>3.7949999999999999</v>
      </c>
      <c r="D148" s="81">
        <v>1.905</v>
      </c>
      <c r="E148" s="81">
        <v>1.44</v>
      </c>
      <c r="F148" s="81">
        <v>1.9650000000000001</v>
      </c>
      <c r="G148" s="81">
        <v>2.415</v>
      </c>
      <c r="H148" s="81">
        <v>2.3250000000000002</v>
      </c>
      <c r="I148" s="81">
        <v>2.7450000000000001</v>
      </c>
      <c r="J148" s="81">
        <v>3.24</v>
      </c>
      <c r="K148" s="81">
        <v>2.58</v>
      </c>
      <c r="L148" s="81">
        <v>2.76</v>
      </c>
      <c r="M148" s="81">
        <v>3.48</v>
      </c>
      <c r="N148" s="81">
        <v>4.3499999999999996</v>
      </c>
      <c r="O148" s="81">
        <v>4.8899999999999997</v>
      </c>
      <c r="P148" s="81">
        <v>5.01</v>
      </c>
      <c r="Q148" s="81">
        <v>4.9800000000000004</v>
      </c>
      <c r="R148" s="81"/>
      <c r="S148" s="636"/>
      <c r="T148" s="659">
        <v>3.66</v>
      </c>
      <c r="U148" s="81">
        <v>1.425</v>
      </c>
      <c r="V148" s="636">
        <v>1.425</v>
      </c>
      <c r="W148" s="659">
        <v>2.85</v>
      </c>
      <c r="X148" s="81">
        <v>1.56</v>
      </c>
      <c r="Y148" s="636">
        <v>1.5149999999999999</v>
      </c>
      <c r="Z148" s="659">
        <v>3.0750000000000002</v>
      </c>
      <c r="AA148" s="81">
        <v>1.605</v>
      </c>
      <c r="AB148" s="636">
        <v>1.26</v>
      </c>
      <c r="AC148" s="659">
        <v>2.8650000000000002</v>
      </c>
      <c r="AD148" s="81">
        <v>1.02</v>
      </c>
      <c r="AE148" s="636">
        <v>0.66</v>
      </c>
      <c r="AF148" s="659">
        <v>1.68</v>
      </c>
      <c r="AG148" s="81">
        <v>0.42</v>
      </c>
      <c r="AH148" s="636">
        <v>0.63</v>
      </c>
      <c r="AI148" s="659">
        <v>1.05</v>
      </c>
      <c r="AJ148" s="81">
        <v>0.52500000000000002</v>
      </c>
      <c r="AK148" s="636">
        <v>0.63</v>
      </c>
      <c r="AL148" s="659">
        <v>1.155</v>
      </c>
      <c r="AM148" s="81">
        <v>0.51</v>
      </c>
      <c r="AN148" s="234">
        <v>0.88500000000000001</v>
      </c>
      <c r="AO148" s="561">
        <v>1.395</v>
      </c>
      <c r="AP148" s="81">
        <v>0.495</v>
      </c>
      <c r="AQ148" s="234">
        <v>0.66</v>
      </c>
      <c r="AR148" s="561">
        <v>1.155</v>
      </c>
      <c r="AS148" s="81">
        <v>4.4999999999999998E-2</v>
      </c>
      <c r="AT148" s="234">
        <v>0.03</v>
      </c>
      <c r="AU148" s="561">
        <v>7.4999999999999997E-2</v>
      </c>
      <c r="AV148" s="203">
        <v>0</v>
      </c>
      <c r="AW148" s="235">
        <v>0</v>
      </c>
      <c r="AX148" s="611">
        <v>0</v>
      </c>
      <c r="AY148" s="173">
        <v>0</v>
      </c>
      <c r="AZ148" s="235">
        <v>0</v>
      </c>
      <c r="BA148" s="611">
        <v>0</v>
      </c>
      <c r="BB148" s="173">
        <v>0</v>
      </c>
      <c r="BC148" s="235">
        <v>0</v>
      </c>
      <c r="BD148" s="611">
        <v>0</v>
      </c>
      <c r="BE148" s="173">
        <v>0</v>
      </c>
      <c r="BF148" s="235">
        <v>0</v>
      </c>
      <c r="BG148" s="611">
        <v>0</v>
      </c>
      <c r="BH148" s="173">
        <v>0</v>
      </c>
      <c r="BI148" s="235">
        <v>0</v>
      </c>
      <c r="BJ148" s="611">
        <v>0</v>
      </c>
      <c r="BK148"/>
    </row>
    <row r="149" spans="1:66">
      <c r="A149" s="82" t="str">
        <f>A93</f>
        <v>Civil Small Engines</v>
      </c>
      <c r="B149" s="83">
        <f t="shared" ref="B149:T149" si="331">SUM(B144:B148)</f>
        <v>7.2900000000000009</v>
      </c>
      <c r="C149" s="83">
        <f t="shared" si="331"/>
        <v>8.8125</v>
      </c>
      <c r="D149" s="83">
        <f t="shared" si="331"/>
        <v>5.0550000000000006</v>
      </c>
      <c r="E149" s="83">
        <f t="shared" si="331"/>
        <v>3.7875000000000001</v>
      </c>
      <c r="F149" s="83">
        <f t="shared" si="331"/>
        <v>4.4249999999999998</v>
      </c>
      <c r="G149" s="83">
        <f t="shared" si="331"/>
        <v>4.5</v>
      </c>
      <c r="H149" s="83">
        <f t="shared" si="331"/>
        <v>4.1624999999999996</v>
      </c>
      <c r="I149" s="83">
        <f t="shared" si="331"/>
        <v>4.9574999999999996</v>
      </c>
      <c r="J149" s="83">
        <f t="shared" si="331"/>
        <v>5.6325000000000003</v>
      </c>
      <c r="K149" s="83">
        <f t="shared" si="331"/>
        <v>3.84</v>
      </c>
      <c r="L149" s="83">
        <f t="shared" si="331"/>
        <v>3.9375</v>
      </c>
      <c r="M149" s="83">
        <f t="shared" si="331"/>
        <v>4.5674999999999999</v>
      </c>
      <c r="N149" s="83">
        <f t="shared" si="331"/>
        <v>5.5724999999999998</v>
      </c>
      <c r="O149" s="83">
        <f t="shared" si="331"/>
        <v>6.4799999999999995</v>
      </c>
      <c r="P149" s="83">
        <f t="shared" si="331"/>
        <v>6.06</v>
      </c>
      <c r="Q149" s="83">
        <f>SUM(Q144:Q148)</f>
        <v>5.8050000000000006</v>
      </c>
      <c r="R149" s="83"/>
      <c r="S149" s="779"/>
      <c r="T149" s="786">
        <f t="shared" si="331"/>
        <v>4.2300000000000004</v>
      </c>
      <c r="U149" s="83">
        <f t="shared" ref="U149:V149" si="332">SUM(U144:U148)</f>
        <v>1.4550000000000001</v>
      </c>
      <c r="V149" s="779">
        <f t="shared" si="332"/>
        <v>1.4850000000000001</v>
      </c>
      <c r="W149" s="786">
        <f>SUM(W144:W148)</f>
        <v>2.94</v>
      </c>
      <c r="X149" s="83">
        <f t="shared" ref="X149:Y149" si="333">SUM(X144:X148)</f>
        <v>1.575</v>
      </c>
      <c r="Y149" s="779">
        <f t="shared" si="333"/>
        <v>1.575</v>
      </c>
      <c r="Z149" s="786">
        <f t="shared" ref="Z149:BJ149" si="334">SUM(Z144:Z148)</f>
        <v>3.1500000000000004</v>
      </c>
      <c r="AA149" s="83">
        <f t="shared" si="334"/>
        <v>1.635</v>
      </c>
      <c r="AB149" s="779">
        <f t="shared" si="334"/>
        <v>1.26</v>
      </c>
      <c r="AC149" s="786">
        <f>SUM(AC144:AC148)</f>
        <v>3.2550000000000003</v>
      </c>
      <c r="AD149" s="83">
        <f t="shared" ref="AD149:AE149" si="335">SUM(AD144:AD148)</f>
        <v>1.5449999999999999</v>
      </c>
      <c r="AE149" s="779">
        <f t="shared" si="335"/>
        <v>1.2150000000000001</v>
      </c>
      <c r="AF149" s="786">
        <f>SUM(AF144:AF148)</f>
        <v>2.76</v>
      </c>
      <c r="AG149" s="83">
        <f t="shared" ref="AG149:AH149" si="336">SUM(AG144:AG148)</f>
        <v>0.72</v>
      </c>
      <c r="AH149" s="779">
        <f t="shared" si="336"/>
        <v>0.99</v>
      </c>
      <c r="AI149" s="786">
        <f>SUM(AI144:AI148)</f>
        <v>1.71</v>
      </c>
      <c r="AJ149" s="83">
        <f t="shared" ref="AJ149:AK149" si="337">SUM(AJ144:AJ148)</f>
        <v>1.0649999999999999</v>
      </c>
      <c r="AK149" s="779">
        <f t="shared" si="337"/>
        <v>1.4100000000000001</v>
      </c>
      <c r="AL149" s="786">
        <f t="shared" si="334"/>
        <v>2.4750000000000001</v>
      </c>
      <c r="AM149" s="83">
        <f t="shared" ref="AM149:AN149" si="338">SUM(AM144:AM148)</f>
        <v>1.095</v>
      </c>
      <c r="AN149" s="1001">
        <f t="shared" si="338"/>
        <v>1.845</v>
      </c>
      <c r="AO149" s="1002">
        <f t="shared" si="334"/>
        <v>2.94</v>
      </c>
      <c r="AP149" s="83">
        <f t="shared" si="334"/>
        <v>1.7400000000000002</v>
      </c>
      <c r="AQ149" s="1001">
        <f t="shared" ref="AQ149" si="339">SUM(AQ144:AQ148)</f>
        <v>2.0249999999999999</v>
      </c>
      <c r="AR149" s="1002">
        <f t="shared" si="334"/>
        <v>3.7649999999999997</v>
      </c>
      <c r="AS149" s="83">
        <f t="shared" ref="AS149" si="340">SUM(AS144:AS148)</f>
        <v>1.7249999999999999</v>
      </c>
      <c r="AT149" s="1001">
        <f t="shared" si="334"/>
        <v>1.635</v>
      </c>
      <c r="AU149" s="1002">
        <f t="shared" si="334"/>
        <v>3.3600000000000003</v>
      </c>
      <c r="AV149" s="1125">
        <f t="shared" si="334"/>
        <v>1.83</v>
      </c>
      <c r="AW149" s="755">
        <f t="shared" si="334"/>
        <v>1.92</v>
      </c>
      <c r="AX149" s="768">
        <f t="shared" si="334"/>
        <v>3.75</v>
      </c>
      <c r="AY149" s="347">
        <f t="shared" si="334"/>
        <v>1.9350000000000001</v>
      </c>
      <c r="AZ149" s="755">
        <f t="shared" si="334"/>
        <v>1.9350000000000001</v>
      </c>
      <c r="BA149" s="768">
        <f t="shared" si="334"/>
        <v>3.87</v>
      </c>
      <c r="BB149" s="347">
        <f t="shared" si="334"/>
        <v>2.0249999999999999</v>
      </c>
      <c r="BC149" s="755">
        <f t="shared" si="334"/>
        <v>2.0249999999999999</v>
      </c>
      <c r="BD149" s="768">
        <f t="shared" si="334"/>
        <v>4.05</v>
      </c>
      <c r="BE149" s="347">
        <f t="shared" si="334"/>
        <v>2.1150000000000002</v>
      </c>
      <c r="BF149" s="755">
        <f t="shared" si="334"/>
        <v>2.1150000000000002</v>
      </c>
      <c r="BG149" s="768">
        <f t="shared" si="334"/>
        <v>4.2300000000000004</v>
      </c>
      <c r="BH149" s="347">
        <f t="shared" si="334"/>
        <v>2.2050000000000001</v>
      </c>
      <c r="BI149" s="755">
        <f t="shared" si="334"/>
        <v>2.2050000000000001</v>
      </c>
      <c r="BJ149" s="768">
        <f t="shared" si="334"/>
        <v>4.41</v>
      </c>
      <c r="BK149"/>
    </row>
    <row r="150" spans="1:66">
      <c r="A150" s="51" t="str">
        <f>A94</f>
        <v>V2500</v>
      </c>
      <c r="B150" s="81">
        <v>5.94</v>
      </c>
      <c r="C150" s="81">
        <v>7.8375000000000004</v>
      </c>
      <c r="D150" s="81">
        <v>6.16</v>
      </c>
      <c r="E150" s="81">
        <v>5.94</v>
      </c>
      <c r="F150" s="81">
        <v>6.5175000000000001</v>
      </c>
      <c r="G150" s="81">
        <v>8.9924999999999997</v>
      </c>
      <c r="H150" s="81">
        <v>8.7725000000000009</v>
      </c>
      <c r="I150" s="81">
        <v>8.4700000000000006</v>
      </c>
      <c r="J150" s="81">
        <v>9.6524999999999999</v>
      </c>
      <c r="K150" s="81">
        <v>9.5425000000000004</v>
      </c>
      <c r="L150" s="81">
        <v>10.202500000000001</v>
      </c>
      <c r="M150" s="81">
        <v>11.494999999999999</v>
      </c>
      <c r="N150" s="81">
        <v>6.05</v>
      </c>
      <c r="O150" s="81">
        <v>0</v>
      </c>
      <c r="P150" s="81">
        <v>0</v>
      </c>
      <c r="Q150" s="81">
        <v>0</v>
      </c>
      <c r="R150" s="81"/>
      <c r="S150" s="636"/>
      <c r="T150" s="657">
        <v>0</v>
      </c>
      <c r="U150" s="86">
        <v>0</v>
      </c>
      <c r="V150" s="634">
        <v>0</v>
      </c>
      <c r="W150" s="657">
        <v>0</v>
      </c>
      <c r="X150" s="86">
        <v>0</v>
      </c>
      <c r="Y150" s="634">
        <v>0</v>
      </c>
      <c r="Z150" s="657">
        <v>0</v>
      </c>
      <c r="AA150" s="86">
        <v>0</v>
      </c>
      <c r="AB150" s="634">
        <v>0</v>
      </c>
      <c r="AC150" s="657">
        <v>0</v>
      </c>
      <c r="AD150" s="86">
        <v>0</v>
      </c>
      <c r="AE150" s="634">
        <v>0</v>
      </c>
      <c r="AF150" s="657">
        <v>0</v>
      </c>
      <c r="AG150" s="86">
        <v>0</v>
      </c>
      <c r="AH150" s="634">
        <v>0</v>
      </c>
      <c r="AI150" s="657">
        <v>0</v>
      </c>
      <c r="AJ150" s="86">
        <v>0</v>
      </c>
      <c r="AK150" s="634">
        <v>0</v>
      </c>
      <c r="AL150" s="657">
        <v>0</v>
      </c>
      <c r="AM150" s="86">
        <v>0</v>
      </c>
      <c r="AN150" s="233">
        <v>0</v>
      </c>
      <c r="AO150" s="938">
        <v>0</v>
      </c>
      <c r="AP150" s="86">
        <v>0</v>
      </c>
      <c r="AQ150" s="233">
        <v>0</v>
      </c>
      <c r="AR150" s="938">
        <v>0</v>
      </c>
      <c r="AS150" s="86">
        <v>0</v>
      </c>
      <c r="AT150" s="233">
        <v>0</v>
      </c>
      <c r="AU150" s="938">
        <v>0</v>
      </c>
      <c r="AV150" s="225">
        <v>0</v>
      </c>
      <c r="AW150" s="253">
        <v>0</v>
      </c>
      <c r="AX150" s="770">
        <v>0</v>
      </c>
      <c r="AY150" s="966">
        <v>0</v>
      </c>
      <c r="AZ150" s="253">
        <v>0</v>
      </c>
      <c r="BA150" s="770">
        <v>0</v>
      </c>
      <c r="BB150" s="966">
        <v>0</v>
      </c>
      <c r="BC150" s="253">
        <v>0</v>
      </c>
      <c r="BD150" s="770">
        <v>0</v>
      </c>
      <c r="BE150" s="966">
        <v>0</v>
      </c>
      <c r="BF150" s="253">
        <v>0</v>
      </c>
      <c r="BG150" s="770">
        <v>0</v>
      </c>
      <c r="BH150" s="966">
        <v>0</v>
      </c>
      <c r="BI150" s="253">
        <v>0</v>
      </c>
      <c r="BJ150" s="770">
        <v>0</v>
      </c>
      <c r="BK150"/>
    </row>
    <row r="151" spans="1:66">
      <c r="A151" s="84" t="str">
        <f>A95</f>
        <v>Civil Total</v>
      </c>
      <c r="B151" s="85">
        <f t="shared" ref="B151:P151" si="341">B143+B149+B150</f>
        <v>25.13</v>
      </c>
      <c r="C151" s="85">
        <f t="shared" si="341"/>
        <v>31.902000000000001</v>
      </c>
      <c r="D151" s="85">
        <f t="shared" si="341"/>
        <v>21.695</v>
      </c>
      <c r="E151" s="85">
        <f t="shared" si="341"/>
        <v>20.615500000000001</v>
      </c>
      <c r="F151" s="85">
        <f t="shared" si="341"/>
        <v>21.462499999999999</v>
      </c>
      <c r="G151" s="85">
        <f t="shared" si="341"/>
        <v>24.660499999999999</v>
      </c>
      <c r="H151" s="85">
        <f t="shared" si="341"/>
        <v>26.395000000000003</v>
      </c>
      <c r="I151" s="85">
        <f t="shared" si="341"/>
        <v>23.267499999999998</v>
      </c>
      <c r="J151" s="85">
        <f t="shared" si="341"/>
        <v>28.425000000000001</v>
      </c>
      <c r="K151" s="85">
        <f>K143+K149+K150</f>
        <v>28.752500000000001</v>
      </c>
      <c r="L151" s="85">
        <f t="shared" si="341"/>
        <v>27.143999999999998</v>
      </c>
      <c r="M151" s="85">
        <f t="shared" si="341"/>
        <v>32.016500000000001</v>
      </c>
      <c r="N151" s="85">
        <f t="shared" si="341"/>
        <v>31.120499999999996</v>
      </c>
      <c r="O151" s="85">
        <f t="shared" si="341"/>
        <v>26.641000000000002</v>
      </c>
      <c r="P151" s="85">
        <f t="shared" si="341"/>
        <v>28.459</v>
      </c>
      <c r="Q151" s="85">
        <f>Q143+Q149+Q150</f>
        <v>28.535</v>
      </c>
      <c r="R151" s="85"/>
      <c r="S151" s="635"/>
      <c r="T151" s="658">
        <f>T143+T149+T150</f>
        <v>31.155999999999999</v>
      </c>
      <c r="U151" s="85">
        <f t="shared" ref="U151:V151" si="342">U143+U149+U150</f>
        <v>17.414000000000001</v>
      </c>
      <c r="V151" s="635">
        <f t="shared" si="342"/>
        <v>22.436</v>
      </c>
      <c r="W151" s="658">
        <f>W143+W149+W150</f>
        <v>39.85</v>
      </c>
      <c r="X151" s="85">
        <f t="shared" ref="X151:Y151" si="343">X143+X149+X150</f>
        <v>21.665999999999997</v>
      </c>
      <c r="Y151" s="635">
        <f t="shared" si="343"/>
        <v>18.372</v>
      </c>
      <c r="Z151" s="658">
        <f t="shared" ref="Z151:BJ151" si="344">Z143+Z149+Z150</f>
        <v>40.037999999999997</v>
      </c>
      <c r="AA151" s="85">
        <f t="shared" si="344"/>
        <v>21.888999999999999</v>
      </c>
      <c r="AB151" s="635">
        <f t="shared" si="344"/>
        <v>22.318000000000001</v>
      </c>
      <c r="AC151" s="658">
        <f>AC143+AC149+AC150</f>
        <v>44.567</v>
      </c>
      <c r="AD151" s="85">
        <f t="shared" ref="AD151:AE151" si="345">AD143+AD149+AD150</f>
        <v>12.507</v>
      </c>
      <c r="AE151" s="635">
        <f t="shared" si="345"/>
        <v>11.306999999999999</v>
      </c>
      <c r="AF151" s="658">
        <f>AF143+AF149+AF150</f>
        <v>23.814</v>
      </c>
      <c r="AG151" s="85">
        <f t="shared" ref="AG151:AH151" si="346">AG143+AG149+AG150</f>
        <v>8.854000000000001</v>
      </c>
      <c r="AH151" s="635">
        <f t="shared" si="346"/>
        <v>9.0470000000000006</v>
      </c>
      <c r="AI151" s="658">
        <f>AI143+AI149+AI150</f>
        <v>17.901000000000003</v>
      </c>
      <c r="AJ151" s="85">
        <f t="shared" ref="AJ151:AK151" si="347">AJ143+AJ149+AJ150</f>
        <v>7.4699999999999989</v>
      </c>
      <c r="AK151" s="635">
        <f t="shared" si="347"/>
        <v>10.402999999999999</v>
      </c>
      <c r="AL151" s="658">
        <f t="shared" si="344"/>
        <v>17.873000000000001</v>
      </c>
      <c r="AM151" s="85">
        <f t="shared" ref="AM151:AN151" si="348">AM143+AM149+AM150</f>
        <v>10.297000000000001</v>
      </c>
      <c r="AN151" s="1003">
        <f t="shared" si="348"/>
        <v>13.66</v>
      </c>
      <c r="AO151" s="1004">
        <f t="shared" si="344"/>
        <v>23.957000000000001</v>
      </c>
      <c r="AP151" s="85">
        <f t="shared" si="344"/>
        <v>11.259</v>
      </c>
      <c r="AQ151" s="1003">
        <f t="shared" ref="AQ151" si="349">AQ143+AQ149+AQ150</f>
        <v>14.683</v>
      </c>
      <c r="AR151" s="1004">
        <f t="shared" si="344"/>
        <v>25.942</v>
      </c>
      <c r="AS151" s="85">
        <f t="shared" ref="AS151" si="350">AS143+AS149+AS150</f>
        <v>11.539</v>
      </c>
      <c r="AT151" s="1003">
        <f t="shared" si="344"/>
        <v>12.651</v>
      </c>
      <c r="AU151" s="1004">
        <f t="shared" si="344"/>
        <v>24.189999999999998</v>
      </c>
      <c r="AV151" s="1126">
        <f t="shared" si="344"/>
        <v>14.719000000000001</v>
      </c>
      <c r="AW151" s="756">
        <f t="shared" si="344"/>
        <v>11.169129032258065</v>
      </c>
      <c r="AX151" s="769">
        <f t="shared" si="344"/>
        <v>25.888129032258064</v>
      </c>
      <c r="AY151" s="348">
        <f t="shared" si="344"/>
        <v>14.217666666666668</v>
      </c>
      <c r="AZ151" s="756">
        <f t="shared" si="344"/>
        <v>14.644818181818183</v>
      </c>
      <c r="BA151" s="769">
        <f t="shared" si="344"/>
        <v>28.862484848484847</v>
      </c>
      <c r="BB151" s="348">
        <f t="shared" si="344"/>
        <v>15.245941176470589</v>
      </c>
      <c r="BC151" s="756">
        <f t="shared" si="344"/>
        <v>15.750176470588237</v>
      </c>
      <c r="BD151" s="769">
        <f t="shared" si="344"/>
        <v>30.996117647058824</v>
      </c>
      <c r="BE151" s="348">
        <f t="shared" si="344"/>
        <v>16.518294117647059</v>
      </c>
      <c r="BF151" s="756">
        <f t="shared" si="344"/>
        <v>16.422294117647059</v>
      </c>
      <c r="BG151" s="769">
        <f t="shared" si="344"/>
        <v>32.940588235294115</v>
      </c>
      <c r="BH151" s="348">
        <f t="shared" si="344"/>
        <v>17.040294117647058</v>
      </c>
      <c r="BI151" s="756">
        <f t="shared" si="344"/>
        <v>16.080294117647057</v>
      </c>
      <c r="BJ151" s="769">
        <f t="shared" si="344"/>
        <v>33.120588235294122</v>
      </c>
      <c r="BK151"/>
    </row>
    <row r="152" spans="1:66">
      <c r="A152" s="39" t="s">
        <v>510</v>
      </c>
      <c r="B152" s="40"/>
      <c r="C152" s="58">
        <f t="shared" ref="C152:N152" si="351">+C151/B151-1</f>
        <v>0.26947871070433749</v>
      </c>
      <c r="D152" s="58">
        <f t="shared" si="351"/>
        <v>-0.31994859256472952</v>
      </c>
      <c r="E152" s="58">
        <f t="shared" si="351"/>
        <v>-4.9758008757778249E-2</v>
      </c>
      <c r="F152" s="58">
        <f t="shared" si="351"/>
        <v>4.1085590938856553E-2</v>
      </c>
      <c r="G152" s="58">
        <f t="shared" si="351"/>
        <v>0.1490040768782761</v>
      </c>
      <c r="H152" s="58">
        <f t="shared" si="351"/>
        <v>7.0335151355406689E-2</v>
      </c>
      <c r="I152" s="58">
        <f t="shared" si="351"/>
        <v>-0.11848835006630065</v>
      </c>
      <c r="J152" s="58">
        <f t="shared" si="351"/>
        <v>0.22166111528956711</v>
      </c>
      <c r="K152" s="58">
        <f t="shared" si="351"/>
        <v>1.1521547933157406E-2</v>
      </c>
      <c r="L152" s="58">
        <f t="shared" si="351"/>
        <v>-5.5942961481610376E-2</v>
      </c>
      <c r="M152" s="58">
        <f t="shared" si="351"/>
        <v>0.17950559976422054</v>
      </c>
      <c r="N152" s="58">
        <f t="shared" si="351"/>
        <v>-2.7985569940499611E-2</v>
      </c>
      <c r="O152" s="58">
        <f>+O151/N151-1</f>
        <v>-0.14394048938802384</v>
      </c>
      <c r="P152" s="58">
        <f t="shared" ref="P152:Q152" si="352">+P151/O151-1</f>
        <v>6.8240681656093871E-2</v>
      </c>
      <c r="Q152" s="58">
        <f t="shared" si="352"/>
        <v>2.6705084507536725E-3</v>
      </c>
      <c r="R152" s="58"/>
      <c r="S152" s="644"/>
      <c r="T152" s="668">
        <f>+T151/Q151-1</f>
        <v>9.1852111442088713E-2</v>
      </c>
      <c r="U152" s="87"/>
      <c r="V152" s="644"/>
      <c r="W152" s="668">
        <f t="shared" ref="W152:BJ152" si="353">+W151/T151-1</f>
        <v>0.27904737450250372</v>
      </c>
      <c r="X152" s="87">
        <f t="shared" si="353"/>
        <v>0.24417135637992393</v>
      </c>
      <c r="Y152" s="644">
        <f t="shared" si="353"/>
        <v>-0.18113745765733646</v>
      </c>
      <c r="Z152" s="668">
        <f t="shared" si="353"/>
        <v>4.7176913425344136E-3</v>
      </c>
      <c r="AA152" s="87">
        <f t="shared" si="353"/>
        <v>1.0292624388442917E-2</v>
      </c>
      <c r="AB152" s="644">
        <f t="shared" si="353"/>
        <v>0.21478336599172665</v>
      </c>
      <c r="AC152" s="668">
        <f t="shared" si="353"/>
        <v>0.11311753833857852</v>
      </c>
      <c r="AD152" s="87">
        <f t="shared" si="353"/>
        <v>-0.42861711361871258</v>
      </c>
      <c r="AE152" s="644">
        <f t="shared" si="353"/>
        <v>-0.49336858141410533</v>
      </c>
      <c r="AF152" s="668">
        <f t="shared" si="353"/>
        <v>-0.4656584468328584</v>
      </c>
      <c r="AG152" s="87">
        <f t="shared" si="353"/>
        <v>-0.29207643719517062</v>
      </c>
      <c r="AH152" s="644">
        <f t="shared" si="353"/>
        <v>-0.19987618289555131</v>
      </c>
      <c r="AI152" s="668">
        <f t="shared" si="353"/>
        <v>-0.24829931972789099</v>
      </c>
      <c r="AJ152" s="87">
        <f t="shared" si="353"/>
        <v>-0.1563135306076352</v>
      </c>
      <c r="AK152" s="644">
        <f t="shared" si="353"/>
        <v>0.14988393942743428</v>
      </c>
      <c r="AL152" s="668">
        <f t="shared" si="353"/>
        <v>-1.5641584269036057E-3</v>
      </c>
      <c r="AM152" s="87">
        <f t="shared" si="353"/>
        <v>0.37844712182061602</v>
      </c>
      <c r="AN152" s="229">
        <f t="shared" si="353"/>
        <v>0.31308276458713857</v>
      </c>
      <c r="AO152" s="559">
        <f t="shared" si="353"/>
        <v>0.3404017232697365</v>
      </c>
      <c r="AP152" s="87">
        <f t="shared" si="353"/>
        <v>9.3425269495969632E-2</v>
      </c>
      <c r="AQ152" s="229">
        <f t="shared" si="353"/>
        <v>7.4890190336749596E-2</v>
      </c>
      <c r="AR152" s="559">
        <f t="shared" si="353"/>
        <v>8.2856785073256223E-2</v>
      </c>
      <c r="AS152" s="87">
        <f t="shared" si="353"/>
        <v>2.4868993693933694E-2</v>
      </c>
      <c r="AT152" s="229">
        <f t="shared" si="353"/>
        <v>-0.13839133692024785</v>
      </c>
      <c r="AU152" s="559">
        <f t="shared" si="353"/>
        <v>-6.7535270989129703E-2</v>
      </c>
      <c r="AV152" s="199">
        <f t="shared" si="353"/>
        <v>0.27558713926683431</v>
      </c>
      <c r="AW152" s="247">
        <f t="shared" si="353"/>
        <v>-0.11713469035980839</v>
      </c>
      <c r="AX152" s="583">
        <f t="shared" si="353"/>
        <v>7.0199629278961062E-2</v>
      </c>
      <c r="AY152" s="245">
        <f t="shared" si="353"/>
        <v>-3.4060284892542536E-2</v>
      </c>
      <c r="AZ152" s="247">
        <f t="shared" si="353"/>
        <v>0.31118712475447485</v>
      </c>
      <c r="BA152" s="583">
        <f t="shared" si="353"/>
        <v>0.1148926526332037</v>
      </c>
      <c r="BB152" s="245">
        <f t="shared" si="353"/>
        <v>7.2323717661401554E-2</v>
      </c>
      <c r="BC152" s="247">
        <f t="shared" si="353"/>
        <v>7.5477774803812681E-2</v>
      </c>
      <c r="BD152" s="583">
        <f t="shared" si="353"/>
        <v>7.3924085530909567E-2</v>
      </c>
      <c r="BE152" s="245">
        <f t="shared" si="353"/>
        <v>8.3455191545676488E-2</v>
      </c>
      <c r="BF152" s="247">
        <f t="shared" si="353"/>
        <v>4.2673658184968932E-2</v>
      </c>
      <c r="BG152" s="583">
        <f t="shared" si="353"/>
        <v>6.273271415395465E-2</v>
      </c>
      <c r="BH152" s="245">
        <f t="shared" si="353"/>
        <v>3.1601326158875453E-2</v>
      </c>
      <c r="BI152" s="247">
        <f t="shared" si="353"/>
        <v>-2.0825348611464456E-2</v>
      </c>
      <c r="BJ152" s="583">
        <f t="shared" si="353"/>
        <v>5.4643832925589386E-3</v>
      </c>
      <c r="BK152"/>
    </row>
    <row r="153" spans="1:66">
      <c r="B153" s="40"/>
      <c r="C153" s="40"/>
      <c r="D153" s="40"/>
      <c r="E153" s="40"/>
      <c r="F153" s="40"/>
      <c r="G153" s="40"/>
      <c r="H153" s="40"/>
      <c r="I153" s="40"/>
      <c r="J153" s="40"/>
      <c r="K153" s="40"/>
      <c r="L153" s="40"/>
      <c r="M153" s="40"/>
      <c r="N153" s="40"/>
      <c r="O153" s="40"/>
      <c r="P153" s="40"/>
      <c r="Q153" s="40"/>
      <c r="R153" s="40"/>
      <c r="S153" s="630"/>
      <c r="T153" s="653"/>
      <c r="U153" s="40"/>
      <c r="V153" s="630"/>
      <c r="W153" s="653"/>
      <c r="X153" s="40"/>
      <c r="Y153" s="630"/>
      <c r="Z153" s="653"/>
      <c r="AA153" s="40"/>
      <c r="AB153" s="630"/>
      <c r="AC153" s="653"/>
      <c r="AD153" s="40"/>
      <c r="AE153" s="630"/>
      <c r="AF153" s="653"/>
      <c r="AG153" s="40"/>
      <c r="AH153" s="630"/>
      <c r="AI153" s="653"/>
      <c r="AJ153" s="40"/>
      <c r="AK153" s="630"/>
      <c r="AL153" s="653"/>
      <c r="AM153" s="40"/>
      <c r="AN153" s="539"/>
      <c r="AO153" s="550"/>
      <c r="AP153"/>
      <c r="AQ153" s="539"/>
      <c r="AR153" s="550"/>
      <c r="AS153"/>
      <c r="AT153" s="216"/>
      <c r="AU153" s="556"/>
      <c r="AV153" s="10"/>
      <c r="AW153" s="539"/>
      <c r="AX153" s="550"/>
      <c r="AY153"/>
      <c r="AZ153" s="539"/>
      <c r="BA153" s="550"/>
      <c r="BB153"/>
      <c r="BC153" s="539"/>
      <c r="BD153" s="550"/>
      <c r="BE153"/>
      <c r="BF153" s="539"/>
      <c r="BG153" s="550"/>
      <c r="BH153"/>
      <c r="BI153" s="539"/>
      <c r="BJ153" s="550"/>
      <c r="BK153"/>
    </row>
    <row r="154" spans="1:66">
      <c r="A154" s="51" t="s">
        <v>511</v>
      </c>
      <c r="B154" s="40">
        <f t="shared" ref="B154:Q154" si="354">+B143/B87*10^6</f>
        <v>65745.856353591153</v>
      </c>
      <c r="C154" s="40">
        <f t="shared" si="354"/>
        <v>66313.043478260879</v>
      </c>
      <c r="D154" s="40">
        <f t="shared" si="354"/>
        <v>69403.97350993377</v>
      </c>
      <c r="E154" s="40">
        <f t="shared" si="354"/>
        <v>64426.035502958584</v>
      </c>
      <c r="F154" s="40">
        <f t="shared" si="354"/>
        <v>61520.46783625731</v>
      </c>
      <c r="G154" s="40">
        <f t="shared" si="354"/>
        <v>65694.117647058825</v>
      </c>
      <c r="H154" s="40">
        <f t="shared" si="354"/>
        <v>66305.418719211826</v>
      </c>
      <c r="I154" s="40">
        <f t="shared" si="354"/>
        <v>67862.068965517246</v>
      </c>
      <c r="J154" s="40">
        <f t="shared" si="354"/>
        <v>68082.901554404132</v>
      </c>
      <c r="K154" s="40">
        <f t="shared" si="354"/>
        <v>68311.111111111109</v>
      </c>
      <c r="L154" s="40">
        <f t="shared" si="354"/>
        <v>70291.891891891893</v>
      </c>
      <c r="M154" s="40">
        <f t="shared" si="354"/>
        <v>71223.21428571429</v>
      </c>
      <c r="N154" s="40">
        <f t="shared" si="354"/>
        <v>70901.818181818177</v>
      </c>
      <c r="O154" s="40">
        <f t="shared" si="354"/>
        <v>71492.907801418434</v>
      </c>
      <c r="P154" s="40">
        <f t="shared" si="354"/>
        <v>72022.50803858522</v>
      </c>
      <c r="Q154" s="40">
        <f t="shared" si="354"/>
        <v>73798.7012987013</v>
      </c>
      <c r="R154" s="40"/>
      <c r="S154" s="630"/>
      <c r="T154" s="653">
        <f t="shared" ref="T154:BJ154" si="355">+T143/T87*10^6</f>
        <v>75422.969187675058</v>
      </c>
      <c r="U154" s="40">
        <f t="shared" si="355"/>
        <v>76358.851674641133</v>
      </c>
      <c r="V154" s="630">
        <f t="shared" si="355"/>
        <v>76463.503649635037</v>
      </c>
      <c r="W154" s="653">
        <f t="shared" si="355"/>
        <v>76418.219461697736</v>
      </c>
      <c r="X154" s="40">
        <f t="shared" si="355"/>
        <v>77571.428571428551</v>
      </c>
      <c r="Y154" s="630">
        <f t="shared" si="355"/>
        <v>79985.71428571429</v>
      </c>
      <c r="Z154" s="653">
        <f t="shared" si="355"/>
        <v>78652.452025586346</v>
      </c>
      <c r="AA154" s="40">
        <f t="shared" si="355"/>
        <v>78809.338521400772</v>
      </c>
      <c r="AB154" s="630">
        <f t="shared" si="355"/>
        <v>83233.201581027664</v>
      </c>
      <c r="AC154" s="653">
        <f t="shared" si="355"/>
        <v>81003.92156862744</v>
      </c>
      <c r="AD154" s="40">
        <f t="shared" si="355"/>
        <v>80014.598540145991</v>
      </c>
      <c r="AE154" s="630">
        <f t="shared" si="355"/>
        <v>79464.566929133856</v>
      </c>
      <c r="AF154" s="653">
        <f t="shared" si="355"/>
        <v>79749.999999999985</v>
      </c>
      <c r="AG154" s="40">
        <f t="shared" si="355"/>
        <v>81340.000000000015</v>
      </c>
      <c r="AH154" s="630">
        <f t="shared" si="355"/>
        <v>84810.526315789481</v>
      </c>
      <c r="AI154" s="653">
        <f t="shared" si="355"/>
        <v>83030.769230769234</v>
      </c>
      <c r="AJ154" s="40">
        <f t="shared" si="355"/>
        <v>82115.38461538461</v>
      </c>
      <c r="AK154" s="630">
        <f t="shared" si="355"/>
        <v>80294.642857142841</v>
      </c>
      <c r="AL154" s="653">
        <f t="shared" si="355"/>
        <v>81042.105263157893</v>
      </c>
      <c r="AM154" s="40">
        <f t="shared" si="355"/>
        <v>80017.391304347839</v>
      </c>
      <c r="AN154" s="630">
        <f t="shared" si="355"/>
        <v>80374.14965986395</v>
      </c>
      <c r="AO154" s="653">
        <f t="shared" si="355"/>
        <v>80217.557251908394</v>
      </c>
      <c r="AP154" s="40">
        <f t="shared" si="355"/>
        <v>79325</v>
      </c>
      <c r="AQ154" s="630">
        <f t="shared" si="355"/>
        <v>80113.924050632908</v>
      </c>
      <c r="AR154" s="653">
        <f t="shared" si="355"/>
        <v>79773.381294964027</v>
      </c>
      <c r="AS154" s="40">
        <f t="shared" si="355"/>
        <v>80442.622950819685</v>
      </c>
      <c r="AT154" s="216">
        <f t="shared" si="355"/>
        <v>80408.759124087592</v>
      </c>
      <c r="AU154" s="556">
        <f t="shared" si="355"/>
        <v>80424.710424710414</v>
      </c>
      <c r="AV154" s="10">
        <f t="shared" si="355"/>
        <v>82095.541401273891</v>
      </c>
      <c r="AW154" s="236">
        <f t="shared" si="355"/>
        <v>59401.216226396689</v>
      </c>
      <c r="AX154" s="605">
        <f t="shared" si="355"/>
        <v>70795.332192897331</v>
      </c>
      <c r="AY154" s="56">
        <f t="shared" si="355"/>
        <v>71558.068115403003</v>
      </c>
      <c r="AZ154" s="236">
        <f t="shared" si="355"/>
        <v>72063.946748649687</v>
      </c>
      <c r="BA154" s="605">
        <f t="shared" si="355"/>
        <v>71814.439748617064</v>
      </c>
      <c r="BB154" s="56">
        <f t="shared" si="355"/>
        <v>72555.432577015308</v>
      </c>
      <c r="BC154" s="236">
        <f t="shared" si="355"/>
        <v>73032.373457342168</v>
      </c>
      <c r="BD154" s="605">
        <f t="shared" si="355"/>
        <v>72797.584453323652</v>
      </c>
      <c r="BE154" s="56">
        <f t="shared" si="355"/>
        <v>73473.593964334694</v>
      </c>
      <c r="BF154" s="236">
        <f t="shared" si="355"/>
        <v>73411.866160745078</v>
      </c>
      <c r="BG154" s="605">
        <f t="shared" si="355"/>
        <v>73442.820292347373</v>
      </c>
      <c r="BH154" s="56">
        <f t="shared" si="355"/>
        <v>73119.615639496362</v>
      </c>
      <c r="BI154" s="236">
        <f t="shared" si="355"/>
        <v>73791.562388273145</v>
      </c>
      <c r="BJ154" s="605">
        <f t="shared" si="355"/>
        <v>73442.820292347373</v>
      </c>
      <c r="BK154"/>
    </row>
    <row r="155" spans="1:66" ht="11.4">
      <c r="A155" s="87" t="s">
        <v>510</v>
      </c>
      <c r="B155" s="40"/>
      <c r="C155" s="58">
        <f>+C154/B154-1</f>
        <v>8.6269638290101813E-3</v>
      </c>
      <c r="D155" s="58">
        <f t="shared" ref="D155:Q155" si="356">+D154/C154-1</f>
        <v>4.6611192452449934E-2</v>
      </c>
      <c r="E155" s="58">
        <f t="shared" si="356"/>
        <v>-7.1724106779890606E-2</v>
      </c>
      <c r="F155" s="58">
        <f t="shared" si="356"/>
        <v>-4.5099277706880492E-2</v>
      </c>
      <c r="G155" s="58">
        <f t="shared" si="356"/>
        <v>6.78416461641691E-2</v>
      </c>
      <c r="H155" s="58">
        <f t="shared" si="356"/>
        <v>9.3052634550510049E-3</v>
      </c>
      <c r="I155" s="58">
        <f t="shared" si="356"/>
        <v>2.3476968796433795E-2</v>
      </c>
      <c r="J155" s="58">
        <f t="shared" si="356"/>
        <v>3.2541387590039328E-3</v>
      </c>
      <c r="K155" s="58">
        <f t="shared" si="356"/>
        <v>3.3519364112972738E-3</v>
      </c>
      <c r="L155" s="58">
        <f t="shared" si="356"/>
        <v>2.8996465561202056E-2</v>
      </c>
      <c r="M155" s="58">
        <f t="shared" si="356"/>
        <v>1.3249357340598511E-2</v>
      </c>
      <c r="N155" s="58">
        <f t="shared" si="356"/>
        <v>-4.5125189465168303E-3</v>
      </c>
      <c r="O155" s="58">
        <f t="shared" si="356"/>
        <v>8.3367343004447925E-3</v>
      </c>
      <c r="P155" s="58">
        <f t="shared" si="356"/>
        <v>7.4077311086271358E-3</v>
      </c>
      <c r="Q155" s="58">
        <f t="shared" si="356"/>
        <v>2.4661641318634908E-2</v>
      </c>
      <c r="R155" s="58"/>
      <c r="S155" s="644"/>
      <c r="T155" s="668">
        <f>+T154/Q154-1</f>
        <v>2.2009437298896595E-2</v>
      </c>
      <c r="U155" s="87"/>
      <c r="V155" s="644"/>
      <c r="W155" s="668">
        <f t="shared" ref="W155:BJ155" si="357">+W154/T154-1</f>
        <v>1.3195585969921098E-2</v>
      </c>
      <c r="X155" s="87">
        <f t="shared" si="357"/>
        <v>1.5879978158316321E-2</v>
      </c>
      <c r="Y155" s="644">
        <f t="shared" si="357"/>
        <v>4.6063945123655969E-2</v>
      </c>
      <c r="Z155" s="668">
        <f t="shared" si="357"/>
        <v>2.9236909465136796E-2</v>
      </c>
      <c r="AA155" s="87">
        <f t="shared" si="357"/>
        <v>1.5958323480304903E-2</v>
      </c>
      <c r="AB155" s="644">
        <f t="shared" si="357"/>
        <v>4.0600841341656757E-2</v>
      </c>
      <c r="AC155" s="668">
        <f t="shared" si="357"/>
        <v>2.9896964207500432E-2</v>
      </c>
      <c r="AD155" s="87">
        <f t="shared" si="357"/>
        <v>1.5293365499038369E-2</v>
      </c>
      <c r="AE155" s="644">
        <f t="shared" si="357"/>
        <v>-4.527802103377021E-2</v>
      </c>
      <c r="AF155" s="668">
        <f t="shared" si="357"/>
        <v>-1.5479763749031816E-2</v>
      </c>
      <c r="AG155" s="87">
        <f t="shared" si="357"/>
        <v>1.6564495530012824E-2</v>
      </c>
      <c r="AH155" s="644">
        <f t="shared" si="357"/>
        <v>6.7274756451175532E-2</v>
      </c>
      <c r="AI155" s="668">
        <f t="shared" si="357"/>
        <v>4.1138172172655141E-2</v>
      </c>
      <c r="AJ155" s="87">
        <f t="shared" si="357"/>
        <v>9.5326360386598363E-3</v>
      </c>
      <c r="AK155" s="644">
        <f t="shared" si="357"/>
        <v>-5.3246733098104904E-2</v>
      </c>
      <c r="AL155" s="668">
        <f t="shared" si="357"/>
        <v>-2.395092790341613E-2</v>
      </c>
      <c r="AM155" s="87">
        <f t="shared" si="357"/>
        <v>-2.5549333061806068E-2</v>
      </c>
      <c r="AN155" s="644">
        <f t="shared" ref="AN155" si="358">+AN154/AK154-1</f>
        <v>9.9018813574613951E-4</v>
      </c>
      <c r="AO155" s="668">
        <f t="shared" ref="AO155" si="359">+AO154/AL154-1</f>
        <v>-1.0174316283764417E-2</v>
      </c>
      <c r="AP155" s="87">
        <f t="shared" si="357"/>
        <v>-8.6530102151707311E-3</v>
      </c>
      <c r="AQ155" s="644">
        <f t="shared" ref="AQ155" si="360">+AQ154/AN154-1</f>
        <v>-3.2376779142584411E-3</v>
      </c>
      <c r="AR155" s="668">
        <f t="shared" ref="AR155" si="361">+AR154/AO154-1</f>
        <v>-5.5371413959853788E-3</v>
      </c>
      <c r="AS155" s="87">
        <f t="shared" si="357"/>
        <v>1.4089164208253235E-2</v>
      </c>
      <c r="AT155" s="229">
        <f t="shared" si="357"/>
        <v>3.6801976304186024E-3</v>
      </c>
      <c r="AU155" s="559">
        <f t="shared" si="357"/>
        <v>8.1647426644495535E-3</v>
      </c>
      <c r="AV155" s="199">
        <f t="shared" si="357"/>
        <v>2.0547794065153058E-2</v>
      </c>
      <c r="AW155" s="247">
        <f t="shared" si="357"/>
        <v>-0.2612593842577754</v>
      </c>
      <c r="AX155" s="583">
        <f t="shared" si="357"/>
        <v>-0.11973158723185739</v>
      </c>
      <c r="AY155" s="245">
        <f t="shared" si="357"/>
        <v>-0.12835621893721227</v>
      </c>
      <c r="AZ155" s="247">
        <f t="shared" si="357"/>
        <v>0.21317291676303984</v>
      </c>
      <c r="BA155" s="583">
        <f t="shared" si="357"/>
        <v>1.4395123578810898E-2</v>
      </c>
      <c r="BB155" s="245">
        <f t="shared" si="357"/>
        <v>1.3937833816360712E-2</v>
      </c>
      <c r="BC155" s="247">
        <f t="shared" si="357"/>
        <v>1.3438435617053157E-2</v>
      </c>
      <c r="BD155" s="583">
        <f t="shared" si="357"/>
        <v>1.3690069965706542E-2</v>
      </c>
      <c r="BE155" s="245">
        <f t="shared" si="357"/>
        <v>1.2654619436591297E-2</v>
      </c>
      <c r="BF155" s="247">
        <f t="shared" si="357"/>
        <v>5.1962258028566133E-3</v>
      </c>
      <c r="BG155" s="583">
        <f t="shared" si="357"/>
        <v>8.8634237505151869E-3</v>
      </c>
      <c r="BH155" s="245">
        <f t="shared" si="357"/>
        <v>-4.8177624877062675E-3</v>
      </c>
      <c r="BI155" s="247">
        <f t="shared" si="357"/>
        <v>5.1721369771022818E-3</v>
      </c>
      <c r="BJ155" s="583">
        <f t="shared" si="357"/>
        <v>0</v>
      </c>
      <c r="BK155"/>
      <c r="BM155" s="104"/>
      <c r="BN155" s="104"/>
    </row>
    <row r="156" spans="1:66">
      <c r="B156" s="40"/>
      <c r="C156" s="40"/>
      <c r="D156" s="40"/>
      <c r="E156" s="40"/>
      <c r="F156" s="40"/>
      <c r="G156" s="40"/>
      <c r="H156" s="40"/>
      <c r="I156" s="40"/>
      <c r="J156" s="40"/>
      <c r="K156" s="40"/>
      <c r="L156" s="40"/>
      <c r="M156" s="40"/>
      <c r="N156" s="40"/>
      <c r="O156" s="40"/>
      <c r="P156" s="40"/>
      <c r="Q156" s="40"/>
      <c r="R156" s="40"/>
      <c r="S156" s="630"/>
      <c r="T156" s="653"/>
      <c r="U156" s="40"/>
      <c r="V156" s="630"/>
      <c r="W156" s="653"/>
      <c r="X156" s="40"/>
      <c r="Y156" s="630"/>
      <c r="Z156" s="653"/>
      <c r="AA156" s="40"/>
      <c r="AB156" s="630"/>
      <c r="AC156" s="653"/>
      <c r="AD156" s="40"/>
      <c r="AE156" s="630"/>
      <c r="AF156" s="653"/>
      <c r="AG156" s="40"/>
      <c r="AH156" s="630"/>
      <c r="AI156" s="653"/>
      <c r="AJ156" s="40"/>
      <c r="AK156" s="630"/>
      <c r="AL156" s="653"/>
      <c r="AM156" s="40"/>
      <c r="AN156" s="539"/>
      <c r="AO156" s="550"/>
      <c r="AP156"/>
      <c r="AQ156" s="539"/>
      <c r="AR156" s="550"/>
      <c r="AS156"/>
      <c r="AT156" s="216"/>
      <c r="AU156" s="556"/>
      <c r="AV156" s="10"/>
      <c r="AW156" s="539"/>
      <c r="AX156" s="550"/>
      <c r="AY156"/>
      <c r="AZ156" s="539"/>
      <c r="BA156" s="550"/>
      <c r="BB156"/>
      <c r="BC156" s="539"/>
      <c r="BD156" s="550"/>
      <c r="BE156"/>
      <c r="BF156" s="539"/>
      <c r="BG156" s="550"/>
      <c r="BH156"/>
      <c r="BI156" s="539"/>
      <c r="BJ156" s="550"/>
      <c r="BK156" s="176"/>
    </row>
    <row r="157" spans="1:66" ht="11.4">
      <c r="A157" s="40" t="s">
        <v>644</v>
      </c>
      <c r="B157" s="40"/>
      <c r="C157" s="40"/>
      <c r="D157" s="40"/>
      <c r="E157" s="40"/>
      <c r="F157" s="40"/>
      <c r="G157" s="40"/>
      <c r="H157" s="40"/>
      <c r="I157" s="40"/>
      <c r="J157" s="40"/>
      <c r="K157" s="40"/>
      <c r="L157" s="40"/>
      <c r="M157" s="40"/>
      <c r="N157" s="40"/>
      <c r="O157" s="40"/>
      <c r="P157" s="103">
        <v>0.02</v>
      </c>
      <c r="Q157" s="103">
        <v>0.02</v>
      </c>
      <c r="R157" s="121"/>
      <c r="S157" s="776"/>
      <c r="T157" s="783">
        <v>0.02</v>
      </c>
      <c r="U157" s="121">
        <v>0.02</v>
      </c>
      <c r="V157" s="776">
        <v>0.02</v>
      </c>
      <c r="W157" s="783">
        <v>0.02</v>
      </c>
      <c r="X157" s="121">
        <v>0.02</v>
      </c>
      <c r="Y157" s="776">
        <v>0.02</v>
      </c>
      <c r="Z157" s="783">
        <v>0.02</v>
      </c>
      <c r="AA157" s="121">
        <v>0.02</v>
      </c>
      <c r="AB157" s="776">
        <v>0.02</v>
      </c>
      <c r="AC157" s="783">
        <v>0.02</v>
      </c>
      <c r="AD157" s="121">
        <v>0.02</v>
      </c>
      <c r="AE157" s="776">
        <v>0.02</v>
      </c>
      <c r="AF157" s="783">
        <v>0.02</v>
      </c>
      <c r="AG157" s="121">
        <v>0.02</v>
      </c>
      <c r="AH157" s="776">
        <v>0.02</v>
      </c>
      <c r="AI157" s="783">
        <v>0.02</v>
      </c>
      <c r="AJ157" s="121">
        <v>0.02</v>
      </c>
      <c r="AK157" s="776">
        <v>0.02</v>
      </c>
      <c r="AL157" s="783">
        <v>0.02</v>
      </c>
      <c r="AM157" s="121">
        <v>0.02</v>
      </c>
      <c r="AN157" s="757"/>
      <c r="AO157" s="738">
        <v>0.03</v>
      </c>
      <c r="AP157" s="261">
        <v>0.02</v>
      </c>
      <c r="AQ157" s="734">
        <f>AR157</f>
        <v>0.02</v>
      </c>
      <c r="AR157" s="738">
        <v>0.02</v>
      </c>
      <c r="AS157" s="261">
        <f>AU157</f>
        <v>0.02</v>
      </c>
      <c r="AT157" s="734">
        <f>AU157</f>
        <v>0.02</v>
      </c>
      <c r="AU157" s="738">
        <v>0.02</v>
      </c>
      <c r="AV157" s="261">
        <f>AX157</f>
        <v>0.02</v>
      </c>
      <c r="AW157" s="720">
        <f>AX157</f>
        <v>0.02</v>
      </c>
      <c r="AX157" s="771">
        <v>0.02</v>
      </c>
      <c r="AY157" s="343">
        <f>BA157</f>
        <v>0.02</v>
      </c>
      <c r="AZ157" s="720">
        <f>BA157</f>
        <v>0.02</v>
      </c>
      <c r="BA157" s="771">
        <v>0.02</v>
      </c>
      <c r="BB157" s="343">
        <f>BD157</f>
        <v>0.02</v>
      </c>
      <c r="BC157" s="720">
        <f>BD157</f>
        <v>0.02</v>
      </c>
      <c r="BD157" s="771">
        <v>0.02</v>
      </c>
      <c r="BE157" s="343">
        <f>BG157</f>
        <v>0.02</v>
      </c>
      <c r="BF157" s="720">
        <f>BG157</f>
        <v>0.02</v>
      </c>
      <c r="BG157" s="771">
        <v>0.02</v>
      </c>
      <c r="BH157" s="343">
        <f>BJ157</f>
        <v>0.02</v>
      </c>
      <c r="BI157" s="720">
        <f>BJ157</f>
        <v>0.02</v>
      </c>
      <c r="BJ157" s="771">
        <v>0.02</v>
      </c>
      <c r="BK157" s="164"/>
      <c r="BM157" s="107"/>
      <c r="BN157" s="107"/>
    </row>
    <row r="158" spans="1:66" ht="11.4">
      <c r="B158" s="40"/>
      <c r="C158" s="40"/>
      <c r="D158" s="40"/>
      <c r="E158" s="40"/>
      <c r="F158" s="40"/>
      <c r="G158" s="40"/>
      <c r="H158" s="40"/>
      <c r="I158" s="40"/>
      <c r="J158" s="40"/>
      <c r="K158" s="40"/>
      <c r="L158" s="40"/>
      <c r="M158" s="40"/>
      <c r="N158" s="40"/>
      <c r="O158" s="40"/>
      <c r="P158" s="103"/>
      <c r="Q158" s="40"/>
      <c r="R158" s="40"/>
      <c r="S158" s="630"/>
      <c r="T158" s="653"/>
      <c r="U158" s="40"/>
      <c r="V158" s="630"/>
      <c r="W158" s="653"/>
      <c r="X158" s="40"/>
      <c r="Y158" s="630"/>
      <c r="Z158" s="653"/>
      <c r="AA158" s="40"/>
      <c r="AB158" s="630"/>
      <c r="AC158" s="653"/>
      <c r="AD158" s="40"/>
      <c r="AE158" s="630"/>
      <c r="AF158" s="556"/>
      <c r="AG158" s="40"/>
      <c r="AH158" s="630"/>
      <c r="AI158" s="556"/>
      <c r="AJ158" s="10"/>
      <c r="AK158" s="630"/>
      <c r="AL158" s="556"/>
      <c r="AM158" s="10"/>
      <c r="AN158" s="216"/>
      <c r="AO158" s="556"/>
      <c r="AP158" s="10"/>
      <c r="AQ158" s="216"/>
      <c r="AR158" s="726"/>
      <c r="AS158" s="10"/>
      <c r="AT158" s="216"/>
      <c r="AU158" s="726"/>
      <c r="AV158" s="10"/>
      <c r="AW158" s="216"/>
      <c r="AX158" s="726"/>
      <c r="AY158" s="10"/>
      <c r="AZ158" s="216"/>
      <c r="BA158" s="726"/>
      <c r="BB158" s="10"/>
      <c r="BC158" s="216"/>
      <c r="BD158" s="726"/>
      <c r="BE158" s="10"/>
      <c r="BF158" s="216"/>
      <c r="BG158" s="726"/>
      <c r="BH158" s="10"/>
      <c r="BI158" s="216"/>
      <c r="BJ158" s="726"/>
      <c r="BK158"/>
      <c r="BM158" s="107"/>
      <c r="BN158" s="107"/>
    </row>
    <row r="159" spans="1:66">
      <c r="A159" s="310" t="s">
        <v>843</v>
      </c>
      <c r="B159" s="318"/>
      <c r="C159" s="318"/>
      <c r="D159" s="318"/>
      <c r="E159" s="318"/>
      <c r="F159" s="318"/>
      <c r="G159" s="318"/>
      <c r="H159" s="318"/>
      <c r="I159" s="318"/>
      <c r="J159" s="318"/>
      <c r="K159" s="318"/>
      <c r="L159" s="318"/>
      <c r="M159" s="318"/>
      <c r="N159" s="318"/>
      <c r="O159" s="318"/>
      <c r="P159" s="318"/>
      <c r="Q159" s="318"/>
      <c r="R159" s="527"/>
      <c r="S159" s="320"/>
      <c r="T159" s="664"/>
      <c r="U159" s="527"/>
      <c r="V159" s="320"/>
      <c r="W159" s="664"/>
      <c r="X159" s="527"/>
      <c r="Y159" s="320"/>
      <c r="Z159" s="664"/>
      <c r="AA159" s="527"/>
      <c r="AB159" s="320"/>
      <c r="AC159" s="664"/>
      <c r="AD159" s="527"/>
      <c r="AE159" s="320"/>
      <c r="AF159" s="664"/>
      <c r="AG159" s="527"/>
      <c r="AH159" s="320"/>
      <c r="AI159" s="664"/>
      <c r="AJ159" s="527"/>
      <c r="AK159" s="320"/>
      <c r="AL159" s="664"/>
      <c r="AM159" s="527"/>
      <c r="AN159" s="320"/>
      <c r="AO159" s="664"/>
      <c r="AP159" s="527"/>
      <c r="AQ159" s="320"/>
      <c r="AR159" s="664"/>
      <c r="AS159" s="527"/>
      <c r="AT159" s="320"/>
      <c r="AU159" s="664"/>
      <c r="AV159" s="527"/>
      <c r="AW159" s="215"/>
      <c r="AX159" s="574"/>
      <c r="AY159" s="179"/>
      <c r="AZ159" s="215"/>
      <c r="BA159" s="574"/>
      <c r="BB159" s="179"/>
      <c r="BC159" s="215"/>
      <c r="BD159" s="574"/>
      <c r="BE159" s="179"/>
      <c r="BF159" s="215"/>
      <c r="BG159" s="574"/>
      <c r="BH159" s="179"/>
      <c r="BI159" s="215"/>
      <c r="BJ159" s="574"/>
      <c r="BK159"/>
    </row>
    <row r="160" spans="1:66" ht="11.4">
      <c r="B160" s="40"/>
      <c r="C160" s="40"/>
      <c r="D160" s="40"/>
      <c r="E160" s="40"/>
      <c r="F160" s="40"/>
      <c r="G160" s="40"/>
      <c r="H160" s="40"/>
      <c r="I160" s="40"/>
      <c r="J160" s="40"/>
      <c r="K160" s="40"/>
      <c r="L160" s="40"/>
      <c r="M160" s="40"/>
      <c r="N160" s="40"/>
      <c r="O160" s="40"/>
      <c r="P160" s="103"/>
      <c r="Q160" s="40"/>
      <c r="R160" s="40"/>
      <c r="S160" s="630"/>
      <c r="T160" s="653"/>
      <c r="U160" s="40"/>
      <c r="V160" s="630"/>
      <c r="W160" s="653"/>
      <c r="X160" s="40"/>
      <c r="Y160" s="630"/>
      <c r="Z160" s="653"/>
      <c r="AA160" s="40"/>
      <c r="AB160" s="630"/>
      <c r="AC160" s="653"/>
      <c r="AD160" s="40"/>
      <c r="AE160" s="630"/>
      <c r="AF160" s="556"/>
      <c r="AG160" s="40"/>
      <c r="AH160" s="630"/>
      <c r="AI160" s="556"/>
      <c r="AJ160" s="10"/>
      <c r="AK160" s="630"/>
      <c r="AL160" s="556"/>
      <c r="AM160" s="10"/>
      <c r="AN160" s="216"/>
      <c r="AO160" s="556"/>
      <c r="AP160" s="10"/>
      <c r="AQ160" s="216"/>
      <c r="AR160" s="726"/>
      <c r="AS160" s="10"/>
      <c r="AT160" s="216"/>
      <c r="AU160" s="726"/>
      <c r="AV160" s="10"/>
      <c r="AW160" s="216"/>
      <c r="AX160" s="726"/>
      <c r="AY160" s="10"/>
      <c r="AZ160" s="216"/>
      <c r="BA160" s="726"/>
      <c r="BB160" s="10"/>
      <c r="BC160" s="216"/>
      <c r="BD160" s="726"/>
      <c r="BE160" s="10"/>
      <c r="BF160" s="216"/>
      <c r="BG160" s="726"/>
      <c r="BH160" s="10"/>
      <c r="BI160" s="216"/>
      <c r="BJ160" s="726"/>
      <c r="BK160"/>
      <c r="BM160" s="107"/>
      <c r="BN160" s="107"/>
    </row>
    <row r="161" spans="1:66">
      <c r="A161" s="71" t="s">
        <v>646</v>
      </c>
      <c r="B161" s="89"/>
      <c r="C161" s="89"/>
      <c r="D161" s="89"/>
      <c r="E161" s="89"/>
      <c r="F161" s="89"/>
      <c r="G161" s="89"/>
      <c r="H161" s="89"/>
      <c r="I161" s="89"/>
      <c r="J161" s="89"/>
      <c r="K161" s="89"/>
      <c r="L161" s="89"/>
      <c r="M161" s="89"/>
      <c r="N161" s="89"/>
      <c r="O161" s="89"/>
      <c r="P161" s="89">
        <f t="shared" ref="P161:BJ161" si="362">+P162*P163</f>
        <v>704.38842203548074</v>
      </c>
      <c r="Q161" s="89">
        <f t="shared" si="362"/>
        <v>546.66666666666663</v>
      </c>
      <c r="R161" s="534"/>
      <c r="S161" s="780"/>
      <c r="T161" s="787">
        <f>+T162*T163</f>
        <v>360.79999999999995</v>
      </c>
      <c r="U161" s="534">
        <f t="shared" ref="U161" si="363">+U162*U163</f>
        <v>188.97662337662337</v>
      </c>
      <c r="V161" s="780">
        <f>W161-U161</f>
        <v>253.30909090909091</v>
      </c>
      <c r="W161" s="787">
        <f>+W162*W163</f>
        <v>442.28571428571428</v>
      </c>
      <c r="X161" s="534">
        <f t="shared" ref="X161" si="364">+X162*X163</f>
        <v>168.14898701298702</v>
      </c>
      <c r="Y161" s="780">
        <f>Z161-X161</f>
        <v>90.226285714285751</v>
      </c>
      <c r="Z161" s="787">
        <f>+Z162*Z163</f>
        <v>258.37527272727277</v>
      </c>
      <c r="AA161" s="534">
        <f t="shared" ref="AA161" si="365">+AA162*AA163</f>
        <v>33.684480000000008</v>
      </c>
      <c r="AB161" s="780">
        <f>AC161-AA161</f>
        <v>8.4211200000000019</v>
      </c>
      <c r="AC161" s="787">
        <f>+AC162*AC163</f>
        <v>42.10560000000001</v>
      </c>
      <c r="AD161" s="534">
        <f t="shared" ref="AD161" si="366">+AD162*AD163</f>
        <v>0</v>
      </c>
      <c r="AE161" s="780">
        <f>AF161-AD161</f>
        <v>8.6460525473684235</v>
      </c>
      <c r="AF161" s="787">
        <f t="shared" si="362"/>
        <v>8.6460525473684235</v>
      </c>
      <c r="AG161" s="534">
        <f t="shared" si="362"/>
        <v>0</v>
      </c>
      <c r="AH161" s="780">
        <f>AI161-AG161</f>
        <v>8.8773773969801351</v>
      </c>
      <c r="AI161" s="787">
        <f t="shared" si="362"/>
        <v>8.8773773969801351</v>
      </c>
      <c r="AJ161" s="534">
        <f t="shared" ref="AJ161" si="367">+AJ162*AJ163</f>
        <v>0</v>
      </c>
      <c r="AK161" s="780">
        <f>AL161-AJ161</f>
        <v>4.5576455556096009</v>
      </c>
      <c r="AL161" s="787">
        <f t="shared" si="362"/>
        <v>4.5576455556096009</v>
      </c>
      <c r="AM161" s="534">
        <f t="shared" si="362"/>
        <v>4.7855278333900815</v>
      </c>
      <c r="AN161" s="780">
        <f>AO161-AM161</f>
        <v>-9.1152911112192037E-2</v>
      </c>
      <c r="AO161" s="787">
        <f t="shared" ref="AO161:AP161" si="368">+AO162*AO163</f>
        <v>4.6943749222778894</v>
      </c>
      <c r="AP161" s="534">
        <f t="shared" si="368"/>
        <v>0</v>
      </c>
      <c r="AQ161" s="780">
        <f>AR161-AP161</f>
        <v>0</v>
      </c>
      <c r="AR161" s="787">
        <f t="shared" ref="AR161:AS161" si="369">+AR162*AR163</f>
        <v>0</v>
      </c>
      <c r="AS161" s="534">
        <f t="shared" si="369"/>
        <v>0</v>
      </c>
      <c r="AT161" s="780">
        <f>AU161-AS161</f>
        <v>0</v>
      </c>
      <c r="AU161" s="1111">
        <f t="shared" si="362"/>
        <v>0</v>
      </c>
      <c r="AV161" s="534">
        <f t="shared" si="362"/>
        <v>5.4149002418702983</v>
      </c>
      <c r="AW161" s="962">
        <f>AX161-AV161</f>
        <v>0</v>
      </c>
      <c r="AX161" s="772">
        <f t="shared" si="362"/>
        <v>5.4149002418702983</v>
      </c>
      <c r="AY161" s="535">
        <f t="shared" si="362"/>
        <v>0</v>
      </c>
      <c r="AZ161" s="962">
        <f>BA161-AY161</f>
        <v>0</v>
      </c>
      <c r="BA161" s="772">
        <f t="shared" si="362"/>
        <v>0</v>
      </c>
      <c r="BB161" s="535">
        <f t="shared" si="362"/>
        <v>0</v>
      </c>
      <c r="BC161" s="962">
        <f>BD161-BB161</f>
        <v>0</v>
      </c>
      <c r="BD161" s="772">
        <f t="shared" si="362"/>
        <v>0</v>
      </c>
      <c r="BE161" s="535">
        <f t="shared" si="362"/>
        <v>0</v>
      </c>
      <c r="BF161" s="962">
        <f>BG161-BE161</f>
        <v>0</v>
      </c>
      <c r="BG161" s="772">
        <f t="shared" si="362"/>
        <v>0</v>
      </c>
      <c r="BH161" s="535">
        <f t="shared" si="362"/>
        <v>0</v>
      </c>
      <c r="BI161" s="962">
        <f>BJ161-BH161</f>
        <v>0</v>
      </c>
      <c r="BJ161" s="772">
        <f t="shared" si="362"/>
        <v>0</v>
      </c>
      <c r="BK161"/>
    </row>
    <row r="162" spans="1:66">
      <c r="A162" s="65" t="s">
        <v>396</v>
      </c>
      <c r="B162" s="40">
        <f t="shared" ref="B162:Q162" si="370">B79</f>
        <v>47</v>
      </c>
      <c r="C162" s="40">
        <f t="shared" si="370"/>
        <v>52</v>
      </c>
      <c r="D162" s="40">
        <f t="shared" si="370"/>
        <v>30</v>
      </c>
      <c r="E162" s="40">
        <f t="shared" si="370"/>
        <v>35</v>
      </c>
      <c r="F162" s="40">
        <f t="shared" si="370"/>
        <v>30</v>
      </c>
      <c r="G162" s="40">
        <f t="shared" si="370"/>
        <v>54</v>
      </c>
      <c r="H162" s="40">
        <f t="shared" si="370"/>
        <v>59</v>
      </c>
      <c r="I162" s="40">
        <f t="shared" si="370"/>
        <v>75</v>
      </c>
      <c r="J162" s="40">
        <f t="shared" si="370"/>
        <v>88</v>
      </c>
      <c r="K162" s="40">
        <f t="shared" si="370"/>
        <v>125</v>
      </c>
      <c r="L162" s="40">
        <f t="shared" si="370"/>
        <v>139</v>
      </c>
      <c r="M162" s="40">
        <f t="shared" si="370"/>
        <v>135</v>
      </c>
      <c r="N162" s="40">
        <f t="shared" si="370"/>
        <v>157</v>
      </c>
      <c r="O162" s="40">
        <f t="shared" si="370"/>
        <v>181</v>
      </c>
      <c r="P162" s="40">
        <f t="shared" si="370"/>
        <v>184</v>
      </c>
      <c r="Q162" s="40">
        <f t="shared" si="370"/>
        <v>140</v>
      </c>
      <c r="R162" s="40"/>
      <c r="S162" s="630"/>
      <c r="T162" s="653">
        <f t="shared" ref="T162:AW162" si="371">T79</f>
        <v>88</v>
      </c>
      <c r="U162" s="40">
        <f t="shared" si="371"/>
        <v>47</v>
      </c>
      <c r="V162" s="630">
        <f t="shared" si="371"/>
        <v>63</v>
      </c>
      <c r="W162" s="653">
        <f t="shared" si="371"/>
        <v>110</v>
      </c>
      <c r="X162" s="40">
        <f t="shared" si="371"/>
        <v>41</v>
      </c>
      <c r="Y162" s="630">
        <f t="shared" si="371"/>
        <v>22</v>
      </c>
      <c r="Z162" s="653">
        <f t="shared" si="371"/>
        <v>63</v>
      </c>
      <c r="AA162" s="40">
        <f t="shared" si="371"/>
        <v>8</v>
      </c>
      <c r="AB162" s="630">
        <f t="shared" si="371"/>
        <v>2</v>
      </c>
      <c r="AC162" s="653">
        <f t="shared" si="371"/>
        <v>10</v>
      </c>
      <c r="AD162" s="40">
        <f t="shared" si="371"/>
        <v>0</v>
      </c>
      <c r="AE162" s="630">
        <f t="shared" si="371"/>
        <v>2</v>
      </c>
      <c r="AF162" s="653">
        <f t="shared" si="371"/>
        <v>2</v>
      </c>
      <c r="AG162" s="40">
        <f t="shared" si="371"/>
        <v>0</v>
      </c>
      <c r="AH162" s="630">
        <f t="shared" si="371"/>
        <v>2</v>
      </c>
      <c r="AI162" s="653">
        <f t="shared" si="371"/>
        <v>2</v>
      </c>
      <c r="AJ162" s="40">
        <f t="shared" si="371"/>
        <v>0</v>
      </c>
      <c r="AK162" s="630">
        <f t="shared" si="371"/>
        <v>1</v>
      </c>
      <c r="AL162" s="653">
        <f t="shared" si="371"/>
        <v>1</v>
      </c>
      <c r="AM162" s="40">
        <f t="shared" si="371"/>
        <v>1</v>
      </c>
      <c r="AN162" s="630">
        <f t="shared" si="371"/>
        <v>0</v>
      </c>
      <c r="AO162" s="653">
        <f t="shared" si="371"/>
        <v>1</v>
      </c>
      <c r="AP162" s="40">
        <f t="shared" si="371"/>
        <v>0</v>
      </c>
      <c r="AQ162" s="630">
        <f t="shared" si="371"/>
        <v>0</v>
      </c>
      <c r="AR162" s="653">
        <f t="shared" si="371"/>
        <v>0</v>
      </c>
      <c r="AS162" s="40">
        <f t="shared" si="371"/>
        <v>0</v>
      </c>
      <c r="AT162" s="216">
        <f t="shared" si="371"/>
        <v>0</v>
      </c>
      <c r="AU162" s="556">
        <f t="shared" si="371"/>
        <v>0</v>
      </c>
      <c r="AV162" s="40">
        <f t="shared" si="371"/>
        <v>1</v>
      </c>
      <c r="AW162" s="236">
        <f t="shared" si="371"/>
        <v>0</v>
      </c>
      <c r="AX162" s="580">
        <v>1</v>
      </c>
      <c r="AY162" s="56">
        <f>ROUND(((AY168*4.5/6)+(AZ168*1.5/6))*2,0)</f>
        <v>0</v>
      </c>
      <c r="AZ162" s="236">
        <f>AZ79</f>
        <v>0</v>
      </c>
      <c r="BA162" s="605">
        <f>ROUND(((BA168*9/12)+(BD168*3/12))*2,0)</f>
        <v>0</v>
      </c>
      <c r="BB162" s="56">
        <f>ROUND(((BB168*4.5/6)+(BC168*1.5/6))*2,0)</f>
        <v>0</v>
      </c>
      <c r="BC162" s="236">
        <f>BC79</f>
        <v>0</v>
      </c>
      <c r="BD162" s="605">
        <f>ROUND(((BD168*9/12)+(BG168*3/12))*2,0)</f>
        <v>0</v>
      </c>
      <c r="BE162" s="56">
        <f>ROUND(((BE168*4.5/6)+(BF168*1.5/6))*2,0)</f>
        <v>0</v>
      </c>
      <c r="BF162" s="236">
        <f>BF79</f>
        <v>0</v>
      </c>
      <c r="BG162" s="605">
        <f>ROUND(((BG168*9/12)+(BJ168*3/12))*2,0)</f>
        <v>0</v>
      </c>
      <c r="BH162" s="56">
        <f>ROUND(((BH168*4.5/6)+(BI168*1.5/6))*2,0)</f>
        <v>0</v>
      </c>
      <c r="BI162" s="236">
        <f>BI79</f>
        <v>0</v>
      </c>
      <c r="BJ162" s="605">
        <f t="shared" ref="BJ162" si="372">ROUND(((BJ168*9/12)+(BK168*3/12))*2,0)</f>
        <v>0</v>
      </c>
      <c r="BK162"/>
    </row>
    <row r="163" spans="1:66" ht="11.4">
      <c r="A163" s="90" t="s">
        <v>652</v>
      </c>
      <c r="B163" s="40"/>
      <c r="C163" s="40"/>
      <c r="D163" s="40"/>
      <c r="E163" s="40"/>
      <c r="F163" s="40"/>
      <c r="G163" s="40"/>
      <c r="H163" s="40"/>
      <c r="I163" s="40"/>
      <c r="J163" s="40"/>
      <c r="K163" s="40"/>
      <c r="L163" s="40"/>
      <c r="M163" s="40"/>
      <c r="N163" s="40"/>
      <c r="O163" s="40"/>
      <c r="P163" s="81">
        <f>+Q163/(1+P$157)</f>
        <v>3.8281979458450039</v>
      </c>
      <c r="Q163" s="81">
        <f>+T163/(1.05)</f>
        <v>3.9047619047619042</v>
      </c>
      <c r="R163" s="81"/>
      <c r="S163" s="636"/>
      <c r="T163" s="659">
        <v>4.0999999999999996</v>
      </c>
      <c r="U163" s="81">
        <f>W163</f>
        <v>4.0207792207792208</v>
      </c>
      <c r="V163" s="636">
        <f>V161/V162</f>
        <v>4.0207792207792208</v>
      </c>
      <c r="W163" s="659">
        <v>4.0207792207792208</v>
      </c>
      <c r="X163" s="81">
        <f>Z163</f>
        <v>4.1011948051948055</v>
      </c>
      <c r="Y163" s="636">
        <f>Y161/Y162</f>
        <v>4.1011948051948073</v>
      </c>
      <c r="Z163" s="659">
        <f>+W163*(1+Z$157)</f>
        <v>4.1011948051948055</v>
      </c>
      <c r="AA163" s="81">
        <f>AC163</f>
        <v>4.210560000000001</v>
      </c>
      <c r="AB163" s="636">
        <f>AB161/AB162</f>
        <v>4.210560000000001</v>
      </c>
      <c r="AC163" s="659">
        <f>AC164/AC68</f>
        <v>4.210560000000001</v>
      </c>
      <c r="AD163" s="81">
        <f>AF163</f>
        <v>4.3230262736842118</v>
      </c>
      <c r="AE163" s="636">
        <f>AE161/AE162</f>
        <v>4.3230262736842118</v>
      </c>
      <c r="AF163" s="659">
        <f>AF164/AF68</f>
        <v>4.3230262736842118</v>
      </c>
      <c r="AG163" s="81">
        <f>AI163</f>
        <v>4.4386886984900675</v>
      </c>
      <c r="AH163" s="636">
        <f>AH161/AH162</f>
        <v>4.4386886984900675</v>
      </c>
      <c r="AI163" s="659">
        <f>AI164/AI68</f>
        <v>4.4386886984900675</v>
      </c>
      <c r="AJ163" s="81">
        <f>AL163</f>
        <v>4.5576455556096009</v>
      </c>
      <c r="AK163" s="636">
        <f>AK161/AK162</f>
        <v>4.5576455556096009</v>
      </c>
      <c r="AL163" s="659">
        <f>AL164/AL68</f>
        <v>4.5576455556096009</v>
      </c>
      <c r="AM163" s="81">
        <v>4.7855278333900815</v>
      </c>
      <c r="AN163" s="234">
        <f>AO163</f>
        <v>4.6943749222778894</v>
      </c>
      <c r="AO163" s="659">
        <f>AO164/AO68</f>
        <v>4.6943749222778894</v>
      </c>
      <c r="AP163" s="81">
        <f>AP164/AP68</f>
        <v>4.9472010710046117</v>
      </c>
      <c r="AQ163" s="234">
        <f>AR163</f>
        <v>4.8529686696521424</v>
      </c>
      <c r="AR163" s="659">
        <f>AR164/AR68</f>
        <v>4.8529686696521424</v>
      </c>
      <c r="AS163" s="81">
        <f>AS164/AS68</f>
        <v>5.1863157894365006</v>
      </c>
      <c r="AT163" s="234">
        <f>AU163</f>
        <v>5.0875288220186627</v>
      </c>
      <c r="AU163" s="659">
        <f>AU164/AU68</f>
        <v>5.0875288220186627</v>
      </c>
      <c r="AV163" s="81">
        <f>AV164/AV68</f>
        <v>5.4149002418702983</v>
      </c>
      <c r="AW163" s="235">
        <f>AX163</f>
        <v>5.4149002418702983</v>
      </c>
      <c r="AX163" s="773">
        <f>AX164/AX68</f>
        <v>5.4149002418702983</v>
      </c>
      <c r="AY163" s="173">
        <f>+AV163*(1+AY$157)</f>
        <v>5.5231982467077048</v>
      </c>
      <c r="AZ163" s="235">
        <f>BA163</f>
        <v>5.6459359855234306</v>
      </c>
      <c r="BA163" s="773">
        <f>BA164/BA68</f>
        <v>5.6459359855234306</v>
      </c>
      <c r="BB163" s="173">
        <f>+AY163*(1+BB$157)</f>
        <v>5.6336622116418589</v>
      </c>
      <c r="BC163" s="235">
        <f>BD163</f>
        <v>5.8897377667164879</v>
      </c>
      <c r="BD163" s="773">
        <f>BD164/BD68</f>
        <v>5.8897377667164879</v>
      </c>
      <c r="BE163" s="173">
        <f>+BB163*(1+BE$157)</f>
        <v>5.7463354558746964</v>
      </c>
      <c r="BF163" s="235">
        <f>BG163</f>
        <v>6.007532522050818</v>
      </c>
      <c r="BG163" s="773">
        <f>BG164/BG68</f>
        <v>6.007532522050818</v>
      </c>
      <c r="BH163" s="173">
        <f>+BE163*(1+BH$157)</f>
        <v>5.8612621649921905</v>
      </c>
      <c r="BI163" s="235">
        <f>BJ163</f>
        <v>6.1276831724918344</v>
      </c>
      <c r="BJ163" s="773">
        <f>BJ164/BJ68</f>
        <v>6.1276831724918344</v>
      </c>
      <c r="BK163"/>
      <c r="BM163" s="110"/>
      <c r="BN163" s="110"/>
    </row>
    <row r="164" spans="1:66" ht="11.4">
      <c r="A164" s="69" t="s">
        <v>685</v>
      </c>
      <c r="B164" s="40"/>
      <c r="C164" s="40"/>
      <c r="D164" s="40"/>
      <c r="E164" s="40"/>
      <c r="F164" s="40"/>
      <c r="G164" s="40"/>
      <c r="H164" s="40"/>
      <c r="I164" s="40"/>
      <c r="J164" s="40"/>
      <c r="K164" s="40"/>
      <c r="L164" s="40"/>
      <c r="M164" s="40"/>
      <c r="N164" s="40"/>
      <c r="O164" s="40"/>
      <c r="P164" s="40"/>
      <c r="Q164" s="81">
        <f t="shared" ref="Q164:BI164" si="373">+Q163*Q$68</f>
        <v>6.1304761904761902</v>
      </c>
      <c r="R164" s="81"/>
      <c r="S164" s="636"/>
      <c r="T164" s="659">
        <f t="shared" si="373"/>
        <v>6.3344999999999994</v>
      </c>
      <c r="U164" s="81">
        <f t="shared" ref="U164:V164" si="374">+U163*U$68</f>
        <v>6.2322077922077925</v>
      </c>
      <c r="V164" s="636">
        <f t="shared" si="374"/>
        <v>6.2322077922077925</v>
      </c>
      <c r="W164" s="659">
        <f t="shared" si="373"/>
        <v>6.1920000000000002</v>
      </c>
      <c r="X164" s="81">
        <f t="shared" si="373"/>
        <v>6.3568519480519488</v>
      </c>
      <c r="Y164" s="636">
        <f t="shared" si="373"/>
        <v>6.3568519480519514</v>
      </c>
      <c r="Z164" s="659">
        <f t="shared" si="373"/>
        <v>6.3158400000000006</v>
      </c>
      <c r="AA164" s="81">
        <f t="shared" ref="AA164:AB164" si="375">+AA163*AA$68</f>
        <v>6.442156800000002</v>
      </c>
      <c r="AB164" s="636">
        <f t="shared" si="375"/>
        <v>6.442156800000002</v>
      </c>
      <c r="AC164" s="659">
        <f>(Z164*(1+AC157))</f>
        <v>6.4421568000000011</v>
      </c>
      <c r="AD164" s="81">
        <f t="shared" si="373"/>
        <v>5.3605525793684228</v>
      </c>
      <c r="AE164" s="636">
        <f t="shared" si="373"/>
        <v>6.5709999360000015</v>
      </c>
      <c r="AF164" s="659">
        <f>(AC164*(1+AF157))</f>
        <v>6.5709999360000015</v>
      </c>
      <c r="AG164" s="81">
        <f t="shared" ref="AG164:AH164" si="376">+AG163*AG$68</f>
        <v>6.1697772909011936</v>
      </c>
      <c r="AH164" s="636">
        <f t="shared" si="376"/>
        <v>7.2350625785388107</v>
      </c>
      <c r="AI164" s="659">
        <f>(AF164*(1+AI157))</f>
        <v>6.7024199347200017</v>
      </c>
      <c r="AJ164" s="81">
        <f t="shared" si="373"/>
        <v>6.8364683334144019</v>
      </c>
      <c r="AK164" s="636">
        <f t="shared" ref="AK164" si="377">+AK163*AK$68</f>
        <v>6.8364683334144019</v>
      </c>
      <c r="AL164" s="659">
        <f>(AI164*(1+AL157))</f>
        <v>6.8364683334144019</v>
      </c>
      <c r="AM164" s="81">
        <f t="shared" ref="AM164:AN164" si="378">+AM163*AM$68</f>
        <v>7.1782917500851227</v>
      </c>
      <c r="AN164" s="234">
        <f t="shared" si="378"/>
        <v>7.0415623834168342</v>
      </c>
      <c r="AO164" s="659">
        <f>(AL164*(1+AO157))</f>
        <v>7.0415623834168342</v>
      </c>
      <c r="AP164" s="81">
        <f>(AM164*(1+AP157))</f>
        <v>7.3218575850868248</v>
      </c>
      <c r="AQ164" s="234">
        <f t="shared" ref="AQ164" si="379">+AQ163*AQ$68</f>
        <v>7.182393631085171</v>
      </c>
      <c r="AR164" s="659">
        <f>(AO164*(1+AR157))</f>
        <v>7.182393631085171</v>
      </c>
      <c r="AS164" s="81">
        <f>(AP164*(1+AS157))</f>
        <v>7.468294736788561</v>
      </c>
      <c r="AT164" s="234">
        <f t="shared" si="373"/>
        <v>7.3260415037068745</v>
      </c>
      <c r="AU164" s="659">
        <f>(AR164*(1+AU157))</f>
        <v>7.3260415037068745</v>
      </c>
      <c r="AV164" s="81">
        <f>AX164</f>
        <v>7.4725623337810116</v>
      </c>
      <c r="AW164" s="235">
        <f t="shared" si="373"/>
        <v>7.4725623337810108</v>
      </c>
      <c r="AX164" s="773">
        <f>(AU164*(1+AX157))</f>
        <v>7.4725623337810116</v>
      </c>
      <c r="AY164" s="173">
        <f t="shared" si="373"/>
        <v>7.4563176330554022</v>
      </c>
      <c r="AZ164" s="235">
        <f t="shared" si="373"/>
        <v>7.622013580456632</v>
      </c>
      <c r="BA164" s="773">
        <f>(AX164*(1+BA157))</f>
        <v>7.622013580456632</v>
      </c>
      <c r="BB164" s="173">
        <f t="shared" si="373"/>
        <v>7.4364341193672541</v>
      </c>
      <c r="BC164" s="235">
        <f t="shared" si="373"/>
        <v>7.774453852065764</v>
      </c>
      <c r="BD164" s="773">
        <f>(BA164*(1+BD157))</f>
        <v>7.7744538520657649</v>
      </c>
      <c r="BE164" s="173">
        <f t="shared" si="373"/>
        <v>7.5851628017546</v>
      </c>
      <c r="BF164" s="235">
        <f t="shared" si="373"/>
        <v>7.9299429291070798</v>
      </c>
      <c r="BG164" s="773">
        <f>(BD164*(1+BG157))</f>
        <v>7.9299429291070807</v>
      </c>
      <c r="BH164" s="173">
        <f t="shared" si="373"/>
        <v>7.7368660577896922</v>
      </c>
      <c r="BI164" s="235">
        <f t="shared" si="373"/>
        <v>8.0885417876892216</v>
      </c>
      <c r="BJ164" s="773">
        <f>(BG164*(1+BJ157))</f>
        <v>8.0885417876892216</v>
      </c>
      <c r="BK164"/>
      <c r="BM164" s="107"/>
      <c r="BN164" s="107"/>
    </row>
    <row r="165" spans="1:66" ht="11.4">
      <c r="A165" s="69" t="s">
        <v>684</v>
      </c>
      <c r="B165" s="40"/>
      <c r="C165" s="40"/>
      <c r="D165" s="40"/>
      <c r="E165" s="40"/>
      <c r="F165" s="40"/>
      <c r="G165" s="40"/>
      <c r="H165" s="40"/>
      <c r="I165" s="40"/>
      <c r="J165" s="40"/>
      <c r="K165" s="40"/>
      <c r="L165" s="40"/>
      <c r="M165" s="40"/>
      <c r="N165" s="40"/>
      <c r="O165" s="40"/>
      <c r="P165" s="40"/>
      <c r="Q165" s="40">
        <v>85.145502645502646</v>
      </c>
      <c r="R165" s="40"/>
      <c r="S165" s="630"/>
      <c r="T165" s="653">
        <v>87.979166666666657</v>
      </c>
      <c r="U165" s="40">
        <v>86.558441558441558</v>
      </c>
      <c r="V165" s="630">
        <v>86.558441558441558</v>
      </c>
      <c r="W165" s="653">
        <v>86</v>
      </c>
      <c r="X165" s="40">
        <v>88.289610389610402</v>
      </c>
      <c r="Y165" s="630">
        <v>88.289610389610431</v>
      </c>
      <c r="Z165" s="653">
        <v>87.720000000000013</v>
      </c>
      <c r="AA165" s="40">
        <v>89.474400000000031</v>
      </c>
      <c r="AB165" s="630">
        <v>89.474400000000031</v>
      </c>
      <c r="AC165" s="653">
        <v>89.474400000000017</v>
      </c>
      <c r="AD165" s="40">
        <v>74.452119157894757</v>
      </c>
      <c r="AE165" s="630">
        <v>91.263888000000023</v>
      </c>
      <c r="AF165" s="653">
        <v>91.263888000000023</v>
      </c>
      <c r="AG165" s="40">
        <v>85.691351262516577</v>
      </c>
      <c r="AH165" s="630">
        <v>100.48698025748349</v>
      </c>
      <c r="AI165" s="653">
        <v>93.089165760000014</v>
      </c>
      <c r="AJ165" s="40">
        <v>94.950949075200029</v>
      </c>
      <c r="AK165" s="630">
        <v>94.950949075200029</v>
      </c>
      <c r="AL165" s="653">
        <v>94.950949075200029</v>
      </c>
      <c r="AM165" s="40">
        <v>99.698496528960035</v>
      </c>
      <c r="AN165" s="216">
        <v>97.799477547456021</v>
      </c>
      <c r="AO165" s="653">
        <v>97.799477547456021</v>
      </c>
      <c r="AP165" s="40">
        <v>101.69246645953923</v>
      </c>
      <c r="AQ165" s="216">
        <v>99.755467098405163</v>
      </c>
      <c r="AR165" s="653">
        <v>99.755467098405163</v>
      </c>
      <c r="AS165" s="40">
        <v>103.72631578873002</v>
      </c>
      <c r="AT165" s="216">
        <v>101.75057644037325</v>
      </c>
      <c r="AU165" s="556">
        <v>101.75057644037325</v>
      </c>
      <c r="AV165" s="10">
        <v>103.78558796918072</v>
      </c>
      <c r="AW165" s="236">
        <v>103.78558796918071</v>
      </c>
      <c r="AX165" s="605">
        <v>103.78558796918072</v>
      </c>
      <c r="AY165" s="56">
        <v>103.55996712576948</v>
      </c>
      <c r="AZ165" s="236">
        <v>105.86129972856433</v>
      </c>
      <c r="BA165" s="605">
        <v>105.86129972856433</v>
      </c>
      <c r="BB165" s="56">
        <v>103.28380721343409</v>
      </c>
      <c r="BC165" s="236">
        <v>107.97852572313562</v>
      </c>
      <c r="BD165" s="605">
        <v>107.97852572313563</v>
      </c>
      <c r="BE165" s="56">
        <v>105.34948335770278</v>
      </c>
      <c r="BF165" s="236">
        <v>110.13809623759833</v>
      </c>
      <c r="BG165" s="605">
        <v>110.13809623759835</v>
      </c>
      <c r="BH165" s="56">
        <v>107.45647302485685</v>
      </c>
      <c r="BI165" s="236">
        <v>112.3408581623503</v>
      </c>
      <c r="BJ165" s="605">
        <v>112.3408581623503</v>
      </c>
      <c r="BK165"/>
      <c r="BM165" s="107"/>
      <c r="BN165" s="107"/>
    </row>
    <row r="166" spans="1:66">
      <c r="A166" s="65"/>
      <c r="B166" s="40"/>
      <c r="C166" s="40"/>
      <c r="D166" s="40"/>
      <c r="E166" s="50"/>
      <c r="F166" s="40"/>
      <c r="G166" s="40"/>
      <c r="H166" s="40"/>
      <c r="I166" s="40"/>
      <c r="J166" s="40"/>
      <c r="K166" s="40"/>
      <c r="L166" s="40"/>
      <c r="M166" s="40"/>
      <c r="N166" s="40"/>
      <c r="O166" s="40"/>
      <c r="P166" s="40"/>
      <c r="Q166" s="40"/>
      <c r="R166" s="40"/>
      <c r="S166" s="630"/>
      <c r="T166" s="653"/>
      <c r="U166" s="40"/>
      <c r="V166" s="630"/>
      <c r="W166" s="653"/>
      <c r="X166" s="40"/>
      <c r="Y166" s="630"/>
      <c r="Z166" s="653"/>
      <c r="AA166" s="40"/>
      <c r="AB166" s="630"/>
      <c r="AC166" s="653"/>
      <c r="AD166" s="40"/>
      <c r="AE166" s="630"/>
      <c r="AF166" s="653"/>
      <c r="AG166" s="40"/>
      <c r="AH166" s="630"/>
      <c r="AI166" s="653"/>
      <c r="AJ166" s="40"/>
      <c r="AK166" s="630"/>
      <c r="AL166" s="653"/>
      <c r="AM166" s="40"/>
      <c r="AN166" s="539"/>
      <c r="AO166" s="550"/>
      <c r="AP166"/>
      <c r="AQ166" s="539"/>
      <c r="AR166" s="550"/>
      <c r="AS166"/>
      <c r="AT166" s="539"/>
      <c r="AU166" s="550"/>
      <c r="AV166" s="10"/>
      <c r="AW166" s="539"/>
      <c r="AX166" s="550"/>
      <c r="AY166"/>
      <c r="AZ166" s="539"/>
      <c r="BA166" s="550"/>
      <c r="BB166"/>
      <c r="BC166" s="539"/>
      <c r="BD166" s="550"/>
      <c r="BE166"/>
      <c r="BF166" s="539"/>
      <c r="BG166" s="550"/>
      <c r="BH166"/>
      <c r="BI166" s="539"/>
      <c r="BJ166" s="550"/>
      <c r="BK166"/>
    </row>
    <row r="167" spans="1:66">
      <c r="A167" s="25" t="s">
        <v>280</v>
      </c>
      <c r="B167" s="40"/>
      <c r="C167" s="40"/>
      <c r="D167" s="40"/>
      <c r="E167" s="40">
        <v>31</v>
      </c>
      <c r="F167" s="40">
        <v>47</v>
      </c>
      <c r="G167" s="40">
        <v>56</v>
      </c>
      <c r="H167" s="40">
        <v>62</v>
      </c>
      <c r="I167" s="40">
        <v>68</v>
      </c>
      <c r="J167" s="40">
        <v>72</v>
      </c>
      <c r="K167" s="40">
        <v>76</v>
      </c>
      <c r="L167" s="40">
        <v>87</v>
      </c>
      <c r="M167" s="40">
        <v>87</v>
      </c>
      <c r="N167" s="40">
        <v>101</v>
      </c>
      <c r="O167" s="40">
        <v>108</v>
      </c>
      <c r="P167" s="40">
        <v>108</v>
      </c>
      <c r="Q167" s="40">
        <v>103</v>
      </c>
      <c r="R167" s="40"/>
      <c r="S167" s="630"/>
      <c r="T167" s="653">
        <v>66</v>
      </c>
      <c r="U167" s="40">
        <v>31</v>
      </c>
      <c r="V167" s="630">
        <f>W167-U167</f>
        <v>36</v>
      </c>
      <c r="W167" s="653">
        <v>67</v>
      </c>
      <c r="X167" s="40">
        <v>18</v>
      </c>
      <c r="Y167" s="630">
        <f>Z167-X167</f>
        <v>28</v>
      </c>
      <c r="Z167" s="653">
        <v>46</v>
      </c>
      <c r="AA167" s="40">
        <v>4</v>
      </c>
      <c r="AB167" s="630">
        <f>AC167-AA167</f>
        <v>8</v>
      </c>
      <c r="AC167" s="653">
        <v>12</v>
      </c>
      <c r="AD167" s="40">
        <v>3</v>
      </c>
      <c r="AE167" s="630">
        <f>AF167-AD167</f>
        <v>3</v>
      </c>
      <c r="AF167" s="653">
        <v>6</v>
      </c>
      <c r="AG167" s="40">
        <v>1</v>
      </c>
      <c r="AH167" s="630">
        <f>AI167-AG167</f>
        <v>3</v>
      </c>
      <c r="AI167" s="653">
        <v>4</v>
      </c>
      <c r="AJ167" s="40">
        <v>5</v>
      </c>
      <c r="AK167" s="630">
        <f>AL167-AJ167</f>
        <v>4</v>
      </c>
      <c r="AL167" s="653">
        <v>9</v>
      </c>
      <c r="AM167" s="40">
        <v>2</v>
      </c>
      <c r="AN167" s="216">
        <f>AO167-AM167</f>
        <v>1</v>
      </c>
      <c r="AO167" s="556">
        <v>3</v>
      </c>
      <c r="AP167" s="10">
        <v>0</v>
      </c>
      <c r="AQ167" s="216">
        <f>AR167-AP167</f>
        <v>2</v>
      </c>
      <c r="AR167" s="556">
        <v>2</v>
      </c>
      <c r="AS167" s="10">
        <v>1</v>
      </c>
      <c r="AT167" s="216">
        <f>AU167-AS167</f>
        <v>1</v>
      </c>
      <c r="AU167" s="556">
        <v>2</v>
      </c>
      <c r="AV167" s="10">
        <v>1</v>
      </c>
      <c r="AW167" s="236">
        <f>AX167-AV167</f>
        <v>0</v>
      </c>
      <c r="AX167" s="580">
        <v>1</v>
      </c>
      <c r="AY167" s="56">
        <f>BA167/2</f>
        <v>0</v>
      </c>
      <c r="AZ167" s="236">
        <f>BA167-AY167</f>
        <v>0</v>
      </c>
      <c r="BA167" s="580">
        <v>0</v>
      </c>
      <c r="BB167" s="56">
        <f>BD167/2</f>
        <v>0</v>
      </c>
      <c r="BC167" s="236">
        <f>BD167-BB167</f>
        <v>0</v>
      </c>
      <c r="BD167" s="605">
        <f>BA167</f>
        <v>0</v>
      </c>
      <c r="BE167" s="56">
        <f>BG167/2</f>
        <v>0</v>
      </c>
      <c r="BF167" s="236">
        <f>BG167-BE167</f>
        <v>0</v>
      </c>
      <c r="BG167" s="605">
        <f>BD167</f>
        <v>0</v>
      </c>
      <c r="BH167" s="56">
        <f>BJ167/2</f>
        <v>0</v>
      </c>
      <c r="BI167" s="236">
        <f>BJ167-BH167</f>
        <v>0</v>
      </c>
      <c r="BJ167" s="605">
        <f t="shared" ref="BJ167" si="380">BG167</f>
        <v>0</v>
      </c>
      <c r="BK167"/>
    </row>
    <row r="168" spans="1:66">
      <c r="A168" s="25" t="s">
        <v>841</v>
      </c>
      <c r="B168" s="40"/>
      <c r="C168" s="40"/>
      <c r="D168" s="40"/>
      <c r="E168" s="40">
        <f t="shared" ref="E168:Q168" si="381">+E162/2</f>
        <v>17.5</v>
      </c>
      <c r="F168" s="40">
        <f t="shared" si="381"/>
        <v>15</v>
      </c>
      <c r="G168" s="40">
        <f t="shared" si="381"/>
        <v>27</v>
      </c>
      <c r="H168" s="40">
        <f t="shared" si="381"/>
        <v>29.5</v>
      </c>
      <c r="I168" s="40">
        <f t="shared" si="381"/>
        <v>37.5</v>
      </c>
      <c r="J168" s="40">
        <f t="shared" si="381"/>
        <v>44</v>
      </c>
      <c r="K168" s="40">
        <f t="shared" si="381"/>
        <v>62.5</v>
      </c>
      <c r="L168" s="40">
        <f t="shared" si="381"/>
        <v>69.5</v>
      </c>
      <c r="M168" s="40">
        <f t="shared" si="381"/>
        <v>67.5</v>
      </c>
      <c r="N168" s="40">
        <f t="shared" si="381"/>
        <v>78.5</v>
      </c>
      <c r="O168" s="40">
        <f t="shared" si="381"/>
        <v>90.5</v>
      </c>
      <c r="P168" s="40">
        <f t="shared" si="381"/>
        <v>92</v>
      </c>
      <c r="Q168" s="40">
        <f t="shared" si="381"/>
        <v>70</v>
      </c>
      <c r="R168" s="40"/>
      <c r="S168" s="630"/>
      <c r="T168" s="653">
        <v>40</v>
      </c>
      <c r="U168" s="40">
        <f>W168/2</f>
        <v>27</v>
      </c>
      <c r="V168" s="630">
        <f>W168-U168</f>
        <v>27</v>
      </c>
      <c r="W168" s="653">
        <v>54</v>
      </c>
      <c r="X168" s="40">
        <f>Z168/2</f>
        <v>21</v>
      </c>
      <c r="Y168" s="630">
        <f>Z168-X168</f>
        <v>21</v>
      </c>
      <c r="Z168" s="653">
        <v>42</v>
      </c>
      <c r="AA168" s="40">
        <f>AC168/2</f>
        <v>4.5</v>
      </c>
      <c r="AB168" s="630">
        <f>AC168-AA168</f>
        <v>4.5</v>
      </c>
      <c r="AC168" s="653">
        <v>9</v>
      </c>
      <c r="AD168" s="40">
        <f>AF168/2</f>
        <v>2.5</v>
      </c>
      <c r="AE168" s="630">
        <f>AF168-AD168</f>
        <v>2.5</v>
      </c>
      <c r="AF168" s="653">
        <v>5</v>
      </c>
      <c r="AG168" s="40">
        <f>AI168/2</f>
        <v>2</v>
      </c>
      <c r="AH168" s="630">
        <f>AI168-AG168</f>
        <v>2</v>
      </c>
      <c r="AI168" s="653">
        <v>4</v>
      </c>
      <c r="AJ168" s="40">
        <f>AL168/2</f>
        <v>4.5</v>
      </c>
      <c r="AK168" s="630">
        <f>AL168-AJ168</f>
        <v>4.5</v>
      </c>
      <c r="AL168" s="653">
        <v>9</v>
      </c>
      <c r="AM168" s="40">
        <v>2</v>
      </c>
      <c r="AN168" s="216">
        <f>AO168-AM168</f>
        <v>1</v>
      </c>
      <c r="AO168" s="653">
        <v>3</v>
      </c>
      <c r="AP168" s="10">
        <v>0</v>
      </c>
      <c r="AQ168" s="216">
        <f>AR168-AP168</f>
        <v>2</v>
      </c>
      <c r="AR168" s="653">
        <v>2</v>
      </c>
      <c r="AS168" s="10">
        <v>1</v>
      </c>
      <c r="AT168" s="216">
        <f>AU168-AS168</f>
        <v>1</v>
      </c>
      <c r="AU168" s="556">
        <v>2</v>
      </c>
      <c r="AV168" s="10">
        <v>1</v>
      </c>
      <c r="AW168" s="236">
        <f>AX168-AV168</f>
        <v>0</v>
      </c>
      <c r="AX168" s="605">
        <v>1</v>
      </c>
      <c r="AY168" s="56">
        <f>AY167*AY169</f>
        <v>0</v>
      </c>
      <c r="AZ168" s="236">
        <f>BA168-AY168</f>
        <v>0</v>
      </c>
      <c r="BA168" s="605">
        <f t="shared" ref="BA168:BJ168" si="382">ROUND(BA167*BA169,0)</f>
        <v>0</v>
      </c>
      <c r="BB168" s="56">
        <f>BB167*BB169</f>
        <v>0</v>
      </c>
      <c r="BC168" s="236">
        <f>BD168-BB168</f>
        <v>0</v>
      </c>
      <c r="BD168" s="605">
        <f t="shared" si="382"/>
        <v>0</v>
      </c>
      <c r="BE168" s="56">
        <f>BE167*BE169</f>
        <v>0</v>
      </c>
      <c r="BF168" s="236">
        <f>BG168-BE168</f>
        <v>0</v>
      </c>
      <c r="BG168" s="605">
        <f t="shared" si="382"/>
        <v>0</v>
      </c>
      <c r="BH168" s="56">
        <f>BH167*BH169</f>
        <v>0</v>
      </c>
      <c r="BI168" s="236">
        <f>BJ168-BH168</f>
        <v>0</v>
      </c>
      <c r="BJ168" s="605">
        <f t="shared" si="382"/>
        <v>0</v>
      </c>
      <c r="BK168"/>
    </row>
    <row r="169" spans="1:66">
      <c r="A169" s="25" t="s">
        <v>276</v>
      </c>
      <c r="B169" s="40"/>
      <c r="C169" s="40"/>
      <c r="D169" s="40"/>
      <c r="E169" s="50">
        <f t="shared" ref="E169:L169" si="383">+E168/E167</f>
        <v>0.56451612903225812</v>
      </c>
      <c r="F169" s="50">
        <f t="shared" si="383"/>
        <v>0.31914893617021278</v>
      </c>
      <c r="G169" s="50">
        <f t="shared" si="383"/>
        <v>0.48214285714285715</v>
      </c>
      <c r="H169" s="50">
        <f t="shared" si="383"/>
        <v>0.47580645161290325</v>
      </c>
      <c r="I169" s="50">
        <f t="shared" si="383"/>
        <v>0.55147058823529416</v>
      </c>
      <c r="J169" s="50">
        <f t="shared" si="383"/>
        <v>0.61111111111111116</v>
      </c>
      <c r="K169" s="50">
        <f t="shared" si="383"/>
        <v>0.82236842105263153</v>
      </c>
      <c r="L169" s="50">
        <f t="shared" si="383"/>
        <v>0.79885057471264365</v>
      </c>
      <c r="M169" s="50">
        <f>+M168/M167</f>
        <v>0.77586206896551724</v>
      </c>
      <c r="N169" s="50">
        <f t="shared" ref="N169:AL169" si="384">+N168/N167</f>
        <v>0.77722772277227725</v>
      </c>
      <c r="O169" s="50">
        <f t="shared" si="384"/>
        <v>0.83796296296296291</v>
      </c>
      <c r="P169" s="50">
        <f t="shared" si="384"/>
        <v>0.85185185185185186</v>
      </c>
      <c r="Q169" s="50">
        <f t="shared" si="384"/>
        <v>0.67961165048543692</v>
      </c>
      <c r="R169" s="50"/>
      <c r="S169" s="647"/>
      <c r="T169" s="671">
        <f t="shared" si="384"/>
        <v>0.60606060606060608</v>
      </c>
      <c r="U169" s="952">
        <f t="shared" ref="U169:V169" si="385">+U168/U167</f>
        <v>0.87096774193548387</v>
      </c>
      <c r="V169" s="647">
        <f t="shared" si="385"/>
        <v>0.75</v>
      </c>
      <c r="W169" s="671">
        <f t="shared" si="384"/>
        <v>0.80597014925373134</v>
      </c>
      <c r="X169" s="952">
        <f t="shared" si="384"/>
        <v>1.1666666666666667</v>
      </c>
      <c r="Y169" s="647">
        <f t="shared" si="384"/>
        <v>0.75</v>
      </c>
      <c r="Z169" s="671">
        <f t="shared" si="384"/>
        <v>0.91304347826086951</v>
      </c>
      <c r="AA169" s="952">
        <f t="shared" ref="AA169:AB169" si="386">+AA168/AA167</f>
        <v>1.125</v>
      </c>
      <c r="AB169" s="647">
        <f t="shared" si="386"/>
        <v>0.5625</v>
      </c>
      <c r="AC169" s="671">
        <f t="shared" si="384"/>
        <v>0.75</v>
      </c>
      <c r="AD169" s="952">
        <f t="shared" si="384"/>
        <v>0.83333333333333337</v>
      </c>
      <c r="AE169" s="647">
        <f t="shared" si="384"/>
        <v>0.83333333333333337</v>
      </c>
      <c r="AF169" s="671">
        <f t="shared" si="384"/>
        <v>0.83333333333333337</v>
      </c>
      <c r="AG169" s="952">
        <f t="shared" ref="AG169:AH169" si="387">+AG168/AG167</f>
        <v>2</v>
      </c>
      <c r="AH169" s="647">
        <f t="shared" si="387"/>
        <v>0.66666666666666663</v>
      </c>
      <c r="AI169" s="671">
        <f t="shared" si="384"/>
        <v>1</v>
      </c>
      <c r="AJ169" s="952">
        <f t="shared" si="384"/>
        <v>0.9</v>
      </c>
      <c r="AK169" s="647">
        <f t="shared" si="384"/>
        <v>1.125</v>
      </c>
      <c r="AL169" s="671">
        <f t="shared" si="384"/>
        <v>1</v>
      </c>
      <c r="AM169" s="952">
        <f t="shared" ref="AM169:AN169" si="388">+AM168/AM167</f>
        <v>1</v>
      </c>
      <c r="AN169" s="217">
        <f t="shared" si="388"/>
        <v>1</v>
      </c>
      <c r="AO169" s="671">
        <f t="shared" ref="AO169" si="389">+AO168/AO167</f>
        <v>1</v>
      </c>
      <c r="AP169" s="211" t="e">
        <f t="shared" ref="AP169:AS169" si="390">+AP168/AP167</f>
        <v>#DIV/0!</v>
      </c>
      <c r="AQ169" s="217">
        <f t="shared" si="390"/>
        <v>1</v>
      </c>
      <c r="AR169" s="671">
        <f t="shared" si="390"/>
        <v>1</v>
      </c>
      <c r="AS169" s="211">
        <f t="shared" si="390"/>
        <v>1</v>
      </c>
      <c r="AT169" s="217">
        <f t="shared" ref="AT169:AV169" si="391">+AT168/AT167</f>
        <v>1</v>
      </c>
      <c r="AU169" s="671">
        <f t="shared" si="391"/>
        <v>1</v>
      </c>
      <c r="AV169" s="211">
        <f t="shared" si="391"/>
        <v>1</v>
      </c>
      <c r="AW169" s="252" t="e">
        <f t="shared" ref="AW169" si="392">+AW168/AW167</f>
        <v>#DIV/0!</v>
      </c>
      <c r="AX169" s="618">
        <v>1</v>
      </c>
      <c r="AY169" s="251">
        <f>BA169</f>
        <v>1</v>
      </c>
      <c r="AZ169" s="252" t="e">
        <f t="shared" ref="AZ169" si="393">+AZ168/AZ167</f>
        <v>#DIV/0!</v>
      </c>
      <c r="BA169" s="577">
        <f>AX169</f>
        <v>1</v>
      </c>
      <c r="BB169" s="251">
        <f>BD169</f>
        <v>1</v>
      </c>
      <c r="BC169" s="252" t="e">
        <f t="shared" ref="BC169" si="394">+BC168/BC167</f>
        <v>#DIV/0!</v>
      </c>
      <c r="BD169" s="577">
        <f>BA169</f>
        <v>1</v>
      </c>
      <c r="BE169" s="251">
        <f>BG169</f>
        <v>1</v>
      </c>
      <c r="BF169" s="252" t="e">
        <f t="shared" ref="BF169" si="395">+BF168/BF167</f>
        <v>#DIV/0!</v>
      </c>
      <c r="BG169" s="577">
        <f>BD169</f>
        <v>1</v>
      </c>
      <c r="BH169" s="251">
        <f>BJ169</f>
        <v>1</v>
      </c>
      <c r="BI169" s="252" t="e">
        <f t="shared" ref="BI169" si="396">+BI168/BI167</f>
        <v>#DIV/0!</v>
      </c>
      <c r="BJ169" s="577">
        <f t="shared" ref="BJ169" si="397">BG169</f>
        <v>1</v>
      </c>
      <c r="BK169"/>
    </row>
    <row r="170" spans="1:66">
      <c r="B170" s="40"/>
      <c r="C170" s="40"/>
      <c r="D170" s="40"/>
      <c r="E170" s="40"/>
      <c r="F170" s="40"/>
      <c r="G170" s="40"/>
      <c r="H170" s="40"/>
      <c r="I170" s="40"/>
      <c r="J170" s="40"/>
      <c r="K170" s="40"/>
      <c r="L170" s="40"/>
      <c r="M170" s="40"/>
      <c r="N170" s="40"/>
      <c r="O170" s="40"/>
      <c r="P170" s="40"/>
      <c r="Q170" s="40"/>
      <c r="R170" s="40"/>
      <c r="S170" s="630"/>
      <c r="T170" s="653"/>
      <c r="U170" s="40"/>
      <c r="V170" s="630"/>
      <c r="W170" s="653"/>
      <c r="X170" s="40"/>
      <c r="Y170" s="630"/>
      <c r="Z170" s="653"/>
      <c r="AA170" s="40"/>
      <c r="AB170" s="630"/>
      <c r="AC170" s="653"/>
      <c r="AD170" s="40"/>
      <c r="AE170" s="630"/>
      <c r="AF170" s="653"/>
      <c r="AG170" s="40"/>
      <c r="AH170" s="630"/>
      <c r="AI170" s="653"/>
      <c r="AJ170" s="40"/>
      <c r="AK170" s="630"/>
      <c r="AL170" s="653"/>
      <c r="AM170" s="40"/>
      <c r="AN170" s="539"/>
      <c r="AO170" s="550"/>
      <c r="AP170"/>
      <c r="AQ170" s="539"/>
      <c r="AR170" s="550"/>
      <c r="AS170"/>
      <c r="AT170" s="539"/>
      <c r="AU170" s="550"/>
      <c r="AV170"/>
      <c r="AW170" s="539"/>
      <c r="AX170" s="550"/>
      <c r="AY170"/>
      <c r="AZ170" s="539"/>
      <c r="BA170" s="550"/>
      <c r="BB170"/>
      <c r="BC170" s="539"/>
      <c r="BD170" s="550"/>
      <c r="BE170"/>
      <c r="BF170" s="539"/>
      <c r="BG170" s="550"/>
      <c r="BH170"/>
      <c r="BI170" s="539"/>
      <c r="BJ170" s="550"/>
      <c r="BK170"/>
    </row>
    <row r="171" spans="1:66">
      <c r="A171" s="71" t="s">
        <v>648</v>
      </c>
      <c r="B171" s="89"/>
      <c r="C171" s="89"/>
      <c r="D171" s="89"/>
      <c r="E171" s="89"/>
      <c r="F171" s="89"/>
      <c r="G171" s="89"/>
      <c r="H171" s="89"/>
      <c r="I171" s="89"/>
      <c r="J171" s="89"/>
      <c r="K171" s="89"/>
      <c r="L171" s="89"/>
      <c r="M171" s="89"/>
      <c r="N171" s="89"/>
      <c r="O171" s="89"/>
      <c r="P171" s="89">
        <f>+P172*P173</f>
        <v>0</v>
      </c>
      <c r="Q171" s="89">
        <f>+Q172*Q173</f>
        <v>23.376623376623378</v>
      </c>
      <c r="R171" s="534"/>
      <c r="S171" s="780"/>
      <c r="T171" s="787">
        <f>+T172*T173</f>
        <v>122.72727272727272</v>
      </c>
      <c r="U171" s="534">
        <f>+U172*U173</f>
        <v>130.90909090909091</v>
      </c>
      <c r="V171" s="780">
        <f>W171-U171</f>
        <v>143.18181818181816</v>
      </c>
      <c r="W171" s="787">
        <f>+W172*W173</f>
        <v>274.09090909090907</v>
      </c>
      <c r="X171" s="534">
        <f>+X172*X173</f>
        <v>121.00909090909092</v>
      </c>
      <c r="Y171" s="780">
        <f>Z171-X171</f>
        <v>62.590909090909079</v>
      </c>
      <c r="Z171" s="787">
        <f t="shared" ref="Z171:BJ171" si="398">+Z172*Z173</f>
        <v>183.6</v>
      </c>
      <c r="AA171" s="534">
        <f>+AA172*AA173</f>
        <v>77.111999999999995</v>
      </c>
      <c r="AB171" s="780">
        <f>AC171-AA171</f>
        <v>68.544000000000011</v>
      </c>
      <c r="AC171" s="787">
        <f t="shared" si="398"/>
        <v>145.65600000000001</v>
      </c>
      <c r="AD171" s="534">
        <f>+AD172*AD173</f>
        <v>35.187423157894735</v>
      </c>
      <c r="AE171" s="780">
        <f>AF171-AD171</f>
        <v>30.788995263157894</v>
      </c>
      <c r="AF171" s="787">
        <f t="shared" si="398"/>
        <v>65.976418421052628</v>
      </c>
      <c r="AG171" s="534">
        <f>+AG172*AG173</f>
        <v>0</v>
      </c>
      <c r="AH171" s="780">
        <f>AI171-AG171</f>
        <v>4.516107687417219</v>
      </c>
      <c r="AI171" s="787">
        <f t="shared" si="398"/>
        <v>4.516107687417219</v>
      </c>
      <c r="AJ171" s="534">
        <f>+AJ172*AJ173</f>
        <v>4.6371393734400002</v>
      </c>
      <c r="AK171" s="780">
        <f>AL171-AJ171</f>
        <v>4.6371393734400002</v>
      </c>
      <c r="AL171" s="787">
        <f>+AL172*AL173</f>
        <v>9.2742787468800003</v>
      </c>
      <c r="AM171" s="534">
        <f>+AM172*AM173</f>
        <v>0</v>
      </c>
      <c r="AN171" s="780">
        <f>AO171-AM171</f>
        <v>0</v>
      </c>
      <c r="AO171" s="787">
        <f>+AO172*AO173</f>
        <v>0</v>
      </c>
      <c r="AP171" s="534">
        <f t="shared" ref="AP171" si="399">+AP172*AP173</f>
        <v>0</v>
      </c>
      <c r="AQ171" s="780">
        <f>AR171-AP171</f>
        <v>0</v>
      </c>
      <c r="AR171" s="787">
        <f>+AR172*AR173</f>
        <v>0</v>
      </c>
      <c r="AS171" s="534">
        <f t="shared" ref="AS171" si="400">+AS172*AS173</f>
        <v>0</v>
      </c>
      <c r="AT171" s="255">
        <f>AU171-AS171</f>
        <v>0</v>
      </c>
      <c r="AU171" s="1111">
        <f t="shared" si="398"/>
        <v>0</v>
      </c>
      <c r="AV171" s="1113">
        <f t="shared" si="398"/>
        <v>0</v>
      </c>
      <c r="AW171" s="758">
        <f>AX171-AV171</f>
        <v>0</v>
      </c>
      <c r="AX171" s="772">
        <f t="shared" si="398"/>
        <v>0</v>
      </c>
      <c r="AY171" s="535">
        <f t="shared" si="398"/>
        <v>0</v>
      </c>
      <c r="AZ171" s="758">
        <f>BA171-AY171</f>
        <v>0</v>
      </c>
      <c r="BA171" s="772">
        <f t="shared" si="398"/>
        <v>0</v>
      </c>
      <c r="BB171" s="535">
        <f t="shared" si="398"/>
        <v>0</v>
      </c>
      <c r="BC171" s="758">
        <f>BD171-BB171</f>
        <v>0</v>
      </c>
      <c r="BD171" s="772">
        <f t="shared" si="398"/>
        <v>0</v>
      </c>
      <c r="BE171" s="535">
        <f t="shared" si="398"/>
        <v>0</v>
      </c>
      <c r="BF171" s="758">
        <f>BG171-BE171</f>
        <v>0</v>
      </c>
      <c r="BG171" s="772">
        <f t="shared" si="398"/>
        <v>0</v>
      </c>
      <c r="BH171" s="535">
        <f t="shared" si="398"/>
        <v>0</v>
      </c>
      <c r="BI171" s="758">
        <f>BJ171-BH171</f>
        <v>0</v>
      </c>
      <c r="BJ171" s="772">
        <f t="shared" si="398"/>
        <v>0</v>
      </c>
      <c r="BK171"/>
    </row>
    <row r="172" spans="1:66" ht="11.4">
      <c r="A172" s="65" t="s">
        <v>396</v>
      </c>
      <c r="B172" s="40">
        <f t="shared" ref="B172:Q172" si="401">B81</f>
        <v>0</v>
      </c>
      <c r="C172" s="40">
        <f t="shared" si="401"/>
        <v>0</v>
      </c>
      <c r="D172" s="40">
        <f t="shared" si="401"/>
        <v>0</v>
      </c>
      <c r="E172" s="40">
        <f t="shared" si="401"/>
        <v>0</v>
      </c>
      <c r="F172" s="40">
        <f t="shared" si="401"/>
        <v>0</v>
      </c>
      <c r="G172" s="40">
        <f t="shared" si="401"/>
        <v>0</v>
      </c>
      <c r="H172" s="40">
        <f t="shared" si="401"/>
        <v>20</v>
      </c>
      <c r="I172" s="40">
        <f t="shared" si="401"/>
        <v>10</v>
      </c>
      <c r="J172" s="40">
        <f t="shared" si="401"/>
        <v>48</v>
      </c>
      <c r="K172" s="40">
        <f t="shared" si="401"/>
        <v>33</v>
      </c>
      <c r="L172" s="40">
        <f t="shared" si="401"/>
        <v>30</v>
      </c>
      <c r="M172" s="40">
        <f t="shared" si="401"/>
        <v>70</v>
      </c>
      <c r="N172" s="40">
        <f t="shared" si="401"/>
        <v>64</v>
      </c>
      <c r="O172" s="40">
        <f t="shared" si="401"/>
        <v>42</v>
      </c>
      <c r="P172" s="40">
        <f t="shared" si="401"/>
        <v>35</v>
      </c>
      <c r="Q172" s="40">
        <f t="shared" si="401"/>
        <v>6</v>
      </c>
      <c r="R172" s="40"/>
      <c r="S172" s="630"/>
      <c r="T172" s="653">
        <f t="shared" ref="T172:AW172" si="402">T81</f>
        <v>30</v>
      </c>
      <c r="U172" s="40">
        <f t="shared" si="402"/>
        <v>32</v>
      </c>
      <c r="V172" s="630">
        <f t="shared" si="402"/>
        <v>35</v>
      </c>
      <c r="W172" s="653">
        <f t="shared" si="402"/>
        <v>67</v>
      </c>
      <c r="X172" s="40">
        <f t="shared" si="402"/>
        <v>29</v>
      </c>
      <c r="Y172" s="630">
        <f t="shared" si="402"/>
        <v>15</v>
      </c>
      <c r="Z172" s="653">
        <f t="shared" si="402"/>
        <v>44</v>
      </c>
      <c r="AA172" s="40">
        <f t="shared" si="402"/>
        <v>18</v>
      </c>
      <c r="AB172" s="630">
        <f t="shared" si="402"/>
        <v>16</v>
      </c>
      <c r="AC172" s="653">
        <f t="shared" si="402"/>
        <v>34</v>
      </c>
      <c r="AD172" s="40">
        <f t="shared" si="402"/>
        <v>8</v>
      </c>
      <c r="AE172" s="630">
        <f t="shared" si="402"/>
        <v>7</v>
      </c>
      <c r="AF172" s="653">
        <f t="shared" si="402"/>
        <v>15</v>
      </c>
      <c r="AG172" s="40">
        <f t="shared" si="402"/>
        <v>0</v>
      </c>
      <c r="AH172" s="630">
        <f t="shared" si="402"/>
        <v>1</v>
      </c>
      <c r="AI172" s="653">
        <f t="shared" si="402"/>
        <v>1</v>
      </c>
      <c r="AJ172" s="40">
        <f t="shared" si="402"/>
        <v>1</v>
      </c>
      <c r="AK172" s="630">
        <f t="shared" si="402"/>
        <v>1</v>
      </c>
      <c r="AL172" s="653">
        <f t="shared" si="402"/>
        <v>2</v>
      </c>
      <c r="AM172" s="40">
        <f t="shared" si="402"/>
        <v>0</v>
      </c>
      <c r="AN172" s="630">
        <f t="shared" si="402"/>
        <v>0</v>
      </c>
      <c r="AO172" s="653">
        <f t="shared" si="402"/>
        <v>0</v>
      </c>
      <c r="AP172" s="40">
        <f t="shared" si="402"/>
        <v>0</v>
      </c>
      <c r="AQ172" s="630">
        <f t="shared" si="402"/>
        <v>0</v>
      </c>
      <c r="AR172" s="653">
        <f t="shared" si="402"/>
        <v>0</v>
      </c>
      <c r="AS172" s="40">
        <f t="shared" si="402"/>
        <v>0</v>
      </c>
      <c r="AT172" s="216">
        <f t="shared" si="402"/>
        <v>0</v>
      </c>
      <c r="AU172" s="556">
        <f t="shared" si="402"/>
        <v>0</v>
      </c>
      <c r="AV172" s="40">
        <f t="shared" si="402"/>
        <v>0</v>
      </c>
      <c r="AW172" s="236">
        <f t="shared" si="402"/>
        <v>0</v>
      </c>
      <c r="AX172" s="605">
        <f>ROUND(((AX178*9/12)+(BA178*3/12))*4,0)</f>
        <v>0</v>
      </c>
      <c r="AY172" s="56">
        <f>ROUND(((AY178*4.5/6)+(AZ178*1.5/6))*2,0)</f>
        <v>0</v>
      </c>
      <c r="AZ172" s="236">
        <f>AZ81</f>
        <v>0</v>
      </c>
      <c r="BA172" s="605">
        <f>ROUND(((BA178*9/12)+(BD178*3/12))*4,0)</f>
        <v>0</v>
      </c>
      <c r="BB172" s="56">
        <f>ROUND(((BB178*4.5/6)+(BC178*1.5/6))*2,0)</f>
        <v>0</v>
      </c>
      <c r="BC172" s="236">
        <f>BC81</f>
        <v>0</v>
      </c>
      <c r="BD172" s="605">
        <f>ROUND(((BD178*9/12)+(BG178*3/12))*4,0)</f>
        <v>0</v>
      </c>
      <c r="BE172" s="56">
        <f>ROUND(((BE178*4.5/6)+(BF178*1.5/6))*2,0)</f>
        <v>0</v>
      </c>
      <c r="BF172" s="236">
        <f>BF81</f>
        <v>0</v>
      </c>
      <c r="BG172" s="605">
        <f>ROUND(((BG178*9/12)+(BJ178*3/12))*4,0)</f>
        <v>0</v>
      </c>
      <c r="BH172" s="56">
        <f>ROUND(((BH178*4.5/6)+(BI178*1.5/6))*2,0)</f>
        <v>0</v>
      </c>
      <c r="BI172" s="236">
        <f>BI81</f>
        <v>0</v>
      </c>
      <c r="BJ172" s="605">
        <f t="shared" ref="BJ172" si="403">ROUND(((BJ178*9/12)+(BK178*3/12))*4,0)</f>
        <v>0</v>
      </c>
      <c r="BK172"/>
      <c r="BM172" s="38"/>
      <c r="BN172" s="38"/>
    </row>
    <row r="173" spans="1:66" ht="11.4">
      <c r="A173" s="90" t="s">
        <v>652</v>
      </c>
      <c r="B173" s="40"/>
      <c r="C173" s="40"/>
      <c r="D173" s="40"/>
      <c r="E173" s="40"/>
      <c r="F173" s="40"/>
      <c r="G173" s="40"/>
      <c r="H173" s="40"/>
      <c r="I173" s="40"/>
      <c r="J173" s="40"/>
      <c r="K173" s="40"/>
      <c r="L173" s="40"/>
      <c r="M173" s="40"/>
      <c r="N173" s="40"/>
      <c r="O173" s="40"/>
      <c r="P173" s="81"/>
      <c r="Q173" s="81">
        <f>+T173/1.05</f>
        <v>3.8961038961038961</v>
      </c>
      <c r="R173" s="81"/>
      <c r="S173" s="636"/>
      <c r="T173" s="659">
        <v>4.0909090909090908</v>
      </c>
      <c r="U173" s="81">
        <f>W173</f>
        <v>4.0909090909090908</v>
      </c>
      <c r="V173" s="636">
        <f>V171/V172</f>
        <v>4.0909090909090899</v>
      </c>
      <c r="W173" s="659">
        <v>4.0909090909090908</v>
      </c>
      <c r="X173" s="81">
        <f>Z173</f>
        <v>4.1727272727272728</v>
      </c>
      <c r="Y173" s="636">
        <f>Y171/Y172</f>
        <v>4.172727272727272</v>
      </c>
      <c r="Z173" s="659">
        <f>+W173*(1+Z$157)</f>
        <v>4.1727272727272728</v>
      </c>
      <c r="AA173" s="81">
        <f>AC173</f>
        <v>4.2839999999999998</v>
      </c>
      <c r="AB173" s="636">
        <f>AB171/AB172</f>
        <v>4.2840000000000007</v>
      </c>
      <c r="AC173" s="659">
        <f>AC174/AC68</f>
        <v>4.2839999999999998</v>
      </c>
      <c r="AD173" s="81">
        <f>AF173</f>
        <v>4.3984278947368418</v>
      </c>
      <c r="AE173" s="636">
        <f>AE171/AE172</f>
        <v>4.3984278947368418</v>
      </c>
      <c r="AF173" s="659">
        <f>AF174/AF68</f>
        <v>4.3984278947368418</v>
      </c>
      <c r="AG173" s="81">
        <f>AI173</f>
        <v>4.516107687417219</v>
      </c>
      <c r="AH173" s="636">
        <f>AH171/AH172</f>
        <v>4.516107687417219</v>
      </c>
      <c r="AI173" s="659">
        <f>AI174/AI68</f>
        <v>4.516107687417219</v>
      </c>
      <c r="AJ173" s="81">
        <f>AL173</f>
        <v>4.6371393734400002</v>
      </c>
      <c r="AK173" s="636">
        <f>AK171/AK172</f>
        <v>4.6371393734400002</v>
      </c>
      <c r="AL173" s="659">
        <f>AL174/AL68</f>
        <v>4.6371393734400002</v>
      </c>
      <c r="AM173" s="81">
        <v>4.8689963421120002</v>
      </c>
      <c r="AN173" s="636">
        <f>AO173</f>
        <v>4.7762535546432003</v>
      </c>
      <c r="AO173" s="659">
        <f>AO174/AO68</f>
        <v>4.7762535546432003</v>
      </c>
      <c r="AP173" s="81">
        <f>AP174/AP68</f>
        <v>5.033489461777946</v>
      </c>
      <c r="AQ173" s="636">
        <f>AR173</f>
        <v>4.9376134720297946</v>
      </c>
      <c r="AR173" s="659">
        <f>AR174/AR68</f>
        <v>4.9376134720297946</v>
      </c>
      <c r="AS173" s="81">
        <f>AS174/AS68</f>
        <v>5.2767747857638803</v>
      </c>
      <c r="AT173" s="1112">
        <f>AU173</f>
        <v>5.1762647898445682</v>
      </c>
      <c r="AU173" s="659">
        <f>AU174/AU68</f>
        <v>5.1762647898445682</v>
      </c>
      <c r="AV173" s="81">
        <f>AV174/AV68</f>
        <v>5.5093461763215235</v>
      </c>
      <c r="AW173" s="963">
        <f>AX173</f>
        <v>5.5093461763215235</v>
      </c>
      <c r="AX173" s="773">
        <f>AX174/AX68</f>
        <v>5.5093461763215235</v>
      </c>
      <c r="AY173" s="173">
        <f>+AV173*(1+AY$157)</f>
        <v>5.6195330998479545</v>
      </c>
      <c r="AZ173" s="963">
        <f>BA173</f>
        <v>5.7444116131779079</v>
      </c>
      <c r="BA173" s="773">
        <f>BA174/BA68</f>
        <v>5.7444116131779079</v>
      </c>
      <c r="BB173" s="173">
        <f>+AY173*(1+BB$157)</f>
        <v>5.7319237618449135</v>
      </c>
      <c r="BC173" s="963">
        <f>BD173</f>
        <v>5.9924657510196813</v>
      </c>
      <c r="BD173" s="773">
        <f>BD174/BD68</f>
        <v>5.9924657510196813</v>
      </c>
      <c r="BE173" s="173">
        <f>+BB173*(1+BE$157)</f>
        <v>5.8465622370818116</v>
      </c>
      <c r="BF173" s="963">
        <f>BG173</f>
        <v>6.1123150660400754</v>
      </c>
      <c r="BG173" s="773">
        <f>BG174/BG68</f>
        <v>6.1123150660400754</v>
      </c>
      <c r="BH173" s="173">
        <f>+BE173*(1+BH$157)</f>
        <v>5.9634934818234475</v>
      </c>
      <c r="BI173" s="963">
        <f>BJ173</f>
        <v>6.2345613673608762</v>
      </c>
      <c r="BJ173" s="773">
        <f>BJ174/BJ68</f>
        <v>6.2345613673608762</v>
      </c>
      <c r="BK173"/>
      <c r="BM173" s="110"/>
      <c r="BN173" s="110"/>
    </row>
    <row r="174" spans="1:66" ht="11.4">
      <c r="A174" s="69" t="s">
        <v>685</v>
      </c>
      <c r="B174" s="40"/>
      <c r="C174" s="40"/>
      <c r="D174" s="40"/>
      <c r="E174" s="40"/>
      <c r="F174" s="40"/>
      <c r="G174" s="40"/>
      <c r="H174" s="40"/>
      <c r="I174" s="40"/>
      <c r="J174" s="40"/>
      <c r="K174" s="40"/>
      <c r="L174" s="40"/>
      <c r="M174" s="40"/>
      <c r="N174" s="40"/>
      <c r="O174" s="40"/>
      <c r="P174" s="40"/>
      <c r="Q174" s="81">
        <f t="shared" ref="Q174:BI174" si="404">+Q173*Q$68</f>
        <v>6.116883116883117</v>
      </c>
      <c r="R174" s="81"/>
      <c r="S174" s="636"/>
      <c r="T174" s="659">
        <f t="shared" si="404"/>
        <v>6.3204545454545453</v>
      </c>
      <c r="U174" s="81">
        <f t="shared" si="404"/>
        <v>6.3409090909090908</v>
      </c>
      <c r="V174" s="636">
        <f t="shared" si="404"/>
        <v>6.3409090909090899</v>
      </c>
      <c r="W174" s="659">
        <f t="shared" si="404"/>
        <v>6.3</v>
      </c>
      <c r="X174" s="81">
        <f t="shared" ref="X174:Y174" si="405">+X173*X$68</f>
        <v>6.4677272727272728</v>
      </c>
      <c r="Y174" s="636">
        <f t="shared" si="405"/>
        <v>6.4677272727272719</v>
      </c>
      <c r="Z174" s="659">
        <f t="shared" si="404"/>
        <v>6.4260000000000002</v>
      </c>
      <c r="AA174" s="81">
        <f t="shared" si="404"/>
        <v>6.5545200000000001</v>
      </c>
      <c r="AB174" s="636">
        <f t="shared" si="404"/>
        <v>6.554520000000001</v>
      </c>
      <c r="AC174" s="659">
        <f t="shared" ref="AC174" si="406">+Z174*(1+AC$157)</f>
        <v>6.5545200000000001</v>
      </c>
      <c r="AD174" s="81">
        <f t="shared" ref="AD174:AE174" si="407">+AD173*AD$68</f>
        <v>5.4540505894736837</v>
      </c>
      <c r="AE174" s="636">
        <f t="shared" si="407"/>
        <v>6.6856103999999998</v>
      </c>
      <c r="AF174" s="659">
        <f t="shared" ref="AF174" si="408">+AC174*(1+AF$157)</f>
        <v>6.6856103999999998</v>
      </c>
      <c r="AG174" s="81">
        <f t="shared" si="404"/>
        <v>6.2773896855099336</v>
      </c>
      <c r="AH174" s="636">
        <f t="shared" si="404"/>
        <v>7.3612555304900678</v>
      </c>
      <c r="AI174" s="659">
        <f t="shared" ref="AI174" si="409">+AF174*(1+AI$157)</f>
        <v>6.8193226080000002</v>
      </c>
      <c r="AJ174" s="81">
        <f t="shared" ref="AJ174:AK174" si="410">+AJ173*AJ$68</f>
        <v>6.9557090601600002</v>
      </c>
      <c r="AK174" s="636">
        <f t="shared" si="410"/>
        <v>6.9557090601600002</v>
      </c>
      <c r="AL174" s="659">
        <f t="shared" ref="AL174" si="411">+AI174*(1+AL$157)</f>
        <v>6.9557090601600002</v>
      </c>
      <c r="AM174" s="81">
        <f t="shared" si="404"/>
        <v>7.3034945131680002</v>
      </c>
      <c r="AN174" s="636">
        <f t="shared" si="404"/>
        <v>7.1643803319648001</v>
      </c>
      <c r="AO174" s="659">
        <f t="shared" ref="AO174:AP174" si="412">+AL174*(1+AO$157)</f>
        <v>7.1643803319648001</v>
      </c>
      <c r="AP174" s="81">
        <f t="shared" si="412"/>
        <v>7.4495644034313599</v>
      </c>
      <c r="AQ174" s="636">
        <f t="shared" ref="AQ174" si="413">+AQ173*AQ$68</f>
        <v>7.3076679386040961</v>
      </c>
      <c r="AR174" s="659">
        <f t="shared" ref="AR174:AS174" si="414">+AO174*(1+AR$157)</f>
        <v>7.3076679386040961</v>
      </c>
      <c r="AS174" s="81">
        <f t="shared" si="414"/>
        <v>7.5985556914999872</v>
      </c>
      <c r="AT174" s="234">
        <f t="shared" si="404"/>
        <v>7.4538212973761775</v>
      </c>
      <c r="AU174" s="659">
        <f>+AR174*(1+AU$157)</f>
        <v>7.4538212973761784</v>
      </c>
      <c r="AV174" s="81">
        <f>AX174</f>
        <v>7.6028977233237018</v>
      </c>
      <c r="AW174" s="235">
        <f t="shared" si="404"/>
        <v>7.6028977233237018</v>
      </c>
      <c r="AX174" s="773">
        <f t="shared" ref="AX174" si="415">+AU174*(1+AX$157)</f>
        <v>7.6028977233237018</v>
      </c>
      <c r="AY174" s="173">
        <f t="shared" si="404"/>
        <v>7.5863696847947386</v>
      </c>
      <c r="AZ174" s="235">
        <f t="shared" si="404"/>
        <v>7.7549556777901758</v>
      </c>
      <c r="BA174" s="773">
        <f t="shared" ref="BA174" si="416">+AX174*(1+BA$157)</f>
        <v>7.7549556777901758</v>
      </c>
      <c r="BB174" s="173">
        <f t="shared" si="404"/>
        <v>7.5661393656352862</v>
      </c>
      <c r="BC174" s="235">
        <f t="shared" si="404"/>
        <v>7.9100547913459796</v>
      </c>
      <c r="BD174" s="773">
        <f t="shared" ref="BD174" si="417">+BA174*(1+BD$157)</f>
        <v>7.9100547913459796</v>
      </c>
      <c r="BE174" s="173">
        <f t="shared" si="404"/>
        <v>7.7174621529479914</v>
      </c>
      <c r="BF174" s="235">
        <f t="shared" si="404"/>
        <v>8.0682558871728993</v>
      </c>
      <c r="BG174" s="773">
        <f t="shared" ref="BG174" si="418">+BD174*(1+BG$157)</f>
        <v>8.0682558871728993</v>
      </c>
      <c r="BH174" s="173">
        <f t="shared" si="404"/>
        <v>7.8718113960069509</v>
      </c>
      <c r="BI174" s="235">
        <f t="shared" si="404"/>
        <v>8.229621004916357</v>
      </c>
      <c r="BJ174" s="773">
        <f t="shared" ref="BJ174" si="419">+BG174*(1+BJ$157)</f>
        <v>8.229621004916357</v>
      </c>
      <c r="BK174"/>
      <c r="BM174" s="107"/>
      <c r="BN174" s="107"/>
    </row>
    <row r="175" spans="1:66" ht="11.4">
      <c r="A175" s="69" t="s">
        <v>684</v>
      </c>
      <c r="B175" s="40"/>
      <c r="C175" s="40"/>
      <c r="D175" s="40"/>
      <c r="E175" s="40"/>
      <c r="F175" s="40"/>
      <c r="G175" s="40"/>
      <c r="H175" s="40"/>
      <c r="I175" s="40"/>
      <c r="J175" s="40"/>
      <c r="K175" s="40"/>
      <c r="L175" s="40"/>
      <c r="M175" s="40"/>
      <c r="N175" s="40"/>
      <c r="O175" s="40"/>
      <c r="P175" s="40"/>
      <c r="Q175" s="40">
        <v>87.384044526901675</v>
      </c>
      <c r="R175" s="40"/>
      <c r="S175" s="630"/>
      <c r="T175" s="653">
        <v>90.29220779220779</v>
      </c>
      <c r="U175" s="40">
        <v>90.584415584415581</v>
      </c>
      <c r="V175" s="630">
        <v>90.584415584415567</v>
      </c>
      <c r="W175" s="653">
        <v>89.999999999999986</v>
      </c>
      <c r="X175" s="40">
        <v>92.396103896103895</v>
      </c>
      <c r="Y175" s="630">
        <v>92.396103896103881</v>
      </c>
      <c r="Z175" s="653">
        <v>91.800000000000011</v>
      </c>
      <c r="AA175" s="40">
        <v>93.635999999999996</v>
      </c>
      <c r="AB175" s="630">
        <v>93.63600000000001</v>
      </c>
      <c r="AC175" s="653">
        <v>93.635999999999996</v>
      </c>
      <c r="AD175" s="40">
        <v>77.915008421052619</v>
      </c>
      <c r="AE175" s="630">
        <v>95.508720000000011</v>
      </c>
      <c r="AF175" s="653">
        <v>95.508720000000011</v>
      </c>
      <c r="AG175" s="40">
        <v>89.676995507284758</v>
      </c>
      <c r="AH175" s="630">
        <v>105.16079329271525</v>
      </c>
      <c r="AI175" s="653">
        <v>97.418894400000013</v>
      </c>
      <c r="AJ175" s="40">
        <v>99.367272288000009</v>
      </c>
      <c r="AK175" s="630">
        <v>99.367272288000009</v>
      </c>
      <c r="AL175" s="653">
        <v>99.367272288000009</v>
      </c>
      <c r="AM175" s="40">
        <v>104.3356359024</v>
      </c>
      <c r="AN175" s="630">
        <v>102.34829045664</v>
      </c>
      <c r="AO175" s="653">
        <v>102.34829045664</v>
      </c>
      <c r="AP175" s="40">
        <v>106.42234862044801</v>
      </c>
      <c r="AQ175" s="630">
        <v>104.3952562657728</v>
      </c>
      <c r="AR175" s="653">
        <v>104.3952562657728</v>
      </c>
      <c r="AS175" s="40">
        <v>108.55079559285696</v>
      </c>
      <c r="AT175" s="216">
        <v>106.48316139108826</v>
      </c>
      <c r="AU175" s="556">
        <v>106.48316139108827</v>
      </c>
      <c r="AV175" s="10">
        <v>108.61282461891003</v>
      </c>
      <c r="AW175" s="236">
        <v>108.61282461891003</v>
      </c>
      <c r="AX175" s="605">
        <v>108.61282461891003</v>
      </c>
      <c r="AY175" s="56">
        <v>108.37670978278199</v>
      </c>
      <c r="AZ175" s="236">
        <v>110.78508111128822</v>
      </c>
      <c r="BA175" s="605">
        <v>110.78508111128822</v>
      </c>
      <c r="BB175" s="56">
        <v>108.08770522336123</v>
      </c>
      <c r="BC175" s="236">
        <v>113.000782733514</v>
      </c>
      <c r="BD175" s="605">
        <v>113.000782733514</v>
      </c>
      <c r="BE175" s="56">
        <v>110.24945932782845</v>
      </c>
      <c r="BF175" s="236">
        <v>115.26079838818427</v>
      </c>
      <c r="BG175" s="605">
        <v>115.26079838818427</v>
      </c>
      <c r="BH175" s="56">
        <v>112.45444851438502</v>
      </c>
      <c r="BI175" s="236">
        <v>117.56601435594796</v>
      </c>
      <c r="BJ175" s="605">
        <v>117.56601435594796</v>
      </c>
      <c r="BK175"/>
      <c r="BM175" s="107"/>
      <c r="BN175" s="107"/>
    </row>
    <row r="176" spans="1:66">
      <c r="A176" s="65"/>
      <c r="B176" s="40"/>
      <c r="C176" s="40"/>
      <c r="D176" s="40"/>
      <c r="E176" s="40"/>
      <c r="F176" s="40"/>
      <c r="G176" s="40"/>
      <c r="H176" s="40"/>
      <c r="I176" s="40"/>
      <c r="J176" s="40"/>
      <c r="K176" s="40"/>
      <c r="L176" s="40"/>
      <c r="M176" s="40"/>
      <c r="N176" s="40"/>
      <c r="O176" s="40"/>
      <c r="P176" s="40"/>
      <c r="Q176" s="40"/>
      <c r="R176" s="40"/>
      <c r="S176" s="630"/>
      <c r="T176" s="653"/>
      <c r="U176" s="40"/>
      <c r="V176" s="630"/>
      <c r="W176" s="653"/>
      <c r="X176" s="40"/>
      <c r="Y176" s="630"/>
      <c r="Z176" s="653"/>
      <c r="AA176" s="40"/>
      <c r="AB176" s="630"/>
      <c r="AC176" s="653"/>
      <c r="AD176" s="40"/>
      <c r="AE176" s="630"/>
      <c r="AF176" s="653"/>
      <c r="AG176" s="40"/>
      <c r="AH176" s="630"/>
      <c r="AI176" s="653"/>
      <c r="AJ176" s="40"/>
      <c r="AK176" s="630"/>
      <c r="AL176" s="653"/>
      <c r="AM176" s="40"/>
      <c r="AN176" s="539"/>
      <c r="AO176" s="550"/>
      <c r="AP176"/>
      <c r="AQ176" s="539"/>
      <c r="AR176" s="550"/>
      <c r="AS176"/>
      <c r="AT176" s="539"/>
      <c r="AU176" s="550"/>
      <c r="AV176" s="10"/>
      <c r="AW176" s="539"/>
      <c r="AX176" s="550"/>
      <c r="AY176"/>
      <c r="AZ176" s="539"/>
      <c r="BA176" s="550"/>
      <c r="BB176"/>
      <c r="BC176" s="539"/>
      <c r="BD176" s="550"/>
      <c r="BE176"/>
      <c r="BF176" s="539"/>
      <c r="BG176" s="550"/>
      <c r="BH176"/>
      <c r="BI176" s="539"/>
      <c r="BJ176" s="550"/>
      <c r="BK176"/>
    </row>
    <row r="177" spans="1:66">
      <c r="A177" s="25" t="s">
        <v>281</v>
      </c>
      <c r="B177" s="40">
        <v>0</v>
      </c>
      <c r="C177" s="40">
        <v>0</v>
      </c>
      <c r="D177" s="40">
        <v>0</v>
      </c>
      <c r="E177" s="40">
        <v>0</v>
      </c>
      <c r="F177" s="40">
        <v>0</v>
      </c>
      <c r="G177" s="40">
        <v>0</v>
      </c>
      <c r="H177" s="40">
        <v>0</v>
      </c>
      <c r="I177" s="40">
        <v>1</v>
      </c>
      <c r="J177" s="40">
        <v>12</v>
      </c>
      <c r="K177" s="40">
        <v>10</v>
      </c>
      <c r="L177" s="40">
        <v>18</v>
      </c>
      <c r="M177" s="40">
        <v>26</v>
      </c>
      <c r="N177" s="40">
        <v>30</v>
      </c>
      <c r="O177" s="40">
        <v>25</v>
      </c>
      <c r="P177" s="40">
        <v>30</v>
      </c>
      <c r="Q177" s="40">
        <v>27</v>
      </c>
      <c r="R177" s="40"/>
      <c r="S177" s="630"/>
      <c r="T177" s="653">
        <v>28</v>
      </c>
      <c r="U177" s="40">
        <v>6</v>
      </c>
      <c r="V177" s="630">
        <f>W177-U177</f>
        <v>9</v>
      </c>
      <c r="W177" s="653">
        <v>15</v>
      </c>
      <c r="X177" s="40">
        <v>6</v>
      </c>
      <c r="Y177" s="630">
        <f>Z177-X177</f>
        <v>6</v>
      </c>
      <c r="Z177" s="653">
        <v>12</v>
      </c>
      <c r="AA177" s="40">
        <v>4</v>
      </c>
      <c r="AB177" s="630">
        <f>AC177-AA177</f>
        <v>4</v>
      </c>
      <c r="AC177" s="653">
        <v>8</v>
      </c>
      <c r="AD177" s="40">
        <v>0</v>
      </c>
      <c r="AE177" s="630">
        <f>AF177-AD177</f>
        <v>4</v>
      </c>
      <c r="AF177" s="556">
        <v>4</v>
      </c>
      <c r="AG177" s="40">
        <v>2</v>
      </c>
      <c r="AH177" s="630">
        <f>AI177-AG177</f>
        <v>3</v>
      </c>
      <c r="AI177" s="556">
        <v>5</v>
      </c>
      <c r="AJ177" s="10">
        <v>0</v>
      </c>
      <c r="AK177" s="630">
        <f>AL177-AJ177</f>
        <v>0</v>
      </c>
      <c r="AL177" s="556">
        <v>0</v>
      </c>
      <c r="AM177" s="10">
        <v>0</v>
      </c>
      <c r="AN177" s="630">
        <f>AO177-AM177</f>
        <v>0</v>
      </c>
      <c r="AO177" s="556">
        <v>0</v>
      </c>
      <c r="AP177" s="10">
        <v>0</v>
      </c>
      <c r="AQ177" s="630">
        <f>AR177-AP177</f>
        <v>0</v>
      </c>
      <c r="AR177" s="556">
        <v>0</v>
      </c>
      <c r="AS177" s="10">
        <v>0</v>
      </c>
      <c r="AT177" s="216">
        <f>AU177-AS177</f>
        <v>0</v>
      </c>
      <c r="AU177" s="556">
        <v>0</v>
      </c>
      <c r="AV177" s="10">
        <f>AX177/2</f>
        <v>0</v>
      </c>
      <c r="AW177" s="236">
        <f>AX177-AV177</f>
        <v>0</v>
      </c>
      <c r="AX177" s="580">
        <v>0</v>
      </c>
      <c r="AY177" s="56">
        <f>BA177/2</f>
        <v>0</v>
      </c>
      <c r="AZ177" s="236">
        <f>BA177-AY177</f>
        <v>0</v>
      </c>
      <c r="BA177" s="580">
        <v>0</v>
      </c>
      <c r="BB177" s="56">
        <f>BD177/2</f>
        <v>0</v>
      </c>
      <c r="BC177" s="236">
        <f>BD177-BB177</f>
        <v>0</v>
      </c>
      <c r="BD177" s="580">
        <v>0</v>
      </c>
      <c r="BE177" s="56">
        <f>BG177/2</f>
        <v>0</v>
      </c>
      <c r="BF177" s="236">
        <f>BG177-BE177</f>
        <v>0</v>
      </c>
      <c r="BG177" s="580">
        <v>0</v>
      </c>
      <c r="BH177" s="56">
        <f>BJ177/2</f>
        <v>0</v>
      </c>
      <c r="BI177" s="236">
        <f>BJ177-BH177</f>
        <v>0</v>
      </c>
      <c r="BJ177" s="580">
        <v>0</v>
      </c>
      <c r="BK177"/>
    </row>
    <row r="178" spans="1:66">
      <c r="A178" s="25" t="s">
        <v>733</v>
      </c>
      <c r="B178" s="40"/>
      <c r="C178" s="40"/>
      <c r="D178" s="40"/>
      <c r="E178" s="40"/>
      <c r="F178" s="40"/>
      <c r="G178" s="40"/>
      <c r="H178" s="40"/>
      <c r="I178" s="40"/>
      <c r="J178" s="40"/>
      <c r="K178" s="40"/>
      <c r="L178" s="40"/>
      <c r="M178" s="40">
        <f>+M172/2</f>
        <v>35</v>
      </c>
      <c r="N178" s="40">
        <f>+N172/2</f>
        <v>32</v>
      </c>
      <c r="O178" s="40">
        <f>+O172/2</f>
        <v>21</v>
      </c>
      <c r="P178" s="40">
        <f>+P172/2</f>
        <v>17.5</v>
      </c>
      <c r="Q178" s="40">
        <f>+Q172/2</f>
        <v>3</v>
      </c>
      <c r="R178" s="40"/>
      <c r="S178" s="630"/>
      <c r="T178" s="653">
        <v>7</v>
      </c>
      <c r="U178" s="40">
        <f>U177*U179</f>
        <v>4</v>
      </c>
      <c r="V178" s="630">
        <f>W178-U178</f>
        <v>6</v>
      </c>
      <c r="W178" s="653">
        <v>10</v>
      </c>
      <c r="X178" s="40">
        <f>X177*X179</f>
        <v>5.5</v>
      </c>
      <c r="Y178" s="630">
        <f>Z178-X178</f>
        <v>5.5</v>
      </c>
      <c r="Z178" s="653">
        <v>11</v>
      </c>
      <c r="AA178" s="40">
        <f>AA177*AA179</f>
        <v>4</v>
      </c>
      <c r="AB178" s="630">
        <f>AC178-AA178</f>
        <v>4</v>
      </c>
      <c r="AC178" s="653">
        <v>8</v>
      </c>
      <c r="AD178" s="40">
        <f>AD177*AD179</f>
        <v>0</v>
      </c>
      <c r="AE178" s="630">
        <f>AF178-AD178</f>
        <v>4</v>
      </c>
      <c r="AF178" s="653">
        <v>4</v>
      </c>
      <c r="AG178" s="40">
        <f>AG177*AG179</f>
        <v>2</v>
      </c>
      <c r="AH178" s="630">
        <f>AI178-AG178</f>
        <v>3</v>
      </c>
      <c r="AI178" s="653">
        <v>5</v>
      </c>
      <c r="AJ178" s="40">
        <f>AJ177*AJ179</f>
        <v>0</v>
      </c>
      <c r="AK178" s="630">
        <f>AL178-AJ178</f>
        <v>0</v>
      </c>
      <c r="AL178" s="653">
        <f>AL177*AL179</f>
        <v>0</v>
      </c>
      <c r="AM178" s="40">
        <f>AM177*AM179</f>
        <v>0</v>
      </c>
      <c r="AN178" s="630">
        <f>AO178-AM178</f>
        <v>0</v>
      </c>
      <c r="AO178" s="653">
        <f>AO177*AO179</f>
        <v>0</v>
      </c>
      <c r="AP178" s="40">
        <f>AP177*AP179</f>
        <v>0</v>
      </c>
      <c r="AQ178" s="630">
        <f>AR178-AP178</f>
        <v>0</v>
      </c>
      <c r="AR178" s="653">
        <f>AR177*AR179</f>
        <v>0</v>
      </c>
      <c r="AS178" s="40">
        <f>AS177*AS179</f>
        <v>0</v>
      </c>
      <c r="AT178" s="216">
        <f>AU178-AS178</f>
        <v>0</v>
      </c>
      <c r="AU178" s="556">
        <f t="shared" ref="AU178:BJ178" si="420">ROUND(AU177*AU179,0)</f>
        <v>0</v>
      </c>
      <c r="AV178" s="10">
        <f>AV177*AV179</f>
        <v>0</v>
      </c>
      <c r="AW178" s="236">
        <f>AX178-AV178</f>
        <v>0</v>
      </c>
      <c r="AX178" s="605">
        <f t="shared" si="420"/>
        <v>0</v>
      </c>
      <c r="AY178" s="56">
        <f>AY177*AY179</f>
        <v>0</v>
      </c>
      <c r="AZ178" s="236">
        <f>BA178-AY178</f>
        <v>0</v>
      </c>
      <c r="BA178" s="605">
        <f t="shared" si="420"/>
        <v>0</v>
      </c>
      <c r="BB178" s="56">
        <f>BB177*BB179</f>
        <v>0</v>
      </c>
      <c r="BC178" s="236">
        <f>BD178-BB178</f>
        <v>0</v>
      </c>
      <c r="BD178" s="605">
        <f t="shared" si="420"/>
        <v>0</v>
      </c>
      <c r="BE178" s="56">
        <f>BE177*BE179</f>
        <v>0</v>
      </c>
      <c r="BF178" s="236">
        <f>BG178-BE178</f>
        <v>0</v>
      </c>
      <c r="BG178" s="605">
        <f t="shared" si="420"/>
        <v>0</v>
      </c>
      <c r="BH178" s="56">
        <f>BH177*BH179</f>
        <v>0</v>
      </c>
      <c r="BI178" s="236">
        <f>BJ178-BH178</f>
        <v>0</v>
      </c>
      <c r="BJ178" s="605">
        <f t="shared" si="420"/>
        <v>0</v>
      </c>
      <c r="BK178"/>
    </row>
    <row r="179" spans="1:66">
      <c r="A179" s="25" t="s">
        <v>276</v>
      </c>
      <c r="B179" s="40"/>
      <c r="C179" s="40"/>
      <c r="D179" s="40"/>
      <c r="E179" s="40"/>
      <c r="F179" s="40"/>
      <c r="G179" s="40"/>
      <c r="H179" s="40"/>
      <c r="I179" s="40"/>
      <c r="J179" s="40"/>
      <c r="K179" s="40"/>
      <c r="L179" s="40"/>
      <c r="M179" s="50">
        <f t="shared" ref="M179:AI179" si="421">+M178/M177</f>
        <v>1.3461538461538463</v>
      </c>
      <c r="N179" s="50">
        <f t="shared" si="421"/>
        <v>1.0666666666666667</v>
      </c>
      <c r="O179" s="50">
        <f t="shared" si="421"/>
        <v>0.84</v>
      </c>
      <c r="P179" s="50">
        <f t="shared" si="421"/>
        <v>0.58333333333333337</v>
      </c>
      <c r="Q179" s="50">
        <f t="shared" si="421"/>
        <v>0.1111111111111111</v>
      </c>
      <c r="R179" s="50"/>
      <c r="S179" s="647"/>
      <c r="T179" s="671">
        <f t="shared" si="421"/>
        <v>0.25</v>
      </c>
      <c r="U179" s="50">
        <f>W179</f>
        <v>0.66666666666666663</v>
      </c>
      <c r="V179" s="50">
        <f>W179</f>
        <v>0.66666666666666663</v>
      </c>
      <c r="W179" s="671">
        <f t="shared" si="421"/>
        <v>0.66666666666666663</v>
      </c>
      <c r="X179" s="50">
        <f>Z179</f>
        <v>0.91666666666666663</v>
      </c>
      <c r="Y179" s="50">
        <f>Z179</f>
        <v>0.91666666666666663</v>
      </c>
      <c r="Z179" s="671">
        <f t="shared" si="421"/>
        <v>0.91666666666666663</v>
      </c>
      <c r="AA179" s="50">
        <f>AC179</f>
        <v>1</v>
      </c>
      <c r="AB179" s="50">
        <f>AC179</f>
        <v>1</v>
      </c>
      <c r="AC179" s="671">
        <f t="shared" si="421"/>
        <v>1</v>
      </c>
      <c r="AD179" s="50">
        <f>AF179</f>
        <v>1</v>
      </c>
      <c r="AE179" s="50">
        <f>AF179</f>
        <v>1</v>
      </c>
      <c r="AF179" s="671">
        <f t="shared" si="421"/>
        <v>1</v>
      </c>
      <c r="AG179" s="50">
        <f>AI179</f>
        <v>1</v>
      </c>
      <c r="AH179" s="50">
        <f>AI179</f>
        <v>1</v>
      </c>
      <c r="AI179" s="671">
        <f t="shared" si="421"/>
        <v>1</v>
      </c>
      <c r="AJ179" s="50">
        <f>AL179</f>
        <v>1</v>
      </c>
      <c r="AK179" s="50">
        <f>AL179</f>
        <v>1</v>
      </c>
      <c r="AL179" s="671">
        <f t="shared" ref="AL179" si="422">+AI179</f>
        <v>1</v>
      </c>
      <c r="AM179" s="50">
        <f>AO179</f>
        <v>1</v>
      </c>
      <c r="AN179" s="50">
        <f>AO179</f>
        <v>1</v>
      </c>
      <c r="AO179" s="671">
        <f t="shared" ref="AO179" si="423">+AL179</f>
        <v>1</v>
      </c>
      <c r="AP179" s="50">
        <f>AR179</f>
        <v>1</v>
      </c>
      <c r="AQ179" s="50">
        <f>AR179</f>
        <v>1</v>
      </c>
      <c r="AR179" s="671">
        <f t="shared" ref="AR179" si="424">+AO179</f>
        <v>1</v>
      </c>
      <c r="AS179" s="50">
        <f>AU179</f>
        <v>1</v>
      </c>
      <c r="AT179" s="961">
        <f>AU179</f>
        <v>1</v>
      </c>
      <c r="AU179" s="554">
        <f>+AR179</f>
        <v>1</v>
      </c>
      <c r="AV179" s="211">
        <f>AX179</f>
        <v>1</v>
      </c>
      <c r="AW179" s="964">
        <f>AX179</f>
        <v>1</v>
      </c>
      <c r="AX179" s="577">
        <f>+AU179</f>
        <v>1</v>
      </c>
      <c r="AY179" s="251">
        <f>BA179</f>
        <v>1</v>
      </c>
      <c r="AZ179" s="964">
        <f>BA179</f>
        <v>1</v>
      </c>
      <c r="BA179" s="577">
        <f>+AX179</f>
        <v>1</v>
      </c>
      <c r="BB179" s="251">
        <f>BD179</f>
        <v>1</v>
      </c>
      <c r="BC179" s="964">
        <f>BD179</f>
        <v>1</v>
      </c>
      <c r="BD179" s="577">
        <f>+BA179</f>
        <v>1</v>
      </c>
      <c r="BE179" s="251">
        <f>BG179</f>
        <v>1</v>
      </c>
      <c r="BF179" s="964">
        <f>BG179</f>
        <v>1</v>
      </c>
      <c r="BG179" s="577">
        <f>+BD179</f>
        <v>1</v>
      </c>
      <c r="BH179" s="251">
        <f>BJ179</f>
        <v>1</v>
      </c>
      <c r="BI179" s="964">
        <f>BJ179</f>
        <v>1</v>
      </c>
      <c r="BJ179" s="577">
        <f>+BG179</f>
        <v>1</v>
      </c>
      <c r="BK179"/>
    </row>
    <row r="180" spans="1:66">
      <c r="B180" s="40"/>
      <c r="C180" s="40"/>
      <c r="D180" s="40"/>
      <c r="E180" s="40"/>
      <c r="F180" s="40"/>
      <c r="G180" s="40"/>
      <c r="H180" s="40"/>
      <c r="I180" s="40"/>
      <c r="J180" s="40"/>
      <c r="K180" s="40"/>
      <c r="L180" s="40"/>
      <c r="M180" s="40"/>
      <c r="N180" s="40"/>
      <c r="O180" s="40"/>
      <c r="P180" s="40"/>
      <c r="Q180" s="40"/>
      <c r="R180" s="40"/>
      <c r="S180" s="630"/>
      <c r="T180" s="653"/>
      <c r="U180" s="40"/>
      <c r="V180" s="630"/>
      <c r="W180" s="653"/>
      <c r="X180" s="40"/>
      <c r="Y180" s="630"/>
      <c r="Z180" s="653"/>
      <c r="AA180" s="40"/>
      <c r="AB180" s="630"/>
      <c r="AC180" s="653"/>
      <c r="AD180" s="40"/>
      <c r="AE180" s="630"/>
      <c r="AF180" s="653"/>
      <c r="AG180" s="40"/>
      <c r="AH180" s="630"/>
      <c r="AI180" s="653"/>
      <c r="AJ180" s="40"/>
      <c r="AK180" s="630"/>
      <c r="AL180" s="653"/>
      <c r="AM180" s="40"/>
      <c r="AN180" s="539"/>
      <c r="AO180" s="550"/>
      <c r="AP180"/>
      <c r="AQ180" s="539"/>
      <c r="AR180" s="550"/>
      <c r="AS180"/>
      <c r="AT180" s="539"/>
      <c r="AU180" s="550"/>
      <c r="AV180"/>
      <c r="AW180" s="539"/>
      <c r="AX180" s="550"/>
      <c r="AY180"/>
      <c r="AZ180" s="539"/>
      <c r="BA180" s="550"/>
      <c r="BB180"/>
      <c r="BC180" s="539"/>
      <c r="BD180" s="550"/>
      <c r="BE180"/>
      <c r="BF180" s="539"/>
      <c r="BG180" s="550"/>
      <c r="BH180"/>
      <c r="BI180" s="539"/>
      <c r="BJ180" s="550"/>
      <c r="BK180"/>
    </row>
    <row r="181" spans="1:66">
      <c r="A181" s="71" t="s">
        <v>649</v>
      </c>
      <c r="B181" s="89"/>
      <c r="C181" s="89"/>
      <c r="D181" s="89"/>
      <c r="E181" s="89"/>
      <c r="F181" s="89"/>
      <c r="G181" s="89"/>
      <c r="H181" s="89"/>
      <c r="I181" s="89"/>
      <c r="J181" s="89"/>
      <c r="K181" s="89"/>
      <c r="L181" s="89"/>
      <c r="M181" s="89"/>
      <c r="N181" s="89"/>
      <c r="O181" s="89"/>
      <c r="P181" s="89">
        <f t="shared" ref="P181:BJ181" si="425">+P182*P183</f>
        <v>286.73025954291404</v>
      </c>
      <c r="Q181" s="89">
        <f t="shared" si="425"/>
        <v>392.42121090860587</v>
      </c>
      <c r="R181" s="534"/>
      <c r="S181" s="780"/>
      <c r="T181" s="787">
        <f>+T182*T183</f>
        <v>474.23733129615482</v>
      </c>
      <c r="U181" s="534">
        <f t="shared" ref="U181" si="426">+U182*U183</f>
        <v>178.42207792207793</v>
      </c>
      <c r="V181" s="780">
        <f>W181-U181</f>
        <v>253.75584415584413</v>
      </c>
      <c r="W181" s="787">
        <f t="shared" si="425"/>
        <v>432.17792207792206</v>
      </c>
      <c r="X181" s="534">
        <f t="shared" ref="X181" si="427">+X182*X183</f>
        <v>295.22906493506497</v>
      </c>
      <c r="Y181" s="780">
        <f>Z181-X181</f>
        <v>210.30015584415582</v>
      </c>
      <c r="Z181" s="787">
        <f t="shared" si="425"/>
        <v>505.52922077922079</v>
      </c>
      <c r="AA181" s="534">
        <f t="shared" si="425"/>
        <v>260.29411764705878</v>
      </c>
      <c r="AB181" s="780">
        <f>AC181-AA181</f>
        <v>295.58823529411757</v>
      </c>
      <c r="AC181" s="787">
        <f t="shared" si="425"/>
        <v>555.88235294117635</v>
      </c>
      <c r="AD181" s="534">
        <f t="shared" ref="AD181" si="428">+AD182*AD183</f>
        <v>220.26315789473682</v>
      </c>
      <c r="AE181" s="780">
        <f>AF181-AD181</f>
        <v>156.01973684210526</v>
      </c>
      <c r="AF181" s="787">
        <f t="shared" si="425"/>
        <v>376.28289473684208</v>
      </c>
      <c r="AG181" s="534">
        <f t="shared" si="425"/>
        <v>50.811258278145701</v>
      </c>
      <c r="AH181" s="780">
        <f>AI181-AG181</f>
        <v>4.6192052980132416</v>
      </c>
      <c r="AI181" s="787">
        <f t="shared" si="425"/>
        <v>55.430463576158942</v>
      </c>
      <c r="AJ181" s="534">
        <f t="shared" ref="AJ181" si="429">+AJ182*AJ183</f>
        <v>0</v>
      </c>
      <c r="AK181" s="780">
        <f>AL181-AJ181</f>
        <v>24.749999999999996</v>
      </c>
      <c r="AL181" s="787">
        <f t="shared" si="425"/>
        <v>24.749999999999996</v>
      </c>
      <c r="AM181" s="534">
        <f t="shared" si="425"/>
        <v>66.3</v>
      </c>
      <c r="AN181" s="780">
        <f>AO181-AM181</f>
        <v>127.49999999999999</v>
      </c>
      <c r="AO181" s="787">
        <f t="shared" ref="AO181:AP181" si="430">+AO182*AO183</f>
        <v>193.79999999999998</v>
      </c>
      <c r="AP181" s="534">
        <f t="shared" si="430"/>
        <v>131.35135135135135</v>
      </c>
      <c r="AQ181" s="780">
        <f>AR181-AP181</f>
        <v>125.87837837837839</v>
      </c>
      <c r="AR181" s="787">
        <f t="shared" ref="AR181:AS181" si="431">+AR182*AR183</f>
        <v>257.22972972972974</v>
      </c>
      <c r="AS181" s="534">
        <f t="shared" si="431"/>
        <v>109.84375</v>
      </c>
      <c r="AT181" s="255">
        <f>AU181-AS181</f>
        <v>121.40625</v>
      </c>
      <c r="AU181" s="1111">
        <f t="shared" si="425"/>
        <v>231.25</v>
      </c>
      <c r="AV181" s="1113">
        <f t="shared" si="425"/>
        <v>55.760869565217391</v>
      </c>
      <c r="AW181" s="758">
        <f>AX181-AV181</f>
        <v>204.45652173913044</v>
      </c>
      <c r="AX181" s="772">
        <f t="shared" si="425"/>
        <v>260.21739130434781</v>
      </c>
      <c r="AY181" s="535">
        <f t="shared" si="425"/>
        <v>151.66956521739129</v>
      </c>
      <c r="AZ181" s="758">
        <f>BA181-AY181</f>
        <v>158.41043478260863</v>
      </c>
      <c r="BA181" s="772">
        <f t="shared" si="425"/>
        <v>310.07999999999993</v>
      </c>
      <c r="BB181" s="535">
        <f t="shared" si="425"/>
        <v>154.70295652173911</v>
      </c>
      <c r="BC181" s="758">
        <f>BD181-BB181</f>
        <v>168.76686166007897</v>
      </c>
      <c r="BD181" s="772">
        <f t="shared" si="425"/>
        <v>323.46981818181808</v>
      </c>
      <c r="BE181" s="535">
        <f t="shared" si="425"/>
        <v>157.79701565217391</v>
      </c>
      <c r="BF181" s="758">
        <f>BG181-BE181</f>
        <v>172.14219889328052</v>
      </c>
      <c r="BG181" s="772">
        <f t="shared" si="425"/>
        <v>329.93921454545443</v>
      </c>
      <c r="BH181" s="535">
        <f t="shared" si="425"/>
        <v>160.95295596521737</v>
      </c>
      <c r="BI181" s="758">
        <f>BJ181-BH181</f>
        <v>175.58504287114619</v>
      </c>
      <c r="BJ181" s="772">
        <f t="shared" si="425"/>
        <v>336.53799883636356</v>
      </c>
      <c r="BK181"/>
    </row>
    <row r="182" spans="1:66">
      <c r="A182" s="65" t="s">
        <v>396</v>
      </c>
      <c r="B182" s="40">
        <f t="shared" ref="B182:Q182" si="432">B82</f>
        <v>0</v>
      </c>
      <c r="C182" s="40">
        <f t="shared" si="432"/>
        <v>0</v>
      </c>
      <c r="D182" s="40">
        <f t="shared" si="432"/>
        <v>0</v>
      </c>
      <c r="E182" s="40">
        <f t="shared" si="432"/>
        <v>0</v>
      </c>
      <c r="F182" s="40">
        <f t="shared" si="432"/>
        <v>0</v>
      </c>
      <c r="G182" s="40">
        <f t="shared" si="432"/>
        <v>0</v>
      </c>
      <c r="H182" s="40">
        <f t="shared" si="432"/>
        <v>0</v>
      </c>
      <c r="I182" s="40">
        <f t="shared" si="432"/>
        <v>0</v>
      </c>
      <c r="J182" s="40">
        <f t="shared" si="432"/>
        <v>0</v>
      </c>
      <c r="K182" s="40">
        <f t="shared" si="432"/>
        <v>0</v>
      </c>
      <c r="L182" s="40">
        <f t="shared" si="432"/>
        <v>0</v>
      </c>
      <c r="M182" s="40">
        <f t="shared" si="432"/>
        <v>18</v>
      </c>
      <c r="N182" s="40">
        <f t="shared" si="432"/>
        <v>46</v>
      </c>
      <c r="O182" s="40">
        <f t="shared" si="432"/>
        <v>59</v>
      </c>
      <c r="P182" s="40">
        <f t="shared" si="432"/>
        <v>79</v>
      </c>
      <c r="Q182" s="40">
        <f t="shared" si="432"/>
        <v>106</v>
      </c>
      <c r="R182" s="40"/>
      <c r="S182" s="630"/>
      <c r="T182" s="653">
        <f t="shared" ref="T182:AV182" si="433">T82</f>
        <v>122</v>
      </c>
      <c r="U182" s="40">
        <f t="shared" si="433"/>
        <v>45</v>
      </c>
      <c r="V182" s="630">
        <f t="shared" si="433"/>
        <v>64</v>
      </c>
      <c r="W182" s="653">
        <f t="shared" si="433"/>
        <v>109</v>
      </c>
      <c r="X182" s="40">
        <f t="shared" si="433"/>
        <v>73</v>
      </c>
      <c r="Y182" s="630">
        <f t="shared" si="433"/>
        <v>52</v>
      </c>
      <c r="Z182" s="653">
        <f t="shared" si="433"/>
        <v>125</v>
      </c>
      <c r="AA182" s="40">
        <f t="shared" si="433"/>
        <v>59</v>
      </c>
      <c r="AB182" s="630">
        <f t="shared" si="433"/>
        <v>67</v>
      </c>
      <c r="AC182" s="653">
        <f t="shared" si="433"/>
        <v>126</v>
      </c>
      <c r="AD182" s="40">
        <f t="shared" si="433"/>
        <v>48</v>
      </c>
      <c r="AE182" s="630">
        <f t="shared" si="433"/>
        <v>34</v>
      </c>
      <c r="AF182" s="653">
        <f t="shared" si="433"/>
        <v>82</v>
      </c>
      <c r="AG182" s="40">
        <f t="shared" si="433"/>
        <v>11</v>
      </c>
      <c r="AH182" s="630">
        <f t="shared" si="433"/>
        <v>1</v>
      </c>
      <c r="AI182" s="653">
        <f t="shared" si="433"/>
        <v>12</v>
      </c>
      <c r="AJ182" s="40">
        <f t="shared" si="433"/>
        <v>0</v>
      </c>
      <c r="AK182" s="630">
        <f t="shared" si="433"/>
        <v>5</v>
      </c>
      <c r="AL182" s="653">
        <f t="shared" si="433"/>
        <v>5</v>
      </c>
      <c r="AM182" s="40">
        <f t="shared" si="433"/>
        <v>13</v>
      </c>
      <c r="AN182" s="630">
        <f t="shared" si="433"/>
        <v>25</v>
      </c>
      <c r="AO182" s="653">
        <f t="shared" si="433"/>
        <v>38</v>
      </c>
      <c r="AP182" s="40">
        <f t="shared" si="433"/>
        <v>24</v>
      </c>
      <c r="AQ182" s="630">
        <f t="shared" si="433"/>
        <v>23</v>
      </c>
      <c r="AR182" s="653">
        <f t="shared" si="433"/>
        <v>47</v>
      </c>
      <c r="AS182" s="40">
        <f t="shared" si="433"/>
        <v>19</v>
      </c>
      <c r="AT182" s="216">
        <f t="shared" si="433"/>
        <v>21</v>
      </c>
      <c r="AU182" s="556">
        <f t="shared" si="433"/>
        <v>40</v>
      </c>
      <c r="AV182" s="40">
        <f t="shared" si="433"/>
        <v>9</v>
      </c>
      <c r="AW182" s="236">
        <f>AX182-AV182</f>
        <v>33</v>
      </c>
      <c r="AX182" s="605">
        <f>ROUND(((AX188*9/12)+(BA188*3/12))*2,0)</f>
        <v>42</v>
      </c>
      <c r="AY182" s="56">
        <f>ROUND(((AY188*4.5/6)+(AZ188*1.5/6))*2,0)</f>
        <v>24</v>
      </c>
      <c r="AZ182" s="236">
        <f>BA182-AY182</f>
        <v>24</v>
      </c>
      <c r="BA182" s="605">
        <f>ROUND(((BA188*9/12)+(BD188*3/12))*2,0)</f>
        <v>48</v>
      </c>
      <c r="BB182" s="56">
        <f>ROUND(((BB188*4.5/6)+(BC188*1.5/6))*2,0)</f>
        <v>24</v>
      </c>
      <c r="BC182" s="236">
        <f>BD182-BB182</f>
        <v>24</v>
      </c>
      <c r="BD182" s="605">
        <f>ROUND(((BD188*9/12)+(BG188*3/12))*2,0)</f>
        <v>48</v>
      </c>
      <c r="BE182" s="56">
        <f>ROUND(((BE188*4.5/6)+(BF188*1.5/6))*2,0)</f>
        <v>24</v>
      </c>
      <c r="BF182" s="236">
        <f>BG182-BE182</f>
        <v>24</v>
      </c>
      <c r="BG182" s="605">
        <f t="shared" ref="BG182" si="434">ROUND(((BG188*9/12)+(BJ188*3/12))*2,0)</f>
        <v>48</v>
      </c>
      <c r="BH182" s="56">
        <f>ROUND(((BH188*4.5/6)+(BI188*1.5/6))*2,0)</f>
        <v>24</v>
      </c>
      <c r="BI182" s="236">
        <f>BJ182-BH182</f>
        <v>24</v>
      </c>
      <c r="BJ182" s="605">
        <f>BG182</f>
        <v>48</v>
      </c>
      <c r="BK182"/>
    </row>
    <row r="183" spans="1:66" ht="11.4">
      <c r="A183" s="90" t="s">
        <v>736</v>
      </c>
      <c r="B183" s="40"/>
      <c r="C183" s="40"/>
      <c r="D183" s="40"/>
      <c r="E183" s="40"/>
      <c r="F183" s="40"/>
      <c r="G183" s="40"/>
      <c r="H183" s="40"/>
      <c r="I183" s="40"/>
      <c r="J183" s="40"/>
      <c r="K183" s="40"/>
      <c r="L183" s="40"/>
      <c r="M183" s="40"/>
      <c r="N183" s="40"/>
      <c r="O183" s="40"/>
      <c r="P183" s="81">
        <f>+Q183/(1+P$157)</f>
        <v>3.6294969562394179</v>
      </c>
      <c r="Q183" s="81">
        <f>+T183/(1.05)</f>
        <v>3.7020868953642063</v>
      </c>
      <c r="R183" s="81"/>
      <c r="S183" s="636"/>
      <c r="T183" s="659">
        <f>+W183/(1+T157)</f>
        <v>3.8871912401324167</v>
      </c>
      <c r="U183" s="81">
        <f>W183</f>
        <v>3.964935064935065</v>
      </c>
      <c r="V183" s="636">
        <f>V181/V182</f>
        <v>3.9649350649350645</v>
      </c>
      <c r="W183" s="659">
        <v>3.964935064935065</v>
      </c>
      <c r="X183" s="81">
        <f>Z183</f>
        <v>4.0442337662337664</v>
      </c>
      <c r="Y183" s="636">
        <f>Y181/Y182</f>
        <v>4.0442337662337655</v>
      </c>
      <c r="Z183" s="659">
        <f>W183*(1+Z157)</f>
        <v>4.0442337662337664</v>
      </c>
      <c r="AA183" s="81">
        <f>AC183</f>
        <v>4.4117647058823524</v>
      </c>
      <c r="AB183" s="636">
        <f>AB181/AB182</f>
        <v>4.4117647058823515</v>
      </c>
      <c r="AC183" s="659">
        <f>AC184/AC68</f>
        <v>4.4117647058823524</v>
      </c>
      <c r="AD183" s="81">
        <f>AF183</f>
        <v>4.5888157894736841</v>
      </c>
      <c r="AE183" s="636">
        <f>AE181/AE182</f>
        <v>4.5888157894736841</v>
      </c>
      <c r="AF183" s="659">
        <f>AF184/AF68</f>
        <v>4.5888157894736841</v>
      </c>
      <c r="AG183" s="81">
        <f>AI183</f>
        <v>4.6192052980132452</v>
      </c>
      <c r="AH183" s="636">
        <f>AH181/AH182</f>
        <v>4.6192052980132416</v>
      </c>
      <c r="AI183" s="659">
        <f>AI184/AI68</f>
        <v>4.6192052980132452</v>
      </c>
      <c r="AJ183" s="81">
        <f>AL183</f>
        <v>4.9499999999999993</v>
      </c>
      <c r="AK183" s="636">
        <f>AK181/AK182</f>
        <v>4.9499999999999993</v>
      </c>
      <c r="AL183" s="659">
        <f>AL184/AL68</f>
        <v>4.9499999999999993</v>
      </c>
      <c r="AM183" s="81">
        <f>AO183</f>
        <v>5.0999999999999996</v>
      </c>
      <c r="AN183" s="636">
        <f>AN181/AN182</f>
        <v>5.0999999999999996</v>
      </c>
      <c r="AO183" s="659">
        <f>AO184/AO68</f>
        <v>5.0999999999999996</v>
      </c>
      <c r="AP183" s="81">
        <f>AP184/AP68</f>
        <v>5.4729729729729728</v>
      </c>
      <c r="AQ183" s="636">
        <f>AQ181/AQ182</f>
        <v>5.4729729729729737</v>
      </c>
      <c r="AR183" s="659">
        <f>AR184/AR68</f>
        <v>5.4729729729729728</v>
      </c>
      <c r="AS183" s="81">
        <f>AS184/AS68</f>
        <v>5.78125</v>
      </c>
      <c r="AT183" s="636">
        <f>AT181/AT182</f>
        <v>5.78125</v>
      </c>
      <c r="AU183" s="659">
        <f>AU184/AU68</f>
        <v>5.78125</v>
      </c>
      <c r="AV183" s="81">
        <f>AV184/AV68</f>
        <v>6.195652173913043</v>
      </c>
      <c r="AW183" s="759">
        <f>AW181/AW182</f>
        <v>6.1956521739130439</v>
      </c>
      <c r="AX183" s="773">
        <f>AX184/AX68</f>
        <v>6.195652173913043</v>
      </c>
      <c r="AY183" s="173">
        <f>+AV183*(1+AY$157)</f>
        <v>6.3195652173913039</v>
      </c>
      <c r="AZ183" s="759">
        <f>AZ181/AZ182</f>
        <v>6.6004347826086933</v>
      </c>
      <c r="BA183" s="773">
        <f>BA184/BA68</f>
        <v>6.4599999999999982</v>
      </c>
      <c r="BB183" s="173">
        <f>+AY183*(1+BB$157)</f>
        <v>6.4459565217391299</v>
      </c>
      <c r="BC183" s="759">
        <f>BC181/BC182</f>
        <v>7.0319525691699569</v>
      </c>
      <c r="BD183" s="773">
        <f>BD184/BD68</f>
        <v>6.7389545454545434</v>
      </c>
      <c r="BE183" s="173">
        <f>+BB183*(1+BE$157)</f>
        <v>6.5748756521739127</v>
      </c>
      <c r="BF183" s="759">
        <f>BF181/BF182</f>
        <v>7.1725916205533551</v>
      </c>
      <c r="BG183" s="773">
        <f>BG184/BG68</f>
        <v>6.8737336363636343</v>
      </c>
      <c r="BH183" s="173">
        <f>+BE183*(1+BH$157)</f>
        <v>6.706373165217391</v>
      </c>
      <c r="BI183" s="759">
        <f>BI181/BI182</f>
        <v>7.3160434529644247</v>
      </c>
      <c r="BJ183" s="773">
        <f>BJ184/BJ68</f>
        <v>7.0112083090909074</v>
      </c>
      <c r="BK183"/>
      <c r="BM183" s="110"/>
      <c r="BN183" s="110"/>
    </row>
    <row r="184" spans="1:66" ht="11.4">
      <c r="A184" s="69" t="s">
        <v>685</v>
      </c>
      <c r="B184" s="1137"/>
      <c r="C184" s="1137"/>
      <c r="D184" s="1137"/>
      <c r="E184" s="1137"/>
      <c r="F184" s="1137"/>
      <c r="G184" s="1137"/>
      <c r="H184" s="1137"/>
      <c r="I184" s="1137"/>
      <c r="J184" s="1137"/>
      <c r="K184" s="1137"/>
      <c r="L184" s="1137"/>
      <c r="M184" s="1137"/>
      <c r="N184" s="1137"/>
      <c r="O184" s="1137"/>
      <c r="P184" s="1137"/>
      <c r="Q184" s="1138">
        <f t="shared" ref="Q184:Z184" si="435">+Q183*Q$68</f>
        <v>5.8122764257218043</v>
      </c>
      <c r="R184" s="1138"/>
      <c r="S184" s="1139"/>
      <c r="T184" s="1140">
        <f t="shared" si="435"/>
        <v>6.0057104660045839</v>
      </c>
      <c r="U184" s="1138">
        <f t="shared" ref="U184:V184" si="436">+U183*U$68</f>
        <v>6.145649350649351</v>
      </c>
      <c r="V184" s="1139">
        <f t="shared" si="436"/>
        <v>6.1456493506493501</v>
      </c>
      <c r="W184" s="1140">
        <f t="shared" si="435"/>
        <v>6.1059999999999999</v>
      </c>
      <c r="X184" s="1138">
        <f t="shared" si="435"/>
        <v>6.2685623376623383</v>
      </c>
      <c r="Y184" s="1139">
        <f t="shared" si="435"/>
        <v>6.2685623376623365</v>
      </c>
      <c r="Z184" s="1140">
        <f t="shared" si="435"/>
        <v>6.2281200000000005</v>
      </c>
      <c r="AA184" s="81">
        <f>AC184</f>
        <v>6.7499999999999991</v>
      </c>
      <c r="AB184" s="636">
        <f>AC184</f>
        <v>6.7499999999999991</v>
      </c>
      <c r="AC184" s="561">
        <f>AC104*(1-AC111)</f>
        <v>6.7499999999999991</v>
      </c>
      <c r="AD184" s="203">
        <f>AF184</f>
        <v>6.9749999999999996</v>
      </c>
      <c r="AE184" s="234">
        <f>AF184</f>
        <v>6.9749999999999996</v>
      </c>
      <c r="AF184" s="561">
        <f>AF104*(1-AF111)</f>
        <v>6.9749999999999996</v>
      </c>
      <c r="AG184" s="203">
        <f>AI184</f>
        <v>6.9749999999999996</v>
      </c>
      <c r="AH184" s="234">
        <f>AI184</f>
        <v>6.9749999999999996</v>
      </c>
      <c r="AI184" s="561">
        <f>AI104*(1-AI111)</f>
        <v>6.9749999999999996</v>
      </c>
      <c r="AJ184" s="203">
        <f>AL184</f>
        <v>7.4249999999999989</v>
      </c>
      <c r="AK184" s="234">
        <f>AL184</f>
        <v>7.4249999999999989</v>
      </c>
      <c r="AL184" s="561">
        <f>AL104*(1-AL111)</f>
        <v>7.4249999999999989</v>
      </c>
      <c r="AM184" s="203">
        <f>AO184</f>
        <v>7.6499999999999995</v>
      </c>
      <c r="AN184" s="234">
        <f>AO184</f>
        <v>7.6499999999999995</v>
      </c>
      <c r="AO184" s="561">
        <f>AO104*(1-AO111)</f>
        <v>7.6499999999999995</v>
      </c>
      <c r="AP184" s="203">
        <f>AR184</f>
        <v>8.1</v>
      </c>
      <c r="AQ184" s="234">
        <f>AR184</f>
        <v>8.1</v>
      </c>
      <c r="AR184" s="561">
        <f>AR104*(1-AR111)</f>
        <v>8.1</v>
      </c>
      <c r="AS184" s="203">
        <f>AU184</f>
        <v>8.3249999999999993</v>
      </c>
      <c r="AT184" s="234">
        <f>AU184</f>
        <v>8.3249999999999993</v>
      </c>
      <c r="AU184" s="561">
        <f>AU104*(1-AU111)</f>
        <v>8.3249999999999993</v>
      </c>
      <c r="AV184" s="203">
        <f>AX184</f>
        <v>8.5499999999999989</v>
      </c>
      <c r="AW184" s="235">
        <f>AX184</f>
        <v>8.5499999999999989</v>
      </c>
      <c r="AX184" s="611">
        <f>AX104*(1-AX111)</f>
        <v>8.5499999999999989</v>
      </c>
      <c r="AY184" s="173">
        <f>BA184</f>
        <v>8.7209999999999983</v>
      </c>
      <c r="AZ184" s="235">
        <f>BA184</f>
        <v>8.7209999999999983</v>
      </c>
      <c r="BA184" s="611">
        <f>BA104*(1-BA111)</f>
        <v>8.7209999999999983</v>
      </c>
      <c r="BB184" s="173">
        <f>BD184</f>
        <v>8.8954199999999979</v>
      </c>
      <c r="BC184" s="235">
        <f>BD184</f>
        <v>8.8954199999999979</v>
      </c>
      <c r="BD184" s="611">
        <f>BD104*(1-BD111)</f>
        <v>8.8954199999999979</v>
      </c>
      <c r="BE184" s="173">
        <f>BG184</f>
        <v>9.0733283999999976</v>
      </c>
      <c r="BF184" s="235">
        <f>BG184</f>
        <v>9.0733283999999976</v>
      </c>
      <c r="BG184" s="611">
        <f>BG104*(1-BG111)</f>
        <v>9.0733283999999976</v>
      </c>
      <c r="BH184" s="173">
        <f>BJ184</f>
        <v>9.2547949679999988</v>
      </c>
      <c r="BI184" s="235">
        <f>BJ184</f>
        <v>9.2547949679999988</v>
      </c>
      <c r="BJ184" s="611">
        <f>BJ104*(1-BJ111)</f>
        <v>9.2547949679999988</v>
      </c>
      <c r="BK184"/>
      <c r="BM184" s="107"/>
      <c r="BN184" s="107"/>
    </row>
    <row r="185" spans="1:66" ht="11.4">
      <c r="A185" s="69" t="s">
        <v>684</v>
      </c>
      <c r="B185" s="40"/>
      <c r="C185" s="40"/>
      <c r="D185" s="40"/>
      <c r="E185" s="40"/>
      <c r="F185" s="40"/>
      <c r="G185" s="40"/>
      <c r="H185" s="40"/>
      <c r="I185" s="40"/>
      <c r="J185" s="40"/>
      <c r="K185" s="40"/>
      <c r="L185" s="40"/>
      <c r="M185" s="40"/>
      <c r="N185" s="40"/>
      <c r="O185" s="40"/>
      <c r="P185" s="40"/>
      <c r="Q185" s="40">
        <v>81.863048249602883</v>
      </c>
      <c r="R185" s="40"/>
      <c r="S185" s="630"/>
      <c r="T185" s="653">
        <v>84.587471352177246</v>
      </c>
      <c r="U185" s="40">
        <v>86.558441558441558</v>
      </c>
      <c r="V185" s="630">
        <v>86.558441558441558</v>
      </c>
      <c r="W185" s="653">
        <v>86</v>
      </c>
      <c r="X185" s="40">
        <v>88.289610389610388</v>
      </c>
      <c r="Y185" s="630">
        <v>88.289610389610374</v>
      </c>
      <c r="Z185" s="653">
        <v>87.720000000000013</v>
      </c>
      <c r="AA185" s="40">
        <v>95.07042253521125</v>
      </c>
      <c r="AB185" s="630">
        <v>95.07042253521125</v>
      </c>
      <c r="AC185" s="653">
        <v>95.07042253521125</v>
      </c>
      <c r="AD185" s="40">
        <v>98.239436619718305</v>
      </c>
      <c r="AE185" s="630">
        <v>98.239436619718305</v>
      </c>
      <c r="AF185" s="653">
        <v>98.239436619718305</v>
      </c>
      <c r="AG185" s="40">
        <v>98.239436619718305</v>
      </c>
      <c r="AH185" s="630">
        <v>98.239436619718305</v>
      </c>
      <c r="AI185" s="653">
        <v>98.239436619718305</v>
      </c>
      <c r="AJ185" s="40">
        <v>104.57746478873237</v>
      </c>
      <c r="AK185" s="630">
        <v>104.57746478873237</v>
      </c>
      <c r="AL185" s="653">
        <v>104.57746478873237</v>
      </c>
      <c r="AM185" s="40">
        <v>107.74647887323943</v>
      </c>
      <c r="AN185" s="630">
        <v>107.74647887323943</v>
      </c>
      <c r="AO185" s="653">
        <v>107.74647887323943</v>
      </c>
      <c r="AP185" s="40">
        <v>114.08450704225352</v>
      </c>
      <c r="AQ185" s="630">
        <v>114.08450704225352</v>
      </c>
      <c r="AR185" s="653">
        <v>114.08450704225352</v>
      </c>
      <c r="AS185" s="40">
        <v>117.25352112676056</v>
      </c>
      <c r="AT185" s="630">
        <v>117.25352112676056</v>
      </c>
      <c r="AU185" s="556">
        <v>117.25352112676056</v>
      </c>
      <c r="AV185" s="10">
        <v>120.42253521126759</v>
      </c>
      <c r="AW185" s="601">
        <v>120.42253521126759</v>
      </c>
      <c r="AX185" s="605">
        <v>120.42253521126759</v>
      </c>
      <c r="AY185" s="56">
        <v>122.83098591549292</v>
      </c>
      <c r="AZ185" s="601">
        <v>122.83098591549292</v>
      </c>
      <c r="BA185" s="605">
        <v>122.83098591549292</v>
      </c>
      <c r="BB185" s="56">
        <v>125.28760563380278</v>
      </c>
      <c r="BC185" s="601">
        <v>125.28760563380278</v>
      </c>
      <c r="BD185" s="605">
        <v>125.28760563380278</v>
      </c>
      <c r="BE185" s="56">
        <v>127.79335774647883</v>
      </c>
      <c r="BF185" s="601">
        <v>127.79335774647883</v>
      </c>
      <c r="BG185" s="605">
        <v>127.79335774647883</v>
      </c>
      <c r="BH185" s="56">
        <v>130.34922490140843</v>
      </c>
      <c r="BI185" s="601">
        <v>130.34922490140843</v>
      </c>
      <c r="BJ185" s="605">
        <v>130.34922490140843</v>
      </c>
      <c r="BK185"/>
      <c r="BM185" s="107"/>
      <c r="BN185" s="107"/>
    </row>
    <row r="186" spans="1:66" ht="11.4">
      <c r="A186" s="65"/>
      <c r="B186" s="40"/>
      <c r="C186" s="40"/>
      <c r="D186" s="40"/>
      <c r="E186" s="40"/>
      <c r="F186" s="40"/>
      <c r="G186" s="40"/>
      <c r="H186" s="40"/>
      <c r="I186" s="40"/>
      <c r="J186" s="40"/>
      <c r="K186" s="40"/>
      <c r="L186" s="40"/>
      <c r="M186" s="40"/>
      <c r="N186" s="40"/>
      <c r="O186" s="40"/>
      <c r="P186" s="40"/>
      <c r="Q186" s="40"/>
      <c r="R186" s="40"/>
      <c r="S186" s="630"/>
      <c r="T186" s="653"/>
      <c r="U186" s="40"/>
      <c r="V186" s="630"/>
      <c r="W186" s="653"/>
      <c r="X186" s="40"/>
      <c r="Y186" s="630"/>
      <c r="Z186" s="653"/>
      <c r="AA186" s="40"/>
      <c r="AB186" s="630"/>
      <c r="AC186" s="653"/>
      <c r="AD186" s="40"/>
      <c r="AE186" s="630"/>
      <c r="AF186" s="653"/>
      <c r="AG186" s="40"/>
      <c r="AH186" s="630"/>
      <c r="AI186" s="653"/>
      <c r="AJ186" s="40"/>
      <c r="AK186" s="630"/>
      <c r="AL186" s="653"/>
      <c r="AM186" s="40"/>
      <c r="AN186" s="216"/>
      <c r="AO186" s="556"/>
      <c r="AP186" s="10"/>
      <c r="AQ186" s="216"/>
      <c r="AR186" s="556"/>
      <c r="AS186" s="10"/>
      <c r="AT186" s="216"/>
      <c r="AU186" s="556"/>
      <c r="AV186" s="10"/>
      <c r="AW186" s="216"/>
      <c r="AX186" s="556"/>
      <c r="AY186" s="10"/>
      <c r="AZ186" s="216"/>
      <c r="BA186" s="556"/>
      <c r="BB186" s="10"/>
      <c r="BC186" s="216"/>
      <c r="BD186" s="556"/>
      <c r="BE186" s="10"/>
      <c r="BF186" s="216"/>
      <c r="BG186" s="556"/>
      <c r="BH186" s="10"/>
      <c r="BI186" s="216"/>
      <c r="BJ186" s="556"/>
      <c r="BK186"/>
      <c r="BM186" s="108"/>
      <c r="BN186" s="108"/>
    </row>
    <row r="187" spans="1:66">
      <c r="A187" s="25" t="s">
        <v>412</v>
      </c>
      <c r="B187" s="40">
        <v>0</v>
      </c>
      <c r="C187" s="40">
        <v>0</v>
      </c>
      <c r="D187" s="40">
        <v>0</v>
      </c>
      <c r="E187" s="40">
        <v>0</v>
      </c>
      <c r="F187" s="40">
        <v>0</v>
      </c>
      <c r="G187" s="40">
        <v>0</v>
      </c>
      <c r="H187" s="40">
        <v>0</v>
      </c>
      <c r="I187" s="40">
        <v>0</v>
      </c>
      <c r="J187" s="40">
        <v>0</v>
      </c>
      <c r="K187" s="40">
        <v>0</v>
      </c>
      <c r="L187" s="40">
        <v>0</v>
      </c>
      <c r="M187" s="40">
        <v>3</v>
      </c>
      <c r="N187" s="40">
        <v>46</v>
      </c>
      <c r="O187" s="40">
        <v>65</v>
      </c>
      <c r="P187" s="40">
        <v>114</v>
      </c>
      <c r="Q187" s="40">
        <v>135</v>
      </c>
      <c r="R187" s="40">
        <v>68</v>
      </c>
      <c r="S187" s="630">
        <f>T187-R187</f>
        <v>69</v>
      </c>
      <c r="T187" s="653">
        <v>137</v>
      </c>
      <c r="U187" s="40">
        <v>65</v>
      </c>
      <c r="V187" s="630">
        <f>W187-U187</f>
        <v>71</v>
      </c>
      <c r="W187" s="653">
        <v>136</v>
      </c>
      <c r="X187" s="40">
        <v>72</v>
      </c>
      <c r="Y187" s="630">
        <f>Z187-X187</f>
        <v>72</v>
      </c>
      <c r="Z187" s="653">
        <v>144</v>
      </c>
      <c r="AA187" s="40">
        <v>78</v>
      </c>
      <c r="AB187" s="630">
        <f>AC187-AA187</f>
        <v>80</v>
      </c>
      <c r="AC187" s="653">
        <v>158</v>
      </c>
      <c r="AD187" s="40">
        <v>36</v>
      </c>
      <c r="AE187" s="630">
        <f>AF187-AD187</f>
        <v>17</v>
      </c>
      <c r="AF187" s="556">
        <v>53</v>
      </c>
      <c r="AG187" s="40">
        <v>14</v>
      </c>
      <c r="AH187" s="630">
        <f>AI187-AG187</f>
        <v>0</v>
      </c>
      <c r="AI187" s="556">
        <v>14</v>
      </c>
      <c r="AJ187" s="40">
        <v>0</v>
      </c>
      <c r="AK187" s="630">
        <f>AL187-AJ187</f>
        <v>31</v>
      </c>
      <c r="AL187" s="556">
        <v>31</v>
      </c>
      <c r="AM187" s="10">
        <v>31</v>
      </c>
      <c r="AN187" s="630">
        <f>AO187-AM187</f>
        <v>42</v>
      </c>
      <c r="AO187" s="556">
        <v>73</v>
      </c>
      <c r="AP187" s="10">
        <v>22</v>
      </c>
      <c r="AQ187" s="630">
        <f>AR187-AP187</f>
        <v>29</v>
      </c>
      <c r="AR187" s="556">
        <v>51</v>
      </c>
      <c r="AS187" s="10">
        <v>37</v>
      </c>
      <c r="AT187" s="216">
        <f>AU187-AS187</f>
        <v>51</v>
      </c>
      <c r="AU187" s="556">
        <v>88</v>
      </c>
      <c r="AV187" s="10">
        <v>40</v>
      </c>
      <c r="AW187" s="236">
        <f>AX187-AV187</f>
        <v>61</v>
      </c>
      <c r="AX187" s="580">
        <v>101</v>
      </c>
      <c r="AY187" s="56">
        <f>BA187/2</f>
        <v>60</v>
      </c>
      <c r="AZ187" s="236">
        <f>BA187-AY187</f>
        <v>60</v>
      </c>
      <c r="BA187" s="580">
        <v>120</v>
      </c>
      <c r="BB187" s="56">
        <f>BD187/2</f>
        <v>60</v>
      </c>
      <c r="BC187" s="236">
        <f>BD187-BB187</f>
        <v>60</v>
      </c>
      <c r="BD187" s="580">
        <v>120</v>
      </c>
      <c r="BE187" s="56">
        <f>BG187/2</f>
        <v>60</v>
      </c>
      <c r="BF187" s="236">
        <f>BG187-BE187</f>
        <v>60</v>
      </c>
      <c r="BG187" s="580">
        <v>120</v>
      </c>
      <c r="BH187" s="56">
        <f>BJ187/2</f>
        <v>60</v>
      </c>
      <c r="BI187" s="236">
        <f>BJ187-BH187</f>
        <v>60</v>
      </c>
      <c r="BJ187" s="580">
        <v>120</v>
      </c>
      <c r="BK187"/>
    </row>
    <row r="188" spans="1:66">
      <c r="A188" s="25" t="s">
        <v>733</v>
      </c>
      <c r="B188" s="40"/>
      <c r="C188" s="40"/>
      <c r="D188" s="40"/>
      <c r="E188" s="40"/>
      <c r="F188" s="40"/>
      <c r="G188" s="40"/>
      <c r="H188" s="40"/>
      <c r="I188" s="40"/>
      <c r="J188" s="40"/>
      <c r="K188" s="40"/>
      <c r="L188" s="40"/>
      <c r="M188" s="40">
        <f>+M182/2</f>
        <v>9</v>
      </c>
      <c r="N188" s="40">
        <f>+N182/2</f>
        <v>23</v>
      </c>
      <c r="O188" s="40">
        <f>+O182/2</f>
        <v>29.5</v>
      </c>
      <c r="P188" s="40">
        <f>+P182/2</f>
        <v>39.5</v>
      </c>
      <c r="Q188" s="40">
        <f>+Q182/2</f>
        <v>53</v>
      </c>
      <c r="R188" s="40"/>
      <c r="S188" s="630"/>
      <c r="T188" s="653">
        <v>62</v>
      </c>
      <c r="U188" s="40">
        <f>W188/2</f>
        <v>24</v>
      </c>
      <c r="V188" s="630">
        <f>W188-U188</f>
        <v>24</v>
      </c>
      <c r="W188" s="653">
        <v>48</v>
      </c>
      <c r="X188" s="40">
        <f>Z188/2</f>
        <v>28</v>
      </c>
      <c r="Y188" s="630">
        <f>Z188-X188</f>
        <v>28</v>
      </c>
      <c r="Z188" s="653">
        <v>56</v>
      </c>
      <c r="AA188" s="40">
        <f>AC188/2</f>
        <v>24</v>
      </c>
      <c r="AB188" s="630">
        <f>AC188-AA188</f>
        <v>24</v>
      </c>
      <c r="AC188" s="653">
        <v>48</v>
      </c>
      <c r="AD188" s="40">
        <f>AF188/2</f>
        <v>5</v>
      </c>
      <c r="AE188" s="630">
        <f>AF188-AD188</f>
        <v>5</v>
      </c>
      <c r="AF188" s="653">
        <v>10</v>
      </c>
      <c r="AG188" s="40">
        <v>2</v>
      </c>
      <c r="AH188" s="630">
        <f>AI188-AG188</f>
        <v>0</v>
      </c>
      <c r="AI188" s="653">
        <v>2</v>
      </c>
      <c r="AJ188" s="40">
        <f>AJ187*AJ189</f>
        <v>0</v>
      </c>
      <c r="AK188" s="630">
        <f>AL188-AJ188</f>
        <v>5</v>
      </c>
      <c r="AL188" s="653">
        <v>5</v>
      </c>
      <c r="AM188" s="40">
        <v>6</v>
      </c>
      <c r="AN188" s="630">
        <f>AO188-AM188</f>
        <v>16</v>
      </c>
      <c r="AO188" s="653">
        <v>22</v>
      </c>
      <c r="AP188" s="10">
        <v>5</v>
      </c>
      <c r="AQ188" s="630">
        <f>AR188-AP188</f>
        <v>9</v>
      </c>
      <c r="AR188" s="653">
        <v>14</v>
      </c>
      <c r="AS188" s="10">
        <v>5</v>
      </c>
      <c r="AT188" s="216">
        <f>AU188-AS188</f>
        <v>9</v>
      </c>
      <c r="AU188" s="556">
        <v>14</v>
      </c>
      <c r="AV188" s="10">
        <v>9</v>
      </c>
      <c r="AW188" s="236">
        <f>AX188-AV188</f>
        <v>11.200000000000003</v>
      </c>
      <c r="AX188" s="605">
        <f t="shared" ref="AX188:BJ188" si="437">AX187*AX189</f>
        <v>20.200000000000003</v>
      </c>
      <c r="AY188" s="56">
        <f>AY187*AY189</f>
        <v>12</v>
      </c>
      <c r="AZ188" s="236">
        <f>BA188-AY188</f>
        <v>12</v>
      </c>
      <c r="BA188" s="605">
        <f t="shared" si="437"/>
        <v>24</v>
      </c>
      <c r="BB188" s="56">
        <f>BB187*BB189</f>
        <v>12</v>
      </c>
      <c r="BC188" s="236">
        <f>BD188-BB188</f>
        <v>12</v>
      </c>
      <c r="BD188" s="605">
        <f t="shared" si="437"/>
        <v>24</v>
      </c>
      <c r="BE188" s="56">
        <f>BE187*BE189</f>
        <v>12</v>
      </c>
      <c r="BF188" s="236">
        <f>BG188-BE188</f>
        <v>12</v>
      </c>
      <c r="BG188" s="605">
        <f t="shared" si="437"/>
        <v>24</v>
      </c>
      <c r="BH188" s="56">
        <f>BH187*BH189</f>
        <v>12</v>
      </c>
      <c r="BI188" s="236">
        <f>BJ188-BH188</f>
        <v>12</v>
      </c>
      <c r="BJ188" s="605">
        <f t="shared" si="437"/>
        <v>24</v>
      </c>
      <c r="BK188"/>
    </row>
    <row r="189" spans="1:66">
      <c r="A189" s="25" t="s">
        <v>276</v>
      </c>
      <c r="B189" s="40"/>
      <c r="C189" s="40"/>
      <c r="D189" s="40"/>
      <c r="E189" s="40"/>
      <c r="F189" s="40"/>
      <c r="G189" s="40"/>
      <c r="H189" s="40"/>
      <c r="I189" s="40"/>
      <c r="J189" s="40"/>
      <c r="K189" s="40"/>
      <c r="L189" s="40"/>
      <c r="M189" s="50"/>
      <c r="N189" s="50">
        <f t="shared" ref="N189:W189" si="438">+N188/N187</f>
        <v>0.5</v>
      </c>
      <c r="O189" s="50">
        <f t="shared" si="438"/>
        <v>0.45384615384615384</v>
      </c>
      <c r="P189" s="50">
        <f t="shared" si="438"/>
        <v>0.34649122807017546</v>
      </c>
      <c r="Q189" s="50">
        <f t="shared" si="438"/>
        <v>0.3925925925925926</v>
      </c>
      <c r="R189" s="50"/>
      <c r="S189" s="647"/>
      <c r="T189" s="671">
        <f t="shared" si="438"/>
        <v>0.45255474452554745</v>
      </c>
      <c r="U189" s="50">
        <f>W189</f>
        <v>0.35294117647058826</v>
      </c>
      <c r="V189" s="647">
        <f>W189</f>
        <v>0.35294117647058826</v>
      </c>
      <c r="W189" s="671">
        <f t="shared" si="438"/>
        <v>0.35294117647058826</v>
      </c>
      <c r="X189" s="50">
        <f>Z189</f>
        <v>0.35</v>
      </c>
      <c r="Y189" s="647">
        <f>Z189</f>
        <v>0.35</v>
      </c>
      <c r="Z189" s="671">
        <v>0.35</v>
      </c>
      <c r="AA189" s="50">
        <f>AC189</f>
        <v>0.30379746835443039</v>
      </c>
      <c r="AB189" s="647">
        <f>AC189</f>
        <v>0.30379746835443039</v>
      </c>
      <c r="AC189" s="671">
        <f>AC188/AC187</f>
        <v>0.30379746835443039</v>
      </c>
      <c r="AD189" s="50">
        <f>AF189</f>
        <v>0.18867924528301888</v>
      </c>
      <c r="AE189" s="647">
        <f>AF189</f>
        <v>0.18867924528301888</v>
      </c>
      <c r="AF189" s="671">
        <f>AF188/AF187</f>
        <v>0.18867924528301888</v>
      </c>
      <c r="AG189" s="50">
        <f>AI189</f>
        <v>0.14285714285714285</v>
      </c>
      <c r="AH189" s="647">
        <f>AI189</f>
        <v>0.14285714285714285</v>
      </c>
      <c r="AI189" s="671">
        <f>AI188/AI187</f>
        <v>0.14285714285714285</v>
      </c>
      <c r="AJ189" s="50">
        <f>AL189</f>
        <v>0.16129032258064516</v>
      </c>
      <c r="AK189" s="647">
        <f>AL189</f>
        <v>0.16129032258064516</v>
      </c>
      <c r="AL189" s="671">
        <f t="shared" ref="AL189:AV189" si="439">AL188/AL187</f>
        <v>0.16129032258064516</v>
      </c>
      <c r="AM189" s="50">
        <f t="shared" si="439"/>
        <v>0.19354838709677419</v>
      </c>
      <c r="AN189" s="647">
        <f t="shared" si="439"/>
        <v>0.38095238095238093</v>
      </c>
      <c r="AO189" s="671">
        <f t="shared" si="439"/>
        <v>0.30136986301369861</v>
      </c>
      <c r="AP189" s="50">
        <f t="shared" si="439"/>
        <v>0.22727272727272727</v>
      </c>
      <c r="AQ189" s="647">
        <f t="shared" ref="AQ189" si="440">AQ188/AQ187</f>
        <v>0.31034482758620691</v>
      </c>
      <c r="AR189" s="671">
        <f t="shared" si="439"/>
        <v>0.27450980392156865</v>
      </c>
      <c r="AS189" s="50">
        <f t="shared" si="439"/>
        <v>0.13513513513513514</v>
      </c>
      <c r="AT189" s="217">
        <f>AT188/AT187</f>
        <v>0.17647058823529413</v>
      </c>
      <c r="AU189" s="671">
        <f t="shared" si="439"/>
        <v>0.15909090909090909</v>
      </c>
      <c r="AV189" s="50">
        <f t="shared" si="439"/>
        <v>0.22500000000000001</v>
      </c>
      <c r="AW189" s="252">
        <f>AW188/AW187</f>
        <v>0.18360655737704923</v>
      </c>
      <c r="AX189" s="618">
        <v>0.2</v>
      </c>
      <c r="AY189" s="251">
        <f>BA189</f>
        <v>0.2</v>
      </c>
      <c r="AZ189" s="252">
        <f>AZ188/AZ187</f>
        <v>0.2</v>
      </c>
      <c r="BA189" s="577">
        <f>+AX189</f>
        <v>0.2</v>
      </c>
      <c r="BB189" s="251">
        <f>BD189</f>
        <v>0.2</v>
      </c>
      <c r="BC189" s="252">
        <f>BC188/BC187</f>
        <v>0.2</v>
      </c>
      <c r="BD189" s="577">
        <f>+BA189</f>
        <v>0.2</v>
      </c>
      <c r="BE189" s="251">
        <f>BG189</f>
        <v>0.2</v>
      </c>
      <c r="BF189" s="252">
        <f>BF188/BF187</f>
        <v>0.2</v>
      </c>
      <c r="BG189" s="577">
        <f>+BD189</f>
        <v>0.2</v>
      </c>
      <c r="BH189" s="251">
        <f>BJ189</f>
        <v>0.2</v>
      </c>
      <c r="BI189" s="252">
        <f>BI188/BI187</f>
        <v>0.2</v>
      </c>
      <c r="BJ189" s="577">
        <f>+BG189</f>
        <v>0.2</v>
      </c>
      <c r="BK189"/>
    </row>
    <row r="190" spans="1:66">
      <c r="B190" s="40"/>
      <c r="C190" s="40"/>
      <c r="D190" s="40"/>
      <c r="E190" s="40"/>
      <c r="F190" s="40"/>
      <c r="G190" s="40"/>
      <c r="H190" s="40"/>
      <c r="I190" s="40"/>
      <c r="J190" s="40"/>
      <c r="K190" s="40"/>
      <c r="L190" s="40"/>
      <c r="M190" s="40"/>
      <c r="N190" s="40"/>
      <c r="O190" s="40"/>
      <c r="P190" s="40"/>
      <c r="Q190" s="40"/>
      <c r="R190" s="40"/>
      <c r="S190" s="630"/>
      <c r="T190" s="653"/>
      <c r="U190" s="40"/>
      <c r="V190" s="630"/>
      <c r="W190" s="653"/>
      <c r="X190" s="40"/>
      <c r="Y190" s="630"/>
      <c r="Z190" s="653"/>
      <c r="AA190" s="40"/>
      <c r="AB190" s="630"/>
      <c r="AC190" s="653"/>
      <c r="AD190" s="40"/>
      <c r="AE190" s="630"/>
      <c r="AF190" s="653"/>
      <c r="AG190" s="40"/>
      <c r="AH190" s="630"/>
      <c r="AI190" s="653"/>
      <c r="AJ190" s="40"/>
      <c r="AK190" s="630"/>
      <c r="AL190" s="653"/>
      <c r="AM190" s="40"/>
      <c r="AN190" s="539"/>
      <c r="AO190" s="550"/>
      <c r="AP190"/>
      <c r="AQ190" s="539"/>
      <c r="AR190" s="550"/>
      <c r="AS190"/>
      <c r="AT190" s="539"/>
      <c r="AU190" s="550"/>
      <c r="AV190"/>
      <c r="AW190" s="539"/>
      <c r="AX190" s="550"/>
      <c r="AY190"/>
      <c r="AZ190" s="539"/>
      <c r="BA190" s="550"/>
      <c r="BB190"/>
      <c r="BC190" s="539"/>
      <c r="BD190" s="550"/>
      <c r="BE190"/>
      <c r="BF190" s="539"/>
      <c r="BG190" s="550"/>
      <c r="BH190"/>
      <c r="BI190" s="539"/>
      <c r="BJ190" s="550"/>
      <c r="BK190"/>
    </row>
    <row r="191" spans="1:66">
      <c r="A191" s="71" t="s">
        <v>650</v>
      </c>
      <c r="B191" s="89"/>
      <c r="C191" s="89"/>
      <c r="D191" s="89"/>
      <c r="E191" s="89"/>
      <c r="F191" s="89"/>
      <c r="G191" s="89"/>
      <c r="H191" s="89"/>
      <c r="I191" s="89"/>
      <c r="J191" s="89"/>
      <c r="K191" s="89"/>
      <c r="L191" s="89"/>
      <c r="M191" s="89"/>
      <c r="N191" s="89"/>
      <c r="O191" s="89"/>
      <c r="P191" s="89">
        <f t="shared" ref="P191:BJ191" si="441">+P192*P193</f>
        <v>57.2</v>
      </c>
      <c r="Q191" s="89">
        <f t="shared" si="441"/>
        <v>246.40000000000003</v>
      </c>
      <c r="R191" s="534"/>
      <c r="S191" s="780"/>
      <c r="T191" s="787">
        <f>+T192*T193</f>
        <v>550.38074320637338</v>
      </c>
      <c r="U191" s="534">
        <f t="shared" ref="U191" si="442">+U192*U193</f>
        <v>407.84624304267163</v>
      </c>
      <c r="V191" s="780">
        <f>W191-U191</f>
        <v>532.59921150278285</v>
      </c>
      <c r="W191" s="787">
        <f>+W192*W193</f>
        <v>940.44545454545448</v>
      </c>
      <c r="X191" s="534">
        <f t="shared" ref="X191" si="443">+X192*X193</f>
        <v>499.20380148423004</v>
      </c>
      <c r="Y191" s="780">
        <f>Z191-X191</f>
        <v>401.32070315398886</v>
      </c>
      <c r="Z191" s="787">
        <f t="shared" si="441"/>
        <v>900.5245046382189</v>
      </c>
      <c r="AA191" s="534">
        <f t="shared" si="441"/>
        <v>437.49999999999994</v>
      </c>
      <c r="AB191" s="780">
        <f>AC191-AA191</f>
        <v>478.6764705882353</v>
      </c>
      <c r="AC191" s="787">
        <f t="shared" si="441"/>
        <v>916.17647058823525</v>
      </c>
      <c r="AD191" s="534">
        <f t="shared" ref="AD191" si="444">+AD192*AD193</f>
        <v>271.77631578947364</v>
      </c>
      <c r="AE191" s="780">
        <f>AF191-AD191</f>
        <v>309.07894736842104</v>
      </c>
      <c r="AF191" s="787">
        <f t="shared" si="441"/>
        <v>580.85526315789468</v>
      </c>
      <c r="AG191" s="534">
        <f t="shared" si="441"/>
        <v>321.85430463576154</v>
      </c>
      <c r="AH191" s="780">
        <f>AI191-AG191</f>
        <v>321.85430463576154</v>
      </c>
      <c r="AI191" s="787">
        <f t="shared" si="441"/>
        <v>643.70860927152307</v>
      </c>
      <c r="AJ191" s="534">
        <f t="shared" ref="AJ191" si="445">+AJ192*AJ193</f>
        <v>245.09999999999997</v>
      </c>
      <c r="AK191" s="780">
        <f>AL191-AJ191</f>
        <v>302.09999999999997</v>
      </c>
      <c r="AL191" s="787">
        <f t="shared" si="441"/>
        <v>547.19999999999993</v>
      </c>
      <c r="AM191" s="534">
        <f t="shared" si="441"/>
        <v>330</v>
      </c>
      <c r="AN191" s="780">
        <f>AO191-AM191</f>
        <v>378</v>
      </c>
      <c r="AO191" s="787">
        <f t="shared" ref="AO191:AP191" si="446">+AO192*AO193</f>
        <v>708</v>
      </c>
      <c r="AP191" s="534">
        <f t="shared" si="446"/>
        <v>280.94594594594594</v>
      </c>
      <c r="AQ191" s="780">
        <f>AR191-AP191</f>
        <v>415.03378378378375</v>
      </c>
      <c r="AR191" s="787">
        <f t="shared" ref="AR191:AS191" si="447">+AR192*AR193</f>
        <v>695.97972972972968</v>
      </c>
      <c r="AS191" s="534">
        <f t="shared" si="447"/>
        <v>349.37499999999994</v>
      </c>
      <c r="AT191" s="255">
        <f>AU191-AS191</f>
        <v>362.81249999999994</v>
      </c>
      <c r="AU191" s="1111">
        <f t="shared" si="441"/>
        <v>712.18749999999989</v>
      </c>
      <c r="AV191" s="1113">
        <f t="shared" si="441"/>
        <v>444.78260869565219</v>
      </c>
      <c r="AW191" s="758">
        <f>AX191-AV191</f>
        <v>373.04347826086956</v>
      </c>
      <c r="AX191" s="772">
        <f t="shared" si="441"/>
        <v>817.82608695652175</v>
      </c>
      <c r="AY191" s="535">
        <f t="shared" si="441"/>
        <v>482.94782608695652</v>
      </c>
      <c r="AZ191" s="758">
        <f>BA191-AY191</f>
        <v>534.33217391304333</v>
      </c>
      <c r="BA191" s="772">
        <f t="shared" si="441"/>
        <v>1017.2799999999999</v>
      </c>
      <c r="BB191" s="535">
        <f t="shared" si="441"/>
        <v>552.31669565217385</v>
      </c>
      <c r="BC191" s="758">
        <f>BD191-BB191</f>
        <v>641.54230434782608</v>
      </c>
      <c r="BD191" s="772">
        <f t="shared" si="441"/>
        <v>1193.8589999999999</v>
      </c>
      <c r="BE191" s="535">
        <f t="shared" si="441"/>
        <v>639.49316869565223</v>
      </c>
      <c r="BF191" s="758">
        <f>BG191-BE191</f>
        <v>681.71079130434759</v>
      </c>
      <c r="BG191" s="772">
        <f t="shared" si="441"/>
        <v>1321.2039599999998</v>
      </c>
      <c r="BH191" s="535">
        <f t="shared" si="441"/>
        <v>652.28303206956525</v>
      </c>
      <c r="BI191" s="758">
        <f>BJ191-BH191</f>
        <v>695.34500713043462</v>
      </c>
      <c r="BJ191" s="772">
        <f t="shared" si="441"/>
        <v>1347.6280391999999</v>
      </c>
      <c r="BK191"/>
    </row>
    <row r="192" spans="1:66">
      <c r="A192" s="65" t="s">
        <v>396</v>
      </c>
      <c r="B192" s="40"/>
      <c r="C192" s="40"/>
      <c r="D192" s="40"/>
      <c r="E192" s="40"/>
      <c r="F192" s="40"/>
      <c r="G192" s="40"/>
      <c r="H192" s="40"/>
      <c r="I192" s="40"/>
      <c r="J192" s="40"/>
      <c r="K192" s="40"/>
      <c r="L192" s="40"/>
      <c r="M192" s="40"/>
      <c r="N192" s="40"/>
      <c r="O192" s="40"/>
      <c r="P192" s="40">
        <f>P83</f>
        <v>13</v>
      </c>
      <c r="Q192" s="40">
        <f>Q83</f>
        <v>56</v>
      </c>
      <c r="R192" s="40"/>
      <c r="S192" s="630"/>
      <c r="T192" s="653">
        <f t="shared" ref="T192:AS192" si="448">T83</f>
        <v>117</v>
      </c>
      <c r="U192" s="40">
        <f t="shared" si="448"/>
        <v>85</v>
      </c>
      <c r="V192" s="630">
        <f t="shared" si="448"/>
        <v>111</v>
      </c>
      <c r="W192" s="653">
        <f t="shared" si="448"/>
        <v>196</v>
      </c>
      <c r="X192" s="40">
        <f t="shared" si="448"/>
        <v>102</v>
      </c>
      <c r="Y192" s="630">
        <f t="shared" si="448"/>
        <v>82</v>
      </c>
      <c r="Z192" s="653">
        <f t="shared" si="448"/>
        <v>184</v>
      </c>
      <c r="AA192" s="40">
        <f t="shared" si="448"/>
        <v>85</v>
      </c>
      <c r="AB192" s="630">
        <f t="shared" si="448"/>
        <v>93</v>
      </c>
      <c r="AC192" s="653">
        <f t="shared" si="448"/>
        <v>178</v>
      </c>
      <c r="AD192" s="40">
        <f t="shared" si="448"/>
        <v>51</v>
      </c>
      <c r="AE192" s="630">
        <f t="shared" si="448"/>
        <v>58</v>
      </c>
      <c r="AF192" s="653">
        <f t="shared" si="448"/>
        <v>109</v>
      </c>
      <c r="AG192" s="40">
        <f t="shared" si="448"/>
        <v>60</v>
      </c>
      <c r="AH192" s="630">
        <f t="shared" si="448"/>
        <v>60</v>
      </c>
      <c r="AI192" s="653">
        <f t="shared" si="448"/>
        <v>120</v>
      </c>
      <c r="AJ192" s="40">
        <f t="shared" si="448"/>
        <v>43</v>
      </c>
      <c r="AK192" s="630">
        <f t="shared" si="448"/>
        <v>53</v>
      </c>
      <c r="AL192" s="653">
        <f t="shared" si="448"/>
        <v>96</v>
      </c>
      <c r="AM192" s="40">
        <f t="shared" si="448"/>
        <v>55</v>
      </c>
      <c r="AN192" s="630">
        <f t="shared" si="448"/>
        <v>63</v>
      </c>
      <c r="AO192" s="653">
        <f t="shared" si="448"/>
        <v>118</v>
      </c>
      <c r="AP192" s="40">
        <f t="shared" si="448"/>
        <v>44</v>
      </c>
      <c r="AQ192" s="630">
        <f t="shared" si="448"/>
        <v>65</v>
      </c>
      <c r="AR192" s="653">
        <f t="shared" si="448"/>
        <v>109</v>
      </c>
      <c r="AS192" s="40">
        <f t="shared" si="448"/>
        <v>52</v>
      </c>
      <c r="AT192" s="216">
        <f>AU192-AS192</f>
        <v>54</v>
      </c>
      <c r="AU192" s="653">
        <f>AU83</f>
        <v>106</v>
      </c>
      <c r="AV192" s="40">
        <f>AV83</f>
        <v>62</v>
      </c>
      <c r="AW192" s="236">
        <f>AX192-AV192</f>
        <v>52</v>
      </c>
      <c r="AX192" s="605">
        <f>ROUND(((AX198*9/12)+(BA198*3/12))*2,0)</f>
        <v>114</v>
      </c>
      <c r="AY192" s="56">
        <f>ROUND(((AY198*4.5/6)+(AZ198*1.5/6))*2,0)</f>
        <v>66</v>
      </c>
      <c r="AZ192" s="236">
        <f>BA192-AY192</f>
        <v>70</v>
      </c>
      <c r="BA192" s="605">
        <f>ROUND(((BA198*9/12)+(BD198*3/12))*2,0)</f>
        <v>136</v>
      </c>
      <c r="BB192" s="56">
        <f>ROUND(((BB198*4.5/6)+(BC198*1.5/6))*2,0)</f>
        <v>74</v>
      </c>
      <c r="BC192" s="236">
        <f>BD192-BB192</f>
        <v>79</v>
      </c>
      <c r="BD192" s="605">
        <f>ROUND(((BD198*9/12)+(BG198*3/12))*2,0)</f>
        <v>153</v>
      </c>
      <c r="BE192" s="56">
        <f>ROUND(((BE198*4.5/6)+(BF198*1.5/6))*2,0)</f>
        <v>84</v>
      </c>
      <c r="BF192" s="236">
        <f>BG192-BE192</f>
        <v>82</v>
      </c>
      <c r="BG192" s="605">
        <f t="shared" ref="BG192" si="449">ROUND(((BG198*9/12)+(BJ198*3/12))*2,0)</f>
        <v>166</v>
      </c>
      <c r="BH192" s="56">
        <f>ROUND(((BH198*4.5/6)+(BI198*1.5/6))*2,0)</f>
        <v>84</v>
      </c>
      <c r="BI192" s="236">
        <f>BJ192-BH192</f>
        <v>82</v>
      </c>
      <c r="BJ192" s="605">
        <f>+BG192</f>
        <v>166</v>
      </c>
      <c r="BK192"/>
    </row>
    <row r="193" spans="1:67" ht="11.4">
      <c r="A193" s="90" t="s">
        <v>736</v>
      </c>
      <c r="B193" s="40"/>
      <c r="C193" s="40"/>
      <c r="D193" s="40"/>
      <c r="E193" s="40"/>
      <c r="F193" s="40"/>
      <c r="G193" s="40"/>
      <c r="H193" s="40"/>
      <c r="I193" s="40"/>
      <c r="J193" s="40"/>
      <c r="K193" s="40"/>
      <c r="L193" s="40"/>
      <c r="M193" s="40"/>
      <c r="N193" s="40"/>
      <c r="O193" s="40"/>
      <c r="P193" s="81">
        <f>+Q193</f>
        <v>4.4000000000000004</v>
      </c>
      <c r="Q193" s="81">
        <v>4.4000000000000004</v>
      </c>
      <c r="R193" s="81"/>
      <c r="S193" s="636"/>
      <c r="T193" s="659">
        <f>+W193/1.02</f>
        <v>4.7041089162937899</v>
      </c>
      <c r="U193" s="81">
        <f>W193</f>
        <v>4.798191094619666</v>
      </c>
      <c r="V193" s="636">
        <f>V191/V192</f>
        <v>4.7981910946196651</v>
      </c>
      <c r="W193" s="659">
        <v>4.798191094619666</v>
      </c>
      <c r="X193" s="81">
        <f>Z193</f>
        <v>4.8941549165120595</v>
      </c>
      <c r="Y193" s="636">
        <f>Y191/Y192</f>
        <v>4.8941549165120595</v>
      </c>
      <c r="Z193" s="659">
        <f>+W193*(1+Z157)</f>
        <v>4.8941549165120595</v>
      </c>
      <c r="AA193" s="81">
        <f>AC193</f>
        <v>5.1470588235294112</v>
      </c>
      <c r="AB193" s="636">
        <f>AB191/AB192</f>
        <v>5.1470588235294121</v>
      </c>
      <c r="AC193" s="659">
        <f>AC194/AC68</f>
        <v>5.1470588235294112</v>
      </c>
      <c r="AD193" s="81">
        <f>AF193</f>
        <v>5.3289473684210522</v>
      </c>
      <c r="AE193" s="636">
        <f>AE191/AE192</f>
        <v>5.3289473684210522</v>
      </c>
      <c r="AF193" s="659">
        <f>AF194/AF68</f>
        <v>5.3289473684210522</v>
      </c>
      <c r="AG193" s="81">
        <f>AI193</f>
        <v>5.3642384105960259</v>
      </c>
      <c r="AH193" s="636">
        <f>AH191/AH192</f>
        <v>5.3642384105960259</v>
      </c>
      <c r="AI193" s="659">
        <f>AI194/AI68</f>
        <v>5.3642384105960259</v>
      </c>
      <c r="AJ193" s="81">
        <f>AL193</f>
        <v>5.6999999999999993</v>
      </c>
      <c r="AK193" s="636">
        <f>AK191/AK192</f>
        <v>5.6999999999999993</v>
      </c>
      <c r="AL193" s="659">
        <f>AL194/AL68</f>
        <v>5.6999999999999993</v>
      </c>
      <c r="AM193" s="81">
        <f>AO193</f>
        <v>6</v>
      </c>
      <c r="AN193" s="636">
        <f>AN191/AN192</f>
        <v>6</v>
      </c>
      <c r="AO193" s="659">
        <f>AO194/AO68</f>
        <v>6</v>
      </c>
      <c r="AP193" s="81">
        <f>AP194/AP68</f>
        <v>6.3851351351351351</v>
      </c>
      <c r="AQ193" s="636">
        <f>AQ191/AQ192</f>
        <v>6.3851351351351342</v>
      </c>
      <c r="AR193" s="659">
        <f>AR194/AR68</f>
        <v>6.3851351351351351</v>
      </c>
      <c r="AS193" s="81">
        <f>AS194/AS68</f>
        <v>6.7187499999999991</v>
      </c>
      <c r="AT193" s="636">
        <f>AT191/AT192</f>
        <v>6.7187499999999991</v>
      </c>
      <c r="AU193" s="659">
        <f>AU194/AU68</f>
        <v>6.7187499999999991</v>
      </c>
      <c r="AV193" s="81">
        <f>AV194/AV68</f>
        <v>7.1739130434782608</v>
      </c>
      <c r="AW193" s="759">
        <f>AW191/AW192</f>
        <v>7.1739130434782608</v>
      </c>
      <c r="AX193" s="773">
        <f>AX194/AX68</f>
        <v>7.1739130434782608</v>
      </c>
      <c r="AY193" s="173">
        <f>+AV193*(1+AY157)</f>
        <v>7.3173913043478258</v>
      </c>
      <c r="AZ193" s="759">
        <f>AZ191/AZ192</f>
        <v>7.6333167701863331</v>
      </c>
      <c r="BA193" s="773">
        <f>BA194/BA68</f>
        <v>7.4799999999999986</v>
      </c>
      <c r="BB193" s="173">
        <f>+AY193*(1+BB157)</f>
        <v>7.4637391304347824</v>
      </c>
      <c r="BC193" s="759">
        <f>BC191/BC192</f>
        <v>8.1207886626307104</v>
      </c>
      <c r="BD193" s="773">
        <f>BD194/BD68</f>
        <v>7.8029999999999999</v>
      </c>
      <c r="BE193" s="173">
        <f>+BB193*(1+BE157)</f>
        <v>7.6130139130434786</v>
      </c>
      <c r="BF193" s="759">
        <f>BF191/BF192</f>
        <v>8.3135462354188725</v>
      </c>
      <c r="BG193" s="773">
        <f>BG194/BG68</f>
        <v>7.9590599999999991</v>
      </c>
      <c r="BH193" s="173">
        <f>+BE193*(1+BH157)</f>
        <v>7.7652741913043482</v>
      </c>
      <c r="BI193" s="759">
        <f>BI191/BI192</f>
        <v>8.4798171601272507</v>
      </c>
      <c r="BJ193" s="773">
        <f>BJ194/BJ68</f>
        <v>8.1182411999999999</v>
      </c>
      <c r="BK193"/>
      <c r="BM193" s="110"/>
      <c r="BN193" s="110"/>
    </row>
    <row r="194" spans="1:67" ht="11.4">
      <c r="A194" s="69" t="s">
        <v>685</v>
      </c>
      <c r="B194" s="1137"/>
      <c r="C194" s="1137"/>
      <c r="D194" s="1137"/>
      <c r="E194" s="1137"/>
      <c r="F194" s="1137"/>
      <c r="G194" s="1137"/>
      <c r="H194" s="1137"/>
      <c r="I194" s="1137"/>
      <c r="J194" s="1137"/>
      <c r="K194" s="1137"/>
      <c r="L194" s="1137"/>
      <c r="M194" s="1137"/>
      <c r="N194" s="1137"/>
      <c r="O194" s="1137"/>
      <c r="P194" s="1137"/>
      <c r="Q194" s="1138">
        <f t="shared" ref="Q194:Z194" si="450">+Q193*Q$68</f>
        <v>6.9080000000000013</v>
      </c>
      <c r="R194" s="1138"/>
      <c r="S194" s="1139"/>
      <c r="T194" s="1140">
        <f t="shared" si="450"/>
        <v>7.2678482756739049</v>
      </c>
      <c r="U194" s="1138">
        <f>W194</f>
        <v>7.389214285714286</v>
      </c>
      <c r="V194" s="1139">
        <f>W194</f>
        <v>7.389214285714286</v>
      </c>
      <c r="W194" s="1140">
        <f t="shared" si="450"/>
        <v>7.389214285714286</v>
      </c>
      <c r="X194" s="1138">
        <f>Z194</f>
        <v>7.5369985714285717</v>
      </c>
      <c r="Y194" s="1139">
        <f>Z194</f>
        <v>7.5369985714285717</v>
      </c>
      <c r="Z194" s="1140">
        <f t="shared" si="450"/>
        <v>7.5369985714285717</v>
      </c>
      <c r="AA194" s="81">
        <f>AC194</f>
        <v>7.8749999999999991</v>
      </c>
      <c r="AB194" s="636">
        <f>AC194</f>
        <v>7.8749999999999991</v>
      </c>
      <c r="AC194" s="561">
        <f>AC105*(1-AC111)</f>
        <v>7.8749999999999991</v>
      </c>
      <c r="AD194" s="203">
        <f>AF194</f>
        <v>8.1</v>
      </c>
      <c r="AE194" s="234">
        <f>AF194</f>
        <v>8.1</v>
      </c>
      <c r="AF194" s="561">
        <f>AF105*(1-AF111)</f>
        <v>8.1</v>
      </c>
      <c r="AG194" s="203">
        <f>AI194</f>
        <v>8.1</v>
      </c>
      <c r="AH194" s="234">
        <f>AI194</f>
        <v>8.1</v>
      </c>
      <c r="AI194" s="561">
        <f>AI105*(1-AI111)</f>
        <v>8.1</v>
      </c>
      <c r="AJ194" s="203">
        <f>AL194</f>
        <v>8.5499999999999989</v>
      </c>
      <c r="AK194" s="234">
        <f>AL194</f>
        <v>8.5499999999999989</v>
      </c>
      <c r="AL194" s="561">
        <f>AL105*(1-AL111)</f>
        <v>8.5499999999999989</v>
      </c>
      <c r="AM194" s="203">
        <f>AO194</f>
        <v>9</v>
      </c>
      <c r="AN194" s="234">
        <f>AO194</f>
        <v>9</v>
      </c>
      <c r="AO194" s="561">
        <f>AO105*(1-AO111)</f>
        <v>9</v>
      </c>
      <c r="AP194" s="203">
        <f>AR194</f>
        <v>9.4499999999999993</v>
      </c>
      <c r="AQ194" s="234">
        <f>AR194</f>
        <v>9.4499999999999993</v>
      </c>
      <c r="AR194" s="561">
        <f>AR105*(1-AR111)</f>
        <v>9.4499999999999993</v>
      </c>
      <c r="AS194" s="203">
        <f>AU194</f>
        <v>9.6749999999999989</v>
      </c>
      <c r="AT194" s="234">
        <f>AU194</f>
        <v>9.6749999999999989</v>
      </c>
      <c r="AU194" s="561">
        <f>AU105*(1-AU111)</f>
        <v>9.6749999999999989</v>
      </c>
      <c r="AV194" s="81">
        <f>AX194</f>
        <v>9.8999999999999986</v>
      </c>
      <c r="AW194" s="235">
        <f>AX194</f>
        <v>9.8999999999999986</v>
      </c>
      <c r="AX194" s="611">
        <f>AX105*(1-AX111)</f>
        <v>9.8999999999999986</v>
      </c>
      <c r="AY194" s="173">
        <f>BA194</f>
        <v>10.097999999999999</v>
      </c>
      <c r="AZ194" s="235">
        <f>BA194</f>
        <v>10.097999999999999</v>
      </c>
      <c r="BA194" s="611">
        <f>BA105*(1-BA111)</f>
        <v>10.097999999999999</v>
      </c>
      <c r="BB194" s="173">
        <f>BD194</f>
        <v>10.29996</v>
      </c>
      <c r="BC194" s="235">
        <f>BD194</f>
        <v>10.29996</v>
      </c>
      <c r="BD194" s="611">
        <f>BD105*(1-BD111)</f>
        <v>10.29996</v>
      </c>
      <c r="BE194" s="173">
        <f>BG194</f>
        <v>10.505959199999999</v>
      </c>
      <c r="BF194" s="235">
        <f>BG194</f>
        <v>10.505959199999999</v>
      </c>
      <c r="BG194" s="611">
        <f>BG105*(1-BG111)</f>
        <v>10.505959199999999</v>
      </c>
      <c r="BH194" s="173">
        <f>BJ194</f>
        <v>10.716078383999999</v>
      </c>
      <c r="BI194" s="235">
        <f>BJ194</f>
        <v>10.716078383999999</v>
      </c>
      <c r="BJ194" s="611">
        <f>BJ105*(1-BJ111)</f>
        <v>10.716078383999999</v>
      </c>
      <c r="BK194"/>
      <c r="BM194" s="107"/>
      <c r="BN194" s="107"/>
    </row>
    <row r="195" spans="1:67" ht="11.4">
      <c r="A195" s="69" t="s">
        <v>684</v>
      </c>
      <c r="B195" s="40"/>
      <c r="C195" s="40"/>
      <c r="D195" s="40"/>
      <c r="E195" s="40"/>
      <c r="F195" s="40"/>
      <c r="G195" s="40"/>
      <c r="H195" s="40"/>
      <c r="I195" s="40"/>
      <c r="J195" s="40"/>
      <c r="K195" s="40"/>
      <c r="L195" s="40"/>
      <c r="M195" s="40"/>
      <c r="N195" s="40"/>
      <c r="O195" s="40"/>
      <c r="P195" s="40"/>
      <c r="Q195" s="40">
        <v>82.238095238095255</v>
      </c>
      <c r="R195" s="40"/>
      <c r="S195" s="630"/>
      <c r="T195" s="653">
        <v>86.522003281832198</v>
      </c>
      <c r="U195" s="40">
        <v>87.966836734693885</v>
      </c>
      <c r="V195" s="630">
        <v>87.966836734693885</v>
      </c>
      <c r="W195" s="653">
        <v>87.966836734693885</v>
      </c>
      <c r="X195" s="40">
        <v>89.72617346938776</v>
      </c>
      <c r="Y195" s="630">
        <v>89.72617346938776</v>
      </c>
      <c r="Z195" s="653">
        <v>89.72617346938776</v>
      </c>
      <c r="AA195" s="40">
        <v>93.749999999999986</v>
      </c>
      <c r="AB195" s="630">
        <v>93.749999999999986</v>
      </c>
      <c r="AC195" s="556">
        <v>93.749999999999986</v>
      </c>
      <c r="AD195" s="10">
        <v>96.428571428571416</v>
      </c>
      <c r="AE195" s="216">
        <v>96.428571428571416</v>
      </c>
      <c r="AF195" s="556">
        <v>96.428571428571416</v>
      </c>
      <c r="AG195" s="10">
        <v>96.428571428571416</v>
      </c>
      <c r="AH195" s="216">
        <v>96.428571428571416</v>
      </c>
      <c r="AI195" s="556">
        <v>96.428571428571416</v>
      </c>
      <c r="AJ195" s="10">
        <v>101.78571428571428</v>
      </c>
      <c r="AK195" s="216">
        <v>101.78571428571428</v>
      </c>
      <c r="AL195" s="556">
        <v>101.78571428571428</v>
      </c>
      <c r="AM195" s="10">
        <v>107.14285714285714</v>
      </c>
      <c r="AN195" s="216">
        <v>107.14285714285714</v>
      </c>
      <c r="AO195" s="556">
        <v>107.14285714285714</v>
      </c>
      <c r="AP195" s="10">
        <v>112.5</v>
      </c>
      <c r="AQ195" s="216">
        <v>112.5</v>
      </c>
      <c r="AR195" s="556">
        <v>112.5</v>
      </c>
      <c r="AS195" s="10">
        <v>115.17857142857142</v>
      </c>
      <c r="AT195" s="216">
        <v>115.17857142857142</v>
      </c>
      <c r="AU195" s="556">
        <v>115.17857142857142</v>
      </c>
      <c r="AV195" s="10">
        <v>117.85714285714285</v>
      </c>
      <c r="AW195" s="236">
        <v>117.85714285714285</v>
      </c>
      <c r="AX195" s="605">
        <v>117.85714285714285</v>
      </c>
      <c r="AY195" s="56">
        <v>120.21428571428569</v>
      </c>
      <c r="AZ195" s="236">
        <v>120.21428571428569</v>
      </c>
      <c r="BA195" s="605">
        <v>120.21428571428569</v>
      </c>
      <c r="BB195" s="56">
        <v>122.61857142857144</v>
      </c>
      <c r="BC195" s="236">
        <v>122.61857142857144</v>
      </c>
      <c r="BD195" s="605">
        <v>122.61857142857144</v>
      </c>
      <c r="BE195" s="56">
        <v>125.07094285714285</v>
      </c>
      <c r="BF195" s="236">
        <v>125.07094285714285</v>
      </c>
      <c r="BG195" s="605">
        <v>125.07094285714285</v>
      </c>
      <c r="BH195" s="56">
        <v>127.57236171428571</v>
      </c>
      <c r="BI195" s="236">
        <v>127.57236171428571</v>
      </c>
      <c r="BJ195" s="605">
        <v>127.57236171428571</v>
      </c>
      <c r="BK195"/>
      <c r="BM195" s="107"/>
      <c r="BN195" s="107"/>
    </row>
    <row r="196" spans="1:67" ht="11.4">
      <c r="A196" s="65"/>
      <c r="B196" s="40"/>
      <c r="C196" s="40"/>
      <c r="D196" s="40"/>
      <c r="E196" s="40"/>
      <c r="F196" s="40"/>
      <c r="G196" s="40"/>
      <c r="H196" s="40"/>
      <c r="I196" s="40"/>
      <c r="J196" s="40"/>
      <c r="K196" s="40"/>
      <c r="L196" s="40"/>
      <c r="M196" s="40"/>
      <c r="N196" s="40"/>
      <c r="O196" s="40"/>
      <c r="P196" s="40"/>
      <c r="Q196" s="40"/>
      <c r="R196" s="40"/>
      <c r="S196" s="630"/>
      <c r="T196" s="653"/>
      <c r="U196" s="40"/>
      <c r="V196" s="630"/>
      <c r="W196" s="653"/>
      <c r="X196" s="40"/>
      <c r="Y196" s="630"/>
      <c r="Z196" s="653"/>
      <c r="AA196" s="40"/>
      <c r="AB196" s="630"/>
      <c r="AC196" s="556"/>
      <c r="AD196" s="10"/>
      <c r="AE196" s="216"/>
      <c r="AF196" s="556"/>
      <c r="AG196" s="10"/>
      <c r="AH196" s="216"/>
      <c r="AI196" s="556"/>
      <c r="AJ196" s="10"/>
      <c r="AK196" s="216"/>
      <c r="AL196" s="556"/>
      <c r="AM196" s="10"/>
      <c r="AN196" s="216"/>
      <c r="AO196" s="556"/>
      <c r="AP196" s="10"/>
      <c r="AQ196" s="216"/>
      <c r="AR196" s="556"/>
      <c r="AS196" s="10"/>
      <c r="AT196" s="216"/>
      <c r="AU196" s="556"/>
      <c r="AV196" s="10"/>
      <c r="AW196" s="216"/>
      <c r="AX196" s="556"/>
      <c r="AY196" s="10"/>
      <c r="AZ196" s="216"/>
      <c r="BA196" s="556"/>
      <c r="BB196" s="10"/>
      <c r="BC196" s="216"/>
      <c r="BD196" s="556"/>
      <c r="BE196" s="10"/>
      <c r="BF196" s="216"/>
      <c r="BG196" s="556"/>
      <c r="BH196" s="10"/>
      <c r="BI196" s="216"/>
      <c r="BJ196" s="556"/>
      <c r="BK196"/>
      <c r="BM196" s="108"/>
      <c r="BN196" s="108"/>
      <c r="BO196" s="108"/>
    </row>
    <row r="197" spans="1:67">
      <c r="A197" s="25" t="s">
        <v>504</v>
      </c>
      <c r="B197" s="40"/>
      <c r="C197" s="40"/>
      <c r="D197" s="40"/>
      <c r="E197" s="40"/>
      <c r="F197" s="40"/>
      <c r="G197" s="40"/>
      <c r="H197" s="40"/>
      <c r="I197" s="40"/>
      <c r="J197" s="40"/>
      <c r="K197" s="40"/>
      <c r="L197" s="40"/>
      <c r="M197" s="40"/>
      <c r="N197" s="40"/>
      <c r="O197" s="40"/>
      <c r="P197" s="40"/>
      <c r="Q197" s="40">
        <v>14</v>
      </c>
      <c r="R197" s="40"/>
      <c r="S197" s="630"/>
      <c r="T197" s="653">
        <v>49</v>
      </c>
      <c r="U197" s="40"/>
      <c r="V197" s="630"/>
      <c r="W197" s="653">
        <v>77</v>
      </c>
      <c r="X197" s="40"/>
      <c r="Y197" s="630"/>
      <c r="Z197" s="653">
        <v>79</v>
      </c>
      <c r="AA197" s="40"/>
      <c r="AB197" s="630"/>
      <c r="AC197" s="556">
        <v>87</v>
      </c>
      <c r="AD197" s="10"/>
      <c r="AE197" s="216"/>
      <c r="AF197" s="556">
        <v>45</v>
      </c>
      <c r="AG197" s="10"/>
      <c r="AH197" s="216"/>
      <c r="AI197" s="556">
        <v>47</v>
      </c>
      <c r="AJ197" s="10">
        <v>22</v>
      </c>
      <c r="AK197" s="216">
        <f>AL197-AJ197</f>
        <v>30</v>
      </c>
      <c r="AL197" s="556">
        <v>52</v>
      </c>
      <c r="AM197" s="10">
        <v>16</v>
      </c>
      <c r="AN197" s="216">
        <f>AO197-AM197</f>
        <v>36</v>
      </c>
      <c r="AO197" s="556">
        <v>52</v>
      </c>
      <c r="AP197" s="10">
        <v>17</v>
      </c>
      <c r="AQ197" s="216">
        <f>AR197-AP197</f>
        <v>27</v>
      </c>
      <c r="AR197" s="556">
        <v>44</v>
      </c>
      <c r="AS197" s="10">
        <v>19</v>
      </c>
      <c r="AT197" s="216">
        <f>AU197-AS197</f>
        <v>23</v>
      </c>
      <c r="AU197" s="556">
        <v>42</v>
      </c>
      <c r="AV197" s="10">
        <v>20</v>
      </c>
      <c r="AW197" s="236">
        <f>AX197-AV197</f>
        <v>34</v>
      </c>
      <c r="AX197" s="580">
        <v>54</v>
      </c>
      <c r="AY197" s="56">
        <f>BA197/2</f>
        <v>33</v>
      </c>
      <c r="AZ197" s="236">
        <f>BA197-AY197</f>
        <v>33</v>
      </c>
      <c r="BA197" s="580">
        <v>66</v>
      </c>
      <c r="BB197" s="56">
        <f>BD197/2</f>
        <v>37</v>
      </c>
      <c r="BC197" s="236">
        <f>BD197-BB197</f>
        <v>37</v>
      </c>
      <c r="BD197" s="580">
        <v>74</v>
      </c>
      <c r="BE197" s="56">
        <f>BG197/2</f>
        <v>41.5</v>
      </c>
      <c r="BF197" s="236">
        <f>BG197-BE197</f>
        <v>41.5</v>
      </c>
      <c r="BG197" s="580">
        <v>83</v>
      </c>
      <c r="BH197" s="56">
        <f>BJ197/2</f>
        <v>41.5</v>
      </c>
      <c r="BI197" s="236">
        <f>BJ197-BH197</f>
        <v>41.5</v>
      </c>
      <c r="BJ197" s="580">
        <v>83</v>
      </c>
      <c r="BK197"/>
    </row>
    <row r="198" spans="1:67">
      <c r="A198" s="25" t="s">
        <v>733</v>
      </c>
      <c r="B198" s="40"/>
      <c r="C198" s="40"/>
      <c r="D198" s="40"/>
      <c r="E198" s="40"/>
      <c r="F198" s="40"/>
      <c r="G198" s="40"/>
      <c r="H198" s="40"/>
      <c r="I198" s="40"/>
      <c r="J198" s="40"/>
      <c r="K198" s="40"/>
      <c r="L198" s="40"/>
      <c r="M198" s="40"/>
      <c r="N198" s="40"/>
      <c r="O198" s="40"/>
      <c r="P198" s="40"/>
      <c r="Q198" s="40">
        <f>Q197</f>
        <v>14</v>
      </c>
      <c r="R198" s="40"/>
      <c r="S198" s="630"/>
      <c r="T198" s="653">
        <f>T197</f>
        <v>49</v>
      </c>
      <c r="U198" s="40"/>
      <c r="V198" s="630"/>
      <c r="W198" s="653">
        <f>ROUND(W197*W199,0)</f>
        <v>77</v>
      </c>
      <c r="X198" s="40"/>
      <c r="Y198" s="630"/>
      <c r="Z198" s="653">
        <f>ROUND(Z197*Z199,0)</f>
        <v>79</v>
      </c>
      <c r="AA198" s="40"/>
      <c r="AB198" s="630"/>
      <c r="AC198" s="556">
        <v>87</v>
      </c>
      <c r="AD198" s="10"/>
      <c r="AE198" s="216"/>
      <c r="AF198" s="556">
        <f>ROUND(AF197*AF199,0)</f>
        <v>45</v>
      </c>
      <c r="AG198" s="10"/>
      <c r="AH198" s="216"/>
      <c r="AI198" s="556">
        <f>ROUND(AI197*AI199,0)</f>
        <v>47</v>
      </c>
      <c r="AJ198" s="10">
        <f>ROUND(AJ197*AJ199,0)</f>
        <v>22</v>
      </c>
      <c r="AK198" s="216">
        <f>AL198-AJ198</f>
        <v>30</v>
      </c>
      <c r="AL198" s="556">
        <f>ROUND(AL197*AL199,0)</f>
        <v>52</v>
      </c>
      <c r="AM198" s="10">
        <f>ROUND(AM197*AM199,0)</f>
        <v>16</v>
      </c>
      <c r="AN198" s="216">
        <f>AO198-AM198</f>
        <v>36</v>
      </c>
      <c r="AO198" s="556">
        <f>ROUND(AO197*AO199,0)</f>
        <v>52</v>
      </c>
      <c r="AP198" s="10">
        <f>ROUND(AP197*AP199,0)</f>
        <v>17</v>
      </c>
      <c r="AQ198" s="216">
        <f>AR198-AP198</f>
        <v>27</v>
      </c>
      <c r="AR198" s="556">
        <f>ROUND(AR197*AR199,0)</f>
        <v>44</v>
      </c>
      <c r="AS198" s="10">
        <f>ROUND(AS197*AS199,0)</f>
        <v>19</v>
      </c>
      <c r="AT198" s="216">
        <f>AU198-AS198</f>
        <v>23</v>
      </c>
      <c r="AU198" s="556">
        <f t="shared" ref="AU198:BJ198" si="451">ROUND(AU197*AU199,0)</f>
        <v>42</v>
      </c>
      <c r="AV198" s="10">
        <f>ROUND(AV197*AV199,0)</f>
        <v>20</v>
      </c>
      <c r="AW198" s="236">
        <f>AX198-AV198</f>
        <v>34</v>
      </c>
      <c r="AX198" s="605">
        <f t="shared" si="451"/>
        <v>54</v>
      </c>
      <c r="AY198" s="56">
        <f>ROUND(AY197*AY199,0)</f>
        <v>33</v>
      </c>
      <c r="AZ198" s="236">
        <f>BA198-AY198</f>
        <v>33</v>
      </c>
      <c r="BA198" s="605">
        <f t="shared" si="451"/>
        <v>66</v>
      </c>
      <c r="BB198" s="56">
        <f>ROUND(BB197*BB199,0)</f>
        <v>37</v>
      </c>
      <c r="BC198" s="236">
        <f>BD198-BB198</f>
        <v>37</v>
      </c>
      <c r="BD198" s="605">
        <f t="shared" si="451"/>
        <v>74</v>
      </c>
      <c r="BE198" s="56">
        <f>ROUND(BE197*BE199,0)</f>
        <v>42</v>
      </c>
      <c r="BF198" s="236">
        <f>BG198-BE198</f>
        <v>41</v>
      </c>
      <c r="BG198" s="605">
        <f t="shared" si="451"/>
        <v>83</v>
      </c>
      <c r="BH198" s="56">
        <f>ROUND(BH197*BH199,0)</f>
        <v>42</v>
      </c>
      <c r="BI198" s="236">
        <f>BJ198-BH198</f>
        <v>41</v>
      </c>
      <c r="BJ198" s="605">
        <f t="shared" si="451"/>
        <v>83</v>
      </c>
      <c r="BK198"/>
    </row>
    <row r="199" spans="1:67">
      <c r="A199" s="25" t="s">
        <v>276</v>
      </c>
      <c r="B199" s="40"/>
      <c r="C199" s="40"/>
      <c r="D199" s="40"/>
      <c r="E199" s="40"/>
      <c r="F199" s="40"/>
      <c r="G199" s="40"/>
      <c r="H199" s="40"/>
      <c r="I199" s="40"/>
      <c r="J199" s="40"/>
      <c r="K199" s="40"/>
      <c r="L199" s="40"/>
      <c r="M199" s="40"/>
      <c r="N199" s="40"/>
      <c r="O199" s="40"/>
      <c r="P199" s="50"/>
      <c r="Q199" s="50">
        <f>Q198/Q197</f>
        <v>1</v>
      </c>
      <c r="R199" s="50"/>
      <c r="S199" s="647"/>
      <c r="T199" s="671">
        <f>T198/T197</f>
        <v>1</v>
      </c>
      <c r="U199" s="50"/>
      <c r="V199" s="647"/>
      <c r="W199" s="671">
        <v>1</v>
      </c>
      <c r="X199" s="50"/>
      <c r="Y199" s="647"/>
      <c r="Z199" s="671">
        <v>1</v>
      </c>
      <c r="AA199" s="50"/>
      <c r="AB199" s="647"/>
      <c r="AC199" s="554">
        <f>AC198/AC197</f>
        <v>1</v>
      </c>
      <c r="AD199" s="186"/>
      <c r="AE199" s="217"/>
      <c r="AF199" s="554">
        <v>1</v>
      </c>
      <c r="AG199" s="186"/>
      <c r="AH199" s="217"/>
      <c r="AI199" s="554">
        <v>1</v>
      </c>
      <c r="AJ199" s="186">
        <f>AL199</f>
        <v>1</v>
      </c>
      <c r="AK199" s="217">
        <f>AL199</f>
        <v>1</v>
      </c>
      <c r="AL199" s="554">
        <v>1</v>
      </c>
      <c r="AM199" s="186">
        <f>AO199</f>
        <v>1</v>
      </c>
      <c r="AN199" s="217">
        <f>AN198/AN197</f>
        <v>1</v>
      </c>
      <c r="AO199" s="554">
        <v>1</v>
      </c>
      <c r="AP199" s="186">
        <f>AR199</f>
        <v>1</v>
      </c>
      <c r="AQ199" s="217">
        <f>AQ198/AQ197</f>
        <v>1</v>
      </c>
      <c r="AR199" s="554">
        <v>1</v>
      </c>
      <c r="AS199" s="186">
        <f>AU199</f>
        <v>1</v>
      </c>
      <c r="AT199" s="217">
        <f>AT198/AT197</f>
        <v>1</v>
      </c>
      <c r="AU199" s="554">
        <v>1</v>
      </c>
      <c r="AV199" s="211">
        <f>AX199</f>
        <v>1</v>
      </c>
      <c r="AW199" s="252">
        <f>AW198/AW197</f>
        <v>1</v>
      </c>
      <c r="AX199" s="618">
        <v>1</v>
      </c>
      <c r="AY199" s="251">
        <f>BA199</f>
        <v>1</v>
      </c>
      <c r="AZ199" s="252">
        <f>AZ198/AZ197</f>
        <v>1</v>
      </c>
      <c r="BA199" s="618">
        <v>1</v>
      </c>
      <c r="BB199" s="251">
        <f>BD199</f>
        <v>1</v>
      </c>
      <c r="BC199" s="252">
        <f>BC198/BC197</f>
        <v>1</v>
      </c>
      <c r="BD199" s="618">
        <v>1</v>
      </c>
      <c r="BE199" s="251">
        <f>BG199</f>
        <v>1</v>
      </c>
      <c r="BF199" s="252">
        <f>BF198/BF197</f>
        <v>0.98795180722891562</v>
      </c>
      <c r="BG199" s="618">
        <v>1</v>
      </c>
      <c r="BH199" s="251">
        <f>BJ199</f>
        <v>1</v>
      </c>
      <c r="BI199" s="252">
        <f>BI198/BI197</f>
        <v>0.98795180722891562</v>
      </c>
      <c r="BJ199" s="618">
        <v>1</v>
      </c>
      <c r="BK199"/>
    </row>
    <row r="200" spans="1:67">
      <c r="B200" s="40"/>
      <c r="C200" s="40"/>
      <c r="D200" s="40"/>
      <c r="E200" s="40"/>
      <c r="F200" s="40"/>
      <c r="G200" s="40"/>
      <c r="H200" s="40"/>
      <c r="I200" s="40"/>
      <c r="J200" s="40"/>
      <c r="K200" s="40"/>
      <c r="L200" s="40"/>
      <c r="M200" s="40"/>
      <c r="N200" s="40"/>
      <c r="O200" s="40"/>
      <c r="P200" s="40"/>
      <c r="Q200" s="40"/>
      <c r="R200" s="40"/>
      <c r="S200" s="630"/>
      <c r="T200" s="653"/>
      <c r="U200" s="40"/>
      <c r="V200" s="630"/>
      <c r="W200" s="653"/>
      <c r="X200" s="40"/>
      <c r="Y200" s="630"/>
      <c r="Z200" s="653"/>
      <c r="AA200" s="40"/>
      <c r="AB200" s="630"/>
      <c r="AC200" s="556"/>
      <c r="AD200" s="10"/>
      <c r="AE200" s="216"/>
      <c r="AF200" s="556"/>
      <c r="AG200" s="10"/>
      <c r="AH200" s="216"/>
      <c r="AI200" s="556"/>
      <c r="AJ200" s="10"/>
      <c r="AK200" s="216"/>
      <c r="AL200" s="556"/>
      <c r="AM200" s="10"/>
      <c r="AN200" s="216"/>
      <c r="AO200" s="556"/>
      <c r="AP200" s="10"/>
      <c r="AQ200" s="216"/>
      <c r="AR200" s="556"/>
      <c r="AS200" s="10"/>
      <c r="AT200" s="216"/>
      <c r="AU200" s="556"/>
      <c r="AV200"/>
      <c r="AW200" s="539"/>
      <c r="AX200" s="550"/>
      <c r="AY200"/>
      <c r="AZ200" s="539"/>
      <c r="BA200" s="550"/>
      <c r="BB200"/>
      <c r="BC200" s="539"/>
      <c r="BD200" s="550"/>
      <c r="BE200"/>
      <c r="BF200" s="539"/>
      <c r="BG200" s="550"/>
      <c r="BH200"/>
      <c r="BI200" s="539"/>
      <c r="BJ200" s="550"/>
      <c r="BK200"/>
    </row>
    <row r="201" spans="1:67">
      <c r="A201" s="71" t="s">
        <v>509</v>
      </c>
      <c r="B201" s="89"/>
      <c r="C201" s="89"/>
      <c r="D201" s="89"/>
      <c r="E201" s="89"/>
      <c r="F201" s="89"/>
      <c r="G201" s="89"/>
      <c r="H201" s="89"/>
      <c r="I201" s="89"/>
      <c r="J201" s="89"/>
      <c r="K201" s="89"/>
      <c r="L201" s="89"/>
      <c r="M201" s="89"/>
      <c r="N201" s="89"/>
      <c r="O201" s="89"/>
      <c r="P201" s="89">
        <f t="shared" ref="P201:BJ201" si="452">+P202*P203</f>
        <v>0</v>
      </c>
      <c r="Q201" s="89">
        <f t="shared" si="452"/>
        <v>0</v>
      </c>
      <c r="R201" s="534"/>
      <c r="S201" s="780"/>
      <c r="T201" s="787">
        <f>+T202*T203</f>
        <v>0</v>
      </c>
      <c r="U201" s="534">
        <f t="shared" ref="U201" si="453">+U202*U203</f>
        <v>0</v>
      </c>
      <c r="V201" s="780">
        <f>W201-U201</f>
        <v>5.0381006493506497</v>
      </c>
      <c r="W201" s="787">
        <f>+W202*W203</f>
        <v>5.0381006493506497</v>
      </c>
      <c r="X201" s="534">
        <f t="shared" ref="X201" si="454">+X202*X203</f>
        <v>71.94407727272727</v>
      </c>
      <c r="Y201" s="780">
        <f>Z201-X201</f>
        <v>159.30474253246754</v>
      </c>
      <c r="Z201" s="787">
        <f t="shared" si="452"/>
        <v>231.24881980519481</v>
      </c>
      <c r="AA201" s="534">
        <f t="shared" ref="AA201" si="455">+AA202*AA203</f>
        <v>189.26470588235293</v>
      </c>
      <c r="AB201" s="780">
        <f>AC201-AA201</f>
        <v>418.67647058823525</v>
      </c>
      <c r="AC201" s="1111">
        <f t="shared" si="452"/>
        <v>607.94117647058818</v>
      </c>
      <c r="AD201" s="1113">
        <f t="shared" si="452"/>
        <v>130.26315789473682</v>
      </c>
      <c r="AE201" s="255">
        <f>AF201-AD201</f>
        <v>71.05263157894737</v>
      </c>
      <c r="AF201" s="1111">
        <f t="shared" si="452"/>
        <v>201.31578947368419</v>
      </c>
      <c r="AG201" s="1113">
        <f t="shared" ref="AG201" si="456">+AG202*AG203</f>
        <v>54.983443708609265</v>
      </c>
      <c r="AH201" s="255">
        <f>AI201-AG201</f>
        <v>122.18543046357615</v>
      </c>
      <c r="AI201" s="1111">
        <f t="shared" si="452"/>
        <v>177.16887417218541</v>
      </c>
      <c r="AJ201" s="1113">
        <f t="shared" si="452"/>
        <v>70.949999999999989</v>
      </c>
      <c r="AK201" s="255">
        <f>AL201-AJ201</f>
        <v>77.400000000000006</v>
      </c>
      <c r="AL201" s="1111">
        <f t="shared" si="452"/>
        <v>148.35</v>
      </c>
      <c r="AM201" s="1113">
        <f t="shared" ref="AM201" si="457">+AM202*AM203</f>
        <v>74.249999999999986</v>
      </c>
      <c r="AN201" s="255">
        <f>AO201-AM201</f>
        <v>135</v>
      </c>
      <c r="AO201" s="1111">
        <f t="shared" ref="AO201:AP201" si="458">+AO202*AO203</f>
        <v>209.24999999999997</v>
      </c>
      <c r="AP201" s="1113">
        <f t="shared" si="458"/>
        <v>104.89864864864865</v>
      </c>
      <c r="AQ201" s="255">
        <f>AR201-AP201</f>
        <v>146.8581081081081</v>
      </c>
      <c r="AR201" s="1111">
        <f t="shared" ref="AR201:AS201" si="459">+AR202*AR203</f>
        <v>251.75675675675674</v>
      </c>
      <c r="AS201" s="1113">
        <f t="shared" si="459"/>
        <v>127.49999999999999</v>
      </c>
      <c r="AT201" s="255">
        <f>AU201-AS201</f>
        <v>157.49999999999994</v>
      </c>
      <c r="AU201" s="1111">
        <f t="shared" si="452"/>
        <v>284.99999999999994</v>
      </c>
      <c r="AV201" s="1113">
        <f t="shared" si="452"/>
        <v>271.63043478260869</v>
      </c>
      <c r="AW201" s="758">
        <f>AX201-AV201</f>
        <v>31.956521739130437</v>
      </c>
      <c r="AX201" s="772">
        <f t="shared" si="452"/>
        <v>303.58695652173913</v>
      </c>
      <c r="AY201" s="535">
        <f t="shared" si="452"/>
        <v>183.26</v>
      </c>
      <c r="AZ201" s="758">
        <f>BA201-AY201</f>
        <v>199.92000000000002</v>
      </c>
      <c r="BA201" s="772">
        <f t="shared" si="452"/>
        <v>383.18</v>
      </c>
      <c r="BB201" s="535">
        <f t="shared" si="452"/>
        <v>217.24261363636361</v>
      </c>
      <c r="BC201" s="758">
        <f>BD201-BB201</f>
        <v>234.62202272727268</v>
      </c>
      <c r="BD201" s="772">
        <f t="shared" si="452"/>
        <v>451.86463636363629</v>
      </c>
      <c r="BE201" s="535">
        <f t="shared" si="452"/>
        <v>248.17796181818184</v>
      </c>
      <c r="BF201" s="758">
        <f>BG201-BE201</f>
        <v>248.17796181818184</v>
      </c>
      <c r="BG201" s="772">
        <f t="shared" si="452"/>
        <v>496.35592363636368</v>
      </c>
      <c r="BH201" s="535">
        <f t="shared" si="452"/>
        <v>253.14152105454545</v>
      </c>
      <c r="BI201" s="758">
        <f>BJ201-BH201</f>
        <v>253.14152105454545</v>
      </c>
      <c r="BJ201" s="772">
        <f t="shared" si="452"/>
        <v>506.2830421090909</v>
      </c>
      <c r="BK201"/>
    </row>
    <row r="202" spans="1:67">
      <c r="A202" s="65" t="s">
        <v>396</v>
      </c>
      <c r="B202" s="40">
        <f t="shared" ref="B202:Q202" si="460">B84</f>
        <v>0</v>
      </c>
      <c r="C202" s="40">
        <f t="shared" si="460"/>
        <v>0</v>
      </c>
      <c r="D202" s="40">
        <f t="shared" si="460"/>
        <v>0</v>
      </c>
      <c r="E202" s="40">
        <f t="shared" si="460"/>
        <v>0</v>
      </c>
      <c r="F202" s="40">
        <f t="shared" si="460"/>
        <v>0</v>
      </c>
      <c r="G202" s="40">
        <f t="shared" si="460"/>
        <v>0</v>
      </c>
      <c r="H202" s="40">
        <f t="shared" si="460"/>
        <v>0</v>
      </c>
      <c r="I202" s="40">
        <f t="shared" si="460"/>
        <v>0</v>
      </c>
      <c r="J202" s="40">
        <f t="shared" si="460"/>
        <v>0</v>
      </c>
      <c r="K202" s="40">
        <f t="shared" si="460"/>
        <v>0</v>
      </c>
      <c r="L202" s="40">
        <f t="shared" si="460"/>
        <v>0</v>
      </c>
      <c r="M202" s="40">
        <f t="shared" si="460"/>
        <v>0</v>
      </c>
      <c r="N202" s="40">
        <f t="shared" si="460"/>
        <v>0</v>
      </c>
      <c r="O202" s="40">
        <f t="shared" si="460"/>
        <v>0</v>
      </c>
      <c r="P202" s="40">
        <f t="shared" si="460"/>
        <v>0</v>
      </c>
      <c r="Q202" s="40">
        <f t="shared" si="460"/>
        <v>0</v>
      </c>
      <c r="R202" s="40"/>
      <c r="S202" s="630"/>
      <c r="T202" s="653">
        <f t="shared" ref="T202:AS202" si="461">T84</f>
        <v>0</v>
      </c>
      <c r="U202" s="40">
        <f t="shared" si="461"/>
        <v>0</v>
      </c>
      <c r="V202" s="630">
        <f t="shared" si="461"/>
        <v>1</v>
      </c>
      <c r="W202" s="653">
        <f t="shared" si="461"/>
        <v>1</v>
      </c>
      <c r="X202" s="40">
        <f t="shared" si="461"/>
        <v>14</v>
      </c>
      <c r="Y202" s="630">
        <f t="shared" si="461"/>
        <v>31</v>
      </c>
      <c r="Z202" s="653">
        <f t="shared" si="461"/>
        <v>45</v>
      </c>
      <c r="AA202" s="40">
        <f t="shared" si="461"/>
        <v>33</v>
      </c>
      <c r="AB202" s="630">
        <f t="shared" si="461"/>
        <v>73</v>
      </c>
      <c r="AC202" s="556">
        <f t="shared" si="461"/>
        <v>106</v>
      </c>
      <c r="AD202" s="10">
        <f t="shared" si="461"/>
        <v>22</v>
      </c>
      <c r="AE202" s="216">
        <f t="shared" si="461"/>
        <v>12</v>
      </c>
      <c r="AF202" s="556">
        <f t="shared" si="461"/>
        <v>34</v>
      </c>
      <c r="AG202" s="10">
        <f t="shared" si="461"/>
        <v>9</v>
      </c>
      <c r="AH202" s="216">
        <f t="shared" si="461"/>
        <v>20</v>
      </c>
      <c r="AI202" s="556">
        <f t="shared" si="461"/>
        <v>29</v>
      </c>
      <c r="AJ202" s="10">
        <f t="shared" si="461"/>
        <v>11</v>
      </c>
      <c r="AK202" s="216">
        <f t="shared" si="461"/>
        <v>12</v>
      </c>
      <c r="AL202" s="556">
        <f t="shared" si="461"/>
        <v>23</v>
      </c>
      <c r="AM202" s="10">
        <f t="shared" si="461"/>
        <v>11</v>
      </c>
      <c r="AN202" s="216">
        <f t="shared" si="461"/>
        <v>20</v>
      </c>
      <c r="AO202" s="556">
        <f t="shared" si="461"/>
        <v>31</v>
      </c>
      <c r="AP202" s="10">
        <f t="shared" si="461"/>
        <v>15</v>
      </c>
      <c r="AQ202" s="216">
        <f t="shared" si="461"/>
        <v>21</v>
      </c>
      <c r="AR202" s="556">
        <f t="shared" si="461"/>
        <v>36</v>
      </c>
      <c r="AS202" s="10">
        <f t="shared" si="461"/>
        <v>17</v>
      </c>
      <c r="AT202" s="216">
        <f>AU202-AS202</f>
        <v>21</v>
      </c>
      <c r="AU202" s="556">
        <f>AU84</f>
        <v>38</v>
      </c>
      <c r="AV202" s="40">
        <f>AV84</f>
        <v>34</v>
      </c>
      <c r="AW202" s="236">
        <f>AX202-AV202</f>
        <v>4</v>
      </c>
      <c r="AX202" s="605">
        <f>ROUND(((AX208*9/12)+(BA208*3/12))*2,0)</f>
        <v>38</v>
      </c>
      <c r="AY202" s="56">
        <f>ROUND(((AY208*4.5/6)+(AZ208*1.5/6))*2,0)</f>
        <v>22</v>
      </c>
      <c r="AZ202" s="236">
        <f>BA202-AY202</f>
        <v>24</v>
      </c>
      <c r="BA202" s="605">
        <f>ROUND(((BA208*9/12)+(BD208*3/12))*2,0)</f>
        <v>46</v>
      </c>
      <c r="BB202" s="56">
        <f>ROUND(((BB208*4.5/6)+(BC208*1.5/6))*2,0)</f>
        <v>25</v>
      </c>
      <c r="BC202" s="236">
        <f>BD202-BB202</f>
        <v>27</v>
      </c>
      <c r="BD202" s="605">
        <f>ROUND(((BD208*9/12)+(BG208*3/12))*2,0)</f>
        <v>52</v>
      </c>
      <c r="BE202" s="56">
        <f>ROUND(((BE208*4.5/6)+(BF208*1.5/6))*2,0)</f>
        <v>28</v>
      </c>
      <c r="BF202" s="236">
        <f>BG202-BE202</f>
        <v>28</v>
      </c>
      <c r="BG202" s="605">
        <f>ROUND(((BG208*9/12)+(BJ208*3/12))*2,0)</f>
        <v>56</v>
      </c>
      <c r="BH202" s="56">
        <f>ROUND(((BH208*4.5/6)+(BI208*1.5/6))*2,0)</f>
        <v>28</v>
      </c>
      <c r="BI202" s="236">
        <f>BJ202-BH202</f>
        <v>28</v>
      </c>
      <c r="BJ202" s="605">
        <f>+BG202</f>
        <v>56</v>
      </c>
      <c r="BK202"/>
    </row>
    <row r="203" spans="1:67" ht="11.4">
      <c r="A203" s="90" t="s">
        <v>736</v>
      </c>
      <c r="B203" s="40"/>
      <c r="C203" s="40"/>
      <c r="D203" s="40"/>
      <c r="E203" s="40"/>
      <c r="F203" s="40"/>
      <c r="G203" s="40"/>
      <c r="H203" s="40"/>
      <c r="I203" s="40"/>
      <c r="J203" s="40"/>
      <c r="K203" s="40"/>
      <c r="L203" s="40"/>
      <c r="M203" s="40"/>
      <c r="N203" s="40"/>
      <c r="O203" s="40"/>
      <c r="P203" s="81">
        <f>+Q203</f>
        <v>4.4000000000000004</v>
      </c>
      <c r="Q203" s="81">
        <v>4.4000000000000004</v>
      </c>
      <c r="R203" s="81"/>
      <c r="S203" s="636"/>
      <c r="T203" s="659">
        <f>+W203/1.02</f>
        <v>4.9393143621084796</v>
      </c>
      <c r="U203" s="81">
        <f>W203</f>
        <v>5.0381006493506497</v>
      </c>
      <c r="V203" s="636">
        <f>V201/V202</f>
        <v>5.0381006493506497</v>
      </c>
      <c r="W203" s="659">
        <f t="shared" ref="W203:Z203" si="462">+W193*1.05</f>
        <v>5.0381006493506497</v>
      </c>
      <c r="X203" s="81">
        <f>Z203</f>
        <v>5.1388626623376625</v>
      </c>
      <c r="Y203" s="636">
        <f>Y201/Y202</f>
        <v>5.1388626623376625</v>
      </c>
      <c r="Z203" s="659">
        <f t="shared" si="462"/>
        <v>5.1388626623376625</v>
      </c>
      <c r="AA203" s="81">
        <f>AC203</f>
        <v>5.735294117647058</v>
      </c>
      <c r="AB203" s="636">
        <f>AB201/AB202</f>
        <v>5.735294117647058</v>
      </c>
      <c r="AC203" s="561">
        <f>AC204/AC68</f>
        <v>5.735294117647058</v>
      </c>
      <c r="AD203" s="203">
        <f>AF203</f>
        <v>5.9210526315789469</v>
      </c>
      <c r="AE203" s="234">
        <f>AE201/AE202</f>
        <v>5.9210526315789478</v>
      </c>
      <c r="AF203" s="561">
        <f>AF204/AF68</f>
        <v>5.9210526315789469</v>
      </c>
      <c r="AG203" s="203">
        <f>AI203</f>
        <v>6.1092715231788075</v>
      </c>
      <c r="AH203" s="234">
        <f>AH201/AH202</f>
        <v>6.1092715231788075</v>
      </c>
      <c r="AI203" s="561">
        <f>AI204/AI68</f>
        <v>6.1092715231788075</v>
      </c>
      <c r="AJ203" s="203">
        <f>AL203</f>
        <v>6.4499999999999993</v>
      </c>
      <c r="AK203" s="234">
        <f>AK201/AK202</f>
        <v>6.45</v>
      </c>
      <c r="AL203" s="561">
        <f>AL204/AL68</f>
        <v>6.4499999999999993</v>
      </c>
      <c r="AM203" s="203">
        <f>AO203</f>
        <v>6.7499999999999991</v>
      </c>
      <c r="AN203" s="234">
        <f>AN201/AN202</f>
        <v>6.75</v>
      </c>
      <c r="AO203" s="561">
        <f>AO204/AO68</f>
        <v>6.7499999999999991</v>
      </c>
      <c r="AP203" s="203">
        <f>AP204/AP68</f>
        <v>6.993243243243243</v>
      </c>
      <c r="AQ203" s="234">
        <f>AQ201/AQ202</f>
        <v>6.993243243243243</v>
      </c>
      <c r="AR203" s="561">
        <f>AR204/AR68</f>
        <v>6.993243243243243</v>
      </c>
      <c r="AS203" s="203">
        <f>AS204/AS68</f>
        <v>7.4999999999999991</v>
      </c>
      <c r="AT203" s="234">
        <f>AT201/AT202</f>
        <v>7.4999999999999973</v>
      </c>
      <c r="AU203" s="561">
        <f>AU204/AU68</f>
        <v>7.4999999999999991</v>
      </c>
      <c r="AV203" s="81">
        <f>AV204/AV68</f>
        <v>7.9891304347826084</v>
      </c>
      <c r="AW203" s="235">
        <f>AW201/AW202</f>
        <v>7.9891304347826093</v>
      </c>
      <c r="AX203" s="611">
        <f>AX204/AX68</f>
        <v>7.9891304347826084</v>
      </c>
      <c r="AY203" s="173">
        <f>BA203</f>
        <v>8.33</v>
      </c>
      <c r="AZ203" s="235">
        <f>AZ201/AZ202</f>
        <v>8.33</v>
      </c>
      <c r="BA203" s="611">
        <f>BA204/BA68</f>
        <v>8.33</v>
      </c>
      <c r="BB203" s="173">
        <f>BD203</f>
        <v>8.6897045454545445</v>
      </c>
      <c r="BC203" s="235">
        <f>BC201/BC202</f>
        <v>8.6897045454545445</v>
      </c>
      <c r="BD203" s="611">
        <f>BD204/BD68</f>
        <v>8.6897045454545445</v>
      </c>
      <c r="BE203" s="173">
        <f>BG203</f>
        <v>8.8634986363636372</v>
      </c>
      <c r="BF203" s="235">
        <f>BF201/BF202</f>
        <v>8.8634986363636372</v>
      </c>
      <c r="BG203" s="611">
        <f>BG204/BG68</f>
        <v>8.8634986363636372</v>
      </c>
      <c r="BH203" s="173">
        <f>BJ203</f>
        <v>9.0407686090909092</v>
      </c>
      <c r="BI203" s="235">
        <f>BI201/BI202</f>
        <v>9.0407686090909092</v>
      </c>
      <c r="BJ203" s="611">
        <f>BJ204/BJ68</f>
        <v>9.0407686090909092</v>
      </c>
      <c r="BK203"/>
      <c r="BM203" s="110"/>
      <c r="BN203" s="110"/>
    </row>
    <row r="204" spans="1:67" ht="11.4">
      <c r="A204" s="69" t="s">
        <v>685</v>
      </c>
      <c r="B204" s="1137"/>
      <c r="C204" s="1137"/>
      <c r="D204" s="1137"/>
      <c r="E204" s="1137"/>
      <c r="F204" s="1137"/>
      <c r="G204" s="1137"/>
      <c r="H204" s="1137"/>
      <c r="I204" s="1137"/>
      <c r="J204" s="1137"/>
      <c r="K204" s="1137"/>
      <c r="L204" s="1137"/>
      <c r="M204" s="1137"/>
      <c r="N204" s="1137"/>
      <c r="O204" s="1137"/>
      <c r="P204" s="1138"/>
      <c r="Q204" s="1138"/>
      <c r="R204" s="1138"/>
      <c r="S204" s="1139"/>
      <c r="T204" s="1140"/>
      <c r="U204" s="1138"/>
      <c r="V204" s="1139"/>
      <c r="W204" s="1140"/>
      <c r="X204" s="1138"/>
      <c r="Y204" s="1139"/>
      <c r="Z204" s="1140"/>
      <c r="AA204" s="81">
        <f>AC204</f>
        <v>8.7749999999999986</v>
      </c>
      <c r="AB204" s="636">
        <f>AC204</f>
        <v>8.7749999999999986</v>
      </c>
      <c r="AC204" s="561">
        <f>AC106*(1-AC111)</f>
        <v>8.7749999999999986</v>
      </c>
      <c r="AD204" s="203">
        <f>AF204</f>
        <v>9</v>
      </c>
      <c r="AE204" s="234">
        <f>AF204</f>
        <v>9</v>
      </c>
      <c r="AF204" s="561">
        <f>AF106*(1-AF111)</f>
        <v>9</v>
      </c>
      <c r="AG204" s="203">
        <f>AI204</f>
        <v>9.2249999999999996</v>
      </c>
      <c r="AH204" s="234">
        <f>AI204</f>
        <v>9.2249999999999996</v>
      </c>
      <c r="AI204" s="561">
        <f>AI106*(1-AI111)</f>
        <v>9.2249999999999996</v>
      </c>
      <c r="AJ204" s="203">
        <f>AL204</f>
        <v>9.6749999999999989</v>
      </c>
      <c r="AK204" s="234">
        <f>AL204</f>
        <v>9.6749999999999989</v>
      </c>
      <c r="AL204" s="561">
        <f>AL106*(1-AL111)</f>
        <v>9.6749999999999989</v>
      </c>
      <c r="AM204" s="203">
        <f>AO204</f>
        <v>10.124999999999998</v>
      </c>
      <c r="AN204" s="234">
        <f>AO204</f>
        <v>10.124999999999998</v>
      </c>
      <c r="AO204" s="561">
        <f>AO106*(1-AO111)</f>
        <v>10.124999999999998</v>
      </c>
      <c r="AP204" s="203">
        <f>AR204</f>
        <v>10.35</v>
      </c>
      <c r="AQ204" s="234">
        <f>AR204</f>
        <v>10.35</v>
      </c>
      <c r="AR204" s="561">
        <f>AR106*(1-AR111)</f>
        <v>10.35</v>
      </c>
      <c r="AS204" s="203">
        <f>AU204</f>
        <v>10.799999999999999</v>
      </c>
      <c r="AT204" s="234">
        <f>AU204</f>
        <v>10.799999999999999</v>
      </c>
      <c r="AU204" s="561">
        <f>AU106*(1-AU111)</f>
        <v>10.799999999999999</v>
      </c>
      <c r="AV204" s="81">
        <f>AX204</f>
        <v>11.024999999999999</v>
      </c>
      <c r="AW204" s="759">
        <f>AX204</f>
        <v>11.024999999999999</v>
      </c>
      <c r="AX204" s="611">
        <f>AX106*(1-AX111)</f>
        <v>11.024999999999999</v>
      </c>
      <c r="AY204" s="173">
        <f>BA204</f>
        <v>11.2455</v>
      </c>
      <c r="AZ204" s="235">
        <f>BA204</f>
        <v>11.2455</v>
      </c>
      <c r="BA204" s="611">
        <f>BA106*(1-BA111)</f>
        <v>11.2455</v>
      </c>
      <c r="BB204" s="173">
        <f>BD204</f>
        <v>11.470409999999999</v>
      </c>
      <c r="BC204" s="235">
        <f>BD204</f>
        <v>11.470409999999999</v>
      </c>
      <c r="BD204" s="611">
        <f>BD106*(1-BD111)</f>
        <v>11.470409999999999</v>
      </c>
      <c r="BE204" s="173">
        <f>BG204</f>
        <v>11.699818200000001</v>
      </c>
      <c r="BF204" s="235">
        <f>BG204</f>
        <v>11.699818200000001</v>
      </c>
      <c r="BG204" s="611">
        <f>BG106*(1-BG111)</f>
        <v>11.699818200000001</v>
      </c>
      <c r="BH204" s="173">
        <f>BJ204</f>
        <v>11.933814564</v>
      </c>
      <c r="BI204" s="235">
        <f>BJ204</f>
        <v>11.933814564</v>
      </c>
      <c r="BJ204" s="611">
        <f>BJ106*(1-BJ111)</f>
        <v>11.933814564</v>
      </c>
      <c r="BK204"/>
      <c r="BM204" s="110"/>
      <c r="BN204" s="110"/>
    </row>
    <row r="205" spans="1:67" ht="11.4">
      <c r="A205" s="69" t="s">
        <v>684</v>
      </c>
      <c r="B205" s="40"/>
      <c r="C205" s="40"/>
      <c r="D205" s="40"/>
      <c r="E205" s="40"/>
      <c r="F205" s="40"/>
      <c r="G205" s="40"/>
      <c r="H205" s="40"/>
      <c r="I205" s="40"/>
      <c r="J205" s="40"/>
      <c r="K205" s="40"/>
      <c r="L205" s="40"/>
      <c r="M205" s="40"/>
      <c r="N205" s="40"/>
      <c r="O205" s="40"/>
      <c r="P205" s="81"/>
      <c r="Q205" s="81"/>
      <c r="R205" s="81"/>
      <c r="S205" s="636"/>
      <c r="T205" s="659"/>
      <c r="U205" s="81"/>
      <c r="V205" s="636"/>
      <c r="W205" s="659"/>
      <c r="X205" s="81"/>
      <c r="Y205" s="636"/>
      <c r="Z205" s="659"/>
      <c r="AA205" s="81"/>
      <c r="AB205" s="636"/>
      <c r="AC205" s="556">
        <v>90.463917525773184</v>
      </c>
      <c r="AD205" s="203"/>
      <c r="AE205" s="234"/>
      <c r="AF205" s="556">
        <v>92.783505154639172</v>
      </c>
      <c r="AG205" s="203"/>
      <c r="AH205" s="234"/>
      <c r="AI205" s="556">
        <v>95.103092783505147</v>
      </c>
      <c r="AJ205" s="203"/>
      <c r="AK205" s="234"/>
      <c r="AL205" s="556">
        <v>99.742268041237111</v>
      </c>
      <c r="AM205" s="10">
        <v>104.38144329896906</v>
      </c>
      <c r="AN205" s="216">
        <v>104.38144329896906</v>
      </c>
      <c r="AO205" s="556">
        <v>104.38144329896906</v>
      </c>
      <c r="AP205" s="10">
        <v>106.70103092783505</v>
      </c>
      <c r="AQ205" s="216">
        <v>106.70103092783505</v>
      </c>
      <c r="AR205" s="556">
        <v>106.70103092783505</v>
      </c>
      <c r="AS205" s="10">
        <v>111.340206185567</v>
      </c>
      <c r="AT205" s="216">
        <v>111.340206185567</v>
      </c>
      <c r="AU205" s="556">
        <v>111.340206185567</v>
      </c>
      <c r="AV205" s="10">
        <v>113.65979381443297</v>
      </c>
      <c r="AW205" s="236">
        <v>113.65979381443297</v>
      </c>
      <c r="AX205" s="605">
        <v>113.65979381443297</v>
      </c>
      <c r="AY205" s="56">
        <v>115.93298969072164</v>
      </c>
      <c r="AZ205" s="236">
        <v>115.93298969072164</v>
      </c>
      <c r="BA205" s="605">
        <v>115.93298969072164</v>
      </c>
      <c r="BB205" s="56">
        <v>118.25164948453607</v>
      </c>
      <c r="BC205" s="236">
        <v>118.25164948453607</v>
      </c>
      <c r="BD205" s="605">
        <v>118.25164948453607</v>
      </c>
      <c r="BE205" s="56">
        <v>120.61668247422682</v>
      </c>
      <c r="BF205" s="236">
        <v>120.61668247422682</v>
      </c>
      <c r="BG205" s="605">
        <v>120.61668247422682</v>
      </c>
      <c r="BH205" s="56">
        <v>123.02901612371134</v>
      </c>
      <c r="BI205" s="236">
        <v>123.02901612371134</v>
      </c>
      <c r="BJ205" s="605">
        <v>123.02901612371134</v>
      </c>
      <c r="BK205"/>
      <c r="BM205" s="110"/>
      <c r="BN205" s="110"/>
    </row>
    <row r="206" spans="1:67">
      <c r="A206" s="69"/>
      <c r="B206" s="40"/>
      <c r="C206" s="40"/>
      <c r="D206" s="40"/>
      <c r="E206" s="40"/>
      <c r="F206" s="40"/>
      <c r="G206" s="40"/>
      <c r="H206" s="40"/>
      <c r="I206" s="40"/>
      <c r="J206" s="40"/>
      <c r="K206" s="40"/>
      <c r="L206" s="40"/>
      <c r="M206" s="40"/>
      <c r="N206" s="40"/>
      <c r="O206" s="40"/>
      <c r="P206" s="40"/>
      <c r="Q206" s="40"/>
      <c r="R206" s="40"/>
      <c r="S206" s="630"/>
      <c r="T206" s="653"/>
      <c r="U206" s="40"/>
      <c r="V206" s="630"/>
      <c r="W206" s="653"/>
      <c r="X206" s="40"/>
      <c r="Y206" s="630"/>
      <c r="Z206" s="653"/>
      <c r="AA206" s="40"/>
      <c r="AB206" s="630"/>
      <c r="AC206" s="556"/>
      <c r="AD206" s="10"/>
      <c r="AE206" s="216"/>
      <c r="AF206" s="556"/>
      <c r="AG206" s="10"/>
      <c r="AH206" s="216"/>
      <c r="AI206" s="556"/>
      <c r="AJ206" s="10"/>
      <c r="AK206" s="216"/>
      <c r="AL206" s="556"/>
      <c r="AM206" s="10"/>
      <c r="AN206" s="216"/>
      <c r="AO206" s="556"/>
      <c r="AP206" s="10"/>
      <c r="AQ206" s="216"/>
      <c r="AR206" s="556"/>
      <c r="AS206" s="10"/>
      <c r="AT206" s="216"/>
      <c r="AU206" s="556"/>
      <c r="AV206" s="10"/>
      <c r="AW206" s="539"/>
      <c r="AX206" s="550"/>
      <c r="AY206"/>
      <c r="AZ206" s="539"/>
      <c r="BA206" s="550"/>
      <c r="BB206"/>
      <c r="BC206" s="539"/>
      <c r="BD206" s="550"/>
      <c r="BE206"/>
      <c r="BF206" s="539"/>
      <c r="BG206" s="550"/>
      <c r="BH206"/>
      <c r="BI206" s="539"/>
      <c r="BJ206" s="550"/>
      <c r="BK206"/>
    </row>
    <row r="207" spans="1:67">
      <c r="A207" s="25" t="s">
        <v>503</v>
      </c>
      <c r="B207" s="40">
        <v>0</v>
      </c>
      <c r="C207" s="40">
        <v>0</v>
      </c>
      <c r="D207" s="40">
        <v>0</v>
      </c>
      <c r="E207" s="40">
        <v>0</v>
      </c>
      <c r="F207" s="40">
        <v>0</v>
      </c>
      <c r="G207" s="40">
        <v>0</v>
      </c>
      <c r="H207" s="40">
        <v>0</v>
      </c>
      <c r="I207" s="40">
        <v>0</v>
      </c>
      <c r="J207" s="40">
        <v>0</v>
      </c>
      <c r="K207" s="40">
        <v>0</v>
      </c>
      <c r="L207" s="40">
        <v>0</v>
      </c>
      <c r="M207" s="40">
        <v>0</v>
      </c>
      <c r="N207" s="40">
        <v>0</v>
      </c>
      <c r="O207" s="40">
        <v>0</v>
      </c>
      <c r="P207" s="40">
        <v>0</v>
      </c>
      <c r="Q207" s="40">
        <v>0</v>
      </c>
      <c r="R207" s="40"/>
      <c r="S207" s="630"/>
      <c r="T207" s="653">
        <v>0</v>
      </c>
      <c r="U207" s="40"/>
      <c r="V207" s="630"/>
      <c r="W207" s="653"/>
      <c r="X207" s="40"/>
      <c r="Y207" s="630"/>
      <c r="Z207" s="653">
        <v>14</v>
      </c>
      <c r="AA207" s="40"/>
      <c r="AB207" s="630"/>
      <c r="AC207" s="556">
        <v>25</v>
      </c>
      <c r="AD207" s="10"/>
      <c r="AE207" s="216"/>
      <c r="AF207" s="556">
        <v>14</v>
      </c>
      <c r="AG207" s="10"/>
      <c r="AH207" s="216"/>
      <c r="AI207" s="556">
        <v>3</v>
      </c>
      <c r="AJ207" s="10">
        <v>5</v>
      </c>
      <c r="AK207" s="216">
        <f>AL207-AJ207</f>
        <v>5</v>
      </c>
      <c r="AL207" s="556">
        <v>10</v>
      </c>
      <c r="AM207" s="10">
        <v>5</v>
      </c>
      <c r="AN207" s="216">
        <f>AO207-AM207</f>
        <v>7</v>
      </c>
      <c r="AO207" s="556">
        <v>12</v>
      </c>
      <c r="AP207" s="10">
        <v>4</v>
      </c>
      <c r="AQ207" s="216">
        <f>AR207-AP207</f>
        <v>9</v>
      </c>
      <c r="AR207" s="556">
        <v>13</v>
      </c>
      <c r="AS207" s="10">
        <v>2</v>
      </c>
      <c r="AT207" s="216">
        <f>AU207-AS207</f>
        <v>13</v>
      </c>
      <c r="AU207" s="556">
        <v>15</v>
      </c>
      <c r="AV207" s="10">
        <v>6</v>
      </c>
      <c r="AW207" s="236">
        <f>AX207-AV207</f>
        <v>12</v>
      </c>
      <c r="AX207" s="580">
        <v>18</v>
      </c>
      <c r="AY207" s="56">
        <f>BA207/2</f>
        <v>11</v>
      </c>
      <c r="AZ207" s="236">
        <f>BA207-AY207</f>
        <v>11</v>
      </c>
      <c r="BA207" s="580">
        <v>22</v>
      </c>
      <c r="BB207" s="56">
        <f>BD207/2</f>
        <v>12.5</v>
      </c>
      <c r="BC207" s="236">
        <f>BD207-BB207</f>
        <v>12.5</v>
      </c>
      <c r="BD207" s="580">
        <v>25</v>
      </c>
      <c r="BE207" s="56">
        <f>BG207/2</f>
        <v>14</v>
      </c>
      <c r="BF207" s="236">
        <f>BG207-BE207</f>
        <v>14</v>
      </c>
      <c r="BG207" s="580">
        <v>28</v>
      </c>
      <c r="BH207" s="56">
        <f>BJ207/2</f>
        <v>14</v>
      </c>
      <c r="BI207" s="236">
        <f>BJ207-BH207</f>
        <v>14</v>
      </c>
      <c r="BJ207" s="580">
        <v>28</v>
      </c>
      <c r="BK207"/>
    </row>
    <row r="208" spans="1:67">
      <c r="A208" s="25" t="s">
        <v>733</v>
      </c>
      <c r="B208" s="40"/>
      <c r="C208" s="40"/>
      <c r="D208" s="40"/>
      <c r="E208" s="40">
        <v>0</v>
      </c>
      <c r="F208" s="40">
        <v>0</v>
      </c>
      <c r="G208" s="40">
        <v>0</v>
      </c>
      <c r="H208" s="40">
        <v>0</v>
      </c>
      <c r="I208" s="40">
        <v>0</v>
      </c>
      <c r="J208" s="40">
        <v>0</v>
      </c>
      <c r="K208" s="40">
        <v>0</v>
      </c>
      <c r="L208" s="40">
        <v>0</v>
      </c>
      <c r="M208" s="40">
        <v>0</v>
      </c>
      <c r="N208" s="40">
        <v>0</v>
      </c>
      <c r="O208" s="40">
        <v>0</v>
      </c>
      <c r="P208" s="40">
        <f>P207</f>
        <v>0</v>
      </c>
      <c r="Q208" s="40">
        <f>Q207</f>
        <v>0</v>
      </c>
      <c r="R208" s="40"/>
      <c r="S208" s="630"/>
      <c r="T208" s="653">
        <f>T207</f>
        <v>0</v>
      </c>
      <c r="U208" s="40"/>
      <c r="V208" s="630"/>
      <c r="W208" s="653">
        <f>ROUND(W207*W209,0)</f>
        <v>0</v>
      </c>
      <c r="X208" s="40"/>
      <c r="Y208" s="630"/>
      <c r="Z208" s="653">
        <f>ROUND(Z207*Z209,0)</f>
        <v>14</v>
      </c>
      <c r="AA208" s="40"/>
      <c r="AB208" s="630"/>
      <c r="AC208" s="556">
        <v>25</v>
      </c>
      <c r="AD208" s="10"/>
      <c r="AE208" s="216"/>
      <c r="AF208" s="556">
        <f>AF207*AF209</f>
        <v>14</v>
      </c>
      <c r="AG208" s="10"/>
      <c r="AH208" s="216"/>
      <c r="AI208" s="556">
        <f>AI207*AI209</f>
        <v>3</v>
      </c>
      <c r="AJ208" s="10">
        <f>AJ207*AJ209</f>
        <v>5</v>
      </c>
      <c r="AK208" s="216">
        <f>AL208-AJ208</f>
        <v>5</v>
      </c>
      <c r="AL208" s="556">
        <f>AL207*AL209</f>
        <v>10</v>
      </c>
      <c r="AM208" s="10">
        <f>AM207*AM209</f>
        <v>5</v>
      </c>
      <c r="AN208" s="216">
        <f>AO208-AM208</f>
        <v>7</v>
      </c>
      <c r="AO208" s="556">
        <f>AO207*AO209</f>
        <v>12</v>
      </c>
      <c r="AP208" s="10">
        <f>AP207*AP209</f>
        <v>4</v>
      </c>
      <c r="AQ208" s="216">
        <f>AR208-AP208</f>
        <v>9</v>
      </c>
      <c r="AR208" s="556">
        <f>AR207*AR209</f>
        <v>13</v>
      </c>
      <c r="AS208" s="10">
        <f>AS207*AS209</f>
        <v>2</v>
      </c>
      <c r="AT208" s="216">
        <f>AU208-AS208</f>
        <v>13</v>
      </c>
      <c r="AU208" s="556">
        <f t="shared" ref="AU208:BJ208" si="463">ROUND(AU207*AU209,0)</f>
        <v>15</v>
      </c>
      <c r="AV208" s="10">
        <f>AV207*AV209</f>
        <v>6</v>
      </c>
      <c r="AW208" s="236">
        <f>AX208-AV208</f>
        <v>12</v>
      </c>
      <c r="AX208" s="605">
        <f t="shared" si="463"/>
        <v>18</v>
      </c>
      <c r="AY208" s="56">
        <f>AY207*AY209</f>
        <v>11</v>
      </c>
      <c r="AZ208" s="236">
        <f>BA208-AY208</f>
        <v>11</v>
      </c>
      <c r="BA208" s="605">
        <f t="shared" si="463"/>
        <v>22</v>
      </c>
      <c r="BB208" s="56">
        <f>BB207*BB209</f>
        <v>12.5</v>
      </c>
      <c r="BC208" s="236">
        <f>BD208-BB208</f>
        <v>12.5</v>
      </c>
      <c r="BD208" s="605">
        <f t="shared" si="463"/>
        <v>25</v>
      </c>
      <c r="BE208" s="56">
        <f>BE207*BE209</f>
        <v>14</v>
      </c>
      <c r="BF208" s="236">
        <f>BG208-BE208</f>
        <v>14</v>
      </c>
      <c r="BG208" s="605">
        <f t="shared" si="463"/>
        <v>28</v>
      </c>
      <c r="BH208" s="56">
        <f>BH207*BH209</f>
        <v>14</v>
      </c>
      <c r="BI208" s="236">
        <f>BJ208-BH208</f>
        <v>14</v>
      </c>
      <c r="BJ208" s="605">
        <f t="shared" si="463"/>
        <v>28</v>
      </c>
      <c r="BK208"/>
    </row>
    <row r="209" spans="1:66">
      <c r="A209" s="25" t="s">
        <v>276</v>
      </c>
      <c r="B209" s="40"/>
      <c r="C209" s="40"/>
      <c r="D209" s="40"/>
      <c r="E209" s="40"/>
      <c r="F209" s="40"/>
      <c r="G209" s="40"/>
      <c r="H209" s="40"/>
      <c r="I209" s="40"/>
      <c r="J209" s="40"/>
      <c r="K209" s="40"/>
      <c r="L209" s="40"/>
      <c r="M209" s="40"/>
      <c r="N209" s="40"/>
      <c r="O209" s="40"/>
      <c r="P209" s="40"/>
      <c r="Q209" s="40"/>
      <c r="R209" s="50"/>
      <c r="S209" s="647"/>
      <c r="T209" s="671"/>
      <c r="U209" s="50"/>
      <c r="V209" s="647"/>
      <c r="W209" s="671">
        <v>1</v>
      </c>
      <c r="X209" s="50"/>
      <c r="Y209" s="647"/>
      <c r="Z209" s="671">
        <v>1</v>
      </c>
      <c r="AA209" s="50"/>
      <c r="AB209" s="647"/>
      <c r="AC209" s="554">
        <f>AC208/AC207</f>
        <v>1</v>
      </c>
      <c r="AD209" s="186"/>
      <c r="AE209" s="217"/>
      <c r="AF209" s="554">
        <v>1</v>
      </c>
      <c r="AG209" s="186"/>
      <c r="AH209" s="217"/>
      <c r="AI209" s="554">
        <v>1</v>
      </c>
      <c r="AJ209" s="211">
        <f>AL209</f>
        <v>1</v>
      </c>
      <c r="AK209" s="217">
        <f>AL209</f>
        <v>1</v>
      </c>
      <c r="AL209" s="554">
        <v>1</v>
      </c>
      <c r="AM209" s="211">
        <f>AO209</f>
        <v>1</v>
      </c>
      <c r="AN209" s="217">
        <f>AO209</f>
        <v>1</v>
      </c>
      <c r="AO209" s="554">
        <v>1</v>
      </c>
      <c r="AP209" s="211">
        <f>AR209</f>
        <v>1</v>
      </c>
      <c r="AQ209" s="217">
        <f>AR209</f>
        <v>1</v>
      </c>
      <c r="AR209" s="554">
        <v>1</v>
      </c>
      <c r="AS209" s="211">
        <f>AU209</f>
        <v>1</v>
      </c>
      <c r="AT209" s="217">
        <f>AT208/AT207</f>
        <v>1</v>
      </c>
      <c r="AU209" s="554">
        <v>1</v>
      </c>
      <c r="AV209" s="211">
        <f>AX209</f>
        <v>1</v>
      </c>
      <c r="AW209" s="252">
        <f>AW208/AW207</f>
        <v>1</v>
      </c>
      <c r="AX209" s="618">
        <v>1</v>
      </c>
      <c r="AY209" s="251">
        <f>BA209</f>
        <v>1</v>
      </c>
      <c r="AZ209" s="252">
        <f>AZ208/AZ207</f>
        <v>1</v>
      </c>
      <c r="BA209" s="618">
        <v>1</v>
      </c>
      <c r="BB209" s="251">
        <f>BD209</f>
        <v>1</v>
      </c>
      <c r="BC209" s="252">
        <f>BC208/BC207</f>
        <v>1</v>
      </c>
      <c r="BD209" s="618">
        <v>1</v>
      </c>
      <c r="BE209" s="251">
        <f>BG209</f>
        <v>1</v>
      </c>
      <c r="BF209" s="252">
        <f>BF208/BF207</f>
        <v>1</v>
      </c>
      <c r="BG209" s="618">
        <v>1</v>
      </c>
      <c r="BH209" s="251">
        <f>BJ209</f>
        <v>1</v>
      </c>
      <c r="BI209" s="252">
        <f>BI208/BI207</f>
        <v>1</v>
      </c>
      <c r="BJ209" s="618">
        <v>1</v>
      </c>
      <c r="BK209"/>
    </row>
    <row r="210" spans="1:66">
      <c r="B210" s="40"/>
      <c r="C210" s="40"/>
      <c r="D210" s="40"/>
      <c r="E210" s="40"/>
      <c r="F210" s="40"/>
      <c r="G210" s="40"/>
      <c r="H210" s="40"/>
      <c r="I210" s="40"/>
      <c r="J210" s="40"/>
      <c r="K210" s="40"/>
      <c r="L210" s="40"/>
      <c r="M210" s="40"/>
      <c r="N210" s="40"/>
      <c r="O210" s="40"/>
      <c r="P210" s="40"/>
      <c r="Q210" s="40"/>
      <c r="R210" s="50"/>
      <c r="S210" s="647"/>
      <c r="T210" s="671"/>
      <c r="U210" s="50"/>
      <c r="V210" s="647"/>
      <c r="W210" s="671"/>
      <c r="X210" s="50"/>
      <c r="Y210" s="647"/>
      <c r="Z210" s="671"/>
      <c r="AA210" s="50"/>
      <c r="AB210" s="647"/>
      <c r="AC210" s="554"/>
      <c r="AD210" s="186"/>
      <c r="AE210" s="217"/>
      <c r="AF210" s="554"/>
      <c r="AG210" s="186"/>
      <c r="AH210" s="217"/>
      <c r="AI210" s="554"/>
      <c r="AJ210" s="186"/>
      <c r="AK210" s="217"/>
      <c r="AL210" s="554"/>
      <c r="AM210" s="186"/>
      <c r="AN210" s="217"/>
      <c r="AO210" s="554"/>
      <c r="AP210" s="211"/>
      <c r="AQ210" s="217"/>
      <c r="AR210" s="554"/>
      <c r="AS210" s="211"/>
      <c r="AT210" s="217"/>
      <c r="AU210" s="554"/>
      <c r="AV210" s="967"/>
      <c r="AW210" s="594"/>
      <c r="AX210" s="618"/>
      <c r="AY210" s="967"/>
      <c r="AZ210" s="594"/>
      <c r="BA210" s="998"/>
      <c r="BB210" s="967"/>
      <c r="BC210" s="594"/>
      <c r="BD210" s="618"/>
      <c r="BE210" s="967"/>
      <c r="BF210" s="594"/>
      <c r="BG210" s="618"/>
      <c r="BH210" s="967"/>
      <c r="BI210" s="594"/>
      <c r="BJ210" s="618"/>
      <c r="BK210"/>
    </row>
    <row r="211" spans="1:66">
      <c r="A211" s="71" t="s">
        <v>651</v>
      </c>
      <c r="B211" s="89"/>
      <c r="C211" s="89"/>
      <c r="D211" s="89"/>
      <c r="E211" s="89"/>
      <c r="F211" s="89"/>
      <c r="G211" s="89"/>
      <c r="H211" s="89"/>
      <c r="I211" s="89"/>
      <c r="J211" s="89"/>
      <c r="K211" s="89"/>
      <c r="L211" s="89"/>
      <c r="M211" s="89"/>
      <c r="N211" s="89"/>
      <c r="O211" s="89"/>
      <c r="P211" s="89"/>
      <c r="Q211" s="89">
        <f>+Q40-Q161-Q171-Q181-Q191</f>
        <v>-22.864500951895877</v>
      </c>
      <c r="R211" s="534"/>
      <c r="S211" s="780"/>
      <c r="T211" s="787">
        <f>+T40-T161-T171-T181-T191</f>
        <v>21.854652770199095</v>
      </c>
      <c r="U211" s="534">
        <f t="shared" ref="U211" si="464">+U212*U213</f>
        <v>0</v>
      </c>
      <c r="V211" s="780">
        <f>W211-U211</f>
        <v>0</v>
      </c>
      <c r="W211" s="787">
        <f>+W40-W161-W171-W181-W191</f>
        <v>0</v>
      </c>
      <c r="X211" s="534">
        <f t="shared" ref="X211" si="465">+X212*X213</f>
        <v>0</v>
      </c>
      <c r="Y211" s="780">
        <f>Z211-X211</f>
        <v>35.292422360248452</v>
      </c>
      <c r="Z211" s="787">
        <f t="shared" ref="Z211:BJ211" si="466">+Z212*Z213</f>
        <v>35.292422360248452</v>
      </c>
      <c r="AA211" s="534">
        <f t="shared" ref="AA211" si="467">+AA212*AA213</f>
        <v>230.29411764705881</v>
      </c>
      <c r="AB211" s="780">
        <f>AC211-AA211</f>
        <v>8.529411764705884</v>
      </c>
      <c r="AC211" s="1111">
        <f t="shared" si="466"/>
        <v>238.8235294117647</v>
      </c>
      <c r="AD211" s="1113">
        <f t="shared" si="466"/>
        <v>35.526315789473678</v>
      </c>
      <c r="AE211" s="255">
        <f>AF211-AD211</f>
        <v>62.171052631578938</v>
      </c>
      <c r="AF211" s="1111">
        <f t="shared" si="466"/>
        <v>97.697368421052616</v>
      </c>
      <c r="AG211" s="1113">
        <f t="shared" ref="AG211" si="468">+AG212*AG213</f>
        <v>89.403973509933763</v>
      </c>
      <c r="AH211" s="255">
        <f>AI211-AG211</f>
        <v>49.172185430463571</v>
      </c>
      <c r="AI211" s="1111">
        <f t="shared" si="466"/>
        <v>138.57615894039733</v>
      </c>
      <c r="AJ211" s="1113">
        <f t="shared" si="466"/>
        <v>110.39999999999999</v>
      </c>
      <c r="AK211" s="255">
        <f>AL211-AJ211</f>
        <v>192</v>
      </c>
      <c r="AL211" s="1111">
        <f t="shared" si="466"/>
        <v>302.39999999999998</v>
      </c>
      <c r="AM211" s="1113">
        <f t="shared" ref="AM211" si="469">+AM212*AM213</f>
        <v>173.24999999999997</v>
      </c>
      <c r="AN211" s="255">
        <f>AO211-AM211</f>
        <v>193.04999999999998</v>
      </c>
      <c r="AO211" s="1111">
        <f t="shared" ref="AO211:AP211" si="470">+AO212*AO213</f>
        <v>366.29999999999995</v>
      </c>
      <c r="AP211" s="1113">
        <f t="shared" si="470"/>
        <v>191.24999999999997</v>
      </c>
      <c r="AQ211" s="255">
        <f>AR211-AP211</f>
        <v>253.277027027027</v>
      </c>
      <c r="AR211" s="1111">
        <f t="shared" ref="AR211:AS211" si="471">+AR212*AR213</f>
        <v>444.52702702702697</v>
      </c>
      <c r="AS211" s="1113">
        <f t="shared" si="471"/>
        <v>191.25</v>
      </c>
      <c r="AT211" s="255">
        <f>AU211-AS211</f>
        <v>230.625</v>
      </c>
      <c r="AU211" s="1111">
        <f t="shared" si="466"/>
        <v>421.875</v>
      </c>
      <c r="AV211" s="1113">
        <f t="shared" si="466"/>
        <v>307.66304347826087</v>
      </c>
      <c r="AW211" s="758">
        <f>AX211-AV211</f>
        <v>90.489130434782624</v>
      </c>
      <c r="AX211" s="772">
        <f t="shared" si="466"/>
        <v>398.1521739130435</v>
      </c>
      <c r="AY211" s="535">
        <f t="shared" si="466"/>
        <v>209.21086956521739</v>
      </c>
      <c r="AZ211" s="758">
        <f>BA211-AY211</f>
        <v>205.92913043478259</v>
      </c>
      <c r="BA211" s="772">
        <f t="shared" si="466"/>
        <v>415.14</v>
      </c>
      <c r="BB211" s="535">
        <f t="shared" si="466"/>
        <v>213.39508695652174</v>
      </c>
      <c r="BC211" s="758">
        <f>BD211-BB211</f>
        <v>219.67141304347822</v>
      </c>
      <c r="BD211" s="772">
        <f t="shared" si="466"/>
        <v>433.06649999999996</v>
      </c>
      <c r="BE211" s="535">
        <f t="shared" si="466"/>
        <v>217.66298869565219</v>
      </c>
      <c r="BF211" s="758">
        <f>BG211-BE211</f>
        <v>244.14337903162055</v>
      </c>
      <c r="BG211" s="772">
        <f t="shared" si="466"/>
        <v>461.80636772727274</v>
      </c>
      <c r="BH211" s="535">
        <f t="shared" si="466"/>
        <v>261.19558643478263</v>
      </c>
      <c r="BI211" s="758">
        <f>BJ211-BH211</f>
        <v>209.8469086470356</v>
      </c>
      <c r="BJ211" s="772">
        <f t="shared" si="466"/>
        <v>471.04249508181823</v>
      </c>
      <c r="BK211"/>
    </row>
    <row r="212" spans="1:66">
      <c r="A212" s="65" t="s">
        <v>396</v>
      </c>
      <c r="B212" s="40">
        <f t="shared" ref="B212:Q212" si="472">B85</f>
        <v>0</v>
      </c>
      <c r="C212" s="40">
        <f t="shared" si="472"/>
        <v>0</v>
      </c>
      <c r="D212" s="40">
        <f t="shared" si="472"/>
        <v>0</v>
      </c>
      <c r="E212" s="40">
        <f t="shared" si="472"/>
        <v>0</v>
      </c>
      <c r="F212" s="40">
        <f t="shared" si="472"/>
        <v>0</v>
      </c>
      <c r="G212" s="40">
        <f t="shared" si="472"/>
        <v>0</v>
      </c>
      <c r="H212" s="40">
        <f t="shared" si="472"/>
        <v>0</v>
      </c>
      <c r="I212" s="40">
        <f t="shared" si="472"/>
        <v>0</v>
      </c>
      <c r="J212" s="40">
        <f t="shared" si="472"/>
        <v>0</v>
      </c>
      <c r="K212" s="40">
        <f t="shared" si="472"/>
        <v>0</v>
      </c>
      <c r="L212" s="40">
        <f t="shared" si="472"/>
        <v>0</v>
      </c>
      <c r="M212" s="40">
        <f t="shared" si="472"/>
        <v>0</v>
      </c>
      <c r="N212" s="40">
        <f t="shared" si="472"/>
        <v>0</v>
      </c>
      <c r="O212" s="40">
        <f t="shared" si="472"/>
        <v>0</v>
      </c>
      <c r="P212" s="40">
        <f t="shared" si="472"/>
        <v>0</v>
      </c>
      <c r="Q212" s="40">
        <f t="shared" si="472"/>
        <v>0</v>
      </c>
      <c r="R212" s="40"/>
      <c r="S212" s="630"/>
      <c r="T212" s="653">
        <f t="shared" ref="T212:AS212" si="473">T85</f>
        <v>0</v>
      </c>
      <c r="U212" s="40">
        <f t="shared" si="473"/>
        <v>0</v>
      </c>
      <c r="V212" s="630">
        <f t="shared" si="473"/>
        <v>0</v>
      </c>
      <c r="W212" s="653">
        <f t="shared" si="473"/>
        <v>0</v>
      </c>
      <c r="X212" s="40">
        <f t="shared" si="473"/>
        <v>0</v>
      </c>
      <c r="Y212" s="630">
        <f t="shared" si="473"/>
        <v>8</v>
      </c>
      <c r="Z212" s="653">
        <f t="shared" si="473"/>
        <v>8</v>
      </c>
      <c r="AA212" s="40">
        <f t="shared" si="473"/>
        <v>54</v>
      </c>
      <c r="AB212" s="630">
        <f t="shared" si="473"/>
        <v>2</v>
      </c>
      <c r="AC212" s="556">
        <f t="shared" si="473"/>
        <v>56</v>
      </c>
      <c r="AD212" s="10">
        <f t="shared" si="473"/>
        <v>8</v>
      </c>
      <c r="AE212" s="216">
        <f t="shared" si="473"/>
        <v>14</v>
      </c>
      <c r="AF212" s="556">
        <f t="shared" si="473"/>
        <v>22</v>
      </c>
      <c r="AG212" s="10">
        <f t="shared" si="473"/>
        <v>20</v>
      </c>
      <c r="AH212" s="216">
        <f t="shared" si="473"/>
        <v>11</v>
      </c>
      <c r="AI212" s="556">
        <f t="shared" si="473"/>
        <v>31</v>
      </c>
      <c r="AJ212" s="10">
        <f t="shared" si="473"/>
        <v>23</v>
      </c>
      <c r="AK212" s="216">
        <f t="shared" si="473"/>
        <v>40</v>
      </c>
      <c r="AL212" s="556">
        <f t="shared" si="473"/>
        <v>63</v>
      </c>
      <c r="AM212" s="10">
        <f t="shared" si="473"/>
        <v>35</v>
      </c>
      <c r="AN212" s="216">
        <f t="shared" si="473"/>
        <v>39</v>
      </c>
      <c r="AO212" s="556">
        <f t="shared" si="473"/>
        <v>74</v>
      </c>
      <c r="AP212" s="10">
        <f t="shared" si="473"/>
        <v>37</v>
      </c>
      <c r="AQ212" s="216">
        <f t="shared" si="473"/>
        <v>49</v>
      </c>
      <c r="AR212" s="556">
        <f t="shared" si="473"/>
        <v>86</v>
      </c>
      <c r="AS212" s="10">
        <f t="shared" si="473"/>
        <v>34</v>
      </c>
      <c r="AT212" s="216">
        <f>AU212-AS212</f>
        <v>41</v>
      </c>
      <c r="AU212" s="556">
        <f>AU85</f>
        <v>75</v>
      </c>
      <c r="AV212" s="40">
        <f>AV85</f>
        <v>51</v>
      </c>
      <c r="AW212" s="236">
        <f>AX212-AV212</f>
        <v>15</v>
      </c>
      <c r="AX212" s="605">
        <f>ROUND(((AX218*9/12)+(BA218*3/12))*2,0)</f>
        <v>66</v>
      </c>
      <c r="AY212" s="56">
        <f>ROUND(((AY218*4.5/6)+(AZ218*1.5/6))*2,0)</f>
        <v>34</v>
      </c>
      <c r="AZ212" s="236">
        <f>BA212-AY212</f>
        <v>32</v>
      </c>
      <c r="BA212" s="605">
        <f>ROUND(((BA218*9/12)+(BD218*3/12))*2,0)</f>
        <v>66</v>
      </c>
      <c r="BB212" s="56">
        <f>ROUND(((BB218*4.5/6)+(BC218*1.5/6))*2,0)</f>
        <v>34</v>
      </c>
      <c r="BC212" s="236">
        <f>BD212-BB212</f>
        <v>32</v>
      </c>
      <c r="BD212" s="605">
        <f>ROUND(((BD218*9/12)+(BG218*3/12))*2,0)</f>
        <v>66</v>
      </c>
      <c r="BE212" s="56">
        <f>ROUND(((BE218*4.5/6)+(BF218*1.5/6))*2,0)</f>
        <v>34</v>
      </c>
      <c r="BF212" s="236">
        <f>BG212-BE212</f>
        <v>35</v>
      </c>
      <c r="BG212" s="605">
        <f t="shared" ref="BG212" si="474">ROUND(((BG218*9/12)+(BJ218*3/12))*2,0)</f>
        <v>69</v>
      </c>
      <c r="BH212" s="56">
        <f>ROUND(((BH218*4.5/6)+(BI218*1.5/6))*2,0)</f>
        <v>40</v>
      </c>
      <c r="BI212" s="236">
        <f>BJ212-BH212</f>
        <v>29</v>
      </c>
      <c r="BJ212" s="605">
        <f>+BG212</f>
        <v>69</v>
      </c>
      <c r="BK212"/>
    </row>
    <row r="213" spans="1:66" ht="11.4">
      <c r="A213" s="90" t="s">
        <v>736</v>
      </c>
      <c r="B213" s="40"/>
      <c r="C213" s="40"/>
      <c r="D213" s="40"/>
      <c r="E213" s="40"/>
      <c r="F213" s="40"/>
      <c r="G213" s="40"/>
      <c r="H213" s="40"/>
      <c r="I213" s="40"/>
      <c r="J213" s="40"/>
      <c r="K213" s="40"/>
      <c r="L213" s="40"/>
      <c r="M213" s="40"/>
      <c r="N213" s="40"/>
      <c r="O213" s="40"/>
      <c r="P213" s="81"/>
      <c r="Q213" s="81"/>
      <c r="R213" s="81"/>
      <c r="S213" s="636"/>
      <c r="T213" s="659"/>
      <c r="U213" s="81">
        <f>W213</f>
        <v>4.325051759834369</v>
      </c>
      <c r="V213" s="639" t="str">
        <f>IFERROR(V211/V212,"NM")</f>
        <v>NM</v>
      </c>
      <c r="W213" s="659">
        <v>4.325051759834369</v>
      </c>
      <c r="X213" s="81">
        <f>Z213</f>
        <v>4.4115527950310565</v>
      </c>
      <c r="Y213" s="636">
        <f>Y211/Y212</f>
        <v>4.4115527950310565</v>
      </c>
      <c r="Z213" s="659">
        <f>+W213*(1+Z157)</f>
        <v>4.4115527950310565</v>
      </c>
      <c r="AA213" s="81">
        <f>AC213</f>
        <v>4.2647058823529411</v>
      </c>
      <c r="AB213" s="636">
        <f>AB211/AB212</f>
        <v>4.264705882352942</v>
      </c>
      <c r="AC213" s="561">
        <f>AC214/AC68</f>
        <v>4.2647058823529411</v>
      </c>
      <c r="AD213" s="203">
        <f>AF213</f>
        <v>4.4407894736842097</v>
      </c>
      <c r="AE213" s="234">
        <f>AE211/AE212</f>
        <v>4.4407894736842097</v>
      </c>
      <c r="AF213" s="561">
        <f>AF214/AF68</f>
        <v>4.4407894736842097</v>
      </c>
      <c r="AG213" s="203">
        <f>AI213</f>
        <v>4.4701986754966878</v>
      </c>
      <c r="AH213" s="234">
        <f>AH211/AH212</f>
        <v>4.4701986754966887</v>
      </c>
      <c r="AI213" s="561">
        <f>AI214/AI68</f>
        <v>4.4701986754966878</v>
      </c>
      <c r="AJ213" s="203">
        <f>AL213</f>
        <v>4.8</v>
      </c>
      <c r="AK213" s="234">
        <f>AK211/AK212</f>
        <v>4.8</v>
      </c>
      <c r="AL213" s="561">
        <f>AL214/AL68</f>
        <v>4.8</v>
      </c>
      <c r="AM213" s="203">
        <f>AO213</f>
        <v>4.9499999999999993</v>
      </c>
      <c r="AN213" s="234">
        <f>AN211/AN212</f>
        <v>4.9499999999999993</v>
      </c>
      <c r="AO213" s="561">
        <f>AO214/AO68</f>
        <v>4.9499999999999993</v>
      </c>
      <c r="AP213" s="203">
        <f>AP214/AP68</f>
        <v>5.1689189189189184</v>
      </c>
      <c r="AQ213" s="234">
        <f>AQ211/AQ212</f>
        <v>5.1689189189189184</v>
      </c>
      <c r="AR213" s="561">
        <f>AR214/AR68</f>
        <v>5.1689189189189184</v>
      </c>
      <c r="AS213" s="203">
        <f>AS214/AS68</f>
        <v>5.625</v>
      </c>
      <c r="AT213" s="234">
        <f>AT211/AT212</f>
        <v>5.625</v>
      </c>
      <c r="AU213" s="561">
        <f>AU214/AU68</f>
        <v>5.625</v>
      </c>
      <c r="AV213" s="81">
        <f>AV214/AV68</f>
        <v>6.0326086956521738</v>
      </c>
      <c r="AW213" s="235">
        <f>AW211/AW212</f>
        <v>6.0326086956521747</v>
      </c>
      <c r="AX213" s="611">
        <f>AX214/AX68</f>
        <v>6.0326086956521738</v>
      </c>
      <c r="AY213" s="173">
        <f>+AV213*(1+AY157)</f>
        <v>6.1532608695652176</v>
      </c>
      <c r="AZ213" s="235">
        <f>AZ211/AZ212</f>
        <v>6.435285326086956</v>
      </c>
      <c r="BA213" s="611">
        <f>BA214/BA68</f>
        <v>6.29</v>
      </c>
      <c r="BB213" s="173">
        <f>+AY213*(1+BB157)</f>
        <v>6.2763260869565221</v>
      </c>
      <c r="BC213" s="235">
        <f>BC211/BC212</f>
        <v>6.8647316576086945</v>
      </c>
      <c r="BD213" s="611">
        <f>BD214/BD68</f>
        <v>6.5616136363636359</v>
      </c>
      <c r="BE213" s="173">
        <f>+BB213*(1+BE157)</f>
        <v>6.4018526086956529</v>
      </c>
      <c r="BF213" s="235">
        <f>BF211/BF212</f>
        <v>6.9755251151891589</v>
      </c>
      <c r="BG213" s="611">
        <f>BG214/BG68</f>
        <v>6.6928459090909094</v>
      </c>
      <c r="BH213" s="173">
        <f>+BE213*(1+BH157)</f>
        <v>6.529889660869566</v>
      </c>
      <c r="BI213" s="235">
        <f>BI211/BI212</f>
        <v>7.2361002981736418</v>
      </c>
      <c r="BJ213" s="611">
        <f>BJ214/BJ68</f>
        <v>6.8267028272727277</v>
      </c>
      <c r="BK213"/>
      <c r="BM213" s="111"/>
      <c r="BN213" s="110"/>
    </row>
    <row r="214" spans="1:66" ht="11.4">
      <c r="A214" s="69" t="s">
        <v>685</v>
      </c>
      <c r="B214" s="1137"/>
      <c r="C214" s="1137"/>
      <c r="D214" s="1137"/>
      <c r="E214" s="1137"/>
      <c r="F214" s="1137"/>
      <c r="G214" s="1137"/>
      <c r="H214" s="1137"/>
      <c r="I214" s="1137"/>
      <c r="J214" s="1137"/>
      <c r="K214" s="1137"/>
      <c r="L214" s="1137"/>
      <c r="M214" s="1137"/>
      <c r="N214" s="1137"/>
      <c r="O214" s="1137"/>
      <c r="P214" s="1138"/>
      <c r="Q214" s="1138"/>
      <c r="R214" s="1138"/>
      <c r="S214" s="1139"/>
      <c r="T214" s="1140"/>
      <c r="U214" s="1138"/>
      <c r="V214" s="1141"/>
      <c r="W214" s="1140"/>
      <c r="X214" s="1138"/>
      <c r="Y214" s="1139"/>
      <c r="Z214" s="1140"/>
      <c r="AA214" s="81">
        <f>AC214</f>
        <v>6.5249999999999995</v>
      </c>
      <c r="AB214" s="636">
        <f>AC214</f>
        <v>6.5249999999999995</v>
      </c>
      <c r="AC214" s="561">
        <f>(AC107*(1-AC111))</f>
        <v>6.5249999999999995</v>
      </c>
      <c r="AD214" s="203">
        <f>AF214</f>
        <v>6.7499999999999991</v>
      </c>
      <c r="AE214" s="234">
        <f>AF214</f>
        <v>6.7499999999999991</v>
      </c>
      <c r="AF214" s="561">
        <f>(AF107*(1-AF111))</f>
        <v>6.7499999999999991</v>
      </c>
      <c r="AG214" s="203">
        <f>AI214</f>
        <v>6.7499999999999991</v>
      </c>
      <c r="AH214" s="234">
        <f>AI214</f>
        <v>6.7499999999999991</v>
      </c>
      <c r="AI214" s="561">
        <f>(AI107*(1-AI111))</f>
        <v>6.7499999999999991</v>
      </c>
      <c r="AJ214" s="203">
        <f>AL214</f>
        <v>7.1999999999999993</v>
      </c>
      <c r="AK214" s="234">
        <f>AL214</f>
        <v>7.1999999999999993</v>
      </c>
      <c r="AL214" s="561">
        <f>(AL107*(1-AL111))</f>
        <v>7.1999999999999993</v>
      </c>
      <c r="AM214" s="203">
        <f>AO214</f>
        <v>7.4249999999999989</v>
      </c>
      <c r="AN214" s="234">
        <f>AO214</f>
        <v>7.4249999999999989</v>
      </c>
      <c r="AO214" s="561">
        <f>(AO107*(1-AO111))</f>
        <v>7.4249999999999989</v>
      </c>
      <c r="AP214" s="203">
        <f>AR214</f>
        <v>7.6499999999999995</v>
      </c>
      <c r="AQ214" s="234">
        <f>AR214</f>
        <v>7.6499999999999995</v>
      </c>
      <c r="AR214" s="561">
        <f>(AR107*(1-AR111))</f>
        <v>7.6499999999999995</v>
      </c>
      <c r="AS214" s="203">
        <f>AU214</f>
        <v>8.1</v>
      </c>
      <c r="AT214" s="234">
        <f>AU214</f>
        <v>8.1</v>
      </c>
      <c r="AU214" s="561">
        <f>(AU107*(1-AU111))</f>
        <v>8.1</v>
      </c>
      <c r="AV214" s="81">
        <f>AX214</f>
        <v>8.3249999999999993</v>
      </c>
      <c r="AW214" s="759">
        <f>AX214</f>
        <v>8.3249999999999993</v>
      </c>
      <c r="AX214" s="611">
        <f>(AX107*(1-AX111))</f>
        <v>8.3249999999999993</v>
      </c>
      <c r="AY214" s="173">
        <f>BA214</f>
        <v>8.4915000000000003</v>
      </c>
      <c r="AZ214" s="235">
        <f>BA214</f>
        <v>8.4915000000000003</v>
      </c>
      <c r="BA214" s="611">
        <f>(BA107*(1-BA111))</f>
        <v>8.4915000000000003</v>
      </c>
      <c r="BB214" s="173">
        <f>BD214</f>
        <v>8.6613299999999995</v>
      </c>
      <c r="BC214" s="235">
        <f>BD214</f>
        <v>8.6613299999999995</v>
      </c>
      <c r="BD214" s="611">
        <f>(BD107*(1-BD111))</f>
        <v>8.6613299999999995</v>
      </c>
      <c r="BE214" s="173">
        <f>BG214</f>
        <v>8.8345566000000009</v>
      </c>
      <c r="BF214" s="235">
        <f>BG214</f>
        <v>8.8345566000000009</v>
      </c>
      <c r="BG214" s="611">
        <f>(BG107*(1-BG111))</f>
        <v>8.8345566000000009</v>
      </c>
      <c r="BH214" s="173">
        <f>BJ214</f>
        <v>9.0112477320000011</v>
      </c>
      <c r="BI214" s="235">
        <f>BJ214</f>
        <v>9.0112477320000011</v>
      </c>
      <c r="BJ214" s="611">
        <f>(BJ107*(1-BJ111))</f>
        <v>9.0112477320000011</v>
      </c>
      <c r="BK214"/>
      <c r="BM214" s="111"/>
      <c r="BN214" s="110"/>
    </row>
    <row r="215" spans="1:66" ht="11.4">
      <c r="A215" s="69" t="s">
        <v>684</v>
      </c>
      <c r="B215" s="40"/>
      <c r="C215" s="40"/>
      <c r="D215" s="40"/>
      <c r="E215" s="40"/>
      <c r="F215" s="40"/>
      <c r="G215" s="40"/>
      <c r="H215" s="40"/>
      <c r="I215" s="40"/>
      <c r="J215" s="40"/>
      <c r="K215" s="40"/>
      <c r="L215" s="40"/>
      <c r="M215" s="40"/>
      <c r="N215" s="40"/>
      <c r="O215" s="40"/>
      <c r="P215" s="81"/>
      <c r="Q215" s="81"/>
      <c r="R215" s="81"/>
      <c r="S215" s="636"/>
      <c r="T215" s="659"/>
      <c r="U215" s="81"/>
      <c r="V215" s="639"/>
      <c r="W215" s="659"/>
      <c r="X215" s="81"/>
      <c r="Y215" s="636"/>
      <c r="Z215" s="659"/>
      <c r="AA215" s="81"/>
      <c r="AB215" s="636"/>
      <c r="AC215" s="653">
        <v>90.625</v>
      </c>
      <c r="AD215" s="81"/>
      <c r="AE215" s="636"/>
      <c r="AF215" s="653">
        <v>93.749999999999986</v>
      </c>
      <c r="AG215" s="81"/>
      <c r="AH215" s="636"/>
      <c r="AI215" s="653">
        <v>93.749999999999986</v>
      </c>
      <c r="AJ215" s="81"/>
      <c r="AK215" s="636"/>
      <c r="AL215" s="653">
        <v>99.999999999999986</v>
      </c>
      <c r="AM215" s="40">
        <v>103.12499999999999</v>
      </c>
      <c r="AN215" s="630">
        <v>103.12499999999999</v>
      </c>
      <c r="AO215" s="653">
        <v>103.12499999999999</v>
      </c>
      <c r="AP215" s="40">
        <v>106.25</v>
      </c>
      <c r="AQ215" s="630">
        <v>106.25</v>
      </c>
      <c r="AR215" s="653">
        <v>106.25</v>
      </c>
      <c r="AS215" s="40">
        <v>112.5</v>
      </c>
      <c r="AT215" s="630">
        <v>112.5</v>
      </c>
      <c r="AU215" s="653">
        <v>112.5</v>
      </c>
      <c r="AV215" s="40">
        <v>115.62499999999999</v>
      </c>
      <c r="AW215" s="601">
        <v>115.62499999999999</v>
      </c>
      <c r="AX215" s="625">
        <v>115.62499999999999</v>
      </c>
      <c r="AY215" s="49">
        <v>117.9375</v>
      </c>
      <c r="AZ215" s="601">
        <v>117.9375</v>
      </c>
      <c r="BA215" s="625">
        <v>117.9375</v>
      </c>
      <c r="BB215" s="49">
        <v>120.29624999999999</v>
      </c>
      <c r="BC215" s="601">
        <v>120.29624999999999</v>
      </c>
      <c r="BD215" s="625">
        <v>120.29624999999999</v>
      </c>
      <c r="BE215" s="49">
        <v>122.70217500000001</v>
      </c>
      <c r="BF215" s="601">
        <v>122.70217500000001</v>
      </c>
      <c r="BG215" s="625">
        <v>122.70217500000001</v>
      </c>
      <c r="BH215" s="49">
        <v>125.15621850000001</v>
      </c>
      <c r="BI215" s="601">
        <v>125.15621850000001</v>
      </c>
      <c r="BJ215" s="625">
        <v>125.15621850000001</v>
      </c>
      <c r="BK215"/>
      <c r="BM215" s="111"/>
      <c r="BN215" s="110"/>
    </row>
    <row r="216" spans="1:66" ht="11.4">
      <c r="A216" s="65"/>
      <c r="B216" s="40"/>
      <c r="C216" s="40"/>
      <c r="D216" s="40"/>
      <c r="E216" s="40"/>
      <c r="F216" s="40"/>
      <c r="G216" s="40"/>
      <c r="H216" s="40"/>
      <c r="I216" s="40"/>
      <c r="J216" s="40"/>
      <c r="K216" s="40"/>
      <c r="L216" s="40"/>
      <c r="M216" s="40"/>
      <c r="N216" s="40"/>
      <c r="O216" s="40"/>
      <c r="P216" s="40"/>
      <c r="Q216" s="40"/>
      <c r="R216" s="40"/>
      <c r="S216" s="630"/>
      <c r="T216" s="653"/>
      <c r="U216" s="40"/>
      <c r="V216" s="630"/>
      <c r="W216" s="653"/>
      <c r="X216" s="40"/>
      <c r="Y216" s="630"/>
      <c r="Z216" s="653"/>
      <c r="AA216" s="40"/>
      <c r="AB216" s="630"/>
      <c r="AC216" s="653"/>
      <c r="AD216" s="40"/>
      <c r="AE216" s="630"/>
      <c r="AF216" s="653"/>
      <c r="AG216" s="40"/>
      <c r="AH216" s="630"/>
      <c r="AI216" s="653"/>
      <c r="AJ216" s="40"/>
      <c r="AK216" s="630"/>
      <c r="AL216" s="653"/>
      <c r="AM216" s="40"/>
      <c r="AN216" s="216"/>
      <c r="AO216" s="556"/>
      <c r="AP216" s="10"/>
      <c r="AQ216" s="216"/>
      <c r="AR216" s="556"/>
      <c r="AS216" s="10"/>
      <c r="AT216" s="216"/>
      <c r="AU216" s="556"/>
      <c r="AV216" s="10"/>
      <c r="AW216" s="216"/>
      <c r="AX216" s="556"/>
      <c r="AY216" s="10"/>
      <c r="AZ216" s="216"/>
      <c r="BA216" s="556"/>
      <c r="BB216" s="10"/>
      <c r="BC216" s="216"/>
      <c r="BD216" s="556"/>
      <c r="BE216" s="10"/>
      <c r="BF216" s="216"/>
      <c r="BG216" s="556"/>
      <c r="BH216" s="10"/>
      <c r="BI216" s="216"/>
      <c r="BJ216" s="556"/>
      <c r="BK216"/>
      <c r="BM216" s="108"/>
      <c r="BN216" s="108"/>
    </row>
    <row r="217" spans="1:66">
      <c r="A217" s="25" t="s">
        <v>414</v>
      </c>
      <c r="B217" s="40">
        <v>0</v>
      </c>
      <c r="C217" s="40">
        <v>0</v>
      </c>
      <c r="D217" s="40">
        <v>0</v>
      </c>
      <c r="E217" s="40">
        <v>0</v>
      </c>
      <c r="F217" s="40">
        <v>0</v>
      </c>
      <c r="G217" s="40">
        <v>0</v>
      </c>
      <c r="H217" s="40">
        <v>0</v>
      </c>
      <c r="I217" s="40">
        <v>0</v>
      </c>
      <c r="J217" s="40">
        <v>0</v>
      </c>
      <c r="K217" s="40">
        <v>0</v>
      </c>
      <c r="L217" s="40">
        <v>0</v>
      </c>
      <c r="M217" s="40">
        <v>0</v>
      </c>
      <c r="N217" s="40">
        <v>0</v>
      </c>
      <c r="O217" s="40">
        <v>0</v>
      </c>
      <c r="P217" s="40">
        <v>0</v>
      </c>
      <c r="Q217" s="40">
        <v>0</v>
      </c>
      <c r="R217" s="40"/>
      <c r="S217" s="630"/>
      <c r="T217" s="653">
        <v>0</v>
      </c>
      <c r="U217" s="40">
        <v>0</v>
      </c>
      <c r="V217" s="630">
        <f>W217-U217</f>
        <v>0</v>
      </c>
      <c r="W217" s="653">
        <v>0</v>
      </c>
      <c r="X217" s="40">
        <v>0</v>
      </c>
      <c r="Y217" s="630">
        <f>Z217-X217</f>
        <v>3</v>
      </c>
      <c r="Z217" s="653">
        <v>3</v>
      </c>
      <c r="AA217" s="40">
        <v>13</v>
      </c>
      <c r="AB217" s="630">
        <f>AC217-AA217</f>
        <v>28</v>
      </c>
      <c r="AC217" s="653">
        <v>41</v>
      </c>
      <c r="AD217" s="40">
        <v>2</v>
      </c>
      <c r="AE217" s="630">
        <f>AF217-AD217</f>
        <v>11</v>
      </c>
      <c r="AF217" s="556">
        <v>13</v>
      </c>
      <c r="AG217" s="40">
        <v>6</v>
      </c>
      <c r="AH217" s="630">
        <f>AI217-AG217</f>
        <v>8</v>
      </c>
      <c r="AI217" s="556">
        <v>14</v>
      </c>
      <c r="AJ217" s="40">
        <v>8</v>
      </c>
      <c r="AK217" s="630">
        <f>AL217-AJ217</f>
        <v>15</v>
      </c>
      <c r="AL217" s="556">
        <v>23</v>
      </c>
      <c r="AM217" s="10">
        <v>12</v>
      </c>
      <c r="AN217" s="630">
        <f>AO217-AM217</f>
        <v>17</v>
      </c>
      <c r="AO217" s="556">
        <v>29</v>
      </c>
      <c r="AP217" s="10">
        <v>13</v>
      </c>
      <c r="AQ217" s="630">
        <f>AR217-AP217</f>
        <v>17</v>
      </c>
      <c r="AR217" s="556">
        <v>30</v>
      </c>
      <c r="AS217" s="10">
        <v>11</v>
      </c>
      <c r="AT217" s="216">
        <f>AU217-AS217</f>
        <v>23</v>
      </c>
      <c r="AU217" s="556">
        <v>34</v>
      </c>
      <c r="AV217" s="10">
        <v>9</v>
      </c>
      <c r="AW217" s="236">
        <f>AX217-AV217</f>
        <v>24</v>
      </c>
      <c r="AX217" s="580">
        <v>33</v>
      </c>
      <c r="AY217" s="56">
        <f>BA217/2</f>
        <v>16.5</v>
      </c>
      <c r="AZ217" s="236">
        <f>BA217-AY217</f>
        <v>16.5</v>
      </c>
      <c r="BA217" s="580">
        <v>33</v>
      </c>
      <c r="BB217" s="56">
        <f>BD217/2</f>
        <v>16.5</v>
      </c>
      <c r="BC217" s="236">
        <f>BD217-BB217</f>
        <v>16.5</v>
      </c>
      <c r="BD217" s="580">
        <v>33</v>
      </c>
      <c r="BE217" s="56">
        <f>BG217/2</f>
        <v>16.5</v>
      </c>
      <c r="BF217" s="236">
        <f>BG217-BE217</f>
        <v>16.5</v>
      </c>
      <c r="BG217" s="580">
        <v>33</v>
      </c>
      <c r="BH217" s="56">
        <f>BJ217/2</f>
        <v>19.5</v>
      </c>
      <c r="BI217" s="236">
        <f>BJ217-BH217</f>
        <v>19.5</v>
      </c>
      <c r="BJ217" s="580">
        <v>39</v>
      </c>
      <c r="BK217"/>
    </row>
    <row r="218" spans="1:66">
      <c r="A218" s="25" t="s">
        <v>992</v>
      </c>
      <c r="B218" s="40"/>
      <c r="C218" s="40"/>
      <c r="D218" s="40"/>
      <c r="E218" s="40"/>
      <c r="F218" s="40"/>
      <c r="G218" s="40"/>
      <c r="H218" s="40"/>
      <c r="I218" s="40"/>
      <c r="J218" s="40"/>
      <c r="K218" s="40"/>
      <c r="L218" s="40"/>
      <c r="M218" s="40"/>
      <c r="N218" s="40"/>
      <c r="O218" s="40"/>
      <c r="P218" s="40"/>
      <c r="Q218" s="40"/>
      <c r="R218" s="40"/>
      <c r="S218" s="630"/>
      <c r="T218" s="653"/>
      <c r="U218" s="40">
        <f t="shared" ref="U218" si="475">ROUND(U217*U219,0)</f>
        <v>0</v>
      </c>
      <c r="V218" s="630">
        <f>W218-U218</f>
        <v>0</v>
      </c>
      <c r="W218" s="653">
        <f t="shared" ref="W218:BJ218" si="476">ROUND(W217*W219,0)</f>
        <v>0</v>
      </c>
      <c r="X218" s="40">
        <f t="shared" ref="X218" si="477">ROUND(X217*X219,0)</f>
        <v>0</v>
      </c>
      <c r="Y218" s="630">
        <f>Z218-X218</f>
        <v>3</v>
      </c>
      <c r="Z218" s="653">
        <f t="shared" si="476"/>
        <v>3</v>
      </c>
      <c r="AA218" s="40">
        <f t="shared" si="476"/>
        <v>13</v>
      </c>
      <c r="AB218" s="630">
        <f>AC218-AA218</f>
        <v>28</v>
      </c>
      <c r="AC218" s="653">
        <v>41</v>
      </c>
      <c r="AD218" s="40">
        <f t="shared" ref="AD218" si="478">ROUND(AD217*AD219,0)</f>
        <v>2</v>
      </c>
      <c r="AE218" s="630">
        <f>AF218-AD218</f>
        <v>11</v>
      </c>
      <c r="AF218" s="653">
        <f t="shared" si="476"/>
        <v>13</v>
      </c>
      <c r="AG218" s="40">
        <f t="shared" ref="AG218" si="479">ROUND(AG217*AG219,0)</f>
        <v>6</v>
      </c>
      <c r="AH218" s="630">
        <f>AI218-AG218</f>
        <v>8</v>
      </c>
      <c r="AI218" s="653">
        <f t="shared" si="476"/>
        <v>14</v>
      </c>
      <c r="AJ218" s="40">
        <f t="shared" si="476"/>
        <v>8</v>
      </c>
      <c r="AK218" s="630">
        <f>AL218-AJ218</f>
        <v>15</v>
      </c>
      <c r="AL218" s="653">
        <f t="shared" si="476"/>
        <v>23</v>
      </c>
      <c r="AM218" s="40">
        <f t="shared" ref="AM218" si="480">ROUND(AM217*AM219,0)</f>
        <v>12</v>
      </c>
      <c r="AN218" s="630">
        <f>AO218-AM218</f>
        <v>17</v>
      </c>
      <c r="AO218" s="653">
        <f t="shared" ref="AO218:AP218" si="481">ROUND(AO217*AO219,0)</f>
        <v>29</v>
      </c>
      <c r="AP218" s="40">
        <f t="shared" si="481"/>
        <v>13</v>
      </c>
      <c r="AQ218" s="630">
        <f>AR218-AP218</f>
        <v>17</v>
      </c>
      <c r="AR218" s="653">
        <f t="shared" ref="AR218:AS218" si="482">ROUND(AR217*AR219,0)</f>
        <v>30</v>
      </c>
      <c r="AS218" s="40">
        <f t="shared" si="482"/>
        <v>11</v>
      </c>
      <c r="AT218" s="216">
        <f>AU218-AS218</f>
        <v>23</v>
      </c>
      <c r="AU218" s="556">
        <f t="shared" si="476"/>
        <v>34</v>
      </c>
      <c r="AV218" s="10">
        <f t="shared" si="476"/>
        <v>9</v>
      </c>
      <c r="AW218" s="236">
        <f>AX218-AV218</f>
        <v>24</v>
      </c>
      <c r="AX218" s="605">
        <f t="shared" si="476"/>
        <v>33</v>
      </c>
      <c r="AY218" s="56">
        <f t="shared" si="476"/>
        <v>17</v>
      </c>
      <c r="AZ218" s="236">
        <f>BA218-AY218</f>
        <v>16</v>
      </c>
      <c r="BA218" s="605">
        <f t="shared" si="476"/>
        <v>33</v>
      </c>
      <c r="BB218" s="56">
        <f t="shared" si="476"/>
        <v>17</v>
      </c>
      <c r="BC218" s="236">
        <f>BD218-BB218</f>
        <v>16</v>
      </c>
      <c r="BD218" s="605">
        <f t="shared" si="476"/>
        <v>33</v>
      </c>
      <c r="BE218" s="56">
        <f t="shared" si="476"/>
        <v>17</v>
      </c>
      <c r="BF218" s="236">
        <f>BG218-BE218</f>
        <v>16</v>
      </c>
      <c r="BG218" s="605">
        <f t="shared" si="476"/>
        <v>33</v>
      </c>
      <c r="BH218" s="56">
        <f t="shared" si="476"/>
        <v>20</v>
      </c>
      <c r="BI218" s="236">
        <f>BJ218-BH218</f>
        <v>19</v>
      </c>
      <c r="BJ218" s="605">
        <f t="shared" si="476"/>
        <v>39</v>
      </c>
      <c r="BK218"/>
    </row>
    <row r="219" spans="1:66">
      <c r="A219" s="25" t="s">
        <v>276</v>
      </c>
      <c r="B219" s="40"/>
      <c r="C219" s="40"/>
      <c r="D219" s="40"/>
      <c r="E219" s="40"/>
      <c r="F219" s="40"/>
      <c r="G219" s="40"/>
      <c r="H219" s="40"/>
      <c r="I219" s="40"/>
      <c r="J219" s="40"/>
      <c r="K219" s="40"/>
      <c r="L219" s="40"/>
      <c r="M219" s="40"/>
      <c r="N219" s="40"/>
      <c r="O219" s="40"/>
      <c r="P219" s="40"/>
      <c r="Q219" s="40"/>
      <c r="R219" s="50"/>
      <c r="S219" s="647"/>
      <c r="T219" s="671"/>
      <c r="U219" s="952">
        <f>W219</f>
        <v>1</v>
      </c>
      <c r="V219" s="647">
        <f>W219</f>
        <v>1</v>
      </c>
      <c r="W219" s="671">
        <v>1</v>
      </c>
      <c r="X219" s="952">
        <f>Z219</f>
        <v>1</v>
      </c>
      <c r="Y219" s="647">
        <f>Z219</f>
        <v>1</v>
      </c>
      <c r="Z219" s="671">
        <v>1</v>
      </c>
      <c r="AA219" s="952">
        <f>AC219</f>
        <v>1</v>
      </c>
      <c r="AB219" s="647">
        <f>AC219</f>
        <v>1</v>
      </c>
      <c r="AC219" s="671">
        <f>AC218/AC217</f>
        <v>1</v>
      </c>
      <c r="AD219" s="952">
        <f>AF219</f>
        <v>1</v>
      </c>
      <c r="AE219" s="647">
        <f>AF219</f>
        <v>1</v>
      </c>
      <c r="AF219" s="671">
        <v>1</v>
      </c>
      <c r="AG219" s="952">
        <f>AI219</f>
        <v>1</v>
      </c>
      <c r="AH219" s="647">
        <f>AI219</f>
        <v>1</v>
      </c>
      <c r="AI219" s="671">
        <v>1</v>
      </c>
      <c r="AJ219" s="952">
        <f>AL219</f>
        <v>1</v>
      </c>
      <c r="AK219" s="647">
        <f>AL219</f>
        <v>1</v>
      </c>
      <c r="AL219" s="671">
        <v>1</v>
      </c>
      <c r="AM219" s="952">
        <f>AO219</f>
        <v>1</v>
      </c>
      <c r="AN219" s="647">
        <f>AO219</f>
        <v>1</v>
      </c>
      <c r="AO219" s="671">
        <v>1</v>
      </c>
      <c r="AP219" s="952">
        <f>AR219</f>
        <v>1</v>
      </c>
      <c r="AQ219" s="647">
        <f>AR219</f>
        <v>1</v>
      </c>
      <c r="AR219" s="671">
        <v>1</v>
      </c>
      <c r="AS219" s="952">
        <f>AU219</f>
        <v>1</v>
      </c>
      <c r="AT219" s="217">
        <f>AT218/AT217</f>
        <v>1</v>
      </c>
      <c r="AU219" s="554">
        <v>1</v>
      </c>
      <c r="AV219" s="211">
        <f>AX219</f>
        <v>1</v>
      </c>
      <c r="AW219" s="252">
        <f>AW218/AW217</f>
        <v>1</v>
      </c>
      <c r="AX219" s="618">
        <v>1</v>
      </c>
      <c r="AY219" s="251">
        <f>BA219</f>
        <v>1</v>
      </c>
      <c r="AZ219" s="252">
        <f>AZ218/AZ217</f>
        <v>0.96969696969696972</v>
      </c>
      <c r="BA219" s="618">
        <v>1</v>
      </c>
      <c r="BB219" s="251">
        <f>BD219</f>
        <v>1</v>
      </c>
      <c r="BC219" s="252">
        <f>BC218/BC217</f>
        <v>0.96969696969696972</v>
      </c>
      <c r="BD219" s="618">
        <v>1</v>
      </c>
      <c r="BE219" s="251">
        <f>BG219</f>
        <v>1</v>
      </c>
      <c r="BF219" s="252">
        <f>BF218/BF217</f>
        <v>0.96969696969696972</v>
      </c>
      <c r="BG219" s="618">
        <v>1</v>
      </c>
      <c r="BH219" s="251">
        <f>BJ219</f>
        <v>1</v>
      </c>
      <c r="BI219" s="252">
        <f>BI218/BI217</f>
        <v>0.97435897435897434</v>
      </c>
      <c r="BJ219" s="618">
        <v>1</v>
      </c>
      <c r="BK219"/>
    </row>
    <row r="220" spans="1:66">
      <c r="B220" s="40"/>
      <c r="C220" s="40"/>
      <c r="D220" s="40"/>
      <c r="E220" s="40"/>
      <c r="F220" s="40"/>
      <c r="G220" s="40"/>
      <c r="H220" s="40"/>
      <c r="I220" s="40"/>
      <c r="J220" s="40"/>
      <c r="K220" s="40"/>
      <c r="L220" s="40"/>
      <c r="M220" s="40"/>
      <c r="N220" s="40"/>
      <c r="O220" s="40"/>
      <c r="P220" s="40"/>
      <c r="Q220" s="40"/>
      <c r="R220" s="51"/>
      <c r="S220" s="629"/>
      <c r="T220" s="653"/>
      <c r="U220" s="51"/>
      <c r="V220" s="629"/>
      <c r="W220" s="653"/>
      <c r="X220" s="51"/>
      <c r="Y220" s="629"/>
      <c r="Z220" s="653"/>
      <c r="AA220" s="40"/>
      <c r="AB220" s="630"/>
      <c r="AC220" s="653"/>
      <c r="AD220" s="40"/>
      <c r="AE220" s="630"/>
      <c r="AF220" s="653"/>
      <c r="AG220" s="40"/>
      <c r="AH220" s="630"/>
      <c r="AI220" s="653"/>
      <c r="AJ220" s="40"/>
      <c r="AK220" s="630"/>
      <c r="AL220" s="653"/>
      <c r="AM220" s="40"/>
      <c r="AN220" s="539"/>
      <c r="AO220" s="550"/>
      <c r="AP220" s="40"/>
      <c r="AQ220" s="539"/>
      <c r="AR220" s="550"/>
      <c r="AS220"/>
      <c r="AT220" s="539"/>
      <c r="AU220" s="550"/>
      <c r="AV220"/>
      <c r="AW220" s="539"/>
      <c r="AX220" s="550"/>
      <c r="AY220"/>
      <c r="AZ220" s="539"/>
      <c r="BA220" s="550"/>
      <c r="BB220"/>
      <c r="BC220" s="539"/>
      <c r="BD220" s="550"/>
      <c r="BE220"/>
      <c r="BF220" s="539"/>
      <c r="BG220" s="550"/>
      <c r="BH220"/>
      <c r="BI220" s="539"/>
      <c r="BJ220" s="550"/>
      <c r="BK220"/>
    </row>
    <row r="221" spans="1:66" s="31" customFormat="1">
      <c r="A221" s="31" t="s">
        <v>1050</v>
      </c>
      <c r="B221" s="51"/>
      <c r="C221" s="51"/>
      <c r="D221" s="51"/>
      <c r="E221" s="51"/>
      <c r="F221" s="51"/>
      <c r="G221" s="51"/>
      <c r="H221" s="51"/>
      <c r="I221" s="51"/>
      <c r="J221" s="51"/>
      <c r="K221" s="51"/>
      <c r="L221" s="51"/>
      <c r="M221" s="51"/>
      <c r="N221" s="51"/>
      <c r="O221" s="51"/>
      <c r="P221" s="51"/>
      <c r="Q221" s="51"/>
      <c r="R221" s="51"/>
      <c r="S221" s="629"/>
      <c r="T221" s="652"/>
      <c r="U221" s="51"/>
      <c r="V221" s="629"/>
      <c r="W221" s="652"/>
      <c r="X221" s="51"/>
      <c r="Y221" s="629"/>
      <c r="Z221" s="652"/>
      <c r="AA221" s="51"/>
      <c r="AB221" s="629"/>
      <c r="AC221" s="652">
        <f t="shared" ref="AC221:AU221" si="483">AC161+AC171+AC181+AC191+AC201+AC211</f>
        <v>2506.5851294117647</v>
      </c>
      <c r="AD221" s="51">
        <f t="shared" si="483"/>
        <v>693.01637052631565</v>
      </c>
      <c r="AE221" s="629">
        <f t="shared" si="483"/>
        <v>637.75741623157899</v>
      </c>
      <c r="AF221" s="652">
        <f t="shared" si="483"/>
        <v>1330.7737867578946</v>
      </c>
      <c r="AG221" s="51">
        <f t="shared" si="483"/>
        <v>517.05298013245033</v>
      </c>
      <c r="AH221" s="629">
        <f t="shared" si="483"/>
        <v>511.22461091221186</v>
      </c>
      <c r="AI221" s="652">
        <f t="shared" si="483"/>
        <v>1028.2775910446621</v>
      </c>
      <c r="AJ221" s="51">
        <f t="shared" si="483"/>
        <v>431.08713937343992</v>
      </c>
      <c r="AK221" s="629">
        <f t="shared" si="483"/>
        <v>605.44478492904955</v>
      </c>
      <c r="AL221" s="652">
        <f t="shared" si="483"/>
        <v>1036.5319243024896</v>
      </c>
      <c r="AM221" s="51">
        <f t="shared" si="483"/>
        <v>648.58552783339007</v>
      </c>
      <c r="AN221" s="541">
        <f t="shared" si="483"/>
        <v>833.45884708888775</v>
      </c>
      <c r="AO221" s="578">
        <f t="shared" si="483"/>
        <v>1482.0443749222777</v>
      </c>
      <c r="AP221" s="51">
        <f t="shared" si="483"/>
        <v>708.44594594594594</v>
      </c>
      <c r="AQ221" s="541">
        <f t="shared" si="483"/>
        <v>941.04729729729718</v>
      </c>
      <c r="AR221" s="578">
        <f t="shared" si="483"/>
        <v>1649.4932432432429</v>
      </c>
      <c r="AS221" s="2">
        <f t="shared" si="483"/>
        <v>777.96874999999989</v>
      </c>
      <c r="AT221" s="541">
        <f t="shared" si="483"/>
        <v>872.34374999999989</v>
      </c>
      <c r="AU221" s="578">
        <f t="shared" si="483"/>
        <v>1650.3124999999998</v>
      </c>
      <c r="AV221" s="2">
        <f>AV161+AV171+AV181+AV191+AV201+AV211</f>
        <v>1085.2518567636093</v>
      </c>
      <c r="AW221" s="237">
        <f t="shared" ref="AW221" si="484">AW161+AW171+AW181+AW191+AW201+AW211</f>
        <v>699.94565217391312</v>
      </c>
      <c r="AX221" s="576">
        <f>AX161+AX171+AX181+AX191+AX201+AX211</f>
        <v>1785.1975089375223</v>
      </c>
      <c r="AY221" s="48">
        <f>AY161+AY171+AY181+AY191+AY201+AY211</f>
        <v>1027.0882608695651</v>
      </c>
      <c r="AZ221" s="237">
        <f t="shared" ref="AZ221" si="485">AZ161+AZ171+AZ181+AZ191+AZ201+AZ211</f>
        <v>1098.5917391304345</v>
      </c>
      <c r="BA221" s="576">
        <f>BA161+BA171+BA181+BA191+BA201+BA211</f>
        <v>2125.6799999999998</v>
      </c>
      <c r="BB221" s="48">
        <f>BB161+BB171+BB181+BB191+BB201+BB211</f>
        <v>1137.6573527667983</v>
      </c>
      <c r="BC221" s="237">
        <f t="shared" ref="BC221" si="486">BC161+BC171+BC181+BC191+BC201+BC211</f>
        <v>1264.602601778656</v>
      </c>
      <c r="BD221" s="576">
        <f>BD161+BD171+BD181+BD191+BD201+BD211</f>
        <v>2402.2599545454541</v>
      </c>
      <c r="BE221" s="48">
        <f>BE161+BE171+BE181+BE191+BE201+BE211</f>
        <v>1263.13113486166</v>
      </c>
      <c r="BF221" s="237">
        <f t="shared" ref="BF221" si="487">BF161+BF171+BF181+BF191+BF201+BF211</f>
        <v>1346.1743310474303</v>
      </c>
      <c r="BG221" s="576">
        <f>BG161+BG171+BG181+BG191+BG201+BG211</f>
        <v>2609.3054659090903</v>
      </c>
      <c r="BH221" s="48">
        <f>BH161+BH171+BH181+BH191+BH201+BH211</f>
        <v>1327.5730955241106</v>
      </c>
      <c r="BI221" s="237">
        <f t="shared" ref="BI221" si="488">BI161+BI171+BI181+BI191+BI201+BI211</f>
        <v>1333.9184797031619</v>
      </c>
      <c r="BJ221" s="576">
        <f>BJ161+BJ171+BJ181+BJ191+BJ201+BJ211</f>
        <v>2661.4915752272727</v>
      </c>
      <c r="BK221" s="2"/>
    </row>
    <row r="222" spans="1:66">
      <c r="A222" s="25" t="s">
        <v>1055</v>
      </c>
      <c r="B222" s="40"/>
      <c r="C222" s="40"/>
      <c r="D222" s="40"/>
      <c r="E222" s="40"/>
      <c r="F222" s="40"/>
      <c r="G222" s="40"/>
      <c r="H222" s="40"/>
      <c r="I222" s="40"/>
      <c r="J222" s="40"/>
      <c r="K222" s="40"/>
      <c r="L222" s="40"/>
      <c r="M222" s="40"/>
      <c r="N222" s="40"/>
      <c r="O222" s="40"/>
      <c r="P222" s="40"/>
      <c r="Q222" s="40"/>
      <c r="R222" s="51"/>
      <c r="S222" s="629"/>
      <c r="T222" s="653"/>
      <c r="U222" s="51"/>
      <c r="V222" s="629"/>
      <c r="W222" s="653"/>
      <c r="X222" s="51"/>
      <c r="Y222" s="629"/>
      <c r="Z222" s="653"/>
      <c r="AA222" s="40"/>
      <c r="AB222" s="630"/>
      <c r="AC222" s="653">
        <f t="shared" ref="AC222:BJ222" si="489">AC221-AC48</f>
        <v>778.58512941176468</v>
      </c>
      <c r="AD222" s="40">
        <f t="shared" si="489"/>
        <v>44.516370526315654</v>
      </c>
      <c r="AE222" s="630">
        <f t="shared" si="489"/>
        <v>-9.7425837684210137</v>
      </c>
      <c r="AF222" s="653">
        <f t="shared" si="489"/>
        <v>34.773786757894641</v>
      </c>
      <c r="AG222" s="40">
        <f t="shared" si="489"/>
        <v>80.05298013245033</v>
      </c>
      <c r="AH222" s="630">
        <f t="shared" si="489"/>
        <v>227.22461091221186</v>
      </c>
      <c r="AI222" s="653">
        <f t="shared" si="489"/>
        <v>307.27759104466213</v>
      </c>
      <c r="AJ222" s="40">
        <f t="shared" si="489"/>
        <v>105.08713937343992</v>
      </c>
      <c r="AK222" s="630">
        <f t="shared" si="489"/>
        <v>119.44478492904955</v>
      </c>
      <c r="AL222" s="653">
        <f t="shared" si="489"/>
        <v>224.53192430248964</v>
      </c>
      <c r="AM222" s="40">
        <f t="shared" si="489"/>
        <v>198.58552783339007</v>
      </c>
      <c r="AN222" s="539">
        <f t="shared" si="489"/>
        <v>145.45884708888775</v>
      </c>
      <c r="AO222" s="550">
        <f t="shared" si="489"/>
        <v>344.04437492227771</v>
      </c>
      <c r="AP222" s="40">
        <f t="shared" si="489"/>
        <v>291.84594594594591</v>
      </c>
      <c r="AQ222" s="539">
        <f t="shared" si="489"/>
        <v>229.6472972972972</v>
      </c>
      <c r="AR222" s="550">
        <f t="shared" si="489"/>
        <v>521.49324324324289</v>
      </c>
      <c r="AS222">
        <f t="shared" si="489"/>
        <v>221.96874999999989</v>
      </c>
      <c r="AT222" s="539">
        <f t="shared" si="489"/>
        <v>233.34374999999989</v>
      </c>
      <c r="AU222" s="550">
        <f t="shared" si="489"/>
        <v>455.31249999999977</v>
      </c>
      <c r="AV222">
        <f t="shared" si="489"/>
        <v>206.25185676360934</v>
      </c>
      <c r="AW222" s="236">
        <f t="shared" si="489"/>
        <v>-206.25185676360923</v>
      </c>
      <c r="AX222" s="605">
        <f t="shared" si="489"/>
        <v>0</v>
      </c>
      <c r="AY222" s="56">
        <f t="shared" si="489"/>
        <v>0</v>
      </c>
      <c r="AZ222" s="236">
        <f t="shared" si="489"/>
        <v>0</v>
      </c>
      <c r="BA222" s="605">
        <f t="shared" si="489"/>
        <v>0</v>
      </c>
      <c r="BB222" s="56">
        <f t="shared" si="489"/>
        <v>0</v>
      </c>
      <c r="BC222" s="236">
        <f t="shared" si="489"/>
        <v>0</v>
      </c>
      <c r="BD222" s="605">
        <f t="shared" si="489"/>
        <v>0</v>
      </c>
      <c r="BE222" s="56">
        <f t="shared" si="489"/>
        <v>0</v>
      </c>
      <c r="BF222" s="236">
        <f t="shared" si="489"/>
        <v>0</v>
      </c>
      <c r="BG222" s="605">
        <f t="shared" si="489"/>
        <v>0</v>
      </c>
      <c r="BH222" s="56">
        <f t="shared" si="489"/>
        <v>0</v>
      </c>
      <c r="BI222" s="236">
        <f t="shared" si="489"/>
        <v>0</v>
      </c>
      <c r="BJ222" s="605">
        <f t="shared" si="489"/>
        <v>0</v>
      </c>
      <c r="BK222"/>
    </row>
    <row r="223" spans="1:66" s="33" customFormat="1">
      <c r="A223" s="1011" t="s">
        <v>1051</v>
      </c>
      <c r="B223" s="103"/>
      <c r="C223" s="103"/>
      <c r="D223" s="103"/>
      <c r="E223" s="103"/>
      <c r="F223" s="103"/>
      <c r="G223" s="103"/>
      <c r="H223" s="103"/>
      <c r="I223" s="103"/>
      <c r="J223" s="103"/>
      <c r="K223" s="103"/>
      <c r="L223" s="103"/>
      <c r="M223" s="103"/>
      <c r="N223" s="103"/>
      <c r="O223" s="103"/>
      <c r="P223" s="103"/>
      <c r="Q223" s="103"/>
      <c r="R223" s="1059"/>
      <c r="S223" s="1060"/>
      <c r="T223" s="660"/>
      <c r="U223" s="1059"/>
      <c r="V223" s="1060"/>
      <c r="W223" s="660"/>
      <c r="X223" s="1059"/>
      <c r="Y223" s="1060"/>
      <c r="Z223" s="660"/>
      <c r="AA223" s="103"/>
      <c r="AB223" s="637"/>
      <c r="AC223" s="660">
        <f t="shared" ref="AC223:BJ223" si="490">AC222/AC48</f>
        <v>0.45057009803921566</v>
      </c>
      <c r="AD223" s="103">
        <f t="shared" si="490"/>
        <v>6.8645135738343341E-2</v>
      </c>
      <c r="AE223" s="637">
        <f t="shared" si="490"/>
        <v>-1.5046461418410833E-2</v>
      </c>
      <c r="AF223" s="660">
        <f t="shared" si="490"/>
        <v>2.6831625584795248E-2</v>
      </c>
      <c r="AG223" s="103">
        <f t="shared" si="490"/>
        <v>0.18318759755709457</v>
      </c>
      <c r="AH223" s="637">
        <f t="shared" si="490"/>
        <v>0.80008665814159108</v>
      </c>
      <c r="AI223" s="660">
        <f t="shared" si="490"/>
        <v>0.42618251185112638</v>
      </c>
      <c r="AJ223" s="103">
        <f t="shared" si="490"/>
        <v>0.32235318826208564</v>
      </c>
      <c r="AK223" s="637">
        <f t="shared" si="490"/>
        <v>0.24577116240545174</v>
      </c>
      <c r="AL223" s="660">
        <f t="shared" si="490"/>
        <v>0.27651714815577544</v>
      </c>
      <c r="AM223" s="103">
        <f t="shared" si="490"/>
        <v>0.44130117296308907</v>
      </c>
      <c r="AN223" s="802">
        <f t="shared" si="490"/>
        <v>0.21142274286175544</v>
      </c>
      <c r="AO223" s="833">
        <f t="shared" si="490"/>
        <v>0.30232370379813506</v>
      </c>
      <c r="AP223" s="103">
        <f t="shared" si="490"/>
        <v>0.70054235704739776</v>
      </c>
      <c r="AQ223" s="802">
        <f t="shared" si="490"/>
        <v>0.3228103701114664</v>
      </c>
      <c r="AR223" s="833">
        <f t="shared" si="490"/>
        <v>0.46231670500287492</v>
      </c>
      <c r="AS223" s="169">
        <f t="shared" si="490"/>
        <v>0.39922437050359694</v>
      </c>
      <c r="AT223" s="802">
        <f t="shared" si="490"/>
        <v>0.36517018779342703</v>
      </c>
      <c r="AU223" s="833">
        <f t="shared" si="490"/>
        <v>0.38101464435146426</v>
      </c>
      <c r="AV223" s="6">
        <f t="shared" si="490"/>
        <v>0.23464375058431097</v>
      </c>
      <c r="AW223" s="752">
        <f t="shared" si="490"/>
        <v>-0.22760143868132088</v>
      </c>
      <c r="AX223" s="765">
        <f t="shared" si="490"/>
        <v>0</v>
      </c>
      <c r="AY223" s="159">
        <f t="shared" si="490"/>
        <v>0</v>
      </c>
      <c r="AZ223" s="752">
        <f t="shared" si="490"/>
        <v>0</v>
      </c>
      <c r="BA223" s="765">
        <f t="shared" si="490"/>
        <v>0</v>
      </c>
      <c r="BB223" s="159">
        <f t="shared" si="490"/>
        <v>0</v>
      </c>
      <c r="BC223" s="752">
        <f t="shared" si="490"/>
        <v>0</v>
      </c>
      <c r="BD223" s="765">
        <f t="shared" si="490"/>
        <v>0</v>
      </c>
      <c r="BE223" s="159">
        <f t="shared" si="490"/>
        <v>0</v>
      </c>
      <c r="BF223" s="752">
        <f t="shared" si="490"/>
        <v>0</v>
      </c>
      <c r="BG223" s="765">
        <f t="shared" si="490"/>
        <v>0</v>
      </c>
      <c r="BH223" s="159">
        <f t="shared" si="490"/>
        <v>0</v>
      </c>
      <c r="BI223" s="752">
        <f t="shared" si="490"/>
        <v>0</v>
      </c>
      <c r="BJ223" s="765">
        <f t="shared" si="490"/>
        <v>0</v>
      </c>
      <c r="BK223" s="169"/>
    </row>
    <row r="224" spans="1:66">
      <c r="B224" s="40"/>
      <c r="C224" s="40"/>
      <c r="D224" s="40"/>
      <c r="E224" s="40"/>
      <c r="F224" s="40"/>
      <c r="G224" s="40"/>
      <c r="H224" s="40"/>
      <c r="I224" s="40"/>
      <c r="J224" s="40"/>
      <c r="K224" s="40"/>
      <c r="L224" s="40"/>
      <c r="M224" s="40"/>
      <c r="N224" s="40"/>
      <c r="O224" s="40"/>
      <c r="P224" s="40"/>
      <c r="Q224" s="40"/>
      <c r="R224" s="51"/>
      <c r="S224" s="629"/>
      <c r="T224" s="653"/>
      <c r="U224" s="51"/>
      <c r="V224" s="629"/>
      <c r="W224" s="653"/>
      <c r="X224" s="51"/>
      <c r="Y224" s="629"/>
      <c r="Z224" s="653"/>
      <c r="AA224" s="40"/>
      <c r="AB224" s="630"/>
      <c r="AC224" s="653"/>
      <c r="AD224" s="40"/>
      <c r="AE224" s="630"/>
      <c r="AF224" s="653"/>
      <c r="AG224" s="40"/>
      <c r="AH224" s="630"/>
      <c r="AI224" s="653"/>
      <c r="AJ224" s="40"/>
      <c r="AK224" s="630"/>
      <c r="AL224" s="653"/>
      <c r="AM224" s="40"/>
      <c r="AN224" s="539"/>
      <c r="AO224" s="550"/>
      <c r="AP224" s="40"/>
      <c r="AQ224" s="539"/>
      <c r="AR224" s="550"/>
      <c r="AS224"/>
      <c r="AT224" s="539"/>
      <c r="AU224" s="550"/>
      <c r="AV224"/>
      <c r="AW224" s="539"/>
      <c r="AX224" s="550"/>
      <c r="AY224"/>
      <c r="AZ224" s="539"/>
      <c r="BA224" s="550"/>
      <c r="BB224"/>
      <c r="BC224" s="539"/>
      <c r="BD224" s="550"/>
      <c r="BE224"/>
      <c r="BF224" s="539"/>
      <c r="BG224" s="550"/>
      <c r="BH224"/>
      <c r="BI224" s="539"/>
      <c r="BJ224" s="550"/>
      <c r="BK224"/>
    </row>
    <row r="225" spans="1:63">
      <c r="A225" s="310" t="s">
        <v>288</v>
      </c>
      <c r="B225" s="318"/>
      <c r="C225" s="318"/>
      <c r="D225" s="318"/>
      <c r="E225" s="318"/>
      <c r="F225" s="318"/>
      <c r="G225" s="318"/>
      <c r="H225" s="318"/>
      <c r="I225" s="318"/>
      <c r="J225" s="318"/>
      <c r="K225" s="318"/>
      <c r="L225" s="318"/>
      <c r="M225" s="318"/>
      <c r="N225" s="318"/>
      <c r="O225" s="318"/>
      <c r="P225" s="318"/>
      <c r="Q225" s="318"/>
      <c r="R225" s="529"/>
      <c r="S225" s="319"/>
      <c r="T225" s="678"/>
      <c r="U225" s="529"/>
      <c r="V225" s="319"/>
      <c r="W225" s="678"/>
      <c r="X225" s="529"/>
      <c r="Y225" s="319"/>
      <c r="Z225" s="678"/>
      <c r="AA225" s="529"/>
      <c r="AB225" s="319"/>
      <c r="AC225" s="678"/>
      <c r="AD225" s="529"/>
      <c r="AE225" s="319"/>
      <c r="AF225" s="678"/>
      <c r="AG225" s="529"/>
      <c r="AH225" s="319"/>
      <c r="AI225" s="678"/>
      <c r="AJ225" s="529"/>
      <c r="AK225" s="319"/>
      <c r="AL225" s="678"/>
      <c r="AM225" s="529"/>
      <c r="AN225" s="319"/>
      <c r="AO225" s="678"/>
      <c r="AP225" s="529"/>
      <c r="AQ225" s="319"/>
      <c r="AR225" s="678"/>
      <c r="AS225" s="529"/>
      <c r="AT225" s="319"/>
      <c r="AU225" s="678"/>
      <c r="AV225" s="529"/>
      <c r="AW225" s="686"/>
      <c r="AX225" s="682"/>
      <c r="AY225" s="160"/>
      <c r="AZ225" s="686"/>
      <c r="BA225" s="682"/>
      <c r="BB225" s="160"/>
      <c r="BC225" s="686"/>
      <c r="BD225" s="682"/>
      <c r="BE225" s="160"/>
      <c r="BF225" s="686"/>
      <c r="BG225" s="682"/>
      <c r="BH225" s="160"/>
      <c r="BI225" s="686"/>
      <c r="BJ225" s="682"/>
      <c r="BK225"/>
    </row>
    <row r="226" spans="1:63">
      <c r="B226" s="40"/>
      <c r="C226" s="40"/>
      <c r="D226" s="40"/>
      <c r="E226" s="40"/>
      <c r="F226" s="40"/>
      <c r="G226" s="40"/>
      <c r="H226" s="40"/>
      <c r="I226" s="40"/>
      <c r="J226" s="40"/>
      <c r="K226" s="40"/>
      <c r="L226" s="40"/>
      <c r="M226" s="40"/>
      <c r="N226" s="40"/>
      <c r="O226" s="40"/>
      <c r="P226" s="40"/>
      <c r="Q226" s="40"/>
      <c r="R226" s="40"/>
      <c r="S226" s="630"/>
      <c r="T226" s="653"/>
      <c r="U226" s="40"/>
      <c r="V226" s="630"/>
      <c r="W226" s="653"/>
      <c r="X226" s="40"/>
      <c r="Y226" s="630"/>
      <c r="Z226" s="653"/>
      <c r="AA226" s="40"/>
      <c r="AB226" s="630"/>
      <c r="AC226" s="653"/>
      <c r="AD226" s="40"/>
      <c r="AE226" s="630"/>
      <c r="AF226" s="653"/>
      <c r="AG226" s="40"/>
      <c r="AH226" s="630"/>
      <c r="AI226" s="653"/>
      <c r="AJ226" s="40"/>
      <c r="AK226" s="630"/>
      <c r="AL226" s="653"/>
      <c r="AM226" s="40"/>
      <c r="AN226" s="539"/>
      <c r="AO226" s="550"/>
      <c r="AP226"/>
      <c r="AQ226" s="539"/>
      <c r="AR226" s="550"/>
      <c r="AS226"/>
      <c r="AT226" s="539"/>
      <c r="AU226" s="550"/>
      <c r="AV226"/>
      <c r="AW226" s="539"/>
      <c r="AX226" s="550"/>
      <c r="AY226"/>
      <c r="AZ226" s="539"/>
      <c r="BA226" s="550"/>
      <c r="BB226"/>
      <c r="BC226" s="539"/>
      <c r="BD226" s="550"/>
      <c r="BE226"/>
      <c r="BF226" s="539"/>
      <c r="BG226" s="550"/>
      <c r="BH226"/>
      <c r="BI226" s="539"/>
      <c r="BJ226" s="550"/>
      <c r="BK226"/>
    </row>
    <row r="227" spans="1:63">
      <c r="A227" s="31" t="s">
        <v>458</v>
      </c>
      <c r="B227" s="40"/>
      <c r="C227" s="40"/>
      <c r="D227" s="40"/>
      <c r="E227" s="40"/>
      <c r="F227" s="40"/>
      <c r="G227" s="40"/>
      <c r="H227" s="40"/>
      <c r="I227" s="40"/>
      <c r="J227" s="40"/>
      <c r="K227" s="40"/>
      <c r="L227" s="40"/>
      <c r="M227" s="40"/>
      <c r="N227" s="40"/>
      <c r="O227" s="40"/>
      <c r="P227" s="51">
        <f>SUM(P228:P231)</f>
        <v>428</v>
      </c>
      <c r="Q227" s="51">
        <f t="shared" ref="Q227:BJ227" si="491">SUM(Q228:Q231)</f>
        <v>404</v>
      </c>
      <c r="R227" s="51"/>
      <c r="S227" s="629"/>
      <c r="T227" s="652">
        <f t="shared" si="491"/>
        <v>292</v>
      </c>
      <c r="U227" s="51">
        <f t="shared" si="491"/>
        <v>99</v>
      </c>
      <c r="V227" s="629">
        <f t="shared" si="491"/>
        <v>101</v>
      </c>
      <c r="W227" s="652">
        <f>SUM(W228:W231)</f>
        <v>200</v>
      </c>
      <c r="X227" s="51">
        <f t="shared" ref="X227:Y227" si="492">SUM(X228:X231)</f>
        <v>106</v>
      </c>
      <c r="Y227" s="629">
        <f t="shared" si="492"/>
        <v>111</v>
      </c>
      <c r="Z227" s="652">
        <f>SUM(Z228:Z231)</f>
        <v>217</v>
      </c>
      <c r="AA227" s="51">
        <f t="shared" ref="AA227:AB227" si="493">SUM(AA228:AA231)</f>
        <v>112</v>
      </c>
      <c r="AB227" s="629">
        <f t="shared" si="493"/>
        <v>107</v>
      </c>
      <c r="AC227" s="652">
        <f>SUM(AC228:AC231)</f>
        <v>219</v>
      </c>
      <c r="AD227" s="51">
        <f t="shared" ref="AD227:AE227" si="494">SUM(AD228:AD231)</f>
        <v>103</v>
      </c>
      <c r="AE227" s="629">
        <f t="shared" si="494"/>
        <v>81</v>
      </c>
      <c r="AF227" s="652">
        <f>SUM(AF228:AF231)</f>
        <v>184</v>
      </c>
      <c r="AG227" s="51">
        <f t="shared" ref="AG227:AH227" si="495">SUM(AG228:AG231)</f>
        <v>48</v>
      </c>
      <c r="AH227" s="629">
        <f t="shared" si="495"/>
        <v>66</v>
      </c>
      <c r="AI227" s="652">
        <f t="shared" si="491"/>
        <v>114</v>
      </c>
      <c r="AJ227" s="51">
        <f t="shared" si="491"/>
        <v>71</v>
      </c>
      <c r="AK227" s="629">
        <f t="shared" ref="AK227" si="496">SUM(AK228:AK231)</f>
        <v>94</v>
      </c>
      <c r="AL227" s="652">
        <f t="shared" si="491"/>
        <v>165</v>
      </c>
      <c r="AM227" s="51">
        <f t="shared" ref="AM227:AO227" si="497">SUM(AM228:AM231)</f>
        <v>73</v>
      </c>
      <c r="AN227" s="629">
        <f t="shared" si="497"/>
        <v>123</v>
      </c>
      <c r="AO227" s="652">
        <f t="shared" si="497"/>
        <v>196</v>
      </c>
      <c r="AP227" s="51">
        <f t="shared" ref="AP227:AR227" si="498">SUM(AP228:AP231)</f>
        <v>116</v>
      </c>
      <c r="AQ227" s="629">
        <f t="shared" si="498"/>
        <v>135</v>
      </c>
      <c r="AR227" s="652">
        <f t="shared" si="498"/>
        <v>251</v>
      </c>
      <c r="AS227" s="51">
        <f t="shared" ref="AS227" si="499">SUM(AS228:AS231)</f>
        <v>115</v>
      </c>
      <c r="AT227" s="218">
        <f t="shared" si="491"/>
        <v>109</v>
      </c>
      <c r="AU227" s="553">
        <f t="shared" si="491"/>
        <v>224</v>
      </c>
      <c r="AV227" s="27">
        <f t="shared" si="491"/>
        <v>122</v>
      </c>
      <c r="AW227" s="237">
        <f t="shared" si="491"/>
        <v>128</v>
      </c>
      <c r="AX227" s="576">
        <f t="shared" si="491"/>
        <v>250</v>
      </c>
      <c r="AY227" s="48">
        <f t="shared" si="491"/>
        <v>129</v>
      </c>
      <c r="AZ227" s="237">
        <f t="shared" si="491"/>
        <v>129</v>
      </c>
      <c r="BA227" s="576">
        <f t="shared" si="491"/>
        <v>258</v>
      </c>
      <c r="BB227" s="48">
        <f t="shared" si="491"/>
        <v>135</v>
      </c>
      <c r="BC227" s="237">
        <f t="shared" si="491"/>
        <v>135</v>
      </c>
      <c r="BD227" s="576">
        <f t="shared" si="491"/>
        <v>270</v>
      </c>
      <c r="BE227" s="48">
        <f t="shared" si="491"/>
        <v>141</v>
      </c>
      <c r="BF227" s="237">
        <f t="shared" si="491"/>
        <v>141</v>
      </c>
      <c r="BG227" s="576">
        <f t="shared" si="491"/>
        <v>282</v>
      </c>
      <c r="BH227" s="48">
        <f t="shared" si="491"/>
        <v>147</v>
      </c>
      <c r="BI227" s="237">
        <f t="shared" si="491"/>
        <v>147</v>
      </c>
      <c r="BJ227" s="576">
        <f t="shared" si="491"/>
        <v>294</v>
      </c>
      <c r="BK227" s="957"/>
    </row>
    <row r="228" spans="1:63">
      <c r="A228" s="25" t="s">
        <v>262</v>
      </c>
      <c r="B228" s="40"/>
      <c r="C228" s="40"/>
      <c r="D228" s="40"/>
      <c r="E228" s="40"/>
      <c r="F228" s="40"/>
      <c r="G228" s="40"/>
      <c r="H228" s="40"/>
      <c r="I228" s="40"/>
      <c r="J228" s="40"/>
      <c r="K228" s="40"/>
      <c r="L228" s="40"/>
      <c r="M228" s="40"/>
      <c r="N228" s="40"/>
      <c r="O228" s="40"/>
      <c r="P228" s="40">
        <f>P89</f>
        <v>46</v>
      </c>
      <c r="Q228" s="40">
        <f>Q89</f>
        <v>38</v>
      </c>
      <c r="R228" s="40"/>
      <c r="S228" s="630"/>
      <c r="T228" s="653">
        <f t="shared" ref="T228:BJ228" si="500">T89</f>
        <v>28</v>
      </c>
      <c r="U228" s="40">
        <f t="shared" si="500"/>
        <v>0</v>
      </c>
      <c r="V228" s="630">
        <f t="shared" si="500"/>
        <v>2</v>
      </c>
      <c r="W228" s="653">
        <f t="shared" si="500"/>
        <v>2</v>
      </c>
      <c r="X228" s="40">
        <f t="shared" si="500"/>
        <v>0</v>
      </c>
      <c r="Y228" s="630">
        <f t="shared" si="500"/>
        <v>0</v>
      </c>
      <c r="Z228" s="653">
        <f t="shared" si="500"/>
        <v>0</v>
      </c>
      <c r="AA228" s="40">
        <f t="shared" si="500"/>
        <v>0</v>
      </c>
      <c r="AB228" s="630">
        <f t="shared" si="500"/>
        <v>0</v>
      </c>
      <c r="AC228" s="653">
        <f t="shared" si="500"/>
        <v>0</v>
      </c>
      <c r="AD228" s="40">
        <f t="shared" si="500"/>
        <v>0</v>
      </c>
      <c r="AE228" s="630">
        <f t="shared" si="500"/>
        <v>0</v>
      </c>
      <c r="AF228" s="653">
        <f t="shared" si="500"/>
        <v>0</v>
      </c>
      <c r="AG228" s="40">
        <f t="shared" si="500"/>
        <v>0</v>
      </c>
      <c r="AH228" s="630">
        <f t="shared" si="500"/>
        <v>0</v>
      </c>
      <c r="AI228" s="653">
        <f t="shared" si="500"/>
        <v>0</v>
      </c>
      <c r="AJ228" s="40">
        <f t="shared" si="500"/>
        <v>0</v>
      </c>
      <c r="AK228" s="630">
        <f t="shared" si="500"/>
        <v>0</v>
      </c>
      <c r="AL228" s="653">
        <f t="shared" si="500"/>
        <v>0</v>
      </c>
      <c r="AM228" s="40">
        <f t="shared" si="500"/>
        <v>0</v>
      </c>
      <c r="AN228" s="630">
        <f t="shared" si="500"/>
        <v>0</v>
      </c>
      <c r="AO228" s="653">
        <f t="shared" si="500"/>
        <v>0</v>
      </c>
      <c r="AP228" s="40">
        <f t="shared" si="500"/>
        <v>0</v>
      </c>
      <c r="AQ228" s="630">
        <f t="shared" si="500"/>
        <v>0</v>
      </c>
      <c r="AR228" s="653">
        <f t="shared" si="500"/>
        <v>0</v>
      </c>
      <c r="AS228" s="40">
        <f t="shared" si="500"/>
        <v>0</v>
      </c>
      <c r="AT228" s="216">
        <f t="shared" si="500"/>
        <v>0</v>
      </c>
      <c r="AU228" s="556">
        <f t="shared" si="500"/>
        <v>0</v>
      </c>
      <c r="AV228" s="10">
        <f t="shared" si="500"/>
        <v>0</v>
      </c>
      <c r="AW228" s="236">
        <f t="shared" si="500"/>
        <v>0</v>
      </c>
      <c r="AX228" s="605">
        <f t="shared" si="500"/>
        <v>0</v>
      </c>
      <c r="AY228" s="56">
        <f t="shared" si="500"/>
        <v>0</v>
      </c>
      <c r="AZ228" s="236">
        <f t="shared" si="500"/>
        <v>0</v>
      </c>
      <c r="BA228" s="605">
        <f t="shared" si="500"/>
        <v>0</v>
      </c>
      <c r="BB228" s="56">
        <f t="shared" si="500"/>
        <v>0</v>
      </c>
      <c r="BC228" s="236">
        <f t="shared" si="500"/>
        <v>0</v>
      </c>
      <c r="BD228" s="605">
        <f t="shared" si="500"/>
        <v>0</v>
      </c>
      <c r="BE228" s="56">
        <f t="shared" si="500"/>
        <v>0</v>
      </c>
      <c r="BF228" s="236">
        <f t="shared" si="500"/>
        <v>0</v>
      </c>
      <c r="BG228" s="605">
        <f t="shared" si="500"/>
        <v>0</v>
      </c>
      <c r="BH228" s="56">
        <f t="shared" si="500"/>
        <v>0</v>
      </c>
      <c r="BI228" s="236">
        <f t="shared" si="500"/>
        <v>0</v>
      </c>
      <c r="BJ228" s="605">
        <f t="shared" si="500"/>
        <v>0</v>
      </c>
      <c r="BK228"/>
    </row>
    <row r="229" spans="1:63">
      <c r="A229" s="25" t="s">
        <v>734</v>
      </c>
      <c r="B229" s="40"/>
      <c r="C229" s="40"/>
      <c r="D229" s="40"/>
      <c r="E229" s="40"/>
      <c r="F229" s="40"/>
      <c r="G229" s="40"/>
      <c r="H229" s="40"/>
      <c r="I229" s="40"/>
      <c r="J229" s="40"/>
      <c r="K229" s="40"/>
      <c r="L229" s="40"/>
      <c r="M229" s="40"/>
      <c r="N229" s="40"/>
      <c r="O229" s="40"/>
      <c r="P229" s="40"/>
      <c r="Q229" s="40"/>
      <c r="R229" s="40"/>
      <c r="S229" s="630"/>
      <c r="T229" s="653"/>
      <c r="U229" s="40">
        <f>U92</f>
        <v>0</v>
      </c>
      <c r="V229" s="630">
        <f>V92</f>
        <v>0</v>
      </c>
      <c r="W229" s="653"/>
      <c r="X229" s="40">
        <f t="shared" ref="X229:BJ229" si="501">X92</f>
        <v>0</v>
      </c>
      <c r="Y229" s="630">
        <f t="shared" si="501"/>
        <v>2</v>
      </c>
      <c r="Z229" s="653">
        <f t="shared" si="501"/>
        <v>2</v>
      </c>
      <c r="AA229" s="40">
        <f t="shared" si="501"/>
        <v>1</v>
      </c>
      <c r="AB229" s="630">
        <f t="shared" si="501"/>
        <v>23</v>
      </c>
      <c r="AC229" s="653">
        <f t="shared" si="501"/>
        <v>24</v>
      </c>
      <c r="AD229" s="40">
        <f t="shared" si="501"/>
        <v>35</v>
      </c>
      <c r="AE229" s="630">
        <f t="shared" si="501"/>
        <v>37</v>
      </c>
      <c r="AF229" s="653">
        <f t="shared" si="501"/>
        <v>72</v>
      </c>
      <c r="AG229" s="40">
        <f t="shared" si="501"/>
        <v>20</v>
      </c>
      <c r="AH229" s="630">
        <f t="shared" si="501"/>
        <v>24</v>
      </c>
      <c r="AI229" s="653">
        <f t="shared" si="501"/>
        <v>44</v>
      </c>
      <c r="AJ229" s="40">
        <f t="shared" si="501"/>
        <v>36</v>
      </c>
      <c r="AK229" s="630">
        <f t="shared" si="501"/>
        <v>52</v>
      </c>
      <c r="AL229" s="653">
        <f t="shared" si="501"/>
        <v>88</v>
      </c>
      <c r="AM229" s="40">
        <f t="shared" si="501"/>
        <v>39</v>
      </c>
      <c r="AN229" s="630">
        <f t="shared" si="501"/>
        <v>64</v>
      </c>
      <c r="AO229" s="653">
        <f t="shared" si="501"/>
        <v>103</v>
      </c>
      <c r="AP229" s="40">
        <f t="shared" si="501"/>
        <v>83</v>
      </c>
      <c r="AQ229" s="630">
        <f t="shared" si="501"/>
        <v>91</v>
      </c>
      <c r="AR229" s="653">
        <f t="shared" si="501"/>
        <v>174</v>
      </c>
      <c r="AS229" s="40">
        <f t="shared" si="501"/>
        <v>112</v>
      </c>
      <c r="AT229" s="216">
        <f t="shared" si="501"/>
        <v>107</v>
      </c>
      <c r="AU229" s="556">
        <f t="shared" si="501"/>
        <v>219</v>
      </c>
      <c r="AV229" s="10">
        <f t="shared" si="501"/>
        <v>122</v>
      </c>
      <c r="AW229" s="236">
        <f t="shared" si="501"/>
        <v>128</v>
      </c>
      <c r="AX229" s="605">
        <f t="shared" si="501"/>
        <v>250</v>
      </c>
      <c r="AY229" s="56">
        <f t="shared" si="501"/>
        <v>129</v>
      </c>
      <c r="AZ229" s="236">
        <f t="shared" si="501"/>
        <v>129</v>
      </c>
      <c r="BA229" s="605">
        <f t="shared" si="501"/>
        <v>258</v>
      </c>
      <c r="BB229" s="56">
        <f t="shared" si="501"/>
        <v>135</v>
      </c>
      <c r="BC229" s="236">
        <f t="shared" si="501"/>
        <v>135</v>
      </c>
      <c r="BD229" s="605">
        <f t="shared" si="501"/>
        <v>270</v>
      </c>
      <c r="BE229" s="56">
        <f t="shared" si="501"/>
        <v>141</v>
      </c>
      <c r="BF229" s="236">
        <f t="shared" si="501"/>
        <v>141</v>
      </c>
      <c r="BG229" s="605">
        <f t="shared" si="501"/>
        <v>282</v>
      </c>
      <c r="BH229" s="56">
        <f t="shared" si="501"/>
        <v>147</v>
      </c>
      <c r="BI229" s="236">
        <f t="shared" si="501"/>
        <v>147</v>
      </c>
      <c r="BJ229" s="605">
        <f t="shared" si="501"/>
        <v>294</v>
      </c>
      <c r="BK229"/>
    </row>
    <row r="230" spans="1:63">
      <c r="A230" s="25" t="s">
        <v>263</v>
      </c>
      <c r="B230" s="40"/>
      <c r="C230" s="40"/>
      <c r="D230" s="40"/>
      <c r="E230" s="40"/>
      <c r="F230" s="40"/>
      <c r="G230" s="40"/>
      <c r="H230" s="40"/>
      <c r="I230" s="40"/>
      <c r="J230" s="40"/>
      <c r="K230" s="40"/>
      <c r="L230" s="40"/>
      <c r="M230" s="40"/>
      <c r="N230" s="40"/>
      <c r="O230" s="40"/>
      <c r="P230" s="40">
        <f>P90</f>
        <v>48</v>
      </c>
      <c r="Q230" s="40">
        <f>Q90</f>
        <v>34</v>
      </c>
      <c r="R230" s="40"/>
      <c r="S230" s="630"/>
      <c r="T230" s="653">
        <f t="shared" ref="T230:BJ230" si="502">T90</f>
        <v>20</v>
      </c>
      <c r="U230" s="40">
        <f t="shared" si="502"/>
        <v>4</v>
      </c>
      <c r="V230" s="630">
        <f t="shared" si="502"/>
        <v>4</v>
      </c>
      <c r="W230" s="653">
        <f t="shared" si="502"/>
        <v>8</v>
      </c>
      <c r="X230" s="40">
        <f t="shared" si="502"/>
        <v>2</v>
      </c>
      <c r="Y230" s="630">
        <f t="shared" si="502"/>
        <v>8</v>
      </c>
      <c r="Z230" s="653">
        <f t="shared" si="502"/>
        <v>10</v>
      </c>
      <c r="AA230" s="40">
        <f t="shared" si="502"/>
        <v>4</v>
      </c>
      <c r="AB230" s="630">
        <f t="shared" si="502"/>
        <v>0</v>
      </c>
      <c r="AC230" s="653">
        <f t="shared" si="502"/>
        <v>4</v>
      </c>
      <c r="AD230" s="40">
        <f t="shared" si="502"/>
        <v>0</v>
      </c>
      <c r="AE230" s="630">
        <f t="shared" si="502"/>
        <v>0</v>
      </c>
      <c r="AF230" s="653">
        <f t="shared" si="502"/>
        <v>0</v>
      </c>
      <c r="AG230" s="40">
        <f t="shared" si="502"/>
        <v>0</v>
      </c>
      <c r="AH230" s="630">
        <f t="shared" si="502"/>
        <v>0</v>
      </c>
      <c r="AI230" s="653">
        <f t="shared" si="502"/>
        <v>0</v>
      </c>
      <c r="AJ230" s="40">
        <f t="shared" si="502"/>
        <v>0</v>
      </c>
      <c r="AK230" s="630">
        <f t="shared" si="502"/>
        <v>0</v>
      </c>
      <c r="AL230" s="653">
        <f t="shared" si="502"/>
        <v>0</v>
      </c>
      <c r="AM230" s="40">
        <f t="shared" si="502"/>
        <v>0</v>
      </c>
      <c r="AN230" s="630">
        <f t="shared" si="502"/>
        <v>0</v>
      </c>
      <c r="AO230" s="653">
        <f t="shared" si="502"/>
        <v>0</v>
      </c>
      <c r="AP230" s="40">
        <f t="shared" si="502"/>
        <v>0</v>
      </c>
      <c r="AQ230" s="630">
        <f t="shared" si="502"/>
        <v>0</v>
      </c>
      <c r="AR230" s="653">
        <f t="shared" si="502"/>
        <v>0</v>
      </c>
      <c r="AS230" s="40">
        <f t="shared" si="502"/>
        <v>0</v>
      </c>
      <c r="AT230" s="216">
        <f t="shared" si="502"/>
        <v>0</v>
      </c>
      <c r="AU230" s="556">
        <f t="shared" si="502"/>
        <v>0</v>
      </c>
      <c r="AV230" s="10">
        <f t="shared" si="502"/>
        <v>0</v>
      </c>
      <c r="AW230" s="236">
        <f t="shared" si="502"/>
        <v>0</v>
      </c>
      <c r="AX230" s="605">
        <f t="shared" si="502"/>
        <v>0</v>
      </c>
      <c r="AY230" s="56">
        <f t="shared" si="502"/>
        <v>0</v>
      </c>
      <c r="AZ230" s="236">
        <f t="shared" si="502"/>
        <v>0</v>
      </c>
      <c r="BA230" s="605">
        <f t="shared" si="502"/>
        <v>0</v>
      </c>
      <c r="BB230" s="56">
        <f t="shared" si="502"/>
        <v>0</v>
      </c>
      <c r="BC230" s="236">
        <f t="shared" si="502"/>
        <v>0</v>
      </c>
      <c r="BD230" s="605">
        <f t="shared" si="502"/>
        <v>0</v>
      </c>
      <c r="BE230" s="56">
        <f t="shared" si="502"/>
        <v>0</v>
      </c>
      <c r="BF230" s="236">
        <f t="shared" si="502"/>
        <v>0</v>
      </c>
      <c r="BG230" s="605">
        <f t="shared" si="502"/>
        <v>0</v>
      </c>
      <c r="BH230" s="56">
        <f t="shared" si="502"/>
        <v>0</v>
      </c>
      <c r="BI230" s="236">
        <f t="shared" si="502"/>
        <v>0</v>
      </c>
      <c r="BJ230" s="605">
        <f t="shared" si="502"/>
        <v>0</v>
      </c>
      <c r="BK230"/>
    </row>
    <row r="231" spans="1:63">
      <c r="A231" s="25" t="s">
        <v>264</v>
      </c>
      <c r="B231" s="40"/>
      <c r="C231" s="40"/>
      <c r="D231" s="40"/>
      <c r="E231" s="40"/>
      <c r="F231" s="40"/>
      <c r="G231" s="40"/>
      <c r="H231" s="40"/>
      <c r="I231" s="40"/>
      <c r="J231" s="40"/>
      <c r="K231" s="40"/>
      <c r="L231" s="40"/>
      <c r="M231" s="40"/>
      <c r="N231" s="40"/>
      <c r="O231" s="40"/>
      <c r="P231" s="40">
        <f>P91</f>
        <v>334</v>
      </c>
      <c r="Q231" s="40">
        <f>Q91</f>
        <v>332</v>
      </c>
      <c r="R231" s="40"/>
      <c r="S231" s="630"/>
      <c r="T231" s="653">
        <f t="shared" ref="T231:BJ231" si="503">T91</f>
        <v>244</v>
      </c>
      <c r="U231" s="40">
        <f t="shared" si="503"/>
        <v>95</v>
      </c>
      <c r="V231" s="630">
        <f t="shared" si="503"/>
        <v>95</v>
      </c>
      <c r="W231" s="653">
        <f t="shared" si="503"/>
        <v>190</v>
      </c>
      <c r="X231" s="40">
        <f t="shared" si="503"/>
        <v>104</v>
      </c>
      <c r="Y231" s="630">
        <f t="shared" si="503"/>
        <v>101</v>
      </c>
      <c r="Z231" s="653">
        <f t="shared" si="503"/>
        <v>205</v>
      </c>
      <c r="AA231" s="40">
        <f t="shared" si="503"/>
        <v>107</v>
      </c>
      <c r="AB231" s="630">
        <f t="shared" si="503"/>
        <v>84</v>
      </c>
      <c r="AC231" s="653">
        <f t="shared" si="503"/>
        <v>191</v>
      </c>
      <c r="AD231" s="40">
        <f t="shared" si="503"/>
        <v>68</v>
      </c>
      <c r="AE231" s="630">
        <f t="shared" si="503"/>
        <v>44</v>
      </c>
      <c r="AF231" s="653">
        <f t="shared" si="503"/>
        <v>112</v>
      </c>
      <c r="AG231" s="40">
        <f t="shared" si="503"/>
        <v>28</v>
      </c>
      <c r="AH231" s="630">
        <f t="shared" si="503"/>
        <v>42</v>
      </c>
      <c r="AI231" s="653">
        <f t="shared" si="503"/>
        <v>70</v>
      </c>
      <c r="AJ231" s="40">
        <f t="shared" si="503"/>
        <v>35</v>
      </c>
      <c r="AK231" s="630">
        <f t="shared" si="503"/>
        <v>42</v>
      </c>
      <c r="AL231" s="653">
        <f t="shared" si="503"/>
        <v>77</v>
      </c>
      <c r="AM231" s="40">
        <f t="shared" si="503"/>
        <v>34</v>
      </c>
      <c r="AN231" s="630">
        <f t="shared" si="503"/>
        <v>59</v>
      </c>
      <c r="AO231" s="653">
        <f t="shared" si="503"/>
        <v>93</v>
      </c>
      <c r="AP231" s="40">
        <f t="shared" si="503"/>
        <v>33</v>
      </c>
      <c r="AQ231" s="630">
        <f t="shared" si="503"/>
        <v>44</v>
      </c>
      <c r="AR231" s="653">
        <f t="shared" si="503"/>
        <v>77</v>
      </c>
      <c r="AS231" s="40">
        <f t="shared" si="503"/>
        <v>3</v>
      </c>
      <c r="AT231" s="216">
        <f t="shared" si="503"/>
        <v>2</v>
      </c>
      <c r="AU231" s="556">
        <f t="shared" si="503"/>
        <v>5</v>
      </c>
      <c r="AV231" s="10">
        <f t="shared" si="503"/>
        <v>0</v>
      </c>
      <c r="AW231" s="236">
        <f t="shared" si="503"/>
        <v>0</v>
      </c>
      <c r="AX231" s="605">
        <f t="shared" si="503"/>
        <v>0</v>
      </c>
      <c r="AY231" s="56">
        <f t="shared" si="503"/>
        <v>0</v>
      </c>
      <c r="AZ231" s="236">
        <f t="shared" si="503"/>
        <v>0</v>
      </c>
      <c r="BA231" s="605">
        <f t="shared" si="503"/>
        <v>0</v>
      </c>
      <c r="BB231" s="56">
        <f t="shared" si="503"/>
        <v>0</v>
      </c>
      <c r="BC231" s="236">
        <f t="shared" si="503"/>
        <v>0</v>
      </c>
      <c r="BD231" s="605">
        <f t="shared" si="503"/>
        <v>0</v>
      </c>
      <c r="BE231" s="56">
        <f t="shared" si="503"/>
        <v>0</v>
      </c>
      <c r="BF231" s="236">
        <f t="shared" si="503"/>
        <v>0</v>
      </c>
      <c r="BG231" s="605">
        <f t="shared" si="503"/>
        <v>0</v>
      </c>
      <c r="BH231" s="56">
        <f t="shared" si="503"/>
        <v>0</v>
      </c>
      <c r="BI231" s="236">
        <f t="shared" si="503"/>
        <v>0</v>
      </c>
      <c r="BJ231" s="605">
        <f t="shared" si="503"/>
        <v>0</v>
      </c>
      <c r="BK231"/>
    </row>
    <row r="232" spans="1:63">
      <c r="B232" s="40"/>
      <c r="C232" s="40"/>
      <c r="D232" s="40"/>
      <c r="E232" s="40"/>
      <c r="F232" s="40"/>
      <c r="G232" s="40"/>
      <c r="H232" s="40"/>
      <c r="I232" s="40"/>
      <c r="J232" s="40"/>
      <c r="K232" s="40"/>
      <c r="L232" s="40"/>
      <c r="M232" s="40"/>
      <c r="N232" s="40"/>
      <c r="O232" s="40"/>
      <c r="P232" s="40"/>
      <c r="Q232" s="40"/>
      <c r="R232" s="40"/>
      <c r="S232" s="630"/>
      <c r="T232" s="653"/>
      <c r="U232" s="40"/>
      <c r="V232" s="630"/>
      <c r="W232" s="653"/>
      <c r="X232" s="40"/>
      <c r="Y232" s="630"/>
      <c r="Z232" s="653"/>
      <c r="AA232" s="40"/>
      <c r="AB232" s="630"/>
      <c r="AC232" s="653"/>
      <c r="AD232" s="40"/>
      <c r="AE232" s="630"/>
      <c r="AF232" s="653"/>
      <c r="AG232" s="40"/>
      <c r="AH232" s="630"/>
      <c r="AI232" s="653"/>
      <c r="AJ232" s="40"/>
      <c r="AK232" s="630"/>
      <c r="AL232" s="653"/>
      <c r="AM232" s="40"/>
      <c r="AN232" s="539"/>
      <c r="AO232" s="550"/>
      <c r="AP232"/>
      <c r="AQ232" s="539"/>
      <c r="AR232" s="550"/>
      <c r="AS232"/>
      <c r="AT232" s="539"/>
      <c r="AU232" s="550"/>
      <c r="AV232" s="10"/>
      <c r="AW232" s="539"/>
      <c r="AX232" s="550"/>
      <c r="AY232"/>
      <c r="AZ232" s="539"/>
      <c r="BA232" s="550"/>
      <c r="BB232"/>
      <c r="BC232" s="539"/>
      <c r="BD232" s="550"/>
      <c r="BE232"/>
      <c r="BF232" s="539"/>
      <c r="BG232" s="550"/>
      <c r="BH232"/>
      <c r="BI232" s="539"/>
      <c r="BJ232" s="550"/>
      <c r="BK232"/>
    </row>
    <row r="233" spans="1:63">
      <c r="A233" s="31" t="s">
        <v>475</v>
      </c>
      <c r="B233" s="40"/>
      <c r="C233" s="40"/>
      <c r="D233" s="40"/>
      <c r="E233" s="40"/>
      <c r="F233" s="40"/>
      <c r="G233" s="40"/>
      <c r="H233" s="40"/>
      <c r="I233" s="40"/>
      <c r="J233" s="40"/>
      <c r="K233" s="40"/>
      <c r="L233" s="40"/>
      <c r="M233" s="40"/>
      <c r="N233" s="40"/>
      <c r="O233" s="40"/>
      <c r="P233" s="86">
        <f t="shared" ref="P233:BJ233" si="504">SUM(P234:P237)</f>
        <v>6.06</v>
      </c>
      <c r="Q233" s="86">
        <f t="shared" si="504"/>
        <v>5.8050000000000006</v>
      </c>
      <c r="R233" s="86"/>
      <c r="S233" s="634"/>
      <c r="T233" s="657">
        <f t="shared" si="504"/>
        <v>4.2300000000000004</v>
      </c>
      <c r="U233" s="86">
        <f t="shared" ref="U233:V233" si="505">SUM(U234:U237)</f>
        <v>1.4550000000000001</v>
      </c>
      <c r="V233" s="634">
        <f t="shared" si="505"/>
        <v>1.4850000000000001</v>
      </c>
      <c r="W233" s="657">
        <f t="shared" si="504"/>
        <v>2.94</v>
      </c>
      <c r="X233" s="86">
        <f t="shared" si="504"/>
        <v>1.575</v>
      </c>
      <c r="Y233" s="634">
        <f t="shared" si="504"/>
        <v>1.605</v>
      </c>
      <c r="Z233" s="657">
        <f t="shared" si="504"/>
        <v>3.18</v>
      </c>
      <c r="AA233" s="86">
        <f t="shared" ref="AA233:AB233" si="506">SUM(AA234:AA237)</f>
        <v>1.65</v>
      </c>
      <c r="AB233" s="634">
        <f t="shared" si="506"/>
        <v>1.605</v>
      </c>
      <c r="AC233" s="657">
        <f t="shared" si="504"/>
        <v>3.2550000000000003</v>
      </c>
      <c r="AD233" s="86">
        <f t="shared" si="504"/>
        <v>1.5449999999999999</v>
      </c>
      <c r="AE233" s="634">
        <f t="shared" si="504"/>
        <v>1.2150000000000001</v>
      </c>
      <c r="AF233" s="657">
        <f>SUM(AF234:AF237)</f>
        <v>2.76</v>
      </c>
      <c r="AG233" s="86">
        <f t="shared" ref="AG233:AH233" si="507">SUM(AG234:AG237)</f>
        <v>0.72</v>
      </c>
      <c r="AH233" s="634">
        <f t="shared" si="507"/>
        <v>0.99</v>
      </c>
      <c r="AI233" s="657">
        <f t="shared" si="504"/>
        <v>1.71</v>
      </c>
      <c r="AJ233" s="86">
        <f t="shared" si="504"/>
        <v>1.0649999999999999</v>
      </c>
      <c r="AK233" s="634">
        <f t="shared" ref="AK233" si="508">SUM(AK234:AK237)</f>
        <v>1.4100000000000001</v>
      </c>
      <c r="AL233" s="657">
        <f t="shared" si="504"/>
        <v>2.4750000000000001</v>
      </c>
      <c r="AM233" s="86">
        <f t="shared" ref="AM233:AO233" si="509">SUM(AM234:AM237)</f>
        <v>1.095</v>
      </c>
      <c r="AN233" s="634">
        <f t="shared" si="509"/>
        <v>1.845</v>
      </c>
      <c r="AO233" s="657">
        <f t="shared" si="509"/>
        <v>2.94</v>
      </c>
      <c r="AP233" s="86">
        <f t="shared" ref="AP233:AR233" si="510">SUM(AP234:AP237)</f>
        <v>1.7400000000000002</v>
      </c>
      <c r="AQ233" s="634">
        <f t="shared" si="510"/>
        <v>2.0249999999999999</v>
      </c>
      <c r="AR233" s="657">
        <f t="shared" si="510"/>
        <v>3.7649999999999997</v>
      </c>
      <c r="AS233" s="86">
        <f t="shared" ref="AS233" si="511">SUM(AS234:AS237)</f>
        <v>1.7249999999999999</v>
      </c>
      <c r="AT233" s="233">
        <f t="shared" si="504"/>
        <v>1.635</v>
      </c>
      <c r="AU233" s="938">
        <f t="shared" si="504"/>
        <v>3.3600000000000003</v>
      </c>
      <c r="AV233" s="225">
        <f t="shared" si="504"/>
        <v>1.83</v>
      </c>
      <c r="AW233" s="253">
        <f t="shared" si="504"/>
        <v>1.92</v>
      </c>
      <c r="AX233" s="770">
        <f t="shared" si="504"/>
        <v>3.75</v>
      </c>
      <c r="AY233" s="966">
        <f t="shared" si="504"/>
        <v>1.9350000000000001</v>
      </c>
      <c r="AZ233" s="253">
        <f t="shared" si="504"/>
        <v>1.9350000000000001</v>
      </c>
      <c r="BA233" s="770">
        <f t="shared" si="504"/>
        <v>3.87</v>
      </c>
      <c r="BB233" s="966">
        <f t="shared" si="504"/>
        <v>2.0249999999999999</v>
      </c>
      <c r="BC233" s="253">
        <f t="shared" si="504"/>
        <v>2.0249999999999999</v>
      </c>
      <c r="BD233" s="770">
        <f t="shared" si="504"/>
        <v>4.05</v>
      </c>
      <c r="BE233" s="966">
        <f t="shared" si="504"/>
        <v>2.1150000000000002</v>
      </c>
      <c r="BF233" s="253">
        <f t="shared" si="504"/>
        <v>2.1150000000000002</v>
      </c>
      <c r="BG233" s="770">
        <f t="shared" si="504"/>
        <v>4.2300000000000004</v>
      </c>
      <c r="BH233" s="966">
        <f t="shared" si="504"/>
        <v>2.2050000000000001</v>
      </c>
      <c r="BI233" s="253">
        <f t="shared" si="504"/>
        <v>2.2050000000000001</v>
      </c>
      <c r="BJ233" s="770">
        <f t="shared" si="504"/>
        <v>4.41</v>
      </c>
      <c r="BK233"/>
    </row>
    <row r="234" spans="1:63">
      <c r="A234" s="25" t="s">
        <v>262</v>
      </c>
      <c r="B234" s="40"/>
      <c r="C234" s="40"/>
      <c r="D234" s="40"/>
      <c r="E234" s="40"/>
      <c r="F234" s="40"/>
      <c r="G234" s="40"/>
      <c r="H234" s="40"/>
      <c r="I234" s="40"/>
      <c r="J234" s="40"/>
      <c r="K234" s="40"/>
      <c r="L234" s="40"/>
      <c r="M234" s="40"/>
      <c r="N234" s="40"/>
      <c r="O234" s="40"/>
      <c r="P234" s="81">
        <v>0.69</v>
      </c>
      <c r="Q234" s="81">
        <v>0.56999999999999995</v>
      </c>
      <c r="R234" s="81"/>
      <c r="S234" s="636"/>
      <c r="T234" s="659">
        <v>0.42</v>
      </c>
      <c r="U234" s="81">
        <v>0</v>
      </c>
      <c r="V234" s="636">
        <v>0.03</v>
      </c>
      <c r="W234" s="659">
        <v>0.03</v>
      </c>
      <c r="X234" s="81">
        <v>0</v>
      </c>
      <c r="Y234" s="636">
        <v>0</v>
      </c>
      <c r="Z234" s="659">
        <v>0</v>
      </c>
      <c r="AA234" s="81">
        <v>0</v>
      </c>
      <c r="AB234" s="636">
        <v>0</v>
      </c>
      <c r="AC234" s="659">
        <v>0</v>
      </c>
      <c r="AD234" s="81">
        <v>0</v>
      </c>
      <c r="AE234" s="636">
        <v>0</v>
      </c>
      <c r="AF234" s="659">
        <v>0</v>
      </c>
      <c r="AG234" s="81">
        <v>0</v>
      </c>
      <c r="AH234" s="636">
        <v>0</v>
      </c>
      <c r="AI234" s="659">
        <v>0</v>
      </c>
      <c r="AJ234" s="81">
        <v>0</v>
      </c>
      <c r="AK234" s="636">
        <v>0</v>
      </c>
      <c r="AL234" s="659">
        <v>0</v>
      </c>
      <c r="AM234" s="81">
        <v>0</v>
      </c>
      <c r="AN234" s="636">
        <v>0</v>
      </c>
      <c r="AO234" s="659">
        <v>0</v>
      </c>
      <c r="AP234" s="81">
        <v>0</v>
      </c>
      <c r="AQ234" s="636">
        <v>0</v>
      </c>
      <c r="AR234" s="659">
        <v>0</v>
      </c>
      <c r="AS234" s="81">
        <v>0</v>
      </c>
      <c r="AT234" s="234">
        <v>0</v>
      </c>
      <c r="AU234" s="561">
        <v>0</v>
      </c>
      <c r="AV234" s="203">
        <v>0</v>
      </c>
      <c r="AW234" s="235">
        <v>0</v>
      </c>
      <c r="AX234" s="611">
        <v>0</v>
      </c>
      <c r="AY234" s="173">
        <v>0</v>
      </c>
      <c r="AZ234" s="235">
        <v>0</v>
      </c>
      <c r="BA234" s="611">
        <v>0</v>
      </c>
      <c r="BB234" s="173">
        <v>0</v>
      </c>
      <c r="BC234" s="235">
        <v>0</v>
      </c>
      <c r="BD234" s="611">
        <v>0</v>
      </c>
      <c r="BE234" s="173">
        <v>0</v>
      </c>
      <c r="BF234" s="235">
        <v>0</v>
      </c>
      <c r="BG234" s="611">
        <v>0</v>
      </c>
      <c r="BH234" s="173">
        <v>0</v>
      </c>
      <c r="BI234" s="235">
        <v>0</v>
      </c>
      <c r="BJ234" s="611">
        <v>0</v>
      </c>
      <c r="BK234"/>
    </row>
    <row r="235" spans="1:63">
      <c r="A235" s="25" t="s">
        <v>905</v>
      </c>
      <c r="B235" s="40"/>
      <c r="C235" s="40"/>
      <c r="D235" s="40"/>
      <c r="E235" s="40"/>
      <c r="F235" s="40"/>
      <c r="G235" s="40"/>
      <c r="H235" s="40"/>
      <c r="I235" s="40"/>
      <c r="J235" s="40"/>
      <c r="K235" s="40"/>
      <c r="L235" s="40"/>
      <c r="M235" s="40"/>
      <c r="N235" s="40"/>
      <c r="O235" s="40"/>
      <c r="P235" s="81"/>
      <c r="Q235" s="81"/>
      <c r="R235" s="81"/>
      <c r="S235" s="636"/>
      <c r="T235" s="659"/>
      <c r="U235" s="81">
        <v>0</v>
      </c>
      <c r="V235" s="636">
        <v>0</v>
      </c>
      <c r="W235" s="659">
        <v>0</v>
      </c>
      <c r="X235" s="81">
        <v>0</v>
      </c>
      <c r="Y235" s="636">
        <v>0.03</v>
      </c>
      <c r="Z235" s="659">
        <v>0.03</v>
      </c>
      <c r="AA235" s="81">
        <v>1.4999999999999999E-2</v>
      </c>
      <c r="AB235" s="636">
        <v>0.34499999999999997</v>
      </c>
      <c r="AC235" s="659">
        <v>0.36</v>
      </c>
      <c r="AD235" s="81">
        <v>0.52500000000000002</v>
      </c>
      <c r="AE235" s="636">
        <v>0.55500000000000005</v>
      </c>
      <c r="AF235" s="659">
        <v>1.08</v>
      </c>
      <c r="AG235" s="81">
        <v>0.3</v>
      </c>
      <c r="AH235" s="636">
        <v>0.36</v>
      </c>
      <c r="AI235" s="659">
        <v>0.66</v>
      </c>
      <c r="AJ235" s="81">
        <v>0.54</v>
      </c>
      <c r="AK235" s="636">
        <v>0.78</v>
      </c>
      <c r="AL235" s="659">
        <v>1.32</v>
      </c>
      <c r="AM235" s="81">
        <v>0.58499999999999996</v>
      </c>
      <c r="AN235" s="636">
        <v>0.96</v>
      </c>
      <c r="AO235" s="659">
        <v>1.5449999999999999</v>
      </c>
      <c r="AP235" s="81">
        <v>1.2450000000000001</v>
      </c>
      <c r="AQ235" s="636">
        <v>1.365</v>
      </c>
      <c r="AR235" s="659">
        <v>2.61</v>
      </c>
      <c r="AS235" s="81">
        <v>1.68</v>
      </c>
      <c r="AT235" s="234">
        <v>1.605</v>
      </c>
      <c r="AU235" s="561">
        <v>3.2850000000000001</v>
      </c>
      <c r="AV235" s="203">
        <v>1.83</v>
      </c>
      <c r="AW235" s="235">
        <v>1.92</v>
      </c>
      <c r="AX235" s="611">
        <v>3.75</v>
      </c>
      <c r="AY235" s="173">
        <v>1.9350000000000001</v>
      </c>
      <c r="AZ235" s="235">
        <v>1.9350000000000001</v>
      </c>
      <c r="BA235" s="611">
        <v>3.87</v>
      </c>
      <c r="BB235" s="173">
        <v>2.0249999999999999</v>
      </c>
      <c r="BC235" s="235">
        <v>2.0249999999999999</v>
      </c>
      <c r="BD235" s="611">
        <v>4.05</v>
      </c>
      <c r="BE235" s="173">
        <v>2.1150000000000002</v>
      </c>
      <c r="BF235" s="235">
        <v>2.1150000000000002</v>
      </c>
      <c r="BG235" s="611">
        <v>4.2300000000000004</v>
      </c>
      <c r="BH235" s="173">
        <v>2.2050000000000001</v>
      </c>
      <c r="BI235" s="235">
        <v>2.2050000000000001</v>
      </c>
      <c r="BJ235" s="611">
        <v>4.41</v>
      </c>
      <c r="BK235"/>
    </row>
    <row r="236" spans="1:63">
      <c r="A236" s="25" t="s">
        <v>263</v>
      </c>
      <c r="B236" s="40"/>
      <c r="C236" s="40"/>
      <c r="D236" s="40"/>
      <c r="E236" s="40"/>
      <c r="F236" s="40"/>
      <c r="G236" s="40"/>
      <c r="H236" s="40"/>
      <c r="I236" s="40"/>
      <c r="J236" s="40"/>
      <c r="K236" s="40"/>
      <c r="L236" s="40"/>
      <c r="M236" s="40"/>
      <c r="N236" s="40"/>
      <c r="O236" s="40"/>
      <c r="P236" s="81">
        <v>0.36</v>
      </c>
      <c r="Q236" s="81">
        <v>0.255</v>
      </c>
      <c r="R236" s="81"/>
      <c r="S236" s="636"/>
      <c r="T236" s="659">
        <v>0.15</v>
      </c>
      <c r="U236" s="81">
        <v>0.03</v>
      </c>
      <c r="V236" s="636">
        <v>0.03</v>
      </c>
      <c r="W236" s="659">
        <v>0.06</v>
      </c>
      <c r="X236" s="81">
        <v>1.4999999999999999E-2</v>
      </c>
      <c r="Y236" s="636">
        <v>0.06</v>
      </c>
      <c r="Z236" s="659">
        <v>7.4999999999999997E-2</v>
      </c>
      <c r="AA236" s="81">
        <v>0.03</v>
      </c>
      <c r="AB236" s="636">
        <v>0</v>
      </c>
      <c r="AC236" s="659">
        <v>0.03</v>
      </c>
      <c r="AD236" s="81">
        <v>0</v>
      </c>
      <c r="AE236" s="636">
        <v>0</v>
      </c>
      <c r="AF236" s="659">
        <v>0</v>
      </c>
      <c r="AG236" s="81">
        <v>0</v>
      </c>
      <c r="AH236" s="636">
        <v>0</v>
      </c>
      <c r="AI236" s="659">
        <v>0</v>
      </c>
      <c r="AJ236" s="81">
        <v>0</v>
      </c>
      <c r="AK236" s="636">
        <v>0</v>
      </c>
      <c r="AL236" s="659">
        <v>0</v>
      </c>
      <c r="AM236" s="81">
        <v>0</v>
      </c>
      <c r="AN236" s="636">
        <v>0</v>
      </c>
      <c r="AO236" s="659">
        <v>0</v>
      </c>
      <c r="AP236" s="81">
        <v>0</v>
      </c>
      <c r="AQ236" s="636">
        <v>0</v>
      </c>
      <c r="AR236" s="659">
        <v>0</v>
      </c>
      <c r="AS236" s="81">
        <v>0</v>
      </c>
      <c r="AT236" s="234">
        <v>0</v>
      </c>
      <c r="AU236" s="561">
        <v>0</v>
      </c>
      <c r="AV236" s="203">
        <v>0</v>
      </c>
      <c r="AW236" s="235">
        <v>0</v>
      </c>
      <c r="AX236" s="611">
        <v>0</v>
      </c>
      <c r="AY236" s="173">
        <v>0</v>
      </c>
      <c r="AZ236" s="235">
        <v>0</v>
      </c>
      <c r="BA236" s="611">
        <v>0</v>
      </c>
      <c r="BB236" s="173">
        <v>0</v>
      </c>
      <c r="BC236" s="235">
        <v>0</v>
      </c>
      <c r="BD236" s="611">
        <v>0</v>
      </c>
      <c r="BE236" s="173">
        <v>0</v>
      </c>
      <c r="BF236" s="235">
        <v>0</v>
      </c>
      <c r="BG236" s="611">
        <v>0</v>
      </c>
      <c r="BH236" s="173">
        <v>0</v>
      </c>
      <c r="BI236" s="235">
        <v>0</v>
      </c>
      <c r="BJ236" s="611">
        <v>0</v>
      </c>
      <c r="BK236"/>
    </row>
    <row r="237" spans="1:63">
      <c r="A237" s="25" t="s">
        <v>264</v>
      </c>
      <c r="B237" s="40"/>
      <c r="C237" s="40"/>
      <c r="D237" s="40"/>
      <c r="E237" s="40"/>
      <c r="F237" s="40"/>
      <c r="G237" s="40"/>
      <c r="H237" s="40"/>
      <c r="I237" s="40"/>
      <c r="J237" s="40"/>
      <c r="K237" s="40"/>
      <c r="L237" s="40"/>
      <c r="M237" s="40"/>
      <c r="N237" s="40"/>
      <c r="O237" s="40"/>
      <c r="P237" s="81">
        <v>5.01</v>
      </c>
      <c r="Q237" s="81">
        <v>4.9800000000000004</v>
      </c>
      <c r="R237" s="81"/>
      <c r="S237" s="636"/>
      <c r="T237" s="659">
        <v>3.66</v>
      </c>
      <c r="U237" s="81">
        <v>1.425</v>
      </c>
      <c r="V237" s="636">
        <v>1.425</v>
      </c>
      <c r="W237" s="659">
        <v>2.85</v>
      </c>
      <c r="X237" s="81">
        <v>1.56</v>
      </c>
      <c r="Y237" s="636">
        <v>1.5149999999999999</v>
      </c>
      <c r="Z237" s="659">
        <v>3.0750000000000002</v>
      </c>
      <c r="AA237" s="81">
        <v>1.605</v>
      </c>
      <c r="AB237" s="636">
        <v>1.26</v>
      </c>
      <c r="AC237" s="659">
        <v>2.8650000000000002</v>
      </c>
      <c r="AD237" s="81">
        <v>1.02</v>
      </c>
      <c r="AE237" s="636">
        <v>0.66</v>
      </c>
      <c r="AF237" s="659">
        <v>1.68</v>
      </c>
      <c r="AG237" s="81">
        <v>0.42</v>
      </c>
      <c r="AH237" s="636">
        <v>0.63</v>
      </c>
      <c r="AI237" s="659">
        <v>1.05</v>
      </c>
      <c r="AJ237" s="81">
        <v>0.52500000000000002</v>
      </c>
      <c r="AK237" s="636">
        <v>0.63</v>
      </c>
      <c r="AL237" s="659">
        <v>1.155</v>
      </c>
      <c r="AM237" s="81">
        <v>0.51</v>
      </c>
      <c r="AN237" s="636">
        <v>0.88500000000000001</v>
      </c>
      <c r="AO237" s="659">
        <v>1.395</v>
      </c>
      <c r="AP237" s="81">
        <v>0.495</v>
      </c>
      <c r="AQ237" s="636">
        <v>0.66</v>
      </c>
      <c r="AR237" s="659">
        <v>1.155</v>
      </c>
      <c r="AS237" s="81">
        <v>4.4999999999999998E-2</v>
      </c>
      <c r="AT237" s="636">
        <v>0.03</v>
      </c>
      <c r="AU237" s="659">
        <v>7.4999999999999997E-2</v>
      </c>
      <c r="AV237" s="81">
        <v>0</v>
      </c>
      <c r="AW237" s="759">
        <v>0</v>
      </c>
      <c r="AX237" s="773">
        <v>0</v>
      </c>
      <c r="AY237" s="968">
        <v>0</v>
      </c>
      <c r="AZ237" s="759">
        <v>0</v>
      </c>
      <c r="BA237" s="773">
        <v>0</v>
      </c>
      <c r="BB237" s="968">
        <v>0</v>
      </c>
      <c r="BC237" s="759">
        <v>0</v>
      </c>
      <c r="BD237" s="773">
        <v>0</v>
      </c>
      <c r="BE237" s="968">
        <v>0</v>
      </c>
      <c r="BF237" s="759">
        <v>0</v>
      </c>
      <c r="BG237" s="773">
        <v>0</v>
      </c>
      <c r="BH237" s="968">
        <v>0</v>
      </c>
      <c r="BI237" s="759">
        <v>0</v>
      </c>
      <c r="BJ237" s="773">
        <v>0</v>
      </c>
      <c r="BK237"/>
    </row>
    <row r="238" spans="1:63">
      <c r="B238" s="40"/>
      <c r="C238" s="40"/>
      <c r="D238" s="40"/>
      <c r="E238" s="40"/>
      <c r="F238" s="40"/>
      <c r="G238" s="40"/>
      <c r="H238" s="40"/>
      <c r="I238" s="40"/>
      <c r="J238" s="40"/>
      <c r="K238" s="40"/>
      <c r="L238" s="40"/>
      <c r="M238" s="40"/>
      <c r="N238" s="40"/>
      <c r="O238" s="40"/>
      <c r="P238" s="40"/>
      <c r="Q238" s="40"/>
      <c r="R238" s="50"/>
      <c r="S238" s="647"/>
      <c r="T238" s="653"/>
      <c r="U238" s="40"/>
      <c r="V238" s="630"/>
      <c r="W238" s="653"/>
      <c r="X238" s="40"/>
      <c r="Y238" s="630"/>
      <c r="Z238" s="653"/>
      <c r="AA238" s="40"/>
      <c r="AB238" s="630"/>
      <c r="AC238" s="653"/>
      <c r="AD238" s="40"/>
      <c r="AE238" s="630"/>
      <c r="AF238" s="653"/>
      <c r="AG238" s="40"/>
      <c r="AH238" s="630"/>
      <c r="AI238" s="653"/>
      <c r="AJ238" s="40"/>
      <c r="AK238" s="630"/>
      <c r="AL238" s="653"/>
      <c r="AM238" s="40"/>
      <c r="AN238" s="539"/>
      <c r="AO238" s="550"/>
      <c r="AP238"/>
      <c r="AQ238" s="539"/>
      <c r="AR238" s="550"/>
      <c r="AS238"/>
      <c r="AT238" s="539"/>
      <c r="AU238" s="550"/>
      <c r="AV238" s="10"/>
      <c r="AW238" s="539"/>
      <c r="AX238" s="550"/>
      <c r="AY238"/>
      <c r="AZ238" s="539"/>
      <c r="BA238" s="550"/>
      <c r="BB238"/>
      <c r="BC238" s="539"/>
      <c r="BD238" s="550"/>
      <c r="BE238"/>
      <c r="BF238" s="539"/>
      <c r="BG238" s="550"/>
      <c r="BH238"/>
      <c r="BI238" s="539"/>
      <c r="BJ238" s="550"/>
      <c r="BK238"/>
    </row>
    <row r="239" spans="1:63">
      <c r="A239" s="68" t="s">
        <v>477</v>
      </c>
      <c r="B239" s="46"/>
      <c r="C239" s="46"/>
      <c r="D239" s="46"/>
      <c r="E239" s="46"/>
      <c r="F239" s="46"/>
      <c r="G239" s="46"/>
      <c r="H239" s="46"/>
      <c r="I239" s="46"/>
      <c r="J239" s="46"/>
      <c r="K239" s="46"/>
      <c r="L239" s="46"/>
      <c r="M239" s="46"/>
      <c r="N239" s="46"/>
      <c r="O239" s="46"/>
      <c r="P239" s="46">
        <f>P7</f>
        <v>974</v>
      </c>
      <c r="Q239" s="46">
        <f>Q7</f>
        <v>903</v>
      </c>
      <c r="R239" s="46"/>
      <c r="S239" s="643"/>
      <c r="T239" s="667">
        <f>T7</f>
        <v>757</v>
      </c>
      <c r="U239" s="46">
        <f t="shared" ref="U239:AV239" si="512">U21</f>
        <v>284</v>
      </c>
      <c r="V239" s="643">
        <f t="shared" si="512"/>
        <v>298</v>
      </c>
      <c r="W239" s="667">
        <f t="shared" si="512"/>
        <v>582</v>
      </c>
      <c r="X239" s="46">
        <f t="shared" si="512"/>
        <v>305</v>
      </c>
      <c r="Y239" s="643">
        <f t="shared" si="512"/>
        <v>315</v>
      </c>
      <c r="Z239" s="667">
        <f t="shared" si="512"/>
        <v>620</v>
      </c>
      <c r="AA239" s="46">
        <f t="shared" si="512"/>
        <v>330</v>
      </c>
      <c r="AB239" s="643">
        <f t="shared" si="512"/>
        <v>313</v>
      </c>
      <c r="AC239" s="667">
        <f t="shared" si="512"/>
        <v>643</v>
      </c>
      <c r="AD239" s="46">
        <f t="shared" si="512"/>
        <v>326</v>
      </c>
      <c r="AE239" s="643">
        <f t="shared" si="512"/>
        <v>248</v>
      </c>
      <c r="AF239" s="667">
        <f t="shared" si="512"/>
        <v>574</v>
      </c>
      <c r="AG239" s="46">
        <f t="shared" si="512"/>
        <v>113</v>
      </c>
      <c r="AH239" s="643">
        <f t="shared" si="512"/>
        <v>197</v>
      </c>
      <c r="AI239" s="667">
        <f t="shared" si="512"/>
        <v>310</v>
      </c>
      <c r="AJ239" s="46">
        <f t="shared" si="512"/>
        <v>175</v>
      </c>
      <c r="AK239" s="643">
        <f t="shared" si="512"/>
        <v>272</v>
      </c>
      <c r="AL239" s="667">
        <f t="shared" si="512"/>
        <v>447</v>
      </c>
      <c r="AM239" s="46">
        <f t="shared" si="512"/>
        <v>221</v>
      </c>
      <c r="AN239" s="643">
        <f t="shared" si="512"/>
        <v>436</v>
      </c>
      <c r="AO239" s="667">
        <f t="shared" si="512"/>
        <v>657</v>
      </c>
      <c r="AP239" s="46">
        <f t="shared" si="512"/>
        <v>473</v>
      </c>
      <c r="AQ239" s="643">
        <f t="shared" si="512"/>
        <v>457</v>
      </c>
      <c r="AR239" s="667">
        <f t="shared" si="512"/>
        <v>930</v>
      </c>
      <c r="AS239" s="46">
        <f t="shared" si="512"/>
        <v>473</v>
      </c>
      <c r="AT239" s="232">
        <f t="shared" si="512"/>
        <v>480</v>
      </c>
      <c r="AU239" s="552">
        <f t="shared" si="512"/>
        <v>953</v>
      </c>
      <c r="AV239" s="46">
        <f t="shared" si="512"/>
        <v>497</v>
      </c>
      <c r="AW239" s="250">
        <f>AX239-AV239</f>
        <v>587.88839285714289</v>
      </c>
      <c r="AX239" s="615">
        <f t="shared" ref="AX239:BJ239" si="513">AX240*AX227</f>
        <v>1084.8883928571429</v>
      </c>
      <c r="AY239" s="249">
        <f>AY240*AY227</f>
        <v>570.99845892857138</v>
      </c>
      <c r="AZ239" s="250">
        <f>BA239-AY239</f>
        <v>570.99845892857138</v>
      </c>
      <c r="BA239" s="615">
        <f t="shared" si="513"/>
        <v>1141.9969178571428</v>
      </c>
      <c r="BB239" s="249">
        <f>BB240*BB227</f>
        <v>609.50765732142861</v>
      </c>
      <c r="BC239" s="250">
        <f>BD239-BB239</f>
        <v>609.50765732142861</v>
      </c>
      <c r="BD239" s="615">
        <f t="shared" si="513"/>
        <v>1219.0153146428572</v>
      </c>
      <c r="BE239" s="249">
        <f>BE240*BE227</f>
        <v>649.32882426642857</v>
      </c>
      <c r="BF239" s="250">
        <f>BG239-BE239</f>
        <v>649.32882426642857</v>
      </c>
      <c r="BG239" s="615">
        <f t="shared" si="513"/>
        <v>1298.6576485328571</v>
      </c>
      <c r="BH239" s="249">
        <f>BH240*BH227</f>
        <v>690.49903482630009</v>
      </c>
      <c r="BI239" s="250">
        <f>BJ239-BH239</f>
        <v>690.49903482630009</v>
      </c>
      <c r="BJ239" s="615">
        <f t="shared" si="513"/>
        <v>1380.9980696526002</v>
      </c>
      <c r="BK239"/>
    </row>
    <row r="240" spans="1:63">
      <c r="A240" s="25" t="s">
        <v>483</v>
      </c>
      <c r="B240" s="51"/>
      <c r="C240" s="51"/>
      <c r="D240" s="51"/>
      <c r="E240" s="51"/>
      <c r="F240" s="51"/>
      <c r="G240" s="51"/>
      <c r="H240" s="51"/>
      <c r="I240" s="51"/>
      <c r="J240" s="51"/>
      <c r="K240" s="51"/>
      <c r="L240" s="51"/>
      <c r="M240" s="51"/>
      <c r="N240" s="51"/>
      <c r="O240" s="51"/>
      <c r="P240" s="81">
        <f t="shared" ref="P240:AF240" si="514">P239/P227</f>
        <v>2.2757009345794392</v>
      </c>
      <c r="Q240" s="81">
        <f t="shared" si="514"/>
        <v>2.2351485148514851</v>
      </c>
      <c r="R240" s="81"/>
      <c r="S240" s="636"/>
      <c r="T240" s="659">
        <f t="shared" si="514"/>
        <v>2.5924657534246576</v>
      </c>
      <c r="U240" s="81">
        <f>U239/U227</f>
        <v>2.8686868686868685</v>
      </c>
      <c r="V240" s="636">
        <f>V239/V227</f>
        <v>2.9504950495049505</v>
      </c>
      <c r="W240" s="659">
        <f t="shared" si="514"/>
        <v>2.91</v>
      </c>
      <c r="X240" s="81">
        <f>X239/X227</f>
        <v>2.8773584905660377</v>
      </c>
      <c r="Y240" s="636">
        <f>Y239/Y227</f>
        <v>2.8378378378378377</v>
      </c>
      <c r="Z240" s="659">
        <f t="shared" si="514"/>
        <v>2.8571428571428572</v>
      </c>
      <c r="AA240" s="81">
        <f>AA239/AA227</f>
        <v>2.9464285714285716</v>
      </c>
      <c r="AB240" s="636">
        <f>AB239/AB227</f>
        <v>2.9252336448598131</v>
      </c>
      <c r="AC240" s="659">
        <f t="shared" si="514"/>
        <v>2.9360730593607305</v>
      </c>
      <c r="AD240" s="81">
        <f>AD239/AD227</f>
        <v>3.1650485436893203</v>
      </c>
      <c r="AE240" s="636">
        <f>AE239/AE227</f>
        <v>3.0617283950617282</v>
      </c>
      <c r="AF240" s="659">
        <f t="shared" si="514"/>
        <v>3.1195652173913042</v>
      </c>
      <c r="AG240" s="81">
        <f t="shared" ref="AG240:AM240" si="515">AG239/AG227</f>
        <v>2.3541666666666665</v>
      </c>
      <c r="AH240" s="636">
        <f t="shared" si="515"/>
        <v>2.9848484848484849</v>
      </c>
      <c r="AI240" s="659">
        <f t="shared" si="515"/>
        <v>2.7192982456140351</v>
      </c>
      <c r="AJ240" s="81">
        <f t="shared" si="515"/>
        <v>2.464788732394366</v>
      </c>
      <c r="AK240" s="636">
        <f t="shared" si="515"/>
        <v>2.8936170212765959</v>
      </c>
      <c r="AL240" s="659">
        <f t="shared" si="515"/>
        <v>2.709090909090909</v>
      </c>
      <c r="AM240" s="81">
        <f t="shared" si="515"/>
        <v>3.0273972602739727</v>
      </c>
      <c r="AN240" s="636">
        <f t="shared" ref="AN240:AP240" si="516">AN239/AN227</f>
        <v>3.5447154471544717</v>
      </c>
      <c r="AO240" s="659">
        <f t="shared" si="516"/>
        <v>3.3520408163265305</v>
      </c>
      <c r="AP240" s="81">
        <f t="shared" si="516"/>
        <v>4.0775862068965516</v>
      </c>
      <c r="AQ240" s="636">
        <f t="shared" ref="AQ240:AV240" si="517">AQ239/AQ227</f>
        <v>3.3851851851851853</v>
      </c>
      <c r="AR240" s="659">
        <f t="shared" si="517"/>
        <v>3.7051792828685257</v>
      </c>
      <c r="AS240" s="81">
        <f t="shared" si="517"/>
        <v>4.1130434782608694</v>
      </c>
      <c r="AT240" s="234">
        <f t="shared" si="517"/>
        <v>4.4036697247706424</v>
      </c>
      <c r="AU240" s="561">
        <f t="shared" si="517"/>
        <v>4.2544642857142856</v>
      </c>
      <c r="AV240" s="81">
        <f t="shared" si="517"/>
        <v>4.0737704918032787</v>
      </c>
      <c r="AW240" s="235">
        <f>AW239/AW227</f>
        <v>4.5928780691964288</v>
      </c>
      <c r="AX240" s="611">
        <f>+AU240*(1+AX157)</f>
        <v>4.3395535714285716</v>
      </c>
      <c r="AY240" s="173">
        <f>BA240</f>
        <v>4.4263446428571429</v>
      </c>
      <c r="AZ240" s="235">
        <f>AZ239/AZ227</f>
        <v>4.4263446428571429</v>
      </c>
      <c r="BA240" s="611">
        <f>+AX240*(1+BA157)</f>
        <v>4.4263446428571429</v>
      </c>
      <c r="BB240" s="173">
        <f>BD240</f>
        <v>4.5148715357142857</v>
      </c>
      <c r="BC240" s="235">
        <f>BC239/BC227</f>
        <v>4.5148715357142857</v>
      </c>
      <c r="BD240" s="611">
        <f>+BA240*(1+BD157)</f>
        <v>4.5148715357142857</v>
      </c>
      <c r="BE240" s="173">
        <f>BG240</f>
        <v>4.6051689664285718</v>
      </c>
      <c r="BF240" s="235">
        <f>BF239/BF227</f>
        <v>4.6051689664285718</v>
      </c>
      <c r="BG240" s="611">
        <f>+BD240*(1+BG157)</f>
        <v>4.6051689664285718</v>
      </c>
      <c r="BH240" s="173">
        <f>BJ240</f>
        <v>4.6972723457571437</v>
      </c>
      <c r="BI240" s="235">
        <f>BI239/BI227</f>
        <v>4.6972723457571437</v>
      </c>
      <c r="BJ240" s="611">
        <f>+BG240*(1+BJ157)</f>
        <v>4.6972723457571437</v>
      </c>
      <c r="BK240"/>
    </row>
    <row r="241" spans="1:65">
      <c r="A241" s="25" t="s">
        <v>476</v>
      </c>
      <c r="B241" s="40"/>
      <c r="C241" s="40"/>
      <c r="D241" s="40"/>
      <c r="E241" s="40"/>
      <c r="F241" s="40"/>
      <c r="G241" s="40"/>
      <c r="H241" s="40"/>
      <c r="I241" s="40"/>
      <c r="J241" s="40"/>
      <c r="K241" s="40"/>
      <c r="L241" s="40"/>
      <c r="M241" s="40"/>
      <c r="N241" s="40"/>
      <c r="O241" s="40"/>
      <c r="P241" s="40">
        <f t="shared" ref="P241:BJ241" si="518">P239/P233</f>
        <v>160.72607260726073</v>
      </c>
      <c r="Q241" s="40">
        <f t="shared" si="518"/>
        <v>155.55555555555554</v>
      </c>
      <c r="R241" s="40"/>
      <c r="S241" s="630"/>
      <c r="T241" s="653">
        <f t="shared" si="518"/>
        <v>178.95981087470449</v>
      </c>
      <c r="U241" s="40">
        <f t="shared" ref="U241:V241" si="519">U239/U233</f>
        <v>195.18900343642611</v>
      </c>
      <c r="V241" s="630">
        <f t="shared" si="519"/>
        <v>200.67340067340066</v>
      </c>
      <c r="W241" s="653">
        <f t="shared" si="518"/>
        <v>197.9591836734694</v>
      </c>
      <c r="X241" s="40">
        <f t="shared" si="518"/>
        <v>193.65079365079364</v>
      </c>
      <c r="Y241" s="630">
        <f t="shared" si="518"/>
        <v>196.26168224299064</v>
      </c>
      <c r="Z241" s="653">
        <f t="shared" si="518"/>
        <v>194.96855345911948</v>
      </c>
      <c r="AA241" s="40">
        <f t="shared" ref="AA241:AB241" si="520">AA239/AA233</f>
        <v>200</v>
      </c>
      <c r="AB241" s="630">
        <f t="shared" si="520"/>
        <v>195.01557632398755</v>
      </c>
      <c r="AC241" s="653">
        <f t="shared" si="518"/>
        <v>197.54224270353299</v>
      </c>
      <c r="AD241" s="40">
        <f t="shared" si="518"/>
        <v>211.0032362459547</v>
      </c>
      <c r="AE241" s="630">
        <f t="shared" si="518"/>
        <v>204.11522633744855</v>
      </c>
      <c r="AF241" s="653">
        <f>AF239/AF233</f>
        <v>207.97101449275365</v>
      </c>
      <c r="AG241" s="40">
        <f t="shared" ref="AG241:AH241" si="521">AG239/AG233</f>
        <v>156.94444444444446</v>
      </c>
      <c r="AH241" s="630">
        <f t="shared" si="521"/>
        <v>198.98989898989899</v>
      </c>
      <c r="AI241" s="653">
        <f>AI239/AI233</f>
        <v>181.28654970760235</v>
      </c>
      <c r="AJ241" s="40">
        <f t="shared" ref="AJ241:AK241" si="522">AJ239/AJ233</f>
        <v>164.3192488262911</v>
      </c>
      <c r="AK241" s="630">
        <f t="shared" si="522"/>
        <v>192.9078014184397</v>
      </c>
      <c r="AL241" s="653">
        <f t="shared" si="518"/>
        <v>180.60606060606059</v>
      </c>
      <c r="AM241" s="40">
        <f t="shared" ref="AM241:AO241" si="523">AM239/AM233</f>
        <v>201.82648401826484</v>
      </c>
      <c r="AN241" s="630">
        <f t="shared" si="523"/>
        <v>236.31436314363145</v>
      </c>
      <c r="AO241" s="653">
        <f t="shared" si="523"/>
        <v>223.46938775510205</v>
      </c>
      <c r="AP241" s="40">
        <f t="shared" ref="AP241:AR241" si="524">AP239/AP233</f>
        <v>271.83908045977006</v>
      </c>
      <c r="AQ241" s="630">
        <f t="shared" si="524"/>
        <v>225.67901234567901</v>
      </c>
      <c r="AR241" s="653">
        <f t="shared" si="524"/>
        <v>247.01195219123508</v>
      </c>
      <c r="AS241" s="40">
        <f t="shared" ref="AS241" si="525">AS239/AS233</f>
        <v>274.20289855072468</v>
      </c>
      <c r="AT241" s="216">
        <f t="shared" si="518"/>
        <v>293.57798165137615</v>
      </c>
      <c r="AU241" s="556">
        <f t="shared" si="518"/>
        <v>283.63095238095235</v>
      </c>
      <c r="AV241" s="10">
        <f t="shared" si="518"/>
        <v>271.58469945355188</v>
      </c>
      <c r="AW241" s="236">
        <f t="shared" si="518"/>
        <v>306.19187127976193</v>
      </c>
      <c r="AX241" s="605">
        <f t="shared" si="518"/>
        <v>289.30357142857144</v>
      </c>
      <c r="AY241" s="56">
        <f t="shared" si="518"/>
        <v>295.08964285714285</v>
      </c>
      <c r="AZ241" s="236">
        <f t="shared" si="518"/>
        <v>295.08964285714285</v>
      </c>
      <c r="BA241" s="605">
        <f t="shared" si="518"/>
        <v>295.08964285714285</v>
      </c>
      <c r="BB241" s="56">
        <f t="shared" si="518"/>
        <v>300.99143571428573</v>
      </c>
      <c r="BC241" s="236">
        <f t="shared" si="518"/>
        <v>300.99143571428573</v>
      </c>
      <c r="BD241" s="605">
        <f t="shared" si="518"/>
        <v>300.99143571428573</v>
      </c>
      <c r="BE241" s="56">
        <f t="shared" si="518"/>
        <v>307.01126442857139</v>
      </c>
      <c r="BF241" s="236">
        <f t="shared" si="518"/>
        <v>307.01126442857139</v>
      </c>
      <c r="BG241" s="605">
        <f t="shared" si="518"/>
        <v>307.01126442857139</v>
      </c>
      <c r="BH241" s="56">
        <f t="shared" si="518"/>
        <v>313.15148971714291</v>
      </c>
      <c r="BI241" s="236">
        <f t="shared" si="518"/>
        <v>313.15148971714291</v>
      </c>
      <c r="BJ241" s="605">
        <f t="shared" si="518"/>
        <v>313.15148971714291</v>
      </c>
      <c r="BK241"/>
    </row>
    <row r="242" spans="1:65">
      <c r="B242" s="40"/>
      <c r="C242" s="40"/>
      <c r="D242" s="40"/>
      <c r="E242" s="40"/>
      <c r="F242" s="40"/>
      <c r="G242" s="40"/>
      <c r="H242" s="40"/>
      <c r="I242" s="40"/>
      <c r="J242" s="40"/>
      <c r="K242" s="40"/>
      <c r="L242" s="40"/>
      <c r="M242" s="40"/>
      <c r="N242" s="40"/>
      <c r="O242" s="40"/>
      <c r="P242" s="50"/>
      <c r="Q242" s="50"/>
      <c r="R242" s="50"/>
      <c r="S242" s="647"/>
      <c r="T242" s="653"/>
      <c r="U242" s="40"/>
      <c r="V242" s="630"/>
      <c r="W242" s="653"/>
      <c r="X242" s="40"/>
      <c r="Y242" s="630"/>
      <c r="Z242" s="653"/>
      <c r="AA242" s="40"/>
      <c r="AB242" s="630"/>
      <c r="AC242" s="653"/>
      <c r="AD242" s="40"/>
      <c r="AE242" s="630"/>
      <c r="AF242" s="653"/>
      <c r="AG242" s="40"/>
      <c r="AH242" s="630"/>
      <c r="AI242" s="653"/>
      <c r="AJ242" s="40"/>
      <c r="AK242" s="630"/>
      <c r="AL242" s="653"/>
      <c r="AM242" s="40"/>
      <c r="AN242" s="539"/>
      <c r="AO242" s="550"/>
      <c r="AP242"/>
      <c r="AQ242" s="539"/>
      <c r="AR242" s="550"/>
      <c r="AS242"/>
      <c r="AT242" s="539"/>
      <c r="AU242" s="550"/>
      <c r="AV242" s="10"/>
      <c r="AW242" s="539"/>
      <c r="AX242" s="550"/>
      <c r="AY242"/>
      <c r="AZ242" s="539"/>
      <c r="BA242" s="550"/>
      <c r="BB242"/>
      <c r="BC242" s="539"/>
      <c r="BD242" s="550"/>
      <c r="BE242"/>
      <c r="BF242" s="539"/>
      <c r="BG242" s="550"/>
      <c r="BH242"/>
      <c r="BI242" s="539"/>
      <c r="BJ242" s="550"/>
      <c r="BK242"/>
    </row>
    <row r="243" spans="1:65">
      <c r="A243" s="68" t="s">
        <v>479</v>
      </c>
      <c r="B243" s="267"/>
      <c r="C243" s="267"/>
      <c r="D243" s="267"/>
      <c r="E243" s="267"/>
      <c r="F243" s="267"/>
      <c r="G243" s="267"/>
      <c r="H243" s="267"/>
      <c r="I243" s="267"/>
      <c r="J243" s="267"/>
      <c r="K243" s="267"/>
      <c r="L243" s="267"/>
      <c r="M243" s="267"/>
      <c r="N243" s="267"/>
      <c r="O243" s="267"/>
      <c r="P243" s="46">
        <f>+P244*P239</f>
        <v>389.85733157199473</v>
      </c>
      <c r="Q243" s="46">
        <f>+Q244*Q239</f>
        <v>361.43857331571996</v>
      </c>
      <c r="R243" s="184"/>
      <c r="S243" s="232"/>
      <c r="T243" s="667">
        <f>700-'Civil AM'!T289</f>
        <v>303</v>
      </c>
      <c r="U243" s="46">
        <f t="shared" ref="U243" si="526">U239*U244</f>
        <v>34.08</v>
      </c>
      <c r="V243" s="643">
        <f>W243-U243</f>
        <v>230.92000000000002</v>
      </c>
      <c r="W243" s="667">
        <f>700-'Civil AM'!W289</f>
        <v>265</v>
      </c>
      <c r="X243" s="46">
        <f t="shared" ref="X243" si="527">X239*X244</f>
        <v>36.6</v>
      </c>
      <c r="Y243" s="643">
        <f>Z243-X243</f>
        <v>37.79999999999999</v>
      </c>
      <c r="Z243" s="667">
        <f t="shared" ref="Z243:BJ243" si="528">Z239*Z244</f>
        <v>74.399999999999991</v>
      </c>
      <c r="AA243" s="46">
        <f t="shared" si="528"/>
        <v>39.6</v>
      </c>
      <c r="AB243" s="643">
        <f>AC243-AA243</f>
        <v>37.559999999999995</v>
      </c>
      <c r="AC243" s="667">
        <f t="shared" si="528"/>
        <v>77.16</v>
      </c>
      <c r="AD243" s="46">
        <f t="shared" ref="AD243" si="529">AD239*AD244</f>
        <v>39.119999999999997</v>
      </c>
      <c r="AE243" s="643">
        <f>AF243-AD243</f>
        <v>29.759999999999998</v>
      </c>
      <c r="AF243" s="667">
        <f t="shared" si="528"/>
        <v>68.88</v>
      </c>
      <c r="AG243" s="46">
        <f t="shared" si="528"/>
        <v>13.559999999999999</v>
      </c>
      <c r="AH243" s="643">
        <f>AI243-AG243</f>
        <v>23.639999999999997</v>
      </c>
      <c r="AI243" s="667">
        <f t="shared" si="528"/>
        <v>37.199999999999996</v>
      </c>
      <c r="AJ243" s="46">
        <f t="shared" ref="AJ243" si="530">AJ239*AJ244</f>
        <v>14</v>
      </c>
      <c r="AK243" s="643">
        <f>AL243-AJ243</f>
        <v>21.759999999999998</v>
      </c>
      <c r="AL243" s="667">
        <f t="shared" si="528"/>
        <v>35.76</v>
      </c>
      <c r="AM243" s="46">
        <f t="shared" si="528"/>
        <v>11.05</v>
      </c>
      <c r="AN243" s="643">
        <f>AO243-AM243</f>
        <v>21.8</v>
      </c>
      <c r="AO243" s="552">
        <f t="shared" si="528"/>
        <v>32.85</v>
      </c>
      <c r="AP243" s="46">
        <f t="shared" si="528"/>
        <v>23.650000000000002</v>
      </c>
      <c r="AQ243" s="643">
        <f>AR243-AP243</f>
        <v>22.849999999999998</v>
      </c>
      <c r="AR243" s="552">
        <f t="shared" si="528"/>
        <v>46.5</v>
      </c>
      <c r="AS243" s="46">
        <f t="shared" si="528"/>
        <v>35.475000000000001</v>
      </c>
      <c r="AT243" s="232">
        <f>AU243-AS243</f>
        <v>35.999999999999993</v>
      </c>
      <c r="AU243" s="552">
        <f t="shared" si="528"/>
        <v>71.474999999999994</v>
      </c>
      <c r="AV243" s="184">
        <f t="shared" si="528"/>
        <v>49.7</v>
      </c>
      <c r="AW243" s="250">
        <f>AX243-AV243</f>
        <v>58.788839285714289</v>
      </c>
      <c r="AX243" s="615">
        <f t="shared" si="528"/>
        <v>108.48883928571429</v>
      </c>
      <c r="AY243" s="249">
        <f t="shared" si="528"/>
        <v>71.374807366071423</v>
      </c>
      <c r="AZ243" s="250">
        <f>BA243-AY243</f>
        <v>71.374807366071423</v>
      </c>
      <c r="BA243" s="615">
        <f t="shared" si="528"/>
        <v>142.74961473214285</v>
      </c>
      <c r="BB243" s="249">
        <f t="shared" si="528"/>
        <v>91.426148598214283</v>
      </c>
      <c r="BC243" s="250">
        <f>BD243-BB243</f>
        <v>91.426148598214283</v>
      </c>
      <c r="BD243" s="615">
        <f t="shared" si="528"/>
        <v>182.85229719642857</v>
      </c>
      <c r="BE243" s="249">
        <f t="shared" si="528"/>
        <v>97.39932363996428</v>
      </c>
      <c r="BF243" s="250">
        <f>BG243-BE243</f>
        <v>97.39932363996428</v>
      </c>
      <c r="BG243" s="615">
        <f t="shared" si="528"/>
        <v>194.79864727992856</v>
      </c>
      <c r="BH243" s="249">
        <f t="shared" si="528"/>
        <v>103.57485522394501</v>
      </c>
      <c r="BI243" s="250">
        <f>BJ243-BH243</f>
        <v>103.57485522394501</v>
      </c>
      <c r="BJ243" s="615">
        <f t="shared" si="528"/>
        <v>207.14971044789002</v>
      </c>
      <c r="BK243"/>
    </row>
    <row r="244" spans="1:65">
      <c r="A244" s="25" t="s">
        <v>478</v>
      </c>
      <c r="B244" s="40"/>
      <c r="C244" s="40"/>
      <c r="D244" s="40"/>
      <c r="E244" s="40"/>
      <c r="F244" s="40"/>
      <c r="G244" s="40"/>
      <c r="H244" s="40"/>
      <c r="I244" s="40"/>
      <c r="J244" s="40"/>
      <c r="K244" s="40"/>
      <c r="L244" s="40"/>
      <c r="M244" s="40"/>
      <c r="N244" s="40"/>
      <c r="O244" s="40"/>
      <c r="P244" s="50">
        <f>+Q244</f>
        <v>0.40026420079260239</v>
      </c>
      <c r="Q244" s="50">
        <f>+T244</f>
        <v>0.40026420079260239</v>
      </c>
      <c r="R244" s="50"/>
      <c r="S244" s="647"/>
      <c r="T244" s="671">
        <f>+T243/T239</f>
        <v>0.40026420079260239</v>
      </c>
      <c r="U244" s="50">
        <f>W244</f>
        <v>0.12</v>
      </c>
      <c r="V244" s="647">
        <f>V243/V239</f>
        <v>0.77489932885906043</v>
      </c>
      <c r="W244" s="671">
        <v>0.12</v>
      </c>
      <c r="X244" s="50">
        <f>Z244</f>
        <v>0.12</v>
      </c>
      <c r="Y244" s="647">
        <f>Y243/Y239</f>
        <v>0.11999999999999997</v>
      </c>
      <c r="Z244" s="671">
        <v>0.12</v>
      </c>
      <c r="AA244" s="50">
        <f>AC244</f>
        <v>0.12</v>
      </c>
      <c r="AB244" s="647">
        <f>AB243/AB239</f>
        <v>0.11999999999999998</v>
      </c>
      <c r="AC244" s="671">
        <v>0.12</v>
      </c>
      <c r="AD244" s="50">
        <f>AF244</f>
        <v>0.12</v>
      </c>
      <c r="AE244" s="647">
        <f>AE243/AE239</f>
        <v>0.12</v>
      </c>
      <c r="AF244" s="671">
        <v>0.12</v>
      </c>
      <c r="AG244" s="50">
        <f>AI244</f>
        <v>0.12</v>
      </c>
      <c r="AH244" s="647">
        <f>AH243/AH239</f>
        <v>0.11999999999999998</v>
      </c>
      <c r="AI244" s="671">
        <v>0.12</v>
      </c>
      <c r="AJ244" s="50">
        <f>AL244</f>
        <v>0.08</v>
      </c>
      <c r="AK244" s="647">
        <f>AK243/AK239</f>
        <v>7.9999999999999988E-2</v>
      </c>
      <c r="AL244" s="671">
        <v>0.08</v>
      </c>
      <c r="AM244" s="50">
        <f>AO244</f>
        <v>0.05</v>
      </c>
      <c r="AN244" s="217">
        <f>AN243/AN239</f>
        <v>0.05</v>
      </c>
      <c r="AO244" s="554">
        <v>0.05</v>
      </c>
      <c r="AP244" s="211">
        <v>0.05</v>
      </c>
      <c r="AQ244" s="217">
        <f>AQ243/AQ239</f>
        <v>4.9999999999999996E-2</v>
      </c>
      <c r="AR244" s="554">
        <v>0.05</v>
      </c>
      <c r="AS244" s="211">
        <v>7.4999999999999997E-2</v>
      </c>
      <c r="AT244" s="217">
        <f>AT243/AT239</f>
        <v>7.4999999999999983E-2</v>
      </c>
      <c r="AU244" s="554">
        <v>7.4999999999999997E-2</v>
      </c>
      <c r="AV244" s="211">
        <v>0.1</v>
      </c>
      <c r="AW244" s="252">
        <f>AW243/AW239</f>
        <v>0.1</v>
      </c>
      <c r="AX244" s="618">
        <v>0.1</v>
      </c>
      <c r="AY244" s="251">
        <f>BA244</f>
        <v>0.125</v>
      </c>
      <c r="AZ244" s="252">
        <f>AZ243/AZ239</f>
        <v>0.125</v>
      </c>
      <c r="BA244" s="618">
        <v>0.125</v>
      </c>
      <c r="BB244" s="251">
        <f>BD244</f>
        <v>0.15</v>
      </c>
      <c r="BC244" s="252">
        <f>BC243/BC239</f>
        <v>0.15</v>
      </c>
      <c r="BD244" s="618">
        <v>0.15</v>
      </c>
      <c r="BE244" s="251">
        <f>BG244</f>
        <v>0.15</v>
      </c>
      <c r="BF244" s="252">
        <f>BF243/BF239</f>
        <v>0.15</v>
      </c>
      <c r="BG244" s="577">
        <f>+BD244</f>
        <v>0.15</v>
      </c>
      <c r="BH244" s="251">
        <f>BJ244</f>
        <v>0.15</v>
      </c>
      <c r="BI244" s="252">
        <f>BI243/BI239</f>
        <v>0.15</v>
      </c>
      <c r="BJ244" s="577">
        <f>+BG244</f>
        <v>0.15</v>
      </c>
      <c r="BK244"/>
    </row>
    <row r="245" spans="1:65">
      <c r="B245" s="40"/>
      <c r="C245" s="40"/>
      <c r="D245" s="40"/>
      <c r="E245" s="40"/>
      <c r="F245" s="40"/>
      <c r="G245" s="40"/>
      <c r="H245" s="40"/>
      <c r="I245" s="40"/>
      <c r="J245" s="40"/>
      <c r="K245" s="40"/>
      <c r="L245" s="40"/>
      <c r="M245" s="40"/>
      <c r="N245" s="40"/>
      <c r="O245" s="40"/>
      <c r="P245" s="40"/>
      <c r="Q245" s="40"/>
      <c r="R245" s="40"/>
      <c r="S245" s="630"/>
      <c r="T245" s="653"/>
      <c r="U245" s="40"/>
      <c r="V245" s="630"/>
      <c r="W245" s="653"/>
      <c r="X245" s="40"/>
      <c r="Y245" s="630"/>
      <c r="Z245" s="653"/>
      <c r="AA245" s="40"/>
      <c r="AB245" s="630"/>
      <c r="AC245" s="653"/>
      <c r="AD245" s="40"/>
      <c r="AE245" s="630"/>
      <c r="AF245" s="653"/>
      <c r="AG245" s="40"/>
      <c r="AH245" s="630"/>
      <c r="AI245" s="653"/>
      <c r="AJ245" s="40"/>
      <c r="AK245" s="630"/>
      <c r="AL245" s="653"/>
      <c r="AM245" s="40"/>
      <c r="AN245" s="539"/>
      <c r="AO245" s="550"/>
      <c r="AP245"/>
      <c r="AQ245" s="539"/>
      <c r="AR245" s="550"/>
      <c r="AS245"/>
      <c r="AT245" s="539"/>
      <c r="AU245" s="550"/>
      <c r="AV245"/>
      <c r="AW245" s="539"/>
      <c r="AX245" s="550"/>
      <c r="AY245"/>
      <c r="AZ245" s="539"/>
      <c r="BA245" s="550"/>
      <c r="BB245"/>
      <c r="BC245" s="539"/>
      <c r="BD245" s="550"/>
      <c r="BE245"/>
      <c r="BF245" s="539"/>
      <c r="BG245" s="550"/>
      <c r="BH245"/>
      <c r="BI245" s="539"/>
      <c r="BJ245" s="550"/>
      <c r="BK245"/>
    </row>
    <row r="246" spans="1:65">
      <c r="A246" s="310" t="s">
        <v>268</v>
      </c>
      <c r="B246" s="318"/>
      <c r="C246" s="318"/>
      <c r="D246" s="318"/>
      <c r="E246" s="318"/>
      <c r="F246" s="318"/>
      <c r="G246" s="318"/>
      <c r="H246" s="318"/>
      <c r="I246" s="318"/>
      <c r="J246" s="318"/>
      <c r="K246" s="318"/>
      <c r="L246" s="318"/>
      <c r="M246" s="318"/>
      <c r="N246" s="318"/>
      <c r="O246" s="318"/>
      <c r="P246" s="318"/>
      <c r="Q246" s="318"/>
      <c r="R246" s="529"/>
      <c r="S246" s="319"/>
      <c r="T246" s="678"/>
      <c r="U246" s="529"/>
      <c r="V246" s="319"/>
      <c r="W246" s="678"/>
      <c r="X246" s="529"/>
      <c r="Y246" s="319"/>
      <c r="Z246" s="678"/>
      <c r="AA246" s="529"/>
      <c r="AB246" s="319"/>
      <c r="AC246" s="678"/>
      <c r="AD246" s="529"/>
      <c r="AE246" s="319"/>
      <c r="AF246" s="678"/>
      <c r="AG246" s="529"/>
      <c r="AH246" s="319"/>
      <c r="AI246" s="678"/>
      <c r="AJ246" s="529"/>
      <c r="AK246" s="319"/>
      <c r="AL246" s="678"/>
      <c r="AM246" s="529"/>
      <c r="AN246" s="319"/>
      <c r="AO246" s="678"/>
      <c r="AP246" s="529"/>
      <c r="AQ246" s="319"/>
      <c r="AR246" s="678"/>
      <c r="AS246" s="529"/>
      <c r="AT246" s="319"/>
      <c r="AU246" s="678"/>
      <c r="AV246" s="529"/>
      <c r="AW246" s="686"/>
      <c r="AX246" s="682"/>
      <c r="AY246" s="160"/>
      <c r="AZ246" s="686"/>
      <c r="BA246" s="682"/>
      <c r="BB246" s="160"/>
      <c r="BC246" s="686"/>
      <c r="BD246" s="682"/>
      <c r="BE246" s="160"/>
      <c r="BF246" s="686"/>
      <c r="BG246" s="682"/>
      <c r="BH246" s="160"/>
      <c r="BI246" s="686"/>
      <c r="BJ246" s="682"/>
      <c r="BK246"/>
    </row>
    <row r="247" spans="1:65">
      <c r="B247" s="40"/>
      <c r="C247" s="40"/>
      <c r="D247" s="40"/>
      <c r="E247" s="40"/>
      <c r="F247" s="40"/>
      <c r="G247" s="40"/>
      <c r="H247" s="40"/>
      <c r="I247" s="40"/>
      <c r="J247" s="40"/>
      <c r="K247" s="40"/>
      <c r="L247" s="40"/>
      <c r="M247" s="40"/>
      <c r="N247" s="40"/>
      <c r="O247" s="40"/>
      <c r="P247" s="40"/>
      <c r="Q247" s="40"/>
      <c r="R247" s="40"/>
      <c r="S247" s="630"/>
      <c r="T247" s="653"/>
      <c r="U247" s="40"/>
      <c r="V247" s="630"/>
      <c r="W247" s="653"/>
      <c r="X247" s="40"/>
      <c r="Y247" s="630"/>
      <c r="Z247" s="653"/>
      <c r="AA247" s="40"/>
      <c r="AB247" s="630"/>
      <c r="AC247" s="653"/>
      <c r="AD247" s="40"/>
      <c r="AE247" s="630"/>
      <c r="AF247" s="653"/>
      <c r="AG247" s="40"/>
      <c r="AH247" s="630"/>
      <c r="AI247" s="653"/>
      <c r="AJ247" s="40"/>
      <c r="AK247" s="630"/>
      <c r="AL247" s="653"/>
      <c r="AM247" s="40"/>
      <c r="AN247" s="539"/>
      <c r="AO247" s="550"/>
      <c r="AP247"/>
      <c r="AQ247" s="539"/>
      <c r="AR247" s="550"/>
      <c r="AS247"/>
      <c r="AT247" s="539"/>
      <c r="AU247" s="550"/>
      <c r="AV247"/>
      <c r="AW247" s="539"/>
      <c r="AX247" s="550"/>
      <c r="AY247"/>
      <c r="AZ247" s="539"/>
      <c r="BA247" s="550"/>
      <c r="BB247"/>
      <c r="BC247" s="539"/>
      <c r="BD247" s="550"/>
      <c r="BE247"/>
      <c r="BF247" s="539"/>
      <c r="BG247" s="550"/>
      <c r="BH247"/>
      <c r="BI247" s="539"/>
      <c r="BJ247" s="550"/>
      <c r="BK247"/>
    </row>
    <row r="248" spans="1:65">
      <c r="A248" s="25" t="s">
        <v>471</v>
      </c>
      <c r="B248" s="40"/>
      <c r="C248" s="40"/>
      <c r="D248" s="40"/>
      <c r="E248" s="40">
        <v>233</v>
      </c>
      <c r="F248" s="40">
        <v>233</v>
      </c>
      <c r="G248" s="40">
        <v>289</v>
      </c>
      <c r="H248" s="40">
        <v>339</v>
      </c>
      <c r="I248" s="40">
        <v>367</v>
      </c>
      <c r="J248" s="40">
        <v>386</v>
      </c>
      <c r="K248" s="40">
        <v>402</v>
      </c>
      <c r="L248" s="40">
        <v>401</v>
      </c>
      <c r="M248" s="40">
        <v>421</v>
      </c>
      <c r="N248" s="40">
        <v>455</v>
      </c>
      <c r="O248" s="40">
        <v>493</v>
      </c>
      <c r="P248" s="40">
        <v>490</v>
      </c>
      <c r="Q248" s="40">
        <v>491</v>
      </c>
      <c r="R248" s="40"/>
      <c r="S248" s="630"/>
      <c r="T248" s="653">
        <v>477</v>
      </c>
      <c r="U248" s="40"/>
      <c r="V248" s="630"/>
      <c r="W248" s="653">
        <v>390</v>
      </c>
      <c r="X248" s="40"/>
      <c r="Y248" s="630"/>
      <c r="Z248" s="653">
        <v>192</v>
      </c>
      <c r="AA248" s="40">
        <v>34</v>
      </c>
      <c r="AB248" s="630">
        <f>AC248-AA248</f>
        <v>15</v>
      </c>
      <c r="AC248" s="653">
        <f>44+5</f>
        <v>49</v>
      </c>
      <c r="AD248" s="40">
        <v>6</v>
      </c>
      <c r="AE248" s="630">
        <f>AF248-AD248</f>
        <v>9</v>
      </c>
      <c r="AF248" s="556">
        <v>15</v>
      </c>
      <c r="AG248" s="40">
        <v>15</v>
      </c>
      <c r="AH248" s="630">
        <f>AI248-AG248</f>
        <v>7</v>
      </c>
      <c r="AI248" s="556">
        <v>22</v>
      </c>
      <c r="AJ248" s="40">
        <v>0</v>
      </c>
      <c r="AK248" s="630">
        <f>AL248-AJ248</f>
        <v>0</v>
      </c>
      <c r="AL248" s="556">
        <v>0</v>
      </c>
      <c r="AM248" s="10">
        <v>0</v>
      </c>
      <c r="AN248" s="216">
        <f>AO248-AM248</f>
        <v>0</v>
      </c>
      <c r="AO248" s="556">
        <v>0</v>
      </c>
      <c r="AP248" s="10">
        <v>0</v>
      </c>
      <c r="AQ248" s="216">
        <f>AR248-AP248</f>
        <v>0</v>
      </c>
      <c r="AR248" s="556">
        <v>0</v>
      </c>
      <c r="AS248" s="10">
        <f>AU248/2</f>
        <v>0</v>
      </c>
      <c r="AT248" s="216">
        <f>AU248-AS248</f>
        <v>0</v>
      </c>
      <c r="AU248" s="556">
        <v>0</v>
      </c>
      <c r="AV248" s="10">
        <f>AX248/2</f>
        <v>0</v>
      </c>
      <c r="AW248" s="236">
        <f>AX248-AV248</f>
        <v>0</v>
      </c>
      <c r="AX248" s="580">
        <v>0</v>
      </c>
      <c r="AY248" s="56">
        <f>BA248/2</f>
        <v>0</v>
      </c>
      <c r="AZ248" s="236">
        <f>BA248-AY248</f>
        <v>0</v>
      </c>
      <c r="BA248" s="580">
        <v>0</v>
      </c>
      <c r="BB248" s="56">
        <f>BD248/2</f>
        <v>0</v>
      </c>
      <c r="BC248" s="236">
        <f>BD248-BB248</f>
        <v>0</v>
      </c>
      <c r="BD248" s="580">
        <v>0</v>
      </c>
      <c r="BE248" s="56">
        <f>BG248/2</f>
        <v>0</v>
      </c>
      <c r="BF248" s="236">
        <f>BG248-BE248</f>
        <v>0</v>
      </c>
      <c r="BG248" s="580">
        <v>0</v>
      </c>
      <c r="BH248" s="56">
        <f>BJ248/2</f>
        <v>0</v>
      </c>
      <c r="BI248" s="236">
        <f>BJ248-BH248</f>
        <v>0</v>
      </c>
      <c r="BJ248" s="580">
        <v>0</v>
      </c>
      <c r="BK248"/>
    </row>
    <row r="249" spans="1:65">
      <c r="A249" s="25" t="s">
        <v>480</v>
      </c>
      <c r="B249" s="40"/>
      <c r="C249" s="40"/>
      <c r="D249" s="40"/>
      <c r="E249" s="40">
        <v>103</v>
      </c>
      <c r="F249" s="40">
        <v>109</v>
      </c>
      <c r="G249" s="40">
        <v>141</v>
      </c>
      <c r="H249" s="40">
        <v>147</v>
      </c>
      <c r="I249" s="40">
        <v>139</v>
      </c>
      <c r="J249" s="40">
        <v>154</v>
      </c>
      <c r="K249" s="40">
        <v>156</v>
      </c>
      <c r="L249" s="40">
        <v>173</v>
      </c>
      <c r="M249" s="40">
        <v>184</v>
      </c>
      <c r="N249" s="40">
        <v>216</v>
      </c>
      <c r="O249" s="40">
        <v>221</v>
      </c>
      <c r="P249" s="40">
        <v>249</v>
      </c>
      <c r="Q249" s="40">
        <v>224</v>
      </c>
      <c r="R249" s="40"/>
      <c r="S249" s="630"/>
      <c r="T249" s="653">
        <v>169</v>
      </c>
      <c r="U249" s="40">
        <f>W249/2</f>
        <v>69.5</v>
      </c>
      <c r="V249" s="630">
        <f>W249-U249</f>
        <v>69.5</v>
      </c>
      <c r="W249" s="653">
        <v>139</v>
      </c>
      <c r="X249" s="40">
        <f>Z249/2</f>
        <v>34.5</v>
      </c>
      <c r="Y249" s="630">
        <f>Z249-X249</f>
        <v>34.5</v>
      </c>
      <c r="Z249" s="653">
        <v>69</v>
      </c>
      <c r="AA249" s="40">
        <f>AC249/2</f>
        <v>6.5</v>
      </c>
      <c r="AB249" s="630">
        <f>AC249-AA249</f>
        <v>6.5</v>
      </c>
      <c r="AC249" s="653">
        <v>13</v>
      </c>
      <c r="AD249" s="40">
        <f>AF249/2</f>
        <v>1</v>
      </c>
      <c r="AE249" s="630">
        <f>AF249-AD249</f>
        <v>1</v>
      </c>
      <c r="AF249" s="653">
        <v>2</v>
      </c>
      <c r="AG249" s="40">
        <f>AI249/2</f>
        <v>0.5</v>
      </c>
      <c r="AH249" s="630">
        <f>AI249-AG249</f>
        <v>0.5</v>
      </c>
      <c r="AI249" s="653">
        <v>1</v>
      </c>
      <c r="AJ249" s="40">
        <f>AL249/2</f>
        <v>0.5</v>
      </c>
      <c r="AK249" s="630">
        <f>AL249-AJ249</f>
        <v>0.5</v>
      </c>
      <c r="AL249" s="653">
        <v>1</v>
      </c>
      <c r="AM249" s="40">
        <f t="shared" ref="AM249:BJ249" si="531">AM250*AM248</f>
        <v>0</v>
      </c>
      <c r="AN249" s="216">
        <f>AO249-AM249</f>
        <v>0</v>
      </c>
      <c r="AO249" s="556">
        <f t="shared" si="531"/>
        <v>0</v>
      </c>
      <c r="AP249" s="40">
        <f t="shared" ref="AP249" si="532">AP250*AP248</f>
        <v>0</v>
      </c>
      <c r="AQ249" s="216">
        <f>AR249-AP249</f>
        <v>0</v>
      </c>
      <c r="AR249" s="556">
        <f t="shared" si="531"/>
        <v>0</v>
      </c>
      <c r="AS249" s="40">
        <f t="shared" si="531"/>
        <v>0</v>
      </c>
      <c r="AT249" s="216">
        <f>AU249-AS249</f>
        <v>0</v>
      </c>
      <c r="AU249" s="556">
        <f t="shared" si="531"/>
        <v>0</v>
      </c>
      <c r="AV249" s="10">
        <f t="shared" si="531"/>
        <v>0</v>
      </c>
      <c r="AW249" s="236">
        <f>AX249-AV249</f>
        <v>0</v>
      </c>
      <c r="AX249" s="605">
        <f t="shared" si="531"/>
        <v>0</v>
      </c>
      <c r="AY249" s="56">
        <f t="shared" si="531"/>
        <v>0</v>
      </c>
      <c r="AZ249" s="236">
        <f>BA249-AY249</f>
        <v>0</v>
      </c>
      <c r="BA249" s="605">
        <f t="shared" si="531"/>
        <v>0</v>
      </c>
      <c r="BB249" s="56">
        <f t="shared" si="531"/>
        <v>0</v>
      </c>
      <c r="BC249" s="236">
        <f>BD249-BB249</f>
        <v>0</v>
      </c>
      <c r="BD249" s="605">
        <f t="shared" si="531"/>
        <v>0</v>
      </c>
      <c r="BE249" s="56">
        <f t="shared" si="531"/>
        <v>0</v>
      </c>
      <c r="BF249" s="236">
        <f>BG249-BE249</f>
        <v>0</v>
      </c>
      <c r="BG249" s="605">
        <f t="shared" si="531"/>
        <v>0</v>
      </c>
      <c r="BH249" s="56">
        <f t="shared" si="531"/>
        <v>0</v>
      </c>
      <c r="BI249" s="236">
        <f>BJ249-BH249</f>
        <v>0</v>
      </c>
      <c r="BJ249" s="605">
        <f t="shared" si="531"/>
        <v>0</v>
      </c>
      <c r="BK249"/>
    </row>
    <row r="250" spans="1:65">
      <c r="A250" s="25" t="s">
        <v>276</v>
      </c>
      <c r="B250" s="40"/>
      <c r="C250" s="40"/>
      <c r="D250" s="40"/>
      <c r="E250" s="50">
        <f>E249/E248</f>
        <v>0.44206008583690987</v>
      </c>
      <c r="F250" s="50">
        <f t="shared" ref="F250:AI250" si="533">F249/F248</f>
        <v>0.46781115879828328</v>
      </c>
      <c r="G250" s="50">
        <f t="shared" si="533"/>
        <v>0.48788927335640137</v>
      </c>
      <c r="H250" s="50">
        <f t="shared" si="533"/>
        <v>0.4336283185840708</v>
      </c>
      <c r="I250" s="50">
        <f t="shared" si="533"/>
        <v>0.37874659400544958</v>
      </c>
      <c r="J250" s="50">
        <f t="shared" si="533"/>
        <v>0.39896373056994816</v>
      </c>
      <c r="K250" s="50">
        <f t="shared" si="533"/>
        <v>0.38805970149253732</v>
      </c>
      <c r="L250" s="50">
        <f t="shared" si="533"/>
        <v>0.4314214463840399</v>
      </c>
      <c r="M250" s="50">
        <f t="shared" si="533"/>
        <v>0.43705463182897863</v>
      </c>
      <c r="N250" s="50">
        <f t="shared" si="533"/>
        <v>0.4747252747252747</v>
      </c>
      <c r="O250" s="50">
        <f t="shared" si="533"/>
        <v>0.44827586206896552</v>
      </c>
      <c r="P250" s="50">
        <f t="shared" si="533"/>
        <v>0.50816326530612244</v>
      </c>
      <c r="Q250" s="50">
        <f t="shared" si="533"/>
        <v>0.45621181262729127</v>
      </c>
      <c r="R250" s="50"/>
      <c r="S250" s="647"/>
      <c r="T250" s="671">
        <f t="shared" si="533"/>
        <v>0.35429769392033544</v>
      </c>
      <c r="U250" s="187">
        <f>W250</f>
        <v>0.35641025641025642</v>
      </c>
      <c r="V250" s="961">
        <f>W250</f>
        <v>0.35641025641025642</v>
      </c>
      <c r="W250" s="671">
        <f t="shared" si="533"/>
        <v>0.35641025641025642</v>
      </c>
      <c r="X250" s="187">
        <f>Z250</f>
        <v>0.359375</v>
      </c>
      <c r="Y250" s="961">
        <f>Z250</f>
        <v>0.359375</v>
      </c>
      <c r="Z250" s="671">
        <f t="shared" si="533"/>
        <v>0.359375</v>
      </c>
      <c r="AA250" s="187">
        <f>AC250</f>
        <v>0.26530612244897961</v>
      </c>
      <c r="AB250" s="961">
        <f>AC250</f>
        <v>0.26530612244897961</v>
      </c>
      <c r="AC250" s="671">
        <f t="shared" si="533"/>
        <v>0.26530612244897961</v>
      </c>
      <c r="AD250" s="187">
        <f>AF250</f>
        <v>0.13333333333333333</v>
      </c>
      <c r="AE250" s="961">
        <f>AF250</f>
        <v>0.13333333333333333</v>
      </c>
      <c r="AF250" s="563">
        <f t="shared" si="533"/>
        <v>0.13333333333333333</v>
      </c>
      <c r="AG250" s="187">
        <f>AI250</f>
        <v>4.5454545454545456E-2</v>
      </c>
      <c r="AH250" s="961">
        <f>AI250</f>
        <v>4.5454545454545456E-2</v>
      </c>
      <c r="AI250" s="563">
        <f t="shared" si="533"/>
        <v>4.5454545454545456E-2</v>
      </c>
      <c r="AJ250" s="187" t="str">
        <f>AL250</f>
        <v>N/A</v>
      </c>
      <c r="AK250" s="961" t="str">
        <f>AL250</f>
        <v>N/A</v>
      </c>
      <c r="AL250" s="563" t="s">
        <v>906</v>
      </c>
      <c r="AM250" s="187">
        <f>AO250</f>
        <v>0.4</v>
      </c>
      <c r="AN250" s="961">
        <f>AO250</f>
        <v>0.4</v>
      </c>
      <c r="AO250" s="554">
        <v>0.4</v>
      </c>
      <c r="AP250" s="187">
        <f>AR250</f>
        <v>0.4</v>
      </c>
      <c r="AQ250" s="961">
        <f>AR250</f>
        <v>0.4</v>
      </c>
      <c r="AR250" s="554">
        <v>0.4</v>
      </c>
      <c r="AS250" s="187">
        <f>AU250</f>
        <v>0.4</v>
      </c>
      <c r="AT250" s="961">
        <f>AU250</f>
        <v>0.4</v>
      </c>
      <c r="AU250" s="554">
        <v>0.4</v>
      </c>
      <c r="AV250" s="211">
        <f>AX250</f>
        <v>0.4</v>
      </c>
      <c r="AW250" s="964">
        <f>AX250</f>
        <v>0.4</v>
      </c>
      <c r="AX250" s="618">
        <v>0.4</v>
      </c>
      <c r="AY250" s="251">
        <f>BA250</f>
        <v>0.4</v>
      </c>
      <c r="AZ250" s="964">
        <f>BA250</f>
        <v>0.4</v>
      </c>
      <c r="BA250" s="618">
        <v>0.4</v>
      </c>
      <c r="BB250" s="251">
        <f>BD250</f>
        <v>0.4</v>
      </c>
      <c r="BC250" s="964">
        <f>BD250</f>
        <v>0.4</v>
      </c>
      <c r="BD250" s="618">
        <v>0.4</v>
      </c>
      <c r="BE250" s="251">
        <f>BG250</f>
        <v>0.4</v>
      </c>
      <c r="BF250" s="964">
        <f>BG250</f>
        <v>0.4</v>
      </c>
      <c r="BG250" s="618">
        <v>0.4</v>
      </c>
      <c r="BH250" s="251">
        <f>BJ250</f>
        <v>0.4</v>
      </c>
      <c r="BI250" s="964">
        <f>BJ250</f>
        <v>0.4</v>
      </c>
      <c r="BJ250" s="618">
        <v>0.4</v>
      </c>
      <c r="BK250"/>
    </row>
    <row r="251" spans="1:65">
      <c r="B251" s="40"/>
      <c r="C251" s="40"/>
      <c r="D251" s="40"/>
      <c r="E251" s="40"/>
      <c r="F251" s="40"/>
      <c r="G251" s="40"/>
      <c r="H251" s="40"/>
      <c r="I251" s="40"/>
      <c r="J251" s="40"/>
      <c r="K251" s="40"/>
      <c r="L251" s="40"/>
      <c r="M251" s="40"/>
      <c r="N251" s="40"/>
      <c r="O251" s="40"/>
      <c r="P251" s="40"/>
      <c r="Q251" s="40"/>
      <c r="R251" s="40"/>
      <c r="S251" s="630"/>
      <c r="T251" s="653"/>
      <c r="U251" s="40"/>
      <c r="V251" s="630"/>
      <c r="W251" s="653"/>
      <c r="X251" s="40"/>
      <c r="Y251" s="630"/>
      <c r="Z251" s="653"/>
      <c r="AA251" s="40"/>
      <c r="AB251" s="630"/>
      <c r="AC251" s="653"/>
      <c r="AD251" s="40"/>
      <c r="AE251" s="630"/>
      <c r="AF251" s="653"/>
      <c r="AG251" s="40"/>
      <c r="AH251" s="630"/>
      <c r="AI251" s="653"/>
      <c r="AJ251" s="40"/>
      <c r="AK251" s="630"/>
      <c r="AL251" s="653"/>
      <c r="AM251" s="40"/>
      <c r="AN251" s="539"/>
      <c r="AO251" s="550"/>
      <c r="AP251"/>
      <c r="AQ251" s="539"/>
      <c r="AR251" s="550"/>
      <c r="AS251"/>
      <c r="AT251" s="539"/>
      <c r="AU251" s="550"/>
      <c r="AV251" s="10"/>
      <c r="AW251" s="539"/>
      <c r="AX251" s="550"/>
      <c r="AY251"/>
      <c r="AZ251" s="539"/>
      <c r="BA251" s="550"/>
      <c r="BB251"/>
      <c r="BC251" s="539"/>
      <c r="BD251" s="550"/>
      <c r="BE251"/>
      <c r="BF251" s="539"/>
      <c r="BG251" s="550"/>
      <c r="BH251"/>
      <c r="BI251" s="539"/>
      <c r="BJ251" s="550"/>
      <c r="BK251"/>
    </row>
    <row r="252" spans="1:65">
      <c r="A252" s="25" t="s">
        <v>278</v>
      </c>
      <c r="B252" s="40"/>
      <c r="C252" s="40"/>
      <c r="D252" s="40"/>
      <c r="E252" s="40"/>
      <c r="F252" s="40"/>
      <c r="G252" s="40"/>
      <c r="H252" s="40"/>
      <c r="I252" s="40"/>
      <c r="J252" s="40"/>
      <c r="K252" s="40"/>
      <c r="L252" s="40"/>
      <c r="M252" s="40"/>
      <c r="N252" s="40"/>
      <c r="O252" s="40"/>
      <c r="P252" s="40"/>
      <c r="Q252" s="40">
        <f t="shared" ref="Q252" si="534">ROUND(((Q249*9/12)+(T249*3/12))*2,0)</f>
        <v>421</v>
      </c>
      <c r="R252" s="40"/>
      <c r="S252" s="630"/>
      <c r="T252" s="653">
        <f>ROUND(((T249*9/12)+(W249*3/12))*2,0)</f>
        <v>323</v>
      </c>
      <c r="U252" s="40">
        <f>W252/2</f>
        <v>121.5</v>
      </c>
      <c r="V252" s="630">
        <f>W252-U252</f>
        <v>121.5</v>
      </c>
      <c r="W252" s="653">
        <f>ROUND(((W249*9/12)+(Z249*3/12))*2,0)</f>
        <v>243</v>
      </c>
      <c r="X252" s="40">
        <f>Z252/2</f>
        <v>55</v>
      </c>
      <c r="Y252" s="630">
        <f>Z252-X252</f>
        <v>55</v>
      </c>
      <c r="Z252" s="653">
        <f>ROUND(((Z249*9/12)+(AC249*3/12))*2,0)</f>
        <v>110</v>
      </c>
      <c r="AA252" s="40">
        <f>AC252/2</f>
        <v>10.5</v>
      </c>
      <c r="AB252" s="630">
        <f>AC252-AA252</f>
        <v>10.5</v>
      </c>
      <c r="AC252" s="653">
        <f>ROUND(((AC249*9/12)+(AF249*3/12))*2,0)</f>
        <v>21</v>
      </c>
      <c r="AD252" s="40">
        <f>AF252/2</f>
        <v>2</v>
      </c>
      <c r="AE252" s="630">
        <f>AF252-AD252</f>
        <v>2</v>
      </c>
      <c r="AF252" s="653">
        <f>ROUND(((AF249*9/12)+(AI249*3/12))*2,0)</f>
        <v>4</v>
      </c>
      <c r="AG252" s="40">
        <f>AI252/2</f>
        <v>1</v>
      </c>
      <c r="AH252" s="630">
        <f>AI252-AG252</f>
        <v>1</v>
      </c>
      <c r="AI252" s="653">
        <f>ROUND(((AI249*9/12)+(AL249*3/12))*2,0)</f>
        <v>2</v>
      </c>
      <c r="AJ252" s="40">
        <f>AL252/2</f>
        <v>1</v>
      </c>
      <c r="AK252" s="630">
        <f>AL252-AJ252</f>
        <v>1</v>
      </c>
      <c r="AL252" s="653">
        <f>ROUND(((AL249*9/12)+(AO249*3/12))*2,0)</f>
        <v>2</v>
      </c>
      <c r="AM252" s="40">
        <f>AO252/2</f>
        <v>0</v>
      </c>
      <c r="AN252" s="216">
        <f>AO252-AM252</f>
        <v>0</v>
      </c>
      <c r="AO252" s="556">
        <f>ROUND(((AO249*9/12)+(AR249*3/12))*2,0)</f>
        <v>0</v>
      </c>
      <c r="AP252" s="40">
        <f>AR252/2</f>
        <v>0</v>
      </c>
      <c r="AQ252" s="216">
        <f>AR252-AP252</f>
        <v>0</v>
      </c>
      <c r="AR252" s="556">
        <f>ROUND(((AR249*9/12)+(AU249*3/12))*2,0)</f>
        <v>0</v>
      </c>
      <c r="AS252" s="40">
        <f>AU252/2</f>
        <v>0</v>
      </c>
      <c r="AT252" s="216">
        <f>AU252-AS252</f>
        <v>0</v>
      </c>
      <c r="AU252" s="556">
        <f>ROUND(((AU249*9/12)+(AX249*3/12))*2,0)</f>
        <v>0</v>
      </c>
      <c r="AV252" s="10">
        <f>AX252/2</f>
        <v>0</v>
      </c>
      <c r="AW252" s="236">
        <f>AX252-AV252</f>
        <v>0</v>
      </c>
      <c r="AX252" s="605">
        <f>ROUND(((AX249*9/12)+(BA249*3/12))*2,0)</f>
        <v>0</v>
      </c>
      <c r="AY252" s="56">
        <f>BA252/2</f>
        <v>0</v>
      </c>
      <c r="AZ252" s="236">
        <f>BA252-AY252</f>
        <v>0</v>
      </c>
      <c r="BA252" s="605">
        <f>ROUND(((BA249*9/12)+(BD249*3/12))*2,0)</f>
        <v>0</v>
      </c>
      <c r="BB252" s="56">
        <f>BD252/2</f>
        <v>0</v>
      </c>
      <c r="BC252" s="236">
        <f>BD252-BB252</f>
        <v>0</v>
      </c>
      <c r="BD252" s="605">
        <f>ROUND(((BD249*9/12)+(BG249*3/12))*2,0)</f>
        <v>0</v>
      </c>
      <c r="BE252" s="56">
        <f>BG252/2</f>
        <v>0</v>
      </c>
      <c r="BF252" s="236">
        <f>BG252-BE252</f>
        <v>0</v>
      </c>
      <c r="BG252" s="605">
        <f>ROUND(((BG249*9/12)+(BJ249*3/12))*2,0)</f>
        <v>0</v>
      </c>
      <c r="BH252" s="56">
        <f>BJ252/2</f>
        <v>0</v>
      </c>
      <c r="BI252" s="236">
        <f>BJ252-BH252</f>
        <v>0</v>
      </c>
      <c r="BJ252" s="605">
        <f>ROUND(((BJ249*9/12)+(BM249*3/12))*2,0)</f>
        <v>0</v>
      </c>
      <c r="BK252"/>
    </row>
    <row r="253" spans="1:65">
      <c r="A253" s="25" t="s">
        <v>279</v>
      </c>
      <c r="B253" s="40"/>
      <c r="C253" s="40"/>
      <c r="D253" s="40"/>
      <c r="E253" s="40"/>
      <c r="F253" s="40"/>
      <c r="G253" s="40"/>
      <c r="H253" s="40"/>
      <c r="I253" s="40"/>
      <c r="J253" s="40"/>
      <c r="K253" s="40"/>
      <c r="L253" s="40"/>
      <c r="M253" s="40"/>
      <c r="N253" s="40"/>
      <c r="O253" s="40"/>
      <c r="P253" s="40"/>
      <c r="Q253" s="40">
        <f>ROUND(Q252*10%,0)</f>
        <v>42</v>
      </c>
      <c r="R253" s="40"/>
      <c r="S253" s="630"/>
      <c r="T253" s="653">
        <f>ROUND(T252*10%,0)</f>
        <v>32</v>
      </c>
      <c r="U253" s="40">
        <f>W253/2</f>
        <v>12</v>
      </c>
      <c r="V253" s="630">
        <f>W253-U253</f>
        <v>12</v>
      </c>
      <c r="W253" s="653">
        <f>ROUND(W252*10%,0)</f>
        <v>24</v>
      </c>
      <c r="X253" s="40">
        <f>Z253/2</f>
        <v>5.5</v>
      </c>
      <c r="Y253" s="630">
        <f>Z253-X253</f>
        <v>5.5</v>
      </c>
      <c r="Z253" s="653">
        <f t="shared" ref="Z253:BJ253" si="535">ROUND(Z252*10%,0)</f>
        <v>11</v>
      </c>
      <c r="AA253" s="40">
        <f>AC253/2</f>
        <v>1</v>
      </c>
      <c r="AB253" s="630">
        <f>AC253-AA253</f>
        <v>1</v>
      </c>
      <c r="AC253" s="653">
        <f t="shared" si="535"/>
        <v>2</v>
      </c>
      <c r="AD253" s="40">
        <f>AF253/2</f>
        <v>0</v>
      </c>
      <c r="AE253" s="630">
        <f>AF253-AD253</f>
        <v>0</v>
      </c>
      <c r="AF253" s="653">
        <f t="shared" si="535"/>
        <v>0</v>
      </c>
      <c r="AG253" s="40">
        <f>AI253/2</f>
        <v>0</v>
      </c>
      <c r="AH253" s="630">
        <f>AI253-AG253</f>
        <v>0</v>
      </c>
      <c r="AI253" s="653">
        <f t="shared" si="535"/>
        <v>0</v>
      </c>
      <c r="AJ253" s="40">
        <f>AL253/2</f>
        <v>0</v>
      </c>
      <c r="AK253" s="630">
        <f>AL253-AJ253</f>
        <v>0</v>
      </c>
      <c r="AL253" s="653">
        <f t="shared" si="535"/>
        <v>0</v>
      </c>
      <c r="AM253" s="40">
        <f>AO253/2</f>
        <v>0</v>
      </c>
      <c r="AN253" s="216">
        <f>AO253-AM253</f>
        <v>0</v>
      </c>
      <c r="AO253" s="556">
        <f t="shared" si="535"/>
        <v>0</v>
      </c>
      <c r="AP253" s="40">
        <f>AR253/2</f>
        <v>0</v>
      </c>
      <c r="AQ253" s="216">
        <f>AR253-AP253</f>
        <v>0</v>
      </c>
      <c r="AR253" s="556">
        <f t="shared" ref="AR253" si="536">ROUND(AR252*10%,0)</f>
        <v>0</v>
      </c>
      <c r="AS253" s="40">
        <f>AU253/2</f>
        <v>0</v>
      </c>
      <c r="AT253" s="216">
        <f>AU253-AS253</f>
        <v>0</v>
      </c>
      <c r="AU253" s="556">
        <f t="shared" si="535"/>
        <v>0</v>
      </c>
      <c r="AV253" s="10">
        <f>AX253/2</f>
        <v>0</v>
      </c>
      <c r="AW253" s="236">
        <f>AX253-AV253</f>
        <v>0</v>
      </c>
      <c r="AX253" s="605">
        <f t="shared" si="535"/>
        <v>0</v>
      </c>
      <c r="AY253" s="56">
        <f>BA253/2</f>
        <v>0</v>
      </c>
      <c r="AZ253" s="236">
        <f>BA253-AY253</f>
        <v>0</v>
      </c>
      <c r="BA253" s="605">
        <f t="shared" si="535"/>
        <v>0</v>
      </c>
      <c r="BB253" s="56">
        <f>BD253/2</f>
        <v>0</v>
      </c>
      <c r="BC253" s="236">
        <f>BD253-BB253</f>
        <v>0</v>
      </c>
      <c r="BD253" s="605">
        <f t="shared" si="535"/>
        <v>0</v>
      </c>
      <c r="BE253" s="56">
        <f>BG253/2</f>
        <v>0</v>
      </c>
      <c r="BF253" s="236">
        <f>BG253-BE253</f>
        <v>0</v>
      </c>
      <c r="BG253" s="605">
        <f t="shared" si="535"/>
        <v>0</v>
      </c>
      <c r="BH253" s="56">
        <f>BJ253/2</f>
        <v>0</v>
      </c>
      <c r="BI253" s="236">
        <f>BJ253-BH253</f>
        <v>0</v>
      </c>
      <c r="BJ253" s="605">
        <f t="shared" si="535"/>
        <v>0</v>
      </c>
      <c r="BK253"/>
    </row>
    <row r="254" spans="1:65">
      <c r="A254" s="31" t="s">
        <v>481</v>
      </c>
      <c r="B254" s="40"/>
      <c r="C254" s="40"/>
      <c r="D254" s="40"/>
      <c r="E254" s="40"/>
      <c r="F254" s="40"/>
      <c r="G254" s="40"/>
      <c r="H254" s="40"/>
      <c r="I254" s="40"/>
      <c r="J254" s="40"/>
      <c r="K254" s="40"/>
      <c r="L254" s="40"/>
      <c r="M254" s="40"/>
      <c r="N254" s="40"/>
      <c r="O254" s="40"/>
      <c r="P254" s="40"/>
      <c r="Q254" s="51">
        <f>Q252+Q253</f>
        <v>463</v>
      </c>
      <c r="R254" s="51"/>
      <c r="S254" s="629"/>
      <c r="T254" s="652">
        <f>T252+T253</f>
        <v>355</v>
      </c>
      <c r="U254" s="51">
        <f t="shared" ref="U254:V254" si="537">U252+U253</f>
        <v>133.5</v>
      </c>
      <c r="V254" s="629">
        <f t="shared" si="537"/>
        <v>133.5</v>
      </c>
      <c r="W254" s="652">
        <f>W252+W253</f>
        <v>267</v>
      </c>
      <c r="X254" s="51">
        <f t="shared" ref="X254:Y254" si="538">X252+X253</f>
        <v>60.5</v>
      </c>
      <c r="Y254" s="629">
        <f t="shared" si="538"/>
        <v>60.5</v>
      </c>
      <c r="Z254" s="652">
        <f t="shared" ref="Z254:BJ254" si="539">Z252+Z253</f>
        <v>121</v>
      </c>
      <c r="AA254" s="51">
        <f t="shared" si="539"/>
        <v>11.5</v>
      </c>
      <c r="AB254" s="629">
        <f t="shared" si="539"/>
        <v>11.5</v>
      </c>
      <c r="AC254" s="652">
        <f t="shared" si="539"/>
        <v>23</v>
      </c>
      <c r="AD254" s="51">
        <f t="shared" ref="AD254:AE254" si="540">AD252+AD253</f>
        <v>2</v>
      </c>
      <c r="AE254" s="629">
        <f t="shared" si="540"/>
        <v>2</v>
      </c>
      <c r="AF254" s="652">
        <f t="shared" si="539"/>
        <v>4</v>
      </c>
      <c r="AG254" s="51">
        <f t="shared" si="539"/>
        <v>1</v>
      </c>
      <c r="AH254" s="629">
        <f t="shared" si="539"/>
        <v>1</v>
      </c>
      <c r="AI254" s="652">
        <f t="shared" si="539"/>
        <v>2</v>
      </c>
      <c r="AJ254" s="51">
        <f t="shared" ref="AJ254:AK254" si="541">AJ252+AJ253</f>
        <v>1</v>
      </c>
      <c r="AK254" s="629">
        <f t="shared" si="541"/>
        <v>1</v>
      </c>
      <c r="AL254" s="652">
        <f t="shared" si="539"/>
        <v>2</v>
      </c>
      <c r="AM254" s="51">
        <f t="shared" si="539"/>
        <v>0</v>
      </c>
      <c r="AN254" s="218">
        <f t="shared" si="539"/>
        <v>0</v>
      </c>
      <c r="AO254" s="553">
        <f t="shared" si="539"/>
        <v>0</v>
      </c>
      <c r="AP254" s="51">
        <f t="shared" ref="AP254:AR254" si="542">AP252+AP253</f>
        <v>0</v>
      </c>
      <c r="AQ254" s="218">
        <f t="shared" si="542"/>
        <v>0</v>
      </c>
      <c r="AR254" s="553">
        <f t="shared" si="542"/>
        <v>0</v>
      </c>
      <c r="AS254" s="51">
        <f t="shared" ref="AS254" si="543">AS252+AS253</f>
        <v>0</v>
      </c>
      <c r="AT254" s="218">
        <f t="shared" si="539"/>
        <v>0</v>
      </c>
      <c r="AU254" s="553">
        <f t="shared" si="539"/>
        <v>0</v>
      </c>
      <c r="AV254" s="27">
        <f t="shared" si="539"/>
        <v>0</v>
      </c>
      <c r="AW254" s="237">
        <f t="shared" si="539"/>
        <v>0</v>
      </c>
      <c r="AX254" s="576">
        <f t="shared" si="539"/>
        <v>0</v>
      </c>
      <c r="AY254" s="48">
        <f t="shared" si="539"/>
        <v>0</v>
      </c>
      <c r="AZ254" s="237">
        <f t="shared" si="539"/>
        <v>0</v>
      </c>
      <c r="BA254" s="576">
        <f t="shared" si="539"/>
        <v>0</v>
      </c>
      <c r="BB254" s="48">
        <f t="shared" si="539"/>
        <v>0</v>
      </c>
      <c r="BC254" s="237">
        <f t="shared" si="539"/>
        <v>0</v>
      </c>
      <c r="BD254" s="576">
        <f t="shared" si="539"/>
        <v>0</v>
      </c>
      <c r="BE254" s="48">
        <f t="shared" si="539"/>
        <v>0</v>
      </c>
      <c r="BF254" s="237">
        <f t="shared" si="539"/>
        <v>0</v>
      </c>
      <c r="BG254" s="576">
        <f t="shared" si="539"/>
        <v>0</v>
      </c>
      <c r="BH254" s="48">
        <f t="shared" si="539"/>
        <v>0</v>
      </c>
      <c r="BI254" s="237">
        <f t="shared" si="539"/>
        <v>0</v>
      </c>
      <c r="BJ254" s="576">
        <f t="shared" si="539"/>
        <v>0</v>
      </c>
      <c r="BK254"/>
      <c r="BL254" s="31"/>
      <c r="BM254" s="32"/>
    </row>
    <row r="255" spans="1:65">
      <c r="B255" s="40"/>
      <c r="C255" s="40"/>
      <c r="D255" s="40"/>
      <c r="E255" s="40"/>
      <c r="F255" s="40"/>
      <c r="G255" s="40"/>
      <c r="H255" s="40"/>
      <c r="I255" s="40"/>
      <c r="J255" s="40"/>
      <c r="K255" s="40"/>
      <c r="L255" s="40"/>
      <c r="M255" s="40"/>
      <c r="N255" s="40"/>
      <c r="O255" s="40"/>
      <c r="P255" s="40"/>
      <c r="Q255" s="40"/>
      <c r="R255" s="50"/>
      <c r="S255" s="647"/>
      <c r="T255" s="653"/>
      <c r="U255" s="40"/>
      <c r="V255" s="630"/>
      <c r="W255" s="653"/>
      <c r="X255" s="40"/>
      <c r="Y255" s="630"/>
      <c r="Z255" s="653"/>
      <c r="AA255" s="40"/>
      <c r="AB255" s="630"/>
      <c r="AC255" s="653"/>
      <c r="AD255" s="40"/>
      <c r="AE255" s="630"/>
      <c r="AF255" s="653"/>
      <c r="AG255" s="40"/>
      <c r="AH255" s="630"/>
      <c r="AI255" s="653"/>
      <c r="AJ255" s="40"/>
      <c r="AK255" s="630"/>
      <c r="AL255" s="653"/>
      <c r="AM255" s="40"/>
      <c r="AN255" s="539"/>
      <c r="AO255" s="550"/>
      <c r="AP255" s="40"/>
      <c r="AQ255" s="539"/>
      <c r="AR255" s="550"/>
      <c r="AS255" s="40"/>
      <c r="AT255" s="539"/>
      <c r="AU255" s="550"/>
      <c r="AV255" s="10"/>
      <c r="AW255" s="539"/>
      <c r="AX255" s="550"/>
      <c r="AY255"/>
      <c r="AZ255" s="539"/>
      <c r="BA255" s="550"/>
      <c r="BB255"/>
      <c r="BC255" s="539"/>
      <c r="BD255" s="550"/>
      <c r="BE255"/>
      <c r="BF255" s="539"/>
      <c r="BG255" s="550"/>
      <c r="BH255"/>
      <c r="BI255" s="539"/>
      <c r="BJ255" s="550"/>
      <c r="BK255"/>
    </row>
    <row r="256" spans="1:65">
      <c r="A256" s="68" t="s">
        <v>482</v>
      </c>
      <c r="B256" s="46"/>
      <c r="C256" s="46"/>
      <c r="D256" s="46"/>
      <c r="E256" s="46"/>
      <c r="F256" s="46"/>
      <c r="G256" s="46"/>
      <c r="H256" s="46"/>
      <c r="I256" s="46"/>
      <c r="J256" s="46"/>
      <c r="K256" s="46"/>
      <c r="L256" s="46"/>
      <c r="M256" s="46"/>
      <c r="N256" s="46"/>
      <c r="O256" s="46"/>
      <c r="P256" s="46">
        <f>P8</f>
        <v>331</v>
      </c>
      <c r="Q256" s="46">
        <f>Q8</f>
        <v>281</v>
      </c>
      <c r="R256" s="46"/>
      <c r="S256" s="643"/>
      <c r="T256" s="667">
        <f>T8</f>
        <v>254</v>
      </c>
      <c r="U256" s="46">
        <f t="shared" ref="U256:AM256" si="544">U22</f>
        <v>104</v>
      </c>
      <c r="V256" s="643">
        <f t="shared" si="544"/>
        <v>115</v>
      </c>
      <c r="W256" s="667">
        <f t="shared" si="544"/>
        <v>219</v>
      </c>
      <c r="X256" s="46">
        <f t="shared" si="544"/>
        <v>68</v>
      </c>
      <c r="Y256" s="643">
        <f t="shared" si="544"/>
        <v>58</v>
      </c>
      <c r="Z256" s="667">
        <f t="shared" si="544"/>
        <v>126</v>
      </c>
      <c r="AA256" s="46">
        <f t="shared" si="544"/>
        <v>14</v>
      </c>
      <c r="AB256" s="643">
        <f t="shared" si="544"/>
        <v>21</v>
      </c>
      <c r="AC256" s="667">
        <f t="shared" si="544"/>
        <v>35</v>
      </c>
      <c r="AD256" s="46">
        <f t="shared" si="544"/>
        <v>7</v>
      </c>
      <c r="AE256" s="643">
        <f t="shared" si="544"/>
        <v>1</v>
      </c>
      <c r="AF256" s="667">
        <f t="shared" si="544"/>
        <v>8</v>
      </c>
      <c r="AG256" s="46">
        <f t="shared" si="544"/>
        <v>2</v>
      </c>
      <c r="AH256" s="643">
        <f t="shared" si="544"/>
        <v>3</v>
      </c>
      <c r="AI256" s="667">
        <f t="shared" si="544"/>
        <v>5</v>
      </c>
      <c r="AJ256" s="46">
        <f t="shared" si="544"/>
        <v>7</v>
      </c>
      <c r="AK256" s="643">
        <f t="shared" si="544"/>
        <v>12</v>
      </c>
      <c r="AL256" s="667">
        <f t="shared" si="544"/>
        <v>19</v>
      </c>
      <c r="AM256" s="46">
        <f t="shared" si="544"/>
        <v>6</v>
      </c>
      <c r="AN256" s="232">
        <f>AO256-AM256</f>
        <v>1</v>
      </c>
      <c r="AO256" s="667">
        <f>AO22</f>
        <v>7</v>
      </c>
      <c r="AP256" s="46">
        <f>AP22</f>
        <v>11</v>
      </c>
      <c r="AQ256" s="232">
        <f>AR256-AP256</f>
        <v>10</v>
      </c>
      <c r="AR256" s="667">
        <f>AR22</f>
        <v>21</v>
      </c>
      <c r="AS256" s="46">
        <f>AS22</f>
        <v>12</v>
      </c>
      <c r="AT256" s="232">
        <f>AT22</f>
        <v>17</v>
      </c>
      <c r="AU256" s="552">
        <f>AU22</f>
        <v>29</v>
      </c>
      <c r="AV256" s="184">
        <f>AV22</f>
        <v>18</v>
      </c>
      <c r="AW256" s="250">
        <f>AX256-AV256</f>
        <v>0</v>
      </c>
      <c r="AX256" s="1122">
        <v>18</v>
      </c>
      <c r="AY256" s="249">
        <f>BA256/2</f>
        <v>0</v>
      </c>
      <c r="AZ256" s="250">
        <f>BA256-AY256</f>
        <v>0</v>
      </c>
      <c r="BA256" s="615">
        <f>BA257*BA254</f>
        <v>0</v>
      </c>
      <c r="BB256" s="249">
        <f>BD256/2</f>
        <v>0</v>
      </c>
      <c r="BC256" s="250">
        <f>BD256-BB256</f>
        <v>0</v>
      </c>
      <c r="BD256" s="615">
        <f t="shared" ref="BD256:BJ256" si="545">BD257*BD254</f>
        <v>0</v>
      </c>
      <c r="BE256" s="249">
        <f>BG256/2</f>
        <v>0</v>
      </c>
      <c r="BF256" s="250">
        <f>BG256-BE256</f>
        <v>0</v>
      </c>
      <c r="BG256" s="615">
        <f t="shared" si="545"/>
        <v>0</v>
      </c>
      <c r="BH256" s="249">
        <f>BJ256/2</f>
        <v>0</v>
      </c>
      <c r="BI256" s="250">
        <f>BJ256-BH256</f>
        <v>0</v>
      </c>
      <c r="BJ256" s="615">
        <f t="shared" si="545"/>
        <v>0</v>
      </c>
      <c r="BK256"/>
    </row>
    <row r="257" spans="1:63">
      <c r="A257" s="25" t="s">
        <v>483</v>
      </c>
      <c r="B257" s="40"/>
      <c r="C257" s="40"/>
      <c r="D257" s="40"/>
      <c r="E257" s="40"/>
      <c r="F257" s="40"/>
      <c r="G257" s="40"/>
      <c r="H257" s="40"/>
      <c r="I257" s="40"/>
      <c r="J257" s="40"/>
      <c r="K257" s="40"/>
      <c r="L257" s="40"/>
      <c r="M257" s="40"/>
      <c r="N257" s="40"/>
      <c r="O257" s="40"/>
      <c r="P257" s="40"/>
      <c r="Q257" s="40"/>
      <c r="R257" s="81"/>
      <c r="S257" s="636"/>
      <c r="T257" s="659">
        <f t="shared" ref="T257:AL257" si="546">T256/T254</f>
        <v>0.71549295774647892</v>
      </c>
      <c r="U257" s="81">
        <f t="shared" ref="U257:V257" si="547">U256/U254</f>
        <v>0.77902621722846443</v>
      </c>
      <c r="V257" s="636">
        <f t="shared" si="547"/>
        <v>0.86142322097378277</v>
      </c>
      <c r="W257" s="659">
        <f t="shared" si="546"/>
        <v>0.8202247191011236</v>
      </c>
      <c r="X257" s="81">
        <f t="shared" si="546"/>
        <v>1.1239669421487604</v>
      </c>
      <c r="Y257" s="636">
        <f t="shared" si="546"/>
        <v>0.95867768595041325</v>
      </c>
      <c r="Z257" s="659">
        <f t="shared" si="546"/>
        <v>1.0413223140495869</v>
      </c>
      <c r="AA257" s="81">
        <f t="shared" ref="AA257:AB257" si="548">AA256/AA254</f>
        <v>1.2173913043478262</v>
      </c>
      <c r="AB257" s="636">
        <f t="shared" si="548"/>
        <v>1.826086956521739</v>
      </c>
      <c r="AC257" s="659">
        <f t="shared" si="546"/>
        <v>1.5217391304347827</v>
      </c>
      <c r="AD257" s="81">
        <f t="shared" si="546"/>
        <v>3.5</v>
      </c>
      <c r="AE257" s="636">
        <f t="shared" si="546"/>
        <v>0.5</v>
      </c>
      <c r="AF257" s="659">
        <f t="shared" si="546"/>
        <v>2</v>
      </c>
      <c r="AG257" s="81">
        <f t="shared" ref="AG257:AH257" si="549">AG256/AG254</f>
        <v>2</v>
      </c>
      <c r="AH257" s="636">
        <f t="shared" si="549"/>
        <v>3</v>
      </c>
      <c r="AI257" s="659">
        <f t="shared" si="546"/>
        <v>2.5</v>
      </c>
      <c r="AJ257" s="81">
        <f t="shared" si="546"/>
        <v>7</v>
      </c>
      <c r="AK257" s="636">
        <f t="shared" ref="AK257" si="550">AK256/AK254</f>
        <v>12</v>
      </c>
      <c r="AL257" s="659">
        <f t="shared" si="546"/>
        <v>9.5</v>
      </c>
      <c r="AM257" s="965" t="str">
        <f>IFERROR(AM256/AM254,"NM")</f>
        <v>NM</v>
      </c>
      <c r="AN257" s="639" t="str">
        <f t="shared" ref="AN257:AO257" si="551">IFERROR(AN256/AN254,"NM")</f>
        <v>NM</v>
      </c>
      <c r="AO257" s="662" t="str">
        <f t="shared" si="551"/>
        <v>NM</v>
      </c>
      <c r="AP257" s="173"/>
      <c r="AQ257" s="235"/>
      <c r="AR257" s="611"/>
      <c r="AS257" s="173"/>
      <c r="AT257" s="235"/>
      <c r="AU257" s="611"/>
      <c r="AV257" s="173"/>
      <c r="AW257" s="235"/>
      <c r="AX257" s="611"/>
      <c r="AY257" s="173"/>
      <c r="AZ257" s="235"/>
      <c r="BA257" s="611"/>
      <c r="BB257" s="173"/>
      <c r="BC257" s="235"/>
      <c r="BD257" s="611"/>
      <c r="BE257" s="173"/>
      <c r="BF257" s="235"/>
      <c r="BG257" s="611"/>
      <c r="BH257" s="173"/>
      <c r="BI257" s="235"/>
      <c r="BJ257" s="611"/>
      <c r="BK257"/>
    </row>
    <row r="258" spans="1:63">
      <c r="B258" s="40"/>
      <c r="C258" s="40"/>
      <c r="D258" s="40"/>
      <c r="E258" s="40"/>
      <c r="F258" s="40"/>
      <c r="G258" s="40"/>
      <c r="H258" s="40"/>
      <c r="I258" s="40"/>
      <c r="J258" s="40"/>
      <c r="K258" s="40"/>
      <c r="L258" s="40"/>
      <c r="M258" s="40"/>
      <c r="N258" s="40"/>
      <c r="O258" s="40"/>
      <c r="P258" s="40"/>
      <c r="Q258" s="40"/>
      <c r="R258" s="40"/>
      <c r="S258" s="630"/>
      <c r="T258" s="653"/>
      <c r="U258" s="40"/>
      <c r="V258" s="630"/>
      <c r="W258" s="653"/>
      <c r="X258" s="40"/>
      <c r="Y258" s="630"/>
      <c r="Z258" s="653"/>
      <c r="AA258" s="40"/>
      <c r="AB258" s="630"/>
      <c r="AC258" s="653"/>
      <c r="AD258" s="40"/>
      <c r="AE258" s="630"/>
      <c r="AF258" s="653"/>
      <c r="AG258" s="40"/>
      <c r="AH258" s="630"/>
      <c r="AI258" s="653"/>
      <c r="AJ258" s="40"/>
      <c r="AK258" s="630"/>
      <c r="AL258" s="653"/>
      <c r="AM258" s="40"/>
      <c r="AN258" s="539"/>
      <c r="AO258" s="550"/>
      <c r="AP258"/>
      <c r="AQ258" s="539"/>
      <c r="AR258" s="550"/>
      <c r="AS258"/>
      <c r="AT258" s="539"/>
      <c r="AU258" s="550"/>
      <c r="AV258"/>
      <c r="AW258" s="539"/>
      <c r="AX258" s="550"/>
      <c r="AY258"/>
      <c r="AZ258" s="539"/>
      <c r="BA258" s="550"/>
      <c r="BB258"/>
      <c r="BC258" s="539"/>
      <c r="BD258" s="550"/>
      <c r="BE258"/>
      <c r="BF258" s="539"/>
      <c r="BG258" s="550"/>
      <c r="BH258"/>
      <c r="BI258" s="539"/>
      <c r="BJ258" s="550"/>
      <c r="BK258"/>
    </row>
    <row r="259" spans="1:63">
      <c r="A259" s="68" t="s">
        <v>484</v>
      </c>
      <c r="B259" s="267"/>
      <c r="C259" s="267"/>
      <c r="D259" s="267"/>
      <c r="E259" s="267"/>
      <c r="F259" s="267"/>
      <c r="G259" s="267"/>
      <c r="H259" s="267"/>
      <c r="I259" s="267"/>
      <c r="J259" s="267"/>
      <c r="K259" s="267"/>
      <c r="L259" s="267"/>
      <c r="M259" s="267"/>
      <c r="N259" s="267"/>
      <c r="O259" s="267"/>
      <c r="P259" s="46">
        <f>P256*P260</f>
        <v>33.1</v>
      </c>
      <c r="Q259" s="46">
        <f>Q256*Q260</f>
        <v>28.1</v>
      </c>
      <c r="R259" s="46"/>
      <c r="S259" s="643"/>
      <c r="T259" s="667">
        <f>T256*T260</f>
        <v>25.400000000000002</v>
      </c>
      <c r="U259" s="46">
        <f t="shared" ref="U259" si="552">U256*U260</f>
        <v>10.4</v>
      </c>
      <c r="V259" s="643">
        <f>W259-U259</f>
        <v>11.500000000000002</v>
      </c>
      <c r="W259" s="667">
        <f>W256*W260</f>
        <v>21.900000000000002</v>
      </c>
      <c r="X259" s="46">
        <f t="shared" ref="X259" si="553">X256*X260</f>
        <v>6.8000000000000007</v>
      </c>
      <c r="Y259" s="643">
        <f>Z259-X259</f>
        <v>5.8000000000000007</v>
      </c>
      <c r="Z259" s="667">
        <f t="shared" ref="Z259:BJ259" si="554">Z256*Z260</f>
        <v>12.600000000000001</v>
      </c>
      <c r="AA259" s="46">
        <f t="shared" si="554"/>
        <v>1.4000000000000001</v>
      </c>
      <c r="AB259" s="643">
        <f>AC259-AA259</f>
        <v>2.0999999999999996</v>
      </c>
      <c r="AC259" s="667">
        <f>AC256*AC260</f>
        <v>3.5</v>
      </c>
      <c r="AD259" s="46">
        <f t="shared" ref="AD259" si="555">AD256*AD260</f>
        <v>0.70000000000000007</v>
      </c>
      <c r="AE259" s="643">
        <f>AF259-AD259</f>
        <v>9.9999999999999978E-2</v>
      </c>
      <c r="AF259" s="667">
        <f>AF256*AF260</f>
        <v>0.8</v>
      </c>
      <c r="AG259" s="46">
        <f t="shared" ref="AG259" si="556">AG256*AG260</f>
        <v>0.2</v>
      </c>
      <c r="AH259" s="643">
        <f>AI259-AG259</f>
        <v>0.3</v>
      </c>
      <c r="AI259" s="667">
        <f t="shared" si="554"/>
        <v>0.5</v>
      </c>
      <c r="AJ259" s="46">
        <f t="shared" si="554"/>
        <v>0.70000000000000007</v>
      </c>
      <c r="AK259" s="643">
        <f>AL259-AJ259</f>
        <v>1.2000000000000002</v>
      </c>
      <c r="AL259" s="667">
        <f t="shared" si="554"/>
        <v>1.9000000000000001</v>
      </c>
      <c r="AM259" s="46">
        <f t="shared" ref="AM259" si="557">AM256*AM260</f>
        <v>0.60000000000000009</v>
      </c>
      <c r="AN259" s="232">
        <f>AO259-AM259</f>
        <v>9.9999999999999978E-2</v>
      </c>
      <c r="AO259" s="552">
        <f t="shared" si="554"/>
        <v>0.70000000000000007</v>
      </c>
      <c r="AP259" s="46">
        <f t="shared" si="554"/>
        <v>1.1000000000000001</v>
      </c>
      <c r="AQ259" s="232">
        <f>AR259-AP259</f>
        <v>1</v>
      </c>
      <c r="AR259" s="552">
        <f t="shared" ref="AR259" si="558">AR256*AR260</f>
        <v>2.1</v>
      </c>
      <c r="AS259" s="46">
        <f t="shared" si="554"/>
        <v>1.2000000000000002</v>
      </c>
      <c r="AT259" s="232">
        <f>AU259-AS259</f>
        <v>1.7000000000000002</v>
      </c>
      <c r="AU259" s="552">
        <f t="shared" si="554"/>
        <v>2.9000000000000004</v>
      </c>
      <c r="AV259" s="184">
        <f t="shared" si="554"/>
        <v>1.8</v>
      </c>
      <c r="AW259" s="250">
        <f>AX259-AV259</f>
        <v>0</v>
      </c>
      <c r="AX259" s="615">
        <f t="shared" si="554"/>
        <v>1.8</v>
      </c>
      <c r="AY259" s="249">
        <f t="shared" si="554"/>
        <v>0</v>
      </c>
      <c r="AZ259" s="250">
        <f>BA259-AY259</f>
        <v>0</v>
      </c>
      <c r="BA259" s="615">
        <f t="shared" si="554"/>
        <v>0</v>
      </c>
      <c r="BB259" s="249">
        <f t="shared" si="554"/>
        <v>0</v>
      </c>
      <c r="BC259" s="250">
        <f>BD259-BB259</f>
        <v>0</v>
      </c>
      <c r="BD259" s="615">
        <f t="shared" si="554"/>
        <v>0</v>
      </c>
      <c r="BE259" s="249">
        <f t="shared" si="554"/>
        <v>0</v>
      </c>
      <c r="BF259" s="250">
        <f>BG259-BE259</f>
        <v>0</v>
      </c>
      <c r="BG259" s="615">
        <f t="shared" si="554"/>
        <v>0</v>
      </c>
      <c r="BH259" s="249">
        <f t="shared" si="554"/>
        <v>0</v>
      </c>
      <c r="BI259" s="250">
        <f>BJ259-BH259</f>
        <v>0</v>
      </c>
      <c r="BJ259" s="615">
        <f t="shared" si="554"/>
        <v>0</v>
      </c>
      <c r="BK259"/>
    </row>
    <row r="260" spans="1:63">
      <c r="A260" s="25" t="s">
        <v>478</v>
      </c>
      <c r="B260" s="40"/>
      <c r="C260" s="40"/>
      <c r="D260" s="40"/>
      <c r="E260" s="40"/>
      <c r="F260" s="40"/>
      <c r="G260" s="40"/>
      <c r="H260" s="40"/>
      <c r="I260" s="40"/>
      <c r="J260" s="40"/>
      <c r="K260" s="40"/>
      <c r="L260" s="40"/>
      <c r="M260" s="40"/>
      <c r="N260" s="40"/>
      <c r="O260" s="40"/>
      <c r="P260" s="50">
        <v>0.1</v>
      </c>
      <c r="Q260" s="50">
        <f>+P260</f>
        <v>0.1</v>
      </c>
      <c r="R260" s="50"/>
      <c r="S260" s="647"/>
      <c r="T260" s="671">
        <f>+Q260</f>
        <v>0.1</v>
      </c>
      <c r="U260" s="952">
        <f>W260</f>
        <v>0.1</v>
      </c>
      <c r="V260" s="647">
        <f>V259/V256</f>
        <v>0.10000000000000002</v>
      </c>
      <c r="W260" s="671">
        <f>+T260</f>
        <v>0.1</v>
      </c>
      <c r="X260" s="952">
        <f>Z260</f>
        <v>0.1</v>
      </c>
      <c r="Y260" s="647">
        <f>Y259/Y256</f>
        <v>0.1</v>
      </c>
      <c r="Z260" s="671">
        <f>+W260</f>
        <v>0.1</v>
      </c>
      <c r="AA260" s="952">
        <f>AC260</f>
        <v>0.1</v>
      </c>
      <c r="AB260" s="647">
        <f>AB259/AB256</f>
        <v>9.9999999999999978E-2</v>
      </c>
      <c r="AC260" s="671">
        <f>+Z260</f>
        <v>0.1</v>
      </c>
      <c r="AD260" s="952">
        <f>AF260</f>
        <v>0.1</v>
      </c>
      <c r="AE260" s="647">
        <f>AE259/AE256</f>
        <v>9.9999999999999978E-2</v>
      </c>
      <c r="AF260" s="671">
        <f t="shared" ref="AF260" si="559">+AC260</f>
        <v>0.1</v>
      </c>
      <c r="AG260" s="952">
        <f>AI260</f>
        <v>0.1</v>
      </c>
      <c r="AH260" s="647">
        <f>AH259/AH256</f>
        <v>9.9999999999999992E-2</v>
      </c>
      <c r="AI260" s="671">
        <f>+AF260</f>
        <v>0.1</v>
      </c>
      <c r="AJ260" s="952">
        <f>AL260</f>
        <v>0.1</v>
      </c>
      <c r="AK260" s="647">
        <f>AK259/AK256</f>
        <v>0.10000000000000002</v>
      </c>
      <c r="AL260" s="671">
        <f>+AI260</f>
        <v>0.1</v>
      </c>
      <c r="AM260" s="952">
        <f>AO260</f>
        <v>0.1</v>
      </c>
      <c r="AN260" s="647">
        <f>AN259/AN256</f>
        <v>9.9999999999999978E-2</v>
      </c>
      <c r="AO260" s="554">
        <f>+AL260</f>
        <v>0.1</v>
      </c>
      <c r="AP260" s="952">
        <f>AR260</f>
        <v>0.1</v>
      </c>
      <c r="AQ260" s="647">
        <f>AQ259/AQ256</f>
        <v>0.1</v>
      </c>
      <c r="AR260" s="554">
        <f>+AO260</f>
        <v>0.1</v>
      </c>
      <c r="AS260" s="952">
        <v>0.1</v>
      </c>
      <c r="AT260" s="647">
        <f>AU260</f>
        <v>0.1</v>
      </c>
      <c r="AU260" s="554">
        <v>0.1</v>
      </c>
      <c r="AV260" s="211">
        <f>AX260</f>
        <v>0.1</v>
      </c>
      <c r="AW260" s="599">
        <f>AX260</f>
        <v>0.1</v>
      </c>
      <c r="AX260" s="577">
        <f>+AU260</f>
        <v>0.1</v>
      </c>
      <c r="AY260" s="251">
        <f>BA260</f>
        <v>0.1</v>
      </c>
      <c r="AZ260" s="599">
        <f>BA260</f>
        <v>0.1</v>
      </c>
      <c r="BA260" s="577">
        <f>+AX260</f>
        <v>0.1</v>
      </c>
      <c r="BB260" s="251">
        <f>BD260</f>
        <v>0.1</v>
      </c>
      <c r="BC260" s="599">
        <f>BD260</f>
        <v>0.1</v>
      </c>
      <c r="BD260" s="577">
        <f>+BA260</f>
        <v>0.1</v>
      </c>
      <c r="BE260" s="251">
        <f>BG260</f>
        <v>0.1</v>
      </c>
      <c r="BF260" s="599">
        <f>BG260</f>
        <v>0.1</v>
      </c>
      <c r="BG260" s="577">
        <f>+BD260</f>
        <v>0.1</v>
      </c>
      <c r="BH260" s="251">
        <f>BJ260</f>
        <v>0.1</v>
      </c>
      <c r="BI260" s="599">
        <f>BJ260</f>
        <v>0.1</v>
      </c>
      <c r="BJ260" s="577">
        <f>+BG260</f>
        <v>0.1</v>
      </c>
      <c r="BK260"/>
    </row>
    <row r="261" spans="1:63" ht="11.4">
      <c r="T261" s="38"/>
      <c r="W261" s="38"/>
      <c r="Z261" s="38"/>
      <c r="AA261" s="38"/>
      <c r="AB261" s="38"/>
      <c r="AC261" s="38"/>
      <c r="AD261" s="38"/>
      <c r="AE261" s="38"/>
      <c r="AF261" s="38"/>
      <c r="AG261" s="38"/>
      <c r="AH261" s="38"/>
      <c r="AI261" s="38"/>
      <c r="AJ261" s="38"/>
      <c r="AK261" s="38"/>
      <c r="AL261" s="38"/>
      <c r="AM261" s="38"/>
      <c r="AN261" s="38"/>
      <c r="AO261" s="38"/>
      <c r="AP261" s="38"/>
      <c r="AQ261" s="38"/>
      <c r="AR261" s="38"/>
      <c r="AS261" s="38"/>
      <c r="AT261" s="38"/>
      <c r="AU261" s="38"/>
      <c r="AV261" s="38"/>
      <c r="AW261" s="38"/>
      <c r="AX261" s="38"/>
      <c r="AY261" s="38"/>
      <c r="AZ261" s="38"/>
      <c r="BA261" s="38"/>
      <c r="BB261" s="38"/>
      <c r="BC261" s="38"/>
      <c r="BD261" s="38"/>
      <c r="BE261" s="38"/>
      <c r="BF261" s="38"/>
      <c r="BG261" s="38"/>
      <c r="BH261" s="38"/>
      <c r="BI261" s="38"/>
      <c r="BJ261" s="38"/>
      <c r="BK261"/>
    </row>
    <row r="262" spans="1:63">
      <c r="BK262"/>
    </row>
  </sheetData>
  <pageMargins left="0.7" right="0.7" top="0.75" bottom="0.75" header="0.3" footer="0.3"/>
  <pageSetup scale="66" fitToHeight="0" orientation="portrait" r:id="rId1"/>
  <rowBreaks count="1" manualBreakCount="1">
    <brk id="160" max="16383" man="1"/>
  </rowBreak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5">
    <tabColor theme="1"/>
    <pageSetUpPr fitToPage="1"/>
  </sheetPr>
  <dimension ref="A1:CD611"/>
  <sheetViews>
    <sheetView showGridLines="0" zoomScaleNormal="100" workbookViewId="0">
      <pane xSplit="1" ySplit="2" topLeftCell="AC19" activePane="bottomRight" state="frozen"/>
      <selection sqref="A1:XFD1048576"/>
      <selection pane="topRight" sqref="A1:XFD1048576"/>
      <selection pane="bottomLeft" sqref="A1:XFD1048576"/>
      <selection pane="bottomRight" sqref="A1:XFD1048576"/>
    </sheetView>
  </sheetViews>
  <sheetFormatPr defaultColWidth="9.140625" defaultRowHeight="10.199999999999999" outlineLevelRow="1" outlineLevelCol="1"/>
  <cols>
    <col min="1" max="1" width="63.140625" style="25" customWidth="1"/>
    <col min="2" max="28" width="9.140625" style="25" hidden="1" customWidth="1" outlineLevel="1"/>
    <col min="29" max="29" width="9.7109375" style="25" bestFit="1" customWidth="1" collapsed="1"/>
    <col min="30" max="31" width="9.85546875" style="25" hidden="1" customWidth="1" outlineLevel="1"/>
    <col min="32" max="32" width="9.140625" style="25" collapsed="1"/>
    <col min="33" max="34" width="9.85546875" style="25" hidden="1" customWidth="1" outlineLevel="1"/>
    <col min="35" max="35" width="9.140625" style="25" collapsed="1"/>
    <col min="36" max="37" width="9.85546875" style="25" hidden="1" customWidth="1" outlineLevel="1"/>
    <col min="38" max="38" width="9.140625" style="25" collapsed="1"/>
    <col min="39" max="40" width="9.140625" style="25" hidden="1" customWidth="1" outlineLevel="1"/>
    <col min="41" max="41" width="9.140625" style="25" collapsed="1"/>
    <col min="42" max="43" width="9.140625" style="25" hidden="1" customWidth="1" outlineLevel="1"/>
    <col min="44" max="44" width="9.140625" style="25" collapsed="1"/>
    <col min="45" max="46" width="9.140625" style="25" hidden="1" customWidth="1" outlineLevel="1"/>
    <col min="47" max="47" width="9.140625" style="25" collapsed="1"/>
    <col min="48" max="49" width="9.140625" style="25" hidden="1" customWidth="1" outlineLevel="1"/>
    <col min="50" max="50" width="9.140625" style="25" collapsed="1"/>
    <col min="51" max="52" width="9.140625" style="25" hidden="1" customWidth="1" outlineLevel="1"/>
    <col min="53" max="53" width="9.140625" style="25" collapsed="1"/>
    <col min="54" max="55" width="9.140625" style="25" hidden="1" customWidth="1" outlineLevel="1"/>
    <col min="56" max="56" width="9.140625" style="25" collapsed="1"/>
    <col min="57" max="58" width="9.140625" style="25" hidden="1" customWidth="1" outlineLevel="1"/>
    <col min="59" max="59" width="9.140625" style="25" collapsed="1"/>
    <col min="60" max="61" width="9.140625" style="25" hidden="1" customWidth="1" outlineLevel="1"/>
    <col min="62" max="62" width="9.140625" style="25" collapsed="1"/>
    <col min="64" max="64" width="9.140625" style="25"/>
    <col min="65" max="65" width="9.140625" style="25" customWidth="1"/>
    <col min="66" max="16384" width="9.140625" style="25"/>
  </cols>
  <sheetData>
    <row r="1" spans="1:66">
      <c r="A1" s="305" t="s">
        <v>1</v>
      </c>
      <c r="B1" s="306">
        <v>2000</v>
      </c>
      <c r="C1" s="306">
        <f>B1+1</f>
        <v>2001</v>
      </c>
      <c r="D1" s="306">
        <f t="shared" ref="D1:J1" si="0">C1+1</f>
        <v>2002</v>
      </c>
      <c r="E1" s="306">
        <f t="shared" si="0"/>
        <v>2003</v>
      </c>
      <c r="F1" s="306">
        <f t="shared" si="0"/>
        <v>2004</v>
      </c>
      <c r="G1" s="306">
        <f t="shared" si="0"/>
        <v>2005</v>
      </c>
      <c r="H1" s="306">
        <f t="shared" si="0"/>
        <v>2006</v>
      </c>
      <c r="I1" s="306">
        <f t="shared" si="0"/>
        <v>2007</v>
      </c>
      <c r="J1" s="306">
        <f t="shared" si="0"/>
        <v>2008</v>
      </c>
      <c r="K1" s="306">
        <v>2009</v>
      </c>
      <c r="L1" s="306">
        <f>K1+1</f>
        <v>2010</v>
      </c>
      <c r="M1" s="306">
        <f>L1+1</f>
        <v>2011</v>
      </c>
      <c r="N1" s="306">
        <f>M1+1</f>
        <v>2012</v>
      </c>
      <c r="O1" s="306">
        <f>N1+1</f>
        <v>2013</v>
      </c>
      <c r="P1" s="306">
        <v>2014</v>
      </c>
      <c r="Q1" s="306">
        <f>P1+1</f>
        <v>2015</v>
      </c>
      <c r="R1" s="313" t="s">
        <v>616</v>
      </c>
      <c r="S1" s="314" t="s">
        <v>617</v>
      </c>
      <c r="T1" s="548">
        <f t="shared" ref="T1" si="1">Q1+1</f>
        <v>2016</v>
      </c>
      <c r="U1" s="313" t="s">
        <v>618</v>
      </c>
      <c r="V1" s="314" t="s">
        <v>683</v>
      </c>
      <c r="W1" s="548">
        <f>T1+1</f>
        <v>2017</v>
      </c>
      <c r="X1" s="313" t="s">
        <v>697</v>
      </c>
      <c r="Y1" s="314" t="s">
        <v>755</v>
      </c>
      <c r="Z1" s="548">
        <f>W1+1</f>
        <v>2018</v>
      </c>
      <c r="AA1" s="313" t="s">
        <v>757</v>
      </c>
      <c r="AB1" s="314" t="s">
        <v>793</v>
      </c>
      <c r="AC1" s="548">
        <f>Z1+1</f>
        <v>2019</v>
      </c>
      <c r="AD1" s="313" t="s">
        <v>794</v>
      </c>
      <c r="AE1" s="314" t="s">
        <v>798</v>
      </c>
      <c r="AF1" s="548">
        <f>AC1+1</f>
        <v>2020</v>
      </c>
      <c r="AG1" s="313" t="s">
        <v>801</v>
      </c>
      <c r="AH1" s="314" t="s">
        <v>802</v>
      </c>
      <c r="AI1" s="548">
        <f>AF1+1</f>
        <v>2021</v>
      </c>
      <c r="AJ1" s="313" t="s">
        <v>822</v>
      </c>
      <c r="AK1" s="314" t="s">
        <v>823</v>
      </c>
      <c r="AL1" s="548">
        <f>AI1+1</f>
        <v>2022</v>
      </c>
      <c r="AM1" s="313" t="s">
        <v>929</v>
      </c>
      <c r="AN1" s="314" t="s">
        <v>930</v>
      </c>
      <c r="AO1" s="548">
        <f>AL1+1</f>
        <v>2023</v>
      </c>
      <c r="AP1" s="313" t="s">
        <v>989</v>
      </c>
      <c r="AQ1" s="314" t="s">
        <v>990</v>
      </c>
      <c r="AR1" s="548">
        <f>AO1+1</f>
        <v>2024</v>
      </c>
      <c r="AS1" s="313" t="s">
        <v>1035</v>
      </c>
      <c r="AT1" s="314" t="s">
        <v>1036</v>
      </c>
      <c r="AU1" s="548">
        <f>AR1+1</f>
        <v>2025</v>
      </c>
      <c r="AV1" s="313" t="s">
        <v>1044</v>
      </c>
      <c r="AW1" s="538" t="s">
        <v>844</v>
      </c>
      <c r="AX1" s="572">
        <f>AU1+1</f>
        <v>2026</v>
      </c>
      <c r="AY1" s="537" t="s">
        <v>845</v>
      </c>
      <c r="AZ1" s="538" t="s">
        <v>846</v>
      </c>
      <c r="BA1" s="572">
        <f>AX1+1</f>
        <v>2027</v>
      </c>
      <c r="BB1" s="537" t="s">
        <v>847</v>
      </c>
      <c r="BC1" s="538" t="s">
        <v>848</v>
      </c>
      <c r="BD1" s="572">
        <f>BA1+1</f>
        <v>2028</v>
      </c>
      <c r="BE1" s="537" t="s">
        <v>849</v>
      </c>
      <c r="BF1" s="538" t="s">
        <v>850</v>
      </c>
      <c r="BG1" s="572">
        <f>BD1+1</f>
        <v>2029</v>
      </c>
      <c r="BH1" s="537" t="s">
        <v>851</v>
      </c>
      <c r="BI1" s="538" t="s">
        <v>852</v>
      </c>
      <c r="BJ1" s="572">
        <f>BG1+1</f>
        <v>2030</v>
      </c>
      <c r="BK1" s="1130" t="s">
        <v>827</v>
      </c>
      <c r="BL1" s="1" t="s">
        <v>828</v>
      </c>
    </row>
    <row r="2" spans="1:66">
      <c r="A2" s="305" t="s">
        <v>0</v>
      </c>
      <c r="B2" s="322"/>
      <c r="C2" s="322"/>
      <c r="D2" s="322"/>
      <c r="E2" s="322"/>
      <c r="F2" s="322"/>
      <c r="G2" s="322"/>
      <c r="H2" s="322"/>
      <c r="I2" s="322"/>
      <c r="J2" s="322"/>
      <c r="K2" s="306"/>
      <c r="L2" s="306"/>
      <c r="M2" s="306"/>
      <c r="N2" s="306"/>
      <c r="O2" s="306"/>
      <c r="P2" s="306"/>
      <c r="Q2" s="306"/>
      <c r="R2" s="323"/>
      <c r="S2" s="774"/>
      <c r="T2" s="781"/>
      <c r="U2" s="323"/>
      <c r="V2" s="774"/>
      <c r="W2" s="781"/>
      <c r="X2" s="323"/>
      <c r="Y2" s="774"/>
      <c r="Z2" s="781"/>
      <c r="AA2" s="323"/>
      <c r="AB2" s="774"/>
      <c r="AC2" s="781"/>
      <c r="AD2" s="323"/>
      <c r="AE2" s="774"/>
      <c r="AF2" s="781"/>
      <c r="AG2" s="323"/>
      <c r="AH2" s="774"/>
      <c r="AI2" s="781"/>
      <c r="AJ2" s="323"/>
      <c r="AK2" s="774"/>
      <c r="AL2" s="781"/>
      <c r="AM2" s="323"/>
      <c r="AN2" s="774"/>
      <c r="AO2" s="781"/>
      <c r="AP2" s="323"/>
      <c r="AQ2" s="774"/>
      <c r="AR2" s="781"/>
      <c r="AS2" s="323"/>
      <c r="AT2" s="774"/>
      <c r="AU2" s="781"/>
      <c r="AV2" s="323"/>
      <c r="AW2" s="790"/>
      <c r="AX2" s="821"/>
      <c r="AY2" s="1"/>
      <c r="AZ2" s="790"/>
      <c r="BA2" s="821"/>
      <c r="BB2" s="1"/>
      <c r="BC2" s="790"/>
      <c r="BD2" s="821"/>
      <c r="BE2" s="1"/>
      <c r="BF2" s="790"/>
      <c r="BG2" s="821"/>
      <c r="BH2" s="1"/>
      <c r="BI2" s="790"/>
      <c r="BJ2" s="821"/>
      <c r="BK2" s="1130" t="s">
        <v>814</v>
      </c>
      <c r="BL2" s="1" t="s">
        <v>814</v>
      </c>
    </row>
    <row r="3" spans="1:66" hidden="1" outlineLevel="1">
      <c r="A3"/>
      <c r="B3"/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 s="539"/>
      <c r="T3" s="550"/>
      <c r="U3"/>
      <c r="V3" s="539"/>
      <c r="W3" s="550"/>
      <c r="X3"/>
      <c r="Y3" s="539"/>
      <c r="Z3" s="550"/>
      <c r="AA3"/>
      <c r="AB3" s="539"/>
      <c r="AC3" s="550"/>
      <c r="AD3"/>
      <c r="AE3" s="539"/>
      <c r="AF3" s="550"/>
      <c r="AG3"/>
      <c r="AH3" s="539"/>
      <c r="AI3" s="550"/>
      <c r="AJ3"/>
      <c r="AK3" s="539"/>
      <c r="AL3" s="550"/>
      <c r="AM3"/>
      <c r="AN3" s="539"/>
      <c r="AO3" s="550"/>
      <c r="AP3"/>
      <c r="AQ3" s="539"/>
      <c r="AR3" s="550"/>
      <c r="AS3"/>
      <c r="AT3" s="539"/>
      <c r="AU3" s="550"/>
      <c r="AV3"/>
      <c r="AW3" s="539"/>
      <c r="AX3" s="550"/>
      <c r="AY3"/>
      <c r="AZ3" s="539"/>
      <c r="BA3" s="550"/>
      <c r="BB3"/>
      <c r="BC3" s="539"/>
      <c r="BD3" s="550"/>
      <c r="BE3"/>
      <c r="BF3" s="539"/>
      <c r="BG3" s="550"/>
      <c r="BH3"/>
      <c r="BI3" s="539"/>
      <c r="BJ3" s="550"/>
    </row>
    <row r="4" spans="1:66" hidden="1" outlineLevel="1">
      <c r="A4" s="13" t="s">
        <v>514</v>
      </c>
      <c r="B4"/>
      <c r="C4"/>
      <c r="D4"/>
      <c r="E4"/>
      <c r="F4"/>
      <c r="G4"/>
      <c r="H4"/>
      <c r="I4"/>
      <c r="J4"/>
      <c r="K4"/>
      <c r="L4"/>
      <c r="M4"/>
      <c r="N4"/>
      <c r="O4"/>
      <c r="P4">
        <f>Civil!P32</f>
        <v>2029</v>
      </c>
      <c r="Q4">
        <f>Civil!Q32</f>
        <v>2371</v>
      </c>
      <c r="R4"/>
      <c r="S4" s="539"/>
      <c r="T4" s="550">
        <f>Civil!T32</f>
        <v>2289</v>
      </c>
      <c r="U4"/>
      <c r="V4" s="539"/>
      <c r="W4" s="550">
        <f>Civil!W32</f>
        <v>2626</v>
      </c>
      <c r="X4"/>
      <c r="Y4" s="539"/>
      <c r="Z4" s="550"/>
      <c r="AA4"/>
      <c r="AB4" s="539"/>
      <c r="AC4" s="550"/>
      <c r="AD4"/>
      <c r="AE4" s="539"/>
      <c r="AF4" s="550"/>
      <c r="AG4"/>
      <c r="AH4" s="539"/>
      <c r="AI4" s="550"/>
      <c r="AJ4"/>
      <c r="AK4" s="539"/>
      <c r="AL4" s="550"/>
      <c r="AM4"/>
      <c r="AN4" s="539"/>
      <c r="AO4" s="550"/>
      <c r="AP4"/>
      <c r="AQ4" s="539"/>
      <c r="AR4" s="550"/>
      <c r="AS4"/>
      <c r="AT4" s="539"/>
      <c r="AU4" s="550"/>
      <c r="AV4"/>
      <c r="AW4" s="539"/>
      <c r="AX4" s="550"/>
      <c r="AY4"/>
      <c r="AZ4" s="539"/>
      <c r="BA4" s="550"/>
      <c r="BB4"/>
      <c r="BC4" s="539"/>
      <c r="BD4" s="550"/>
      <c r="BE4"/>
      <c r="BF4" s="539"/>
      <c r="BG4" s="550"/>
      <c r="BH4"/>
      <c r="BI4" s="539"/>
      <c r="BJ4" s="550"/>
    </row>
    <row r="5" spans="1:66" hidden="1" outlineLevel="1">
      <c r="A5" s="13" t="s">
        <v>515</v>
      </c>
      <c r="B5"/>
      <c r="C5"/>
      <c r="D5"/>
      <c r="E5"/>
      <c r="F5"/>
      <c r="G5"/>
      <c r="H5"/>
      <c r="I5"/>
      <c r="J5"/>
      <c r="K5"/>
      <c r="L5"/>
      <c r="M5" s="6"/>
      <c r="N5" s="6"/>
      <c r="O5"/>
      <c r="P5">
        <f>Civil!P33</f>
        <v>383</v>
      </c>
      <c r="Q5">
        <f>Civil!Q33</f>
        <v>425</v>
      </c>
      <c r="R5"/>
      <c r="S5" s="539"/>
      <c r="T5" s="550">
        <f>Civil!T33</f>
        <v>452</v>
      </c>
      <c r="U5"/>
      <c r="V5" s="539"/>
      <c r="W5" s="550">
        <f>Civil!W33</f>
        <v>527</v>
      </c>
      <c r="X5"/>
      <c r="Y5" s="539"/>
      <c r="Z5" s="550"/>
      <c r="AA5"/>
      <c r="AB5" s="539"/>
      <c r="AC5" s="550"/>
      <c r="AD5"/>
      <c r="AE5" s="539"/>
      <c r="AF5" s="550"/>
      <c r="AG5"/>
      <c r="AH5" s="539"/>
      <c r="AI5" s="550"/>
      <c r="AJ5"/>
      <c r="AK5" s="539"/>
      <c r="AL5" s="550"/>
      <c r="AM5"/>
      <c r="AN5" s="539"/>
      <c r="AO5" s="550"/>
      <c r="AP5"/>
      <c r="AQ5" s="539"/>
      <c r="AR5" s="550"/>
      <c r="AS5"/>
      <c r="AT5" s="539"/>
      <c r="AU5" s="550"/>
      <c r="AV5"/>
      <c r="AW5" s="539"/>
      <c r="AX5" s="550"/>
      <c r="AY5"/>
      <c r="AZ5" s="539"/>
      <c r="BA5" s="550"/>
      <c r="BB5"/>
      <c r="BC5" s="539"/>
      <c r="BD5" s="550"/>
      <c r="BE5"/>
      <c r="BF5" s="539"/>
      <c r="BG5" s="550"/>
      <c r="BH5"/>
      <c r="BI5" s="539"/>
      <c r="BJ5" s="550"/>
    </row>
    <row r="6" spans="1:66" hidden="1" outlineLevel="1">
      <c r="A6" s="13" t="s">
        <v>287</v>
      </c>
      <c r="B6"/>
      <c r="C6"/>
      <c r="D6"/>
      <c r="E6"/>
      <c r="F6"/>
      <c r="G6"/>
      <c r="H6"/>
      <c r="I6"/>
      <c r="J6"/>
      <c r="K6"/>
      <c r="L6"/>
      <c r="M6"/>
      <c r="N6"/>
      <c r="O6"/>
      <c r="P6">
        <f>Civil!P34</f>
        <v>427</v>
      </c>
      <c r="Q6">
        <f>Civil!Q34</f>
        <v>360</v>
      </c>
      <c r="R6"/>
      <c r="S6" s="539"/>
      <c r="T6" s="550">
        <f>Civil!T34</f>
        <v>342</v>
      </c>
      <c r="U6"/>
      <c r="V6" s="539"/>
      <c r="W6" s="550">
        <f>Civil!W34</f>
        <v>343</v>
      </c>
      <c r="X6"/>
      <c r="Y6" s="539"/>
      <c r="Z6" s="550"/>
      <c r="AA6"/>
      <c r="AB6" s="539"/>
      <c r="AC6" s="550"/>
      <c r="AD6"/>
      <c r="AE6" s="539"/>
      <c r="AF6" s="550"/>
      <c r="AG6"/>
      <c r="AH6" s="539"/>
      <c r="AI6" s="550"/>
      <c r="AJ6"/>
      <c r="AK6" s="539"/>
      <c r="AL6" s="550"/>
      <c r="AM6"/>
      <c r="AN6" s="539"/>
      <c r="AO6" s="550"/>
      <c r="AP6"/>
      <c r="AQ6" s="539"/>
      <c r="AR6" s="550"/>
      <c r="AS6"/>
      <c r="AT6" s="539"/>
      <c r="AU6" s="550"/>
      <c r="AV6"/>
      <c r="AW6" s="539"/>
      <c r="AX6" s="550"/>
      <c r="AY6"/>
      <c r="AZ6" s="539"/>
      <c r="BA6" s="550"/>
      <c r="BB6"/>
      <c r="BC6" s="539"/>
      <c r="BD6" s="550"/>
      <c r="BE6"/>
      <c r="BF6" s="539"/>
      <c r="BG6" s="550"/>
      <c r="BH6"/>
      <c r="BI6" s="539"/>
      <c r="BJ6" s="550"/>
    </row>
    <row r="7" spans="1:66" hidden="1" outlineLevel="1">
      <c r="A7" s="13" t="s">
        <v>268</v>
      </c>
      <c r="B7"/>
      <c r="C7"/>
      <c r="D7"/>
      <c r="E7"/>
      <c r="F7"/>
      <c r="G7"/>
      <c r="H7"/>
      <c r="I7"/>
      <c r="J7"/>
      <c r="K7"/>
      <c r="L7"/>
      <c r="M7"/>
      <c r="N7"/>
      <c r="O7"/>
      <c r="P7">
        <f>Civil!P36</f>
        <v>535</v>
      </c>
      <c r="Q7">
        <f>Civil!Q36</f>
        <v>519</v>
      </c>
      <c r="R7"/>
      <c r="S7" s="539"/>
      <c r="T7" s="550">
        <f>Civil!T36</f>
        <v>627</v>
      </c>
      <c r="U7"/>
      <c r="V7" s="539"/>
      <c r="W7" s="550">
        <f>Civil!W36</f>
        <v>709</v>
      </c>
      <c r="X7"/>
      <c r="Y7" s="539"/>
      <c r="Z7" s="550"/>
      <c r="AA7"/>
      <c r="AB7" s="539"/>
      <c r="AC7" s="550"/>
      <c r="AD7"/>
      <c r="AE7" s="539"/>
      <c r="AF7" s="550"/>
      <c r="AG7"/>
      <c r="AH7" s="539"/>
      <c r="AI7" s="550"/>
      <c r="AJ7"/>
      <c r="AK7" s="539"/>
      <c r="AL7" s="550"/>
      <c r="AM7"/>
      <c r="AN7" s="539"/>
      <c r="AO7" s="550"/>
      <c r="AP7"/>
      <c r="AQ7" s="539"/>
      <c r="AR7" s="550"/>
      <c r="AS7"/>
      <c r="AT7" s="539"/>
      <c r="AU7" s="550"/>
      <c r="AV7"/>
      <c r="AW7" s="539"/>
      <c r="AX7" s="550"/>
      <c r="AY7"/>
      <c r="AZ7" s="539"/>
      <c r="BA7" s="550"/>
      <c r="BB7"/>
      <c r="BC7" s="539"/>
      <c r="BD7" s="550"/>
      <c r="BE7"/>
      <c r="BF7" s="539"/>
      <c r="BG7" s="550"/>
      <c r="BH7"/>
      <c r="BI7" s="539"/>
      <c r="BJ7" s="550"/>
    </row>
    <row r="8" spans="1:66" ht="10.8" hidden="1" outlineLevel="1" thickBot="1">
      <c r="A8" s="9" t="s">
        <v>688</v>
      </c>
      <c r="B8" s="14"/>
      <c r="C8" s="14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>
        <f>+SUM(P4:P7)</f>
        <v>3374</v>
      </c>
      <c r="Q8" s="9">
        <f>+SUM(Q4:Q7)</f>
        <v>3675</v>
      </c>
      <c r="R8" s="9"/>
      <c r="S8" s="718"/>
      <c r="T8" s="727">
        <f>+SUM(T4:T7)</f>
        <v>3710</v>
      </c>
      <c r="U8" s="9"/>
      <c r="V8" s="718"/>
      <c r="W8" s="727">
        <f>+SUM(W4:W7)</f>
        <v>4205</v>
      </c>
      <c r="X8" s="9"/>
      <c r="Y8" s="718"/>
      <c r="Z8" s="727"/>
      <c r="AA8" s="9"/>
      <c r="AB8" s="718"/>
      <c r="AC8" s="727"/>
      <c r="AD8" s="9"/>
      <c r="AE8" s="718"/>
      <c r="AF8" s="727"/>
      <c r="AG8" s="9"/>
      <c r="AH8" s="718"/>
      <c r="AI8" s="727"/>
      <c r="AJ8" s="9"/>
      <c r="AK8" s="718"/>
      <c r="AL8" s="727"/>
      <c r="AM8" s="9"/>
      <c r="AN8" s="718"/>
      <c r="AO8" s="727"/>
      <c r="AP8" s="9"/>
      <c r="AQ8" s="718"/>
      <c r="AR8" s="727"/>
      <c r="AS8" s="9"/>
      <c r="AT8" s="718"/>
      <c r="AU8" s="727"/>
      <c r="AV8" s="9"/>
      <c r="AW8" s="718"/>
      <c r="AX8" s="727"/>
      <c r="AY8" s="9"/>
      <c r="AZ8" s="718"/>
      <c r="BA8" s="727"/>
      <c r="BB8" s="9"/>
      <c r="BC8" s="718"/>
      <c r="BD8" s="727"/>
      <c r="BE8" s="9"/>
      <c r="BF8" s="718"/>
      <c r="BG8" s="727"/>
      <c r="BH8" s="9"/>
      <c r="BI8" s="718"/>
      <c r="BJ8" s="727"/>
    </row>
    <row r="9" spans="1:66" ht="11.4" hidden="1" outlineLevel="1">
      <c r="A9" s="34" t="s">
        <v>620</v>
      </c>
      <c r="B9" s="30"/>
      <c r="C9" s="30"/>
      <c r="D9" s="18"/>
      <c r="E9" s="35"/>
      <c r="F9" s="35"/>
      <c r="G9" s="35"/>
      <c r="H9" s="35"/>
      <c r="I9" s="35"/>
      <c r="J9" s="35"/>
      <c r="K9" s="35"/>
      <c r="L9" s="35"/>
      <c r="M9" s="35"/>
      <c r="N9" s="35"/>
      <c r="O9" s="35"/>
      <c r="P9" s="35"/>
      <c r="Q9" s="35">
        <f>+Q8/P8-1</f>
        <v>8.9211618257261316E-2</v>
      </c>
      <c r="R9" s="45"/>
      <c r="S9" s="544"/>
      <c r="T9" s="584">
        <f>+T8/Q8-1</f>
        <v>9.52380952380949E-3</v>
      </c>
      <c r="U9" s="45"/>
      <c r="V9" s="544"/>
      <c r="W9" s="584">
        <f>+W8/T8-1</f>
        <v>0.13342318059299196</v>
      </c>
      <c r="X9" s="45"/>
      <c r="Y9" s="544"/>
      <c r="Z9" s="584"/>
      <c r="AA9" s="45"/>
      <c r="AB9" s="544"/>
      <c r="AC9" s="584"/>
      <c r="AD9" s="45"/>
      <c r="AE9" s="544"/>
      <c r="AF9" s="584"/>
      <c r="AG9" s="45"/>
      <c r="AH9" s="544"/>
      <c r="AI9" s="584"/>
      <c r="AJ9" s="45"/>
      <c r="AK9" s="544"/>
      <c r="AL9" s="584"/>
      <c r="AM9" s="45"/>
      <c r="AN9" s="544"/>
      <c r="AO9" s="584"/>
      <c r="AP9" s="45"/>
      <c r="AQ9" s="544"/>
      <c r="AR9" s="584"/>
      <c r="AS9" s="45"/>
      <c r="AT9" s="544"/>
      <c r="AU9" s="584"/>
      <c r="AV9" s="45"/>
      <c r="AW9" s="544"/>
      <c r="AX9" s="584"/>
      <c r="AY9" s="45"/>
      <c r="AZ9" s="544"/>
      <c r="BA9" s="584"/>
      <c r="BB9" s="45"/>
      <c r="BC9" s="544"/>
      <c r="BD9" s="584"/>
      <c r="BE9" s="45"/>
      <c r="BF9" s="544"/>
      <c r="BG9" s="584"/>
      <c r="BH9" s="45"/>
      <c r="BI9" s="544"/>
      <c r="BJ9" s="584"/>
      <c r="BM9" s="104"/>
      <c r="BN9" s="104"/>
    </row>
    <row r="10" spans="1:66" ht="11.4" hidden="1" outlineLevel="1">
      <c r="A10" s="34" t="s">
        <v>621</v>
      </c>
      <c r="B10" s="30"/>
      <c r="C10" s="30"/>
      <c r="D10" s="18"/>
      <c r="E10" s="18"/>
      <c r="F10" s="18"/>
      <c r="G10" s="18"/>
      <c r="H10" s="18"/>
      <c r="I10" s="18"/>
      <c r="J10" s="18"/>
      <c r="K10" s="18"/>
      <c r="L10" s="18"/>
      <c r="M10" s="18"/>
      <c r="N10" s="18"/>
      <c r="O10" s="18"/>
      <c r="P10" s="18"/>
      <c r="Q10" s="30">
        <f>+Q9-Q$376</f>
        <v>4.082452148306781E-2</v>
      </c>
      <c r="R10" s="30"/>
      <c r="S10" s="906"/>
      <c r="T10" s="919">
        <f>+T9-T$376</f>
        <v>-2.3809523809523947E-2</v>
      </c>
      <c r="U10" s="30"/>
      <c r="V10" s="906"/>
      <c r="W10" s="919">
        <f>+W9-W$376</f>
        <v>7.290281860204173E-2</v>
      </c>
      <c r="X10" s="30"/>
      <c r="Y10" s="906"/>
      <c r="Z10" s="919"/>
      <c r="AA10" s="30"/>
      <c r="AB10" s="906"/>
      <c r="AC10" s="560"/>
      <c r="AD10" s="54"/>
      <c r="AE10" s="214"/>
      <c r="AF10" s="560"/>
      <c r="AG10" s="54"/>
      <c r="AH10" s="214"/>
      <c r="AI10" s="560"/>
      <c r="AJ10" s="54"/>
      <c r="AK10" s="214"/>
      <c r="AL10" s="560"/>
      <c r="AM10" s="54"/>
      <c r="AN10" s="214"/>
      <c r="AO10" s="560"/>
      <c r="AP10" s="54"/>
      <c r="AQ10" s="214"/>
      <c r="AR10" s="560"/>
      <c r="AS10" s="54"/>
      <c r="AT10" s="214"/>
      <c r="AU10" s="560"/>
      <c r="AV10" s="54"/>
      <c r="AW10" s="214"/>
      <c r="AX10" s="560"/>
      <c r="AY10" s="54"/>
      <c r="AZ10" s="214"/>
      <c r="BA10" s="560"/>
      <c r="BB10" s="54"/>
      <c r="BC10" s="214"/>
      <c r="BD10" s="560"/>
      <c r="BE10" s="54"/>
      <c r="BF10" s="214"/>
      <c r="BG10" s="560"/>
      <c r="BH10" s="54"/>
      <c r="BI10" s="214"/>
      <c r="BJ10" s="560"/>
      <c r="BM10" s="104"/>
      <c r="BN10" s="104"/>
    </row>
    <row r="11" spans="1:66" hidden="1" outlineLevel="1">
      <c r="A11"/>
      <c r="B11"/>
      <c r="C11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541"/>
      <c r="T11" s="578"/>
      <c r="U11" s="2"/>
      <c r="V11" s="541"/>
      <c r="W11" s="578"/>
      <c r="X11" s="2"/>
      <c r="Y11" s="541"/>
      <c r="Z11" s="578"/>
      <c r="AA11" s="2"/>
      <c r="AB11" s="541"/>
      <c r="AC11" s="578"/>
      <c r="AD11" s="2"/>
      <c r="AE11" s="541"/>
      <c r="AF11" s="578"/>
      <c r="AG11" s="2"/>
      <c r="AH11" s="541"/>
      <c r="AI11" s="578"/>
      <c r="AJ11" s="2"/>
      <c r="AK11" s="541"/>
      <c r="AL11" s="578"/>
      <c r="AM11" s="2"/>
      <c r="AN11" s="541"/>
      <c r="AO11" s="578"/>
      <c r="AP11" s="2"/>
      <c r="AQ11" s="541"/>
      <c r="AR11" s="578"/>
      <c r="AS11" s="2"/>
      <c r="AT11" s="541"/>
      <c r="AU11" s="578"/>
      <c r="AV11" s="2"/>
      <c r="AW11" s="541"/>
      <c r="AX11" s="578"/>
      <c r="AY11" s="2"/>
      <c r="AZ11" s="541"/>
      <c r="BA11" s="578"/>
      <c r="BB11" s="2"/>
      <c r="BC11" s="541"/>
      <c r="BD11" s="578"/>
      <c r="BE11" s="2"/>
      <c r="BF11" s="541"/>
      <c r="BG11" s="578"/>
      <c r="BH11" s="2"/>
      <c r="BI11" s="541"/>
      <c r="BJ11" s="578"/>
    </row>
    <row r="12" spans="1:66" hidden="1" outlineLevel="1">
      <c r="A12" s="13" t="s">
        <v>544</v>
      </c>
      <c r="B12"/>
      <c r="C1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10">
        <f>-Civil!Q158</f>
        <v>268</v>
      </c>
      <c r="R12" s="10"/>
      <c r="S12" s="216"/>
      <c r="T12" s="556">
        <f>-Civil!T158</f>
        <v>276</v>
      </c>
      <c r="U12" s="10"/>
      <c r="V12" s="216"/>
      <c r="W12" s="556">
        <f>-Civil!W158</f>
        <v>353</v>
      </c>
      <c r="X12" s="10"/>
      <c r="Y12" s="216"/>
      <c r="Z12" s="556"/>
      <c r="AA12" s="10"/>
      <c r="AB12" s="216"/>
      <c r="AC12" s="550"/>
      <c r="AD12"/>
      <c r="AE12" s="539"/>
      <c r="AF12" s="550"/>
      <c r="AG12"/>
      <c r="AH12" s="539"/>
      <c r="AI12" s="550"/>
      <c r="AJ12"/>
      <c r="AK12" s="539"/>
      <c r="AL12" s="550"/>
      <c r="AM12"/>
      <c r="AN12" s="539"/>
      <c r="AO12" s="550"/>
      <c r="AP12"/>
      <c r="AQ12" s="539"/>
      <c r="AR12" s="550"/>
      <c r="AS12"/>
      <c r="AT12" s="539"/>
      <c r="AU12" s="550"/>
      <c r="AV12"/>
      <c r="AW12" s="539"/>
      <c r="AX12" s="550"/>
      <c r="AY12"/>
      <c r="AZ12" s="539"/>
      <c r="BA12" s="550"/>
      <c r="BB12"/>
      <c r="BC12" s="539"/>
      <c r="BD12" s="550"/>
      <c r="BE12"/>
      <c r="BF12" s="539"/>
      <c r="BG12" s="550"/>
      <c r="BH12"/>
      <c r="BI12" s="539"/>
      <c r="BJ12" s="550"/>
    </row>
    <row r="13" spans="1:66" hidden="1" outlineLevel="1">
      <c r="A13" s="13" t="s">
        <v>543</v>
      </c>
      <c r="B13"/>
      <c r="C13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10">
        <f>Civil!Q189</f>
        <v>-136</v>
      </c>
      <c r="R13" s="10"/>
      <c r="S13" s="216"/>
      <c r="T13" s="556">
        <f>Civil!T189</f>
        <v>0</v>
      </c>
      <c r="U13" s="10"/>
      <c r="V13" s="216"/>
      <c r="W13" s="556">
        <f>Civil!W189</f>
        <v>0</v>
      </c>
      <c r="X13" s="10"/>
      <c r="Y13" s="216"/>
      <c r="Z13" s="556"/>
      <c r="AA13" s="10"/>
      <c r="AB13" s="216"/>
      <c r="AC13" s="550"/>
      <c r="AD13"/>
      <c r="AE13" s="539"/>
      <c r="AF13" s="550"/>
      <c r="AG13"/>
      <c r="AH13" s="539"/>
      <c r="AI13" s="550"/>
      <c r="AJ13"/>
      <c r="AK13" s="539"/>
      <c r="AL13" s="550"/>
      <c r="AM13"/>
      <c r="AN13" s="539"/>
      <c r="AO13" s="550"/>
      <c r="AP13"/>
      <c r="AQ13" s="539"/>
      <c r="AR13" s="550"/>
      <c r="AS13"/>
      <c r="AT13" s="539"/>
      <c r="AU13" s="550"/>
      <c r="AV13"/>
      <c r="AW13" s="539"/>
      <c r="AX13" s="550"/>
      <c r="AY13"/>
      <c r="AZ13" s="539"/>
      <c r="BA13" s="550"/>
      <c r="BB13"/>
      <c r="BC13" s="539"/>
      <c r="BD13" s="550"/>
      <c r="BE13"/>
      <c r="BF13" s="539"/>
      <c r="BG13" s="550"/>
      <c r="BH13"/>
      <c r="BI13" s="539"/>
      <c r="BJ13" s="550"/>
    </row>
    <row r="14" spans="1:66" hidden="1" outlineLevel="1">
      <c r="A14" s="13" t="s">
        <v>545</v>
      </c>
      <c r="B14"/>
      <c r="C14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10">
        <f>Civil!Q190</f>
        <v>-145</v>
      </c>
      <c r="R14" s="10"/>
      <c r="S14" s="216"/>
      <c r="T14" s="556">
        <f>Civil!T190</f>
        <v>-187</v>
      </c>
      <c r="U14" s="10"/>
      <c r="V14" s="216"/>
      <c r="W14" s="556">
        <f>Civil!W190</f>
        <v>-341</v>
      </c>
      <c r="X14" s="10"/>
      <c r="Y14" s="216"/>
      <c r="Z14" s="556"/>
      <c r="AA14" s="10"/>
      <c r="AB14" s="216"/>
      <c r="AC14" s="605"/>
      <c r="AD14"/>
      <c r="AE14" s="539"/>
      <c r="AF14" s="550"/>
      <c r="AG14"/>
      <c r="AH14" s="539"/>
      <c r="AI14" s="550"/>
      <c r="AJ14"/>
      <c r="AK14" s="539"/>
      <c r="AL14" s="550"/>
      <c r="AM14"/>
      <c r="AN14" s="539"/>
      <c r="AO14" s="550"/>
      <c r="AP14"/>
      <c r="AQ14" s="539"/>
      <c r="AR14" s="550"/>
      <c r="AS14"/>
      <c r="AT14" s="539"/>
      <c r="AU14" s="550"/>
      <c r="AV14"/>
      <c r="AW14" s="539"/>
      <c r="AX14" s="550"/>
      <c r="AY14"/>
      <c r="AZ14" s="539"/>
      <c r="BA14" s="550"/>
      <c r="BB14"/>
      <c r="BC14" s="539"/>
      <c r="BD14" s="550"/>
      <c r="BE14"/>
      <c r="BF14" s="539"/>
      <c r="BG14" s="550"/>
      <c r="BH14"/>
      <c r="BI14" s="539"/>
      <c r="BJ14" s="550"/>
    </row>
    <row r="15" spans="1:66" hidden="1" outlineLevel="1">
      <c r="A15" s="13" t="s">
        <v>520</v>
      </c>
      <c r="B15"/>
      <c r="C15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10">
        <f>Civil!Q191</f>
        <v>-75</v>
      </c>
      <c r="R15" s="10"/>
      <c r="S15" s="216"/>
      <c r="T15" s="556">
        <f>Civil!T191</f>
        <v>-363</v>
      </c>
      <c r="U15" s="10"/>
      <c r="V15" s="216"/>
      <c r="W15" s="556">
        <f>Civil!W191</f>
        <v>-344</v>
      </c>
      <c r="X15" s="10"/>
      <c r="Y15" s="216"/>
      <c r="Z15" s="556"/>
      <c r="AA15" s="10"/>
      <c r="AB15" s="216"/>
      <c r="AC15" s="550"/>
      <c r="AD15"/>
      <c r="AE15" s="539"/>
      <c r="AF15" s="550"/>
      <c r="AG15"/>
      <c r="AH15" s="539"/>
      <c r="AI15" s="550"/>
      <c r="AJ15"/>
      <c r="AK15" s="539"/>
      <c r="AL15" s="550"/>
      <c r="AM15"/>
      <c r="AN15" s="539"/>
      <c r="AO15" s="550"/>
      <c r="AP15"/>
      <c r="AQ15" s="539"/>
      <c r="AR15" s="550"/>
      <c r="AS15"/>
      <c r="AT15" s="539"/>
      <c r="AU15" s="550"/>
      <c r="AV15"/>
      <c r="AW15" s="539"/>
      <c r="AX15" s="550"/>
      <c r="AY15"/>
      <c r="AZ15" s="539"/>
      <c r="BA15" s="550"/>
      <c r="BB15"/>
      <c r="BC15" s="539"/>
      <c r="BD15" s="550"/>
      <c r="BE15"/>
      <c r="BF15" s="539"/>
      <c r="BG15" s="550"/>
      <c r="BH15"/>
      <c r="BI15" s="539"/>
      <c r="BJ15" s="550"/>
    </row>
    <row r="16" spans="1:66" hidden="1" outlineLevel="1">
      <c r="A16" s="13" t="s">
        <v>521</v>
      </c>
      <c r="B16"/>
      <c r="C16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10">
        <f>Civil!Q192</f>
        <v>-120</v>
      </c>
      <c r="R16" s="10"/>
      <c r="S16" s="216"/>
      <c r="T16" s="556">
        <f>Civil!T192</f>
        <v>-200</v>
      </c>
      <c r="U16" s="10"/>
      <c r="V16" s="216"/>
      <c r="W16" s="556">
        <f>Civil!W192</f>
        <v>-165</v>
      </c>
      <c r="X16" s="10"/>
      <c r="Y16" s="216"/>
      <c r="Z16" s="556">
        <f>+Z293-Z285</f>
        <v>-216.97928904347839</v>
      </c>
      <c r="AA16" s="10"/>
      <c r="AB16" s="216"/>
      <c r="AC16" s="550">
        <f>+AC293-AC285</f>
        <v>0</v>
      </c>
      <c r="AD16"/>
      <c r="AE16" s="539"/>
      <c r="AF16" s="550">
        <f>+AF293-AF285</f>
        <v>0</v>
      </c>
      <c r="AG16"/>
      <c r="AH16" s="539"/>
      <c r="AI16" s="550">
        <f>+AI293-AI285</f>
        <v>0</v>
      </c>
      <c r="AJ16"/>
      <c r="AK16" s="539"/>
      <c r="AL16" s="550">
        <f>+AL293-AL285</f>
        <v>0</v>
      </c>
      <c r="AM16"/>
      <c r="AN16" s="539"/>
      <c r="AO16" s="550">
        <f>+AO293-AO285</f>
        <v>0</v>
      </c>
      <c r="AP16"/>
      <c r="AQ16" s="539"/>
      <c r="AR16" s="550">
        <f>+AR293-AR285</f>
        <v>0</v>
      </c>
      <c r="AS16"/>
      <c r="AT16" s="539"/>
      <c r="AU16" s="550">
        <f>+AU293-AU285</f>
        <v>0</v>
      </c>
      <c r="AV16"/>
      <c r="AW16" s="539"/>
      <c r="AX16" s="550">
        <f>+AX293-AX285</f>
        <v>0</v>
      </c>
      <c r="AY16"/>
      <c r="AZ16" s="539"/>
      <c r="BA16" s="550">
        <f>+BA293-BA285</f>
        <v>0</v>
      </c>
      <c r="BB16"/>
      <c r="BC16" s="539"/>
      <c r="BD16" s="550">
        <f>+BD293-BD285</f>
        <v>0</v>
      </c>
      <c r="BE16"/>
      <c r="BF16" s="539"/>
      <c r="BG16" s="550">
        <f>+BG293-BG285</f>
        <v>0</v>
      </c>
      <c r="BH16"/>
      <c r="BI16" s="539"/>
      <c r="BJ16" s="550">
        <f>+BJ293-BJ285</f>
        <v>0</v>
      </c>
    </row>
    <row r="17" spans="1:74" hidden="1" outlineLevel="1">
      <c r="A17" s="2" t="s">
        <v>564</v>
      </c>
      <c r="B17"/>
      <c r="C17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>
        <f>SUM(Q12:Q16)</f>
        <v>-208</v>
      </c>
      <c r="R17" s="2"/>
      <c r="S17" s="541"/>
      <c r="T17" s="578">
        <f>SUM(T12:T16)</f>
        <v>-474</v>
      </c>
      <c r="U17" s="2"/>
      <c r="V17" s="541"/>
      <c r="W17" s="578">
        <f>SUM(W12:W16)</f>
        <v>-497</v>
      </c>
      <c r="X17" s="2"/>
      <c r="Y17" s="541"/>
      <c r="Z17" s="578">
        <f t="shared" ref="Z17:BJ17" si="2">SUM(Z12:Z16)</f>
        <v>-216.97928904347839</v>
      </c>
      <c r="AA17" s="2"/>
      <c r="AB17" s="541"/>
      <c r="AC17" s="578">
        <f t="shared" si="2"/>
        <v>0</v>
      </c>
      <c r="AD17" s="2"/>
      <c r="AE17" s="541"/>
      <c r="AF17" s="578">
        <f t="shared" si="2"/>
        <v>0</v>
      </c>
      <c r="AG17" s="2"/>
      <c r="AH17" s="541"/>
      <c r="AI17" s="578">
        <f t="shared" si="2"/>
        <v>0</v>
      </c>
      <c r="AJ17" s="2"/>
      <c r="AK17" s="541"/>
      <c r="AL17" s="578">
        <f t="shared" si="2"/>
        <v>0</v>
      </c>
      <c r="AM17" s="2"/>
      <c r="AN17" s="541"/>
      <c r="AO17" s="578">
        <f t="shared" si="2"/>
        <v>0</v>
      </c>
      <c r="AP17" s="2"/>
      <c r="AQ17" s="541"/>
      <c r="AR17" s="578">
        <f t="shared" si="2"/>
        <v>0</v>
      </c>
      <c r="AS17" s="2"/>
      <c r="AT17" s="541"/>
      <c r="AU17" s="578">
        <f t="shared" si="2"/>
        <v>0</v>
      </c>
      <c r="AV17" s="2"/>
      <c r="AW17" s="541"/>
      <c r="AX17" s="578">
        <f t="shared" si="2"/>
        <v>0</v>
      </c>
      <c r="AY17" s="2"/>
      <c r="AZ17" s="541"/>
      <c r="BA17" s="578">
        <f t="shared" si="2"/>
        <v>0</v>
      </c>
      <c r="BB17" s="2"/>
      <c r="BC17" s="541"/>
      <c r="BD17" s="578">
        <f t="shared" si="2"/>
        <v>0</v>
      </c>
      <c r="BE17" s="2"/>
      <c r="BF17" s="541"/>
      <c r="BG17" s="578">
        <f t="shared" si="2"/>
        <v>0</v>
      </c>
      <c r="BH17" s="2"/>
      <c r="BI17" s="541"/>
      <c r="BJ17" s="578">
        <f t="shared" si="2"/>
        <v>0</v>
      </c>
    </row>
    <row r="18" spans="1:74" hidden="1" outlineLevel="1">
      <c r="A18" s="28"/>
      <c r="B18"/>
      <c r="C18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/>
      <c r="S18" s="539"/>
      <c r="T18" s="550"/>
      <c r="U18"/>
      <c r="V18" s="539"/>
      <c r="W18" s="550"/>
      <c r="X18"/>
      <c r="Y18" s="539"/>
      <c r="Z18" s="550"/>
      <c r="AA18"/>
      <c r="AB18" s="539"/>
      <c r="AC18" s="550"/>
      <c r="AD18"/>
      <c r="AE18" s="539"/>
      <c r="AF18" s="550"/>
      <c r="AG18"/>
      <c r="AH18" s="539"/>
      <c r="AI18" s="550"/>
      <c r="AJ18"/>
      <c r="AK18" s="539"/>
      <c r="AL18" s="550"/>
      <c r="AM18"/>
      <c r="AN18" s="539"/>
      <c r="AO18" s="550"/>
      <c r="AP18"/>
      <c r="AQ18" s="539"/>
      <c r="AR18" s="550"/>
      <c r="AS18"/>
      <c r="AT18" s="539"/>
      <c r="AU18" s="550"/>
      <c r="AV18"/>
      <c r="AW18" s="539"/>
      <c r="AX18" s="550"/>
      <c r="AY18"/>
      <c r="AZ18" s="539"/>
      <c r="BA18" s="550"/>
      <c r="BB18"/>
      <c r="BC18" s="539"/>
      <c r="BD18" s="550"/>
      <c r="BE18"/>
      <c r="BF18" s="539"/>
      <c r="BG18" s="550"/>
      <c r="BH18"/>
      <c r="BI18" s="539"/>
      <c r="BJ18" s="550"/>
    </row>
    <row r="19" spans="1:74" collapsed="1">
      <c r="A19" s="93" t="s">
        <v>514</v>
      </c>
      <c r="D19" s="31"/>
      <c r="E19" s="31"/>
      <c r="F19" s="31"/>
      <c r="G19" s="31"/>
      <c r="H19" s="31"/>
      <c r="I19" s="31"/>
      <c r="J19" s="31"/>
      <c r="K19" s="31"/>
      <c r="L19" s="31"/>
      <c r="M19" s="31"/>
      <c r="N19" s="31"/>
      <c r="O19" s="31"/>
      <c r="P19" s="31"/>
      <c r="Q19" s="25">
        <f>Q4+Q12+Q13+Q14+Q15</f>
        <v>2283</v>
      </c>
      <c r="S19" s="595"/>
      <c r="T19" s="619">
        <f>T4+T12+T13+T14+T15</f>
        <v>2015</v>
      </c>
      <c r="U19" s="25">
        <f>Civil!X76</f>
        <v>1061</v>
      </c>
      <c r="V19" s="595">
        <f>Civil!Y76</f>
        <v>1266</v>
      </c>
      <c r="W19" s="619">
        <f>Civil!Z76</f>
        <v>2327</v>
      </c>
      <c r="X19" s="25">
        <f>Civil!AA76</f>
        <v>1328</v>
      </c>
      <c r="Y19" s="595">
        <f>Civil!AB76</f>
        <v>1338</v>
      </c>
      <c r="Z19" s="619">
        <f>Civil!AC76</f>
        <v>2666</v>
      </c>
      <c r="AA19" s="25">
        <f>Civil!AD76</f>
        <v>1595</v>
      </c>
      <c r="AB19" s="595">
        <f>Civil!AE76</f>
        <v>1610</v>
      </c>
      <c r="AC19" s="619">
        <f>Civil!AF76</f>
        <v>3205</v>
      </c>
      <c r="AD19" s="25">
        <f>Civil!AG76</f>
        <v>649</v>
      </c>
      <c r="AE19" s="595">
        <f>Civil!AH76</f>
        <v>959</v>
      </c>
      <c r="AF19" s="619">
        <f>Civil!AI76</f>
        <v>1608</v>
      </c>
      <c r="AG19" s="25">
        <f>Civil!AJ76</f>
        <v>1036</v>
      </c>
      <c r="AH19" s="595">
        <f>Civil!AK76</f>
        <v>922</v>
      </c>
      <c r="AI19" s="619">
        <f>Civil!AL76</f>
        <v>1958</v>
      </c>
      <c r="AJ19" s="25">
        <f>Civil!AM76</f>
        <v>1135</v>
      </c>
      <c r="AK19" s="595">
        <f>Civil!AN76</f>
        <v>1357</v>
      </c>
      <c r="AL19" s="619">
        <f>Civil!AO76</f>
        <v>2492</v>
      </c>
      <c r="AM19" s="25">
        <f>Civil!AP76</f>
        <v>1547</v>
      </c>
      <c r="AN19" s="595">
        <f>Civil!AQ76</f>
        <v>1752</v>
      </c>
      <c r="AO19" s="619">
        <f>Civil!AR76</f>
        <v>3299</v>
      </c>
      <c r="AP19" s="25">
        <f>Civil!AS76</f>
        <v>1958</v>
      </c>
      <c r="AQ19" s="595">
        <f>Civil!AT76</f>
        <v>2382</v>
      </c>
      <c r="AR19" s="619">
        <f>Civil!AU76</f>
        <v>4340</v>
      </c>
      <c r="AS19" s="25">
        <f>Civil!AV76</f>
        <v>2497</v>
      </c>
      <c r="AT19" s="595">
        <f>Civil!AW76</f>
        <v>3124</v>
      </c>
      <c r="AU19" s="619">
        <f>Civil!AX76</f>
        <v>5621</v>
      </c>
      <c r="AV19" s="25">
        <f>Civil!AY76</f>
        <v>3280</v>
      </c>
      <c r="AW19" s="236">
        <f t="shared" ref="AW19:BJ19" si="3">AW258</f>
        <v>3451.492743846331</v>
      </c>
      <c r="AX19" s="605">
        <f>AX258</f>
        <v>6731.492743846331</v>
      </c>
      <c r="AY19" s="56">
        <f t="shared" si="3"/>
        <v>3938.8472340993576</v>
      </c>
      <c r="AZ19" s="236">
        <f t="shared" si="3"/>
        <v>3809.2098668265671</v>
      </c>
      <c r="BA19" s="605">
        <f t="shared" si="3"/>
        <v>7748.0571009259238</v>
      </c>
      <c r="BB19" s="56">
        <f t="shared" si="3"/>
        <v>4225.8348215937312</v>
      </c>
      <c r="BC19" s="236">
        <f t="shared" si="3"/>
        <v>4242.3204433751689</v>
      </c>
      <c r="BD19" s="605">
        <f t="shared" si="3"/>
        <v>8468.1552649689002</v>
      </c>
      <c r="BE19" s="56">
        <f t="shared" si="3"/>
        <v>4686.3077526776015</v>
      </c>
      <c r="BF19" s="236">
        <f t="shared" si="3"/>
        <v>4713.1394296364224</v>
      </c>
      <c r="BG19" s="605">
        <f t="shared" si="3"/>
        <v>9399.4471823140229</v>
      </c>
      <c r="BH19" s="56">
        <f t="shared" si="3"/>
        <v>5210.732980206154</v>
      </c>
      <c r="BI19" s="236">
        <f t="shared" si="3"/>
        <v>5249.4407133958384</v>
      </c>
      <c r="BJ19" s="605">
        <f t="shared" si="3"/>
        <v>10460.173693601992</v>
      </c>
      <c r="BK19" s="264">
        <f>+(AU19/AL19)^(1/3)-1</f>
        <v>0.31146040296805499</v>
      </c>
      <c r="BL19" s="433">
        <f>+(BA19/AL19)^(1/5)-1</f>
        <v>0.25466838533045721</v>
      </c>
    </row>
    <row r="20" spans="1:74">
      <c r="A20" s="93" t="s">
        <v>515</v>
      </c>
      <c r="D20" s="31"/>
      <c r="E20" s="31"/>
      <c r="F20" s="31"/>
      <c r="G20" s="31"/>
      <c r="H20" s="31"/>
      <c r="I20" s="31"/>
      <c r="J20" s="31"/>
      <c r="K20" s="31"/>
      <c r="L20" s="31"/>
      <c r="M20" s="31"/>
      <c r="N20" s="31"/>
      <c r="O20" s="31"/>
      <c r="P20" s="31"/>
      <c r="Q20" s="25">
        <f>Q5+Q6+Q16</f>
        <v>665</v>
      </c>
      <c r="S20" s="595"/>
      <c r="T20" s="619">
        <f>T5+T6+T16</f>
        <v>594</v>
      </c>
      <c r="U20" s="25">
        <f>Civil!X77</f>
        <v>175</v>
      </c>
      <c r="V20" s="595">
        <f>Civil!Y77</f>
        <v>221</v>
      </c>
      <c r="W20" s="619">
        <f>Civil!Z77</f>
        <v>396</v>
      </c>
      <c r="X20" s="25">
        <f>Civil!AA77</f>
        <v>201</v>
      </c>
      <c r="Y20" s="595">
        <f>Civil!AB77</f>
        <v>263</v>
      </c>
      <c r="Z20" s="619">
        <f>Civil!AC77</f>
        <v>464</v>
      </c>
      <c r="AA20" s="25">
        <f>Civil!AD77</f>
        <v>261</v>
      </c>
      <c r="AB20" s="595">
        <f>Civil!AE77</f>
        <v>216</v>
      </c>
      <c r="AC20" s="619">
        <f>Civil!AF77</f>
        <v>477</v>
      </c>
      <c r="AD20" s="25">
        <f>Civil!AG77</f>
        <v>207</v>
      </c>
      <c r="AE20" s="595">
        <f>Civil!AH77</f>
        <v>237</v>
      </c>
      <c r="AF20" s="619">
        <f>Civil!AI77</f>
        <v>444</v>
      </c>
      <c r="AG20" s="25">
        <f>Civil!AJ77</f>
        <v>295</v>
      </c>
      <c r="AH20" s="595">
        <f>Civil!AK77</f>
        <v>359</v>
      </c>
      <c r="AI20" s="619">
        <f>Civil!AL77</f>
        <v>654</v>
      </c>
      <c r="AJ20" s="25">
        <f>Civil!AM77</f>
        <v>329</v>
      </c>
      <c r="AK20" s="595">
        <f>Civil!AN77</f>
        <v>392</v>
      </c>
      <c r="AL20" s="619">
        <f>Civil!AO77</f>
        <v>721</v>
      </c>
      <c r="AM20" s="25">
        <f>Civil!AP77</f>
        <v>407</v>
      </c>
      <c r="AN20" s="595">
        <f>Civil!AQ77</f>
        <v>383</v>
      </c>
      <c r="AO20" s="619">
        <f>Civil!AR77</f>
        <v>790</v>
      </c>
      <c r="AP20" s="25">
        <f>Civil!AS77</f>
        <v>551</v>
      </c>
      <c r="AQ20" s="595">
        <f>Civil!AT77</f>
        <v>482</v>
      </c>
      <c r="AR20" s="619">
        <f>Civil!AU77</f>
        <v>1033</v>
      </c>
      <c r="AS20" s="25">
        <f>Civil!AV77</f>
        <v>551</v>
      </c>
      <c r="AT20" s="595">
        <f>Civil!AW77</f>
        <v>476</v>
      </c>
      <c r="AU20" s="619">
        <f>Civil!AX77</f>
        <v>1027</v>
      </c>
      <c r="AV20" s="25">
        <f>Civil!AY77</f>
        <v>607</v>
      </c>
      <c r="AW20" s="236">
        <f t="shared" ref="AW20:BG21" si="4">AW294</f>
        <v>571.81739130434789</v>
      </c>
      <c r="AX20" s="605">
        <f t="shared" si="4"/>
        <v>1178.8173913043479</v>
      </c>
      <c r="AY20" s="56">
        <f t="shared" si="4"/>
        <v>682.53777777777782</v>
      </c>
      <c r="AZ20" s="236">
        <f t="shared" si="4"/>
        <v>642.97688888888899</v>
      </c>
      <c r="BA20" s="605">
        <f t="shared" si="4"/>
        <v>1325.5146666666667</v>
      </c>
      <c r="BB20" s="56">
        <f t="shared" si="4"/>
        <v>767.85500000000013</v>
      </c>
      <c r="BC20" s="236">
        <f t="shared" si="4"/>
        <v>723.34900000000005</v>
      </c>
      <c r="BD20" s="605">
        <f t="shared" si="4"/>
        <v>1491.2040000000002</v>
      </c>
      <c r="BE20" s="56">
        <f t="shared" si="4"/>
        <v>844.6405000000002</v>
      </c>
      <c r="BF20" s="236">
        <f t="shared" si="4"/>
        <v>795.68389999999999</v>
      </c>
      <c r="BG20" s="605">
        <f t="shared" si="4"/>
        <v>1640.3244000000002</v>
      </c>
      <c r="BH20" s="56">
        <f t="shared" ref="BH20:BI21" si="5">BH294</f>
        <v>929.10455000000036</v>
      </c>
      <c r="BI20" s="236">
        <f t="shared" si="5"/>
        <v>875.25229000000013</v>
      </c>
      <c r="BJ20" s="605">
        <f>BJ294</f>
        <v>1804.3568400000006</v>
      </c>
      <c r="BK20" s="264">
        <f>+(AU20/AL20)^(1/3)-1</f>
        <v>0.12515337258170467</v>
      </c>
      <c r="BL20" s="433">
        <f>+(BA20/AL20)^(1/5)-1</f>
        <v>0.12950941301215768</v>
      </c>
    </row>
    <row r="21" spans="1:74">
      <c r="A21" s="93" t="s">
        <v>759</v>
      </c>
      <c r="D21" s="31"/>
      <c r="E21" s="31"/>
      <c r="F21" s="31"/>
      <c r="G21" s="31"/>
      <c r="H21" s="31"/>
      <c r="I21" s="31"/>
      <c r="J21" s="31"/>
      <c r="K21" s="31"/>
      <c r="L21" s="31"/>
      <c r="M21" s="31"/>
      <c r="N21" s="31"/>
      <c r="O21" s="31"/>
      <c r="P21" s="31"/>
      <c r="S21" s="595"/>
      <c r="T21" s="619"/>
      <c r="U21" s="25">
        <f>Civil!X78</f>
        <v>138</v>
      </c>
      <c r="V21" s="595">
        <f>Civil!Y78</f>
        <v>139</v>
      </c>
      <c r="W21" s="619">
        <f>Civil!Z78</f>
        <v>277</v>
      </c>
      <c r="X21" s="25">
        <f>Civil!AA78</f>
        <v>151</v>
      </c>
      <c r="Y21" s="595">
        <f>Civil!AB78</f>
        <v>141</v>
      </c>
      <c r="Z21" s="619">
        <f>Civil!AC78</f>
        <v>292</v>
      </c>
      <c r="AA21" s="25">
        <f>Civil!AD78</f>
        <v>163</v>
      </c>
      <c r="AB21" s="595">
        <f>Civil!AE78</f>
        <v>192</v>
      </c>
      <c r="AC21" s="619">
        <f>Civil!AF78</f>
        <v>355</v>
      </c>
      <c r="AD21" s="25">
        <f>Civil!AG78</f>
        <v>126</v>
      </c>
      <c r="AE21" s="595">
        <f>Civil!AH78</f>
        <v>58</v>
      </c>
      <c r="AF21" s="619">
        <f>Civil!AI78</f>
        <v>184</v>
      </c>
      <c r="AG21" s="25">
        <f>Civil!AJ78</f>
        <v>63</v>
      </c>
      <c r="AH21" s="595">
        <f>Civil!AK78</f>
        <v>124</v>
      </c>
      <c r="AI21" s="619">
        <f>Civil!AL78</f>
        <v>187</v>
      </c>
      <c r="AJ21" s="25">
        <f>Civil!AM78</f>
        <v>100</v>
      </c>
      <c r="AK21" s="595">
        <f>Civil!AN78</f>
        <v>129</v>
      </c>
      <c r="AL21" s="619">
        <f>Civil!AO78</f>
        <v>229</v>
      </c>
      <c r="AM21" s="25">
        <f>Civil!AP78</f>
        <v>122</v>
      </c>
      <c r="AN21" s="595">
        <f>Civil!AQ78</f>
        <v>142</v>
      </c>
      <c r="AO21" s="619">
        <f>Civil!AR78</f>
        <v>264</v>
      </c>
      <c r="AP21" s="25">
        <f>Civil!AS78</f>
        <v>117</v>
      </c>
      <c r="AQ21" s="595">
        <f>Civil!AT78</f>
        <v>96</v>
      </c>
      <c r="AR21" s="619">
        <f>Civil!AU78</f>
        <v>213</v>
      </c>
      <c r="AS21" s="25">
        <f>Civil!AV78</f>
        <v>102</v>
      </c>
      <c r="AT21" s="595">
        <f>Civil!AW78</f>
        <v>116</v>
      </c>
      <c r="AU21" s="619">
        <f>Civil!AX78</f>
        <v>218</v>
      </c>
      <c r="AV21" s="25">
        <f>Civil!AY78</f>
        <v>129</v>
      </c>
      <c r="AW21" s="236">
        <f>AW295</f>
        <v>98.478260869565361</v>
      </c>
      <c r="AX21" s="605">
        <f t="shared" ref="AX21:BJ21" si="6">AX295</f>
        <v>227.47826086956525</v>
      </c>
      <c r="AY21" s="56">
        <f t="shared" si="4"/>
        <v>131.86666666666656</v>
      </c>
      <c r="AZ21" s="236">
        <f>AZ295</f>
        <v>100.66666666666674</v>
      </c>
      <c r="BA21" s="605">
        <f t="shared" si="6"/>
        <v>232.5333333333333</v>
      </c>
      <c r="BB21" s="56">
        <f t="shared" si="4"/>
        <v>134.86363636363626</v>
      </c>
      <c r="BC21" s="236">
        <f>BC295</f>
        <v>102.95454545454561</v>
      </c>
      <c r="BD21" s="605">
        <f t="shared" si="6"/>
        <v>237.81818181818176</v>
      </c>
      <c r="BE21" s="56">
        <f t="shared" si="4"/>
        <v>134.86363636363637</v>
      </c>
      <c r="BF21" s="236">
        <f>BF295</f>
        <v>102.9545454545455</v>
      </c>
      <c r="BG21" s="605">
        <f t="shared" si="6"/>
        <v>237.81818181818198</v>
      </c>
      <c r="BH21" s="56">
        <f t="shared" si="5"/>
        <v>134.86363636363637</v>
      </c>
      <c r="BI21" s="236">
        <f>BI295</f>
        <v>102.9545454545455</v>
      </c>
      <c r="BJ21" s="605">
        <f t="shared" si="6"/>
        <v>237.81818181818176</v>
      </c>
      <c r="BK21" s="264">
        <f>+(AU21/AL21)^(1/3)-1</f>
        <v>-1.6275086293338403E-2</v>
      </c>
      <c r="BL21" s="433">
        <f>+(BA21/AL21)^(1/5)-1</f>
        <v>3.0670097543081809E-3</v>
      </c>
    </row>
    <row r="22" spans="1:74">
      <c r="A22" s="93" t="s">
        <v>268</v>
      </c>
      <c r="D22" s="31"/>
      <c r="E22" s="31"/>
      <c r="F22" s="31"/>
      <c r="G22" s="31"/>
      <c r="H22" s="31"/>
      <c r="I22" s="31"/>
      <c r="J22" s="31"/>
      <c r="K22" s="31"/>
      <c r="L22" s="31"/>
      <c r="M22" s="31"/>
      <c r="N22" s="31"/>
      <c r="O22" s="31"/>
      <c r="P22" s="31"/>
      <c r="Q22" s="25">
        <f>Q358</f>
        <v>519</v>
      </c>
      <c r="S22" s="595"/>
      <c r="T22" s="619">
        <f>T358</f>
        <v>627</v>
      </c>
      <c r="U22" s="25">
        <f>Civil!X79</f>
        <v>333</v>
      </c>
      <c r="V22" s="595">
        <f>Civil!Y79</f>
        <v>375</v>
      </c>
      <c r="W22" s="619">
        <f>Civil!Z79</f>
        <v>708</v>
      </c>
      <c r="X22" s="25">
        <f>Civil!AA79</f>
        <v>390</v>
      </c>
      <c r="Y22" s="595">
        <f>Civil!AB79</f>
        <v>447</v>
      </c>
      <c r="Z22" s="619">
        <f>Civil!AC79</f>
        <v>837</v>
      </c>
      <c r="AA22" s="25">
        <f>Civil!AD79</f>
        <v>429</v>
      </c>
      <c r="AB22" s="595">
        <f>Civil!AE79</f>
        <v>395</v>
      </c>
      <c r="AC22" s="619">
        <f>Civil!AF79</f>
        <v>824</v>
      </c>
      <c r="AD22" s="25">
        <f>Civil!AG79</f>
        <v>347</v>
      </c>
      <c r="AE22" s="595">
        <f>Civil!AH79</f>
        <v>207</v>
      </c>
      <c r="AF22" s="619">
        <f>Civil!AI79</f>
        <v>554</v>
      </c>
      <c r="AG22" s="25">
        <f>Civil!AJ79</f>
        <v>52</v>
      </c>
      <c r="AH22" s="595">
        <f>Civil!AK79</f>
        <v>73</v>
      </c>
      <c r="AI22" s="619">
        <f>Civil!AL79</f>
        <v>125</v>
      </c>
      <c r="AJ22" s="25">
        <f>Civil!AM79</f>
        <v>115</v>
      </c>
      <c r="AK22" s="595">
        <f>Civil!AN79</f>
        <v>147</v>
      </c>
      <c r="AL22" s="619">
        <f>Civil!AO79</f>
        <v>262</v>
      </c>
      <c r="AM22" s="25">
        <f>Civil!AP79</f>
        <v>126</v>
      </c>
      <c r="AN22" s="595">
        <f>Civil!AQ79</f>
        <v>166</v>
      </c>
      <c r="AO22" s="619">
        <f>Civil!AR79</f>
        <v>292</v>
      </c>
      <c r="AP22" s="25">
        <f>Civil!AS79</f>
        <v>164</v>
      </c>
      <c r="AQ22" s="595">
        <f>Civil!AT79</f>
        <v>185</v>
      </c>
      <c r="AR22" s="619">
        <f>Civil!AU79</f>
        <v>349</v>
      </c>
      <c r="AS22" s="25">
        <f>Civil!AV79</f>
        <v>158</v>
      </c>
      <c r="AT22" s="595">
        <f>Civil!AW79</f>
        <v>141</v>
      </c>
      <c r="AU22" s="619">
        <f>Civil!AX79</f>
        <v>299</v>
      </c>
      <c r="AV22" s="25">
        <f>Civil!AY79</f>
        <v>151</v>
      </c>
      <c r="AW22" s="236">
        <f>AW358</f>
        <v>138.85507246376812</v>
      </c>
      <c r="AX22" s="605">
        <f t="shared" ref="AX22:BJ22" si="7">AX358</f>
        <v>289.85507246376812</v>
      </c>
      <c r="AY22" s="56">
        <f>AY358</f>
        <v>138.88888888888889</v>
      </c>
      <c r="AZ22" s="236">
        <f>AZ358</f>
        <v>138.88888888888889</v>
      </c>
      <c r="BA22" s="605">
        <f t="shared" si="7"/>
        <v>277.77777777777777</v>
      </c>
      <c r="BB22" s="56">
        <f>BB358</f>
        <v>47.348484848484844</v>
      </c>
      <c r="BC22" s="236">
        <f>BC358</f>
        <v>47.348484848484844</v>
      </c>
      <c r="BD22" s="605">
        <f t="shared" si="7"/>
        <v>94.696969696969688</v>
      </c>
      <c r="BE22" s="56">
        <f>BE358</f>
        <v>47.348484848484844</v>
      </c>
      <c r="BF22" s="236">
        <f>BF358</f>
        <v>47.348484848484844</v>
      </c>
      <c r="BG22" s="605">
        <f t="shared" si="7"/>
        <v>94.696969696969688</v>
      </c>
      <c r="BH22" s="56">
        <f>BH358</f>
        <v>47.348484848484844</v>
      </c>
      <c r="BI22" s="236">
        <f>BI358</f>
        <v>47.348484848484844</v>
      </c>
      <c r="BJ22" s="605">
        <f t="shared" si="7"/>
        <v>94.696969696969688</v>
      </c>
      <c r="BK22" s="264">
        <f>+(AU22/AL22)^(1/3)-1</f>
        <v>4.5016864129852507E-2</v>
      </c>
      <c r="BL22" s="433">
        <f>+(BA22/AL22)^(1/5)-1</f>
        <v>1.1764044379274363E-2</v>
      </c>
    </row>
    <row r="23" spans="1:74" ht="10.8" thickBot="1">
      <c r="A23" s="37" t="s">
        <v>565</v>
      </c>
      <c r="B23" s="94"/>
      <c r="C23" s="94"/>
      <c r="D23" s="37"/>
      <c r="E23" s="37"/>
      <c r="F23" s="37"/>
      <c r="G23" s="37"/>
      <c r="H23" s="37"/>
      <c r="I23" s="37"/>
      <c r="J23" s="37"/>
      <c r="K23" s="37"/>
      <c r="L23" s="37"/>
      <c r="M23" s="37"/>
      <c r="N23" s="37"/>
      <c r="O23" s="37"/>
      <c r="P23" s="37"/>
      <c r="Q23" s="37">
        <f t="shared" ref="Q23:AL23" si="8">SUM(Q19:Q22)</f>
        <v>3467</v>
      </c>
      <c r="R23" s="37">
        <f>Civil!R75</f>
        <v>1710</v>
      </c>
      <c r="S23" s="857">
        <f>Civil!S75</f>
        <v>1526</v>
      </c>
      <c r="T23" s="882">
        <f t="shared" si="8"/>
        <v>3236</v>
      </c>
      <c r="U23" s="37">
        <f t="shared" ref="U23:V23" si="9">SUM(U19:U22)</f>
        <v>1707</v>
      </c>
      <c r="V23" s="857">
        <f t="shared" si="9"/>
        <v>2001</v>
      </c>
      <c r="W23" s="882">
        <f t="shared" si="8"/>
        <v>3708</v>
      </c>
      <c r="X23" s="37">
        <f t="shared" ref="X23:Y23" si="10">SUM(X19:X22)</f>
        <v>2070</v>
      </c>
      <c r="Y23" s="857">
        <f t="shared" si="10"/>
        <v>2189</v>
      </c>
      <c r="Z23" s="882">
        <f t="shared" si="8"/>
        <v>4259</v>
      </c>
      <c r="AA23" s="37">
        <f t="shared" ref="AA23:AB23" si="11">SUM(AA19:AA22)</f>
        <v>2448</v>
      </c>
      <c r="AB23" s="857">
        <f t="shared" si="11"/>
        <v>2413</v>
      </c>
      <c r="AC23" s="882">
        <f>SUM(AC19:AC22)</f>
        <v>4861</v>
      </c>
      <c r="AD23" s="37">
        <f t="shared" ref="AD23:AE23" si="12">SUM(AD19:AD22)</f>
        <v>1329</v>
      </c>
      <c r="AE23" s="857">
        <f t="shared" si="12"/>
        <v>1461</v>
      </c>
      <c r="AF23" s="882">
        <f>SUM(AF19:AF22)</f>
        <v>2790</v>
      </c>
      <c r="AG23" s="37">
        <f t="shared" ref="AG23:AH23" si="13">SUM(AG19:AG22)</f>
        <v>1446</v>
      </c>
      <c r="AH23" s="857">
        <f t="shared" si="13"/>
        <v>1478</v>
      </c>
      <c r="AI23" s="882">
        <f>SUM(AI19:AI22)</f>
        <v>2924</v>
      </c>
      <c r="AJ23" s="37">
        <f t="shared" ref="AJ23:AK23" si="14">SUM(AJ19:AJ22)</f>
        <v>1679</v>
      </c>
      <c r="AK23" s="857">
        <f t="shared" si="14"/>
        <v>2025</v>
      </c>
      <c r="AL23" s="882">
        <f t="shared" si="8"/>
        <v>3704</v>
      </c>
      <c r="AM23" s="37">
        <f t="shared" ref="AM23:AN23" si="15">SUM(AM19:AM22)</f>
        <v>2202</v>
      </c>
      <c r="AN23" s="857">
        <f t="shared" si="15"/>
        <v>2443</v>
      </c>
      <c r="AO23" s="882">
        <f t="shared" ref="AO23:AQ23" si="16">SUM(AO19:AO22)</f>
        <v>4645</v>
      </c>
      <c r="AP23" s="37">
        <f t="shared" si="16"/>
        <v>2790</v>
      </c>
      <c r="AQ23" s="857">
        <f t="shared" si="16"/>
        <v>3145</v>
      </c>
      <c r="AR23" s="882">
        <f t="shared" ref="AR23:AS23" si="17">SUM(AR19:AR22)</f>
        <v>5935</v>
      </c>
      <c r="AS23" s="37">
        <f t="shared" si="17"/>
        <v>3308</v>
      </c>
      <c r="AT23" s="227">
        <f>SUM(AT19:AT22)</f>
        <v>3857</v>
      </c>
      <c r="AU23" s="557">
        <f t="shared" ref="AU23:BJ23" si="18">SUM(AU19:AU22)</f>
        <v>7165</v>
      </c>
      <c r="AV23" s="37">
        <f t="shared" si="18"/>
        <v>4167</v>
      </c>
      <c r="AW23" s="244">
        <f>SUM(AW19:AW22)</f>
        <v>4260.6434684840124</v>
      </c>
      <c r="AX23" s="581">
        <f t="shared" si="18"/>
        <v>8427.6434684840133</v>
      </c>
      <c r="AY23" s="181">
        <f t="shared" ref="AY23" si="19">SUM(AY19:AY22)</f>
        <v>4892.1405674326907</v>
      </c>
      <c r="AZ23" s="244">
        <f>SUM(AZ19:AZ22)</f>
        <v>4691.7423112710121</v>
      </c>
      <c r="BA23" s="581">
        <f t="shared" si="18"/>
        <v>9583.8828787037</v>
      </c>
      <c r="BB23" s="181">
        <f t="shared" ref="BB23" si="20">SUM(BB19:BB22)</f>
        <v>5175.9019428058527</v>
      </c>
      <c r="BC23" s="244">
        <f>SUM(BC19:BC22)</f>
        <v>5115.9724736782</v>
      </c>
      <c r="BD23" s="581">
        <f t="shared" si="18"/>
        <v>10291.874416484052</v>
      </c>
      <c r="BE23" s="181">
        <f t="shared" ref="BE23" si="21">SUM(BE19:BE22)</f>
        <v>5713.1603738897229</v>
      </c>
      <c r="BF23" s="244">
        <f>SUM(BF19:BF22)</f>
        <v>5659.1263599394524</v>
      </c>
      <c r="BG23" s="581">
        <f t="shared" si="18"/>
        <v>11372.286733829174</v>
      </c>
      <c r="BH23" s="181">
        <f t="shared" ref="BH23" si="22">SUM(BH19:BH22)</f>
        <v>6322.0496514182751</v>
      </c>
      <c r="BI23" s="244">
        <f>SUM(BI19:BI22)</f>
        <v>6274.9960336988688</v>
      </c>
      <c r="BJ23" s="581">
        <f t="shared" si="18"/>
        <v>12597.045685117144</v>
      </c>
      <c r="BK23" s="264">
        <f>+(AU23/AL23)^(1/3)-1</f>
        <v>0.24599147880144456</v>
      </c>
      <c r="BL23" s="433">
        <f>+(BA23/AL23)^(1/5)-1</f>
        <v>0.20941152798972729</v>
      </c>
      <c r="BM23" s="74">
        <f>(AR23/AI23)^(1/3)-1</f>
        <v>0.26613821887809319</v>
      </c>
      <c r="BN23" s="32"/>
      <c r="BO23" s="32"/>
      <c r="BP23" s="32"/>
      <c r="BQ23" s="32"/>
      <c r="BR23" s="32"/>
      <c r="BS23" s="32"/>
      <c r="BT23" s="32"/>
      <c r="BU23" s="32"/>
      <c r="BV23" s="32"/>
    </row>
    <row r="24" spans="1:74" ht="11.4">
      <c r="A24" s="95" t="s">
        <v>620</v>
      </c>
      <c r="B24" s="96"/>
      <c r="C24" s="96"/>
      <c r="D24" s="97"/>
      <c r="E24" s="98"/>
      <c r="F24" s="98"/>
      <c r="G24" s="98"/>
      <c r="H24" s="98"/>
      <c r="I24" s="98"/>
      <c r="J24" s="98"/>
      <c r="K24" s="98"/>
      <c r="L24" s="98"/>
      <c r="M24" s="98"/>
      <c r="N24" s="98"/>
      <c r="O24" s="98"/>
      <c r="P24" s="98"/>
      <c r="Q24" s="98"/>
      <c r="R24" s="98"/>
      <c r="S24" s="858"/>
      <c r="T24" s="883">
        <f t="shared" ref="T24:Y24" si="23">+T23/Q23-1</f>
        <v>-6.6628208826074453E-2</v>
      </c>
      <c r="U24" s="98">
        <f t="shared" si="23"/>
        <v>-1.7543859649122862E-3</v>
      </c>
      <c r="V24" s="858">
        <f t="shared" si="23"/>
        <v>0.31127129750982951</v>
      </c>
      <c r="W24" s="883">
        <f t="shared" si="23"/>
        <v>0.14585908529048197</v>
      </c>
      <c r="X24" s="98">
        <f t="shared" si="23"/>
        <v>0.21265377855887513</v>
      </c>
      <c r="Y24" s="858">
        <f t="shared" si="23"/>
        <v>9.395302348825596E-2</v>
      </c>
      <c r="Z24" s="883">
        <f t="shared" ref="Z24" si="24">+Z23/W23-1</f>
        <v>0.14859762675296651</v>
      </c>
      <c r="AA24" s="98">
        <f t="shared" ref="AA24:AM24" si="25">+AA23/X23-1</f>
        <v>0.18260869565217397</v>
      </c>
      <c r="AB24" s="858">
        <f t="shared" si="25"/>
        <v>0.10232983097304715</v>
      </c>
      <c r="AC24" s="883">
        <f t="shared" si="25"/>
        <v>0.14134773420990854</v>
      </c>
      <c r="AD24" s="98">
        <f t="shared" si="25"/>
        <v>-0.45710784313725494</v>
      </c>
      <c r="AE24" s="858">
        <f t="shared" si="25"/>
        <v>-0.39452963116452544</v>
      </c>
      <c r="AF24" s="883">
        <f t="shared" si="25"/>
        <v>-0.42604402386340257</v>
      </c>
      <c r="AG24" s="98">
        <f t="shared" si="25"/>
        <v>8.8036117381489865E-2</v>
      </c>
      <c r="AH24" s="858">
        <f t="shared" si="25"/>
        <v>1.163586584531151E-2</v>
      </c>
      <c r="AI24" s="883">
        <f t="shared" si="25"/>
        <v>4.8028673835125435E-2</v>
      </c>
      <c r="AJ24" s="98">
        <f t="shared" si="25"/>
        <v>0.1611341632088521</v>
      </c>
      <c r="AK24" s="858">
        <f t="shared" si="25"/>
        <v>0.3700947225981055</v>
      </c>
      <c r="AL24" s="883">
        <f t="shared" si="25"/>
        <v>0.2667578659370724</v>
      </c>
      <c r="AM24" s="98">
        <f t="shared" si="25"/>
        <v>0.31149493746277557</v>
      </c>
      <c r="AN24" s="858">
        <f t="shared" ref="AN24" si="26">+AN23/AK23-1</f>
        <v>0.2064197530864198</v>
      </c>
      <c r="AO24" s="883">
        <f t="shared" ref="AO24:AP24" si="27">+AO23/AL23-1</f>
        <v>0.25404967602591788</v>
      </c>
      <c r="AP24" s="98">
        <f t="shared" si="27"/>
        <v>0.26702997275204354</v>
      </c>
      <c r="AQ24" s="858">
        <f t="shared" ref="AQ24" si="28">+AQ23/AN23-1</f>
        <v>0.28735161686451094</v>
      </c>
      <c r="AR24" s="883">
        <f t="shared" ref="AR24:AS24" si="29">+AR23/AO23-1</f>
        <v>0.27771797631862216</v>
      </c>
      <c r="AS24" s="98">
        <f t="shared" si="29"/>
        <v>0.18566308243727603</v>
      </c>
      <c r="AT24" s="229">
        <f t="shared" ref="AT24:BJ24" si="30">+AT23/AQ23-1</f>
        <v>0.22639109697933235</v>
      </c>
      <c r="AU24" s="559">
        <f t="shared" si="30"/>
        <v>0.20724515585509695</v>
      </c>
      <c r="AV24" s="98">
        <f t="shared" si="30"/>
        <v>0.2596735187424426</v>
      </c>
      <c r="AW24" s="247">
        <f t="shared" si="30"/>
        <v>0.10465218265076803</v>
      </c>
      <c r="AX24" s="583">
        <f t="shared" si="30"/>
        <v>0.17622379183307935</v>
      </c>
      <c r="AY24" s="245">
        <f t="shared" si="30"/>
        <v>0.17401981459867777</v>
      </c>
      <c r="AZ24" s="247">
        <f t="shared" si="30"/>
        <v>0.10118162807468845</v>
      </c>
      <c r="BA24" s="583">
        <f t="shared" si="30"/>
        <v>0.13719605184338368</v>
      </c>
      <c r="BB24" s="245">
        <f t="shared" si="30"/>
        <v>5.8003520434833922E-2</v>
      </c>
      <c r="BC24" s="247">
        <f t="shared" si="30"/>
        <v>9.0420601614896068E-2</v>
      </c>
      <c r="BD24" s="583">
        <f t="shared" si="30"/>
        <v>7.3873141683896915E-2</v>
      </c>
      <c r="BE24" s="245">
        <f t="shared" si="30"/>
        <v>0.10379996317948459</v>
      </c>
      <c r="BF24" s="247">
        <f t="shared" si="30"/>
        <v>0.10616825814755493</v>
      </c>
      <c r="BG24" s="583">
        <f t="shared" si="30"/>
        <v>0.10497721538602067</v>
      </c>
      <c r="BH24" s="245">
        <f t="shared" si="30"/>
        <v>0.10657661218671488</v>
      </c>
      <c r="BI24" s="247">
        <f t="shared" si="30"/>
        <v>0.10882769434503414</v>
      </c>
      <c r="BJ24" s="583">
        <f t="shared" si="30"/>
        <v>0.10769680539663806</v>
      </c>
      <c r="BK24" s="56"/>
      <c r="BL24" s="49"/>
      <c r="BM24" s="104"/>
      <c r="BN24" s="104"/>
    </row>
    <row r="25" spans="1:74" ht="11.4">
      <c r="A25" s="95" t="s">
        <v>621</v>
      </c>
      <c r="B25" s="96"/>
      <c r="C25" s="96"/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6"/>
      <c r="R25" s="96"/>
      <c r="S25" s="859"/>
      <c r="T25" s="884">
        <f>+T24-T$376</f>
        <v>-9.996154215940789E-2</v>
      </c>
      <c r="U25" s="96"/>
      <c r="V25" s="859"/>
      <c r="W25" s="884">
        <f>+W24-W$376</f>
        <v>8.5338723299531738E-2</v>
      </c>
      <c r="X25" s="96">
        <v>0.22</v>
      </c>
      <c r="Y25" s="859">
        <f>((Z25*W23)-(X25*U23))/V23</f>
        <v>0.11746424179214714</v>
      </c>
      <c r="Z25" s="884">
        <f>+Z24-Z$376</f>
        <v>0.16466719197035773</v>
      </c>
      <c r="AA25" s="96">
        <v>0.18</v>
      </c>
      <c r="AB25" s="859">
        <f>((AC25*Z23)-(AA25*X23))/Y23</f>
        <v>9.2080127315126117E-2</v>
      </c>
      <c r="AC25" s="884">
        <f>+AC24-AC$376</f>
        <v>0.13481178649749026</v>
      </c>
      <c r="AD25" s="96">
        <f>AD23/AA23-1</f>
        <v>-0.45710784313725494</v>
      </c>
      <c r="AE25" s="859">
        <f>((AF25*AC23)-(AD25*AA23))/AB23</f>
        <v>-0.4077829519924967</v>
      </c>
      <c r="AF25" s="884">
        <f>+AF24-AF$376</f>
        <v>-0.43262297123182358</v>
      </c>
      <c r="AG25" s="96">
        <v>0.1</v>
      </c>
      <c r="AH25" s="859">
        <f>((AI25*AF23)-(AG25*AD23))/AE23</f>
        <v>2.3613963039014373E-2</v>
      </c>
      <c r="AI25" s="884">
        <v>0.06</v>
      </c>
      <c r="AJ25" s="96">
        <v>0.16</v>
      </c>
      <c r="AK25" s="859">
        <f>((AL25*AI23)-(AJ25*AG23))/AH23</f>
        <v>0.35783491204330176</v>
      </c>
      <c r="AL25" s="884">
        <v>0.26</v>
      </c>
      <c r="AM25" s="96">
        <v>0.3</v>
      </c>
      <c r="AN25" s="859">
        <f>((AO25*AL23)-(AM25*AJ23))/AK23</f>
        <v>0.20854320987654321</v>
      </c>
      <c r="AO25" s="884">
        <v>0.25</v>
      </c>
      <c r="AP25" s="96">
        <v>0.27</v>
      </c>
      <c r="AQ25" s="859">
        <f>((AR25*AO23)-(AP25*AM23))/AN23</f>
        <v>0.28901350798198938</v>
      </c>
      <c r="AR25" s="884">
        <v>0.28000000000000003</v>
      </c>
      <c r="AS25" s="96">
        <v>0.19</v>
      </c>
      <c r="AT25" s="229">
        <f t="shared" ref="AT25:BJ25" si="31">+AT24-AT$376</f>
        <v>0.19861331920155445</v>
      </c>
      <c r="AU25" s="559">
        <v>0.21</v>
      </c>
      <c r="AV25" s="96">
        <v>0.26</v>
      </c>
      <c r="AW25" s="247">
        <f t="shared" si="31"/>
        <v>6.1173921781202845E-2</v>
      </c>
      <c r="AX25" s="583">
        <f t="shared" si="31"/>
        <v>0.13274553096351416</v>
      </c>
      <c r="AY25" s="245">
        <f t="shared" si="31"/>
        <v>0.15179759237645563</v>
      </c>
      <c r="AZ25" s="247">
        <f t="shared" si="31"/>
        <v>7.8959405852466302E-2</v>
      </c>
      <c r="BA25" s="583">
        <f t="shared" si="31"/>
        <v>0.11497382962116154</v>
      </c>
      <c r="BB25" s="245">
        <f t="shared" si="31"/>
        <v>3.5276247707561215E-2</v>
      </c>
      <c r="BC25" s="247">
        <f t="shared" si="31"/>
        <v>6.7693328887623361E-2</v>
      </c>
      <c r="BD25" s="583">
        <f t="shared" si="31"/>
        <v>5.1145868956624208E-2</v>
      </c>
      <c r="BE25" s="245">
        <f t="shared" si="31"/>
        <v>0.10379996317948459</v>
      </c>
      <c r="BF25" s="247">
        <f t="shared" si="31"/>
        <v>0.10616825814755493</v>
      </c>
      <c r="BG25" s="583">
        <f t="shared" si="31"/>
        <v>0.10497721538602067</v>
      </c>
      <c r="BH25" s="245">
        <f t="shared" si="31"/>
        <v>0.10657661218671488</v>
      </c>
      <c r="BI25" s="247">
        <f t="shared" si="31"/>
        <v>0.10882769434503414</v>
      </c>
      <c r="BJ25" s="583">
        <f t="shared" si="31"/>
        <v>0.10769680539663806</v>
      </c>
      <c r="BK25" s="56"/>
      <c r="BL25" s="49"/>
      <c r="BM25" s="104"/>
      <c r="BN25" s="104"/>
    </row>
    <row r="26" spans="1:74">
      <c r="R26" s="116"/>
      <c r="S26" s="792"/>
      <c r="T26" s="823"/>
      <c r="U26" s="116"/>
      <c r="V26" s="792"/>
      <c r="W26" s="823"/>
      <c r="X26" s="116"/>
      <c r="Y26" s="792"/>
      <c r="Z26" s="823"/>
      <c r="AA26" s="116"/>
      <c r="AB26" s="792"/>
      <c r="AC26" s="823"/>
      <c r="AD26" s="116"/>
      <c r="AE26" s="792"/>
      <c r="AF26" s="823"/>
      <c r="AG26" s="116"/>
      <c r="AH26" s="792"/>
      <c r="AI26" s="823"/>
      <c r="AJ26" s="116"/>
      <c r="AK26" s="792"/>
      <c r="AL26" s="823"/>
      <c r="AM26" s="116"/>
      <c r="AN26" s="791"/>
      <c r="AO26" s="822"/>
      <c r="AP26" s="350"/>
      <c r="AQ26" s="791"/>
      <c r="AR26" s="822"/>
      <c r="AS26" s="350"/>
      <c r="AT26" s="791"/>
      <c r="AU26" s="822"/>
      <c r="AV26" s="350"/>
      <c r="AW26" s="791"/>
      <c r="AX26" s="822"/>
      <c r="AY26" s="350"/>
      <c r="AZ26" s="791"/>
      <c r="BA26" s="822"/>
      <c r="BB26" s="350"/>
      <c r="BC26" s="791"/>
      <c r="BD26" s="822"/>
      <c r="BE26" s="350"/>
      <c r="BF26" s="791"/>
      <c r="BG26" s="822"/>
      <c r="BH26" s="350"/>
      <c r="BI26" s="791"/>
      <c r="BJ26" s="822"/>
      <c r="BK26" s="56"/>
      <c r="BL26" s="49"/>
    </row>
    <row r="27" spans="1:74" ht="11.4">
      <c r="A27" s="93" t="s">
        <v>514</v>
      </c>
      <c r="S27" s="595"/>
      <c r="T27" s="619">
        <f t="shared" ref="T27:AB27" si="32">T271</f>
        <v>0</v>
      </c>
      <c r="V27" s="595"/>
      <c r="W27" s="619">
        <f t="shared" si="32"/>
        <v>0</v>
      </c>
      <c r="Y27" s="595"/>
      <c r="Z27" s="619">
        <f t="shared" si="32"/>
        <v>0</v>
      </c>
      <c r="AA27" s="25">
        <f t="shared" si="32"/>
        <v>613.13650953554156</v>
      </c>
      <c r="AB27" s="595">
        <f t="shared" si="32"/>
        <v>630.92673412796478</v>
      </c>
      <c r="AC27" s="619">
        <f>AC271</f>
        <v>1244.0632436635065</v>
      </c>
      <c r="AD27" s="25">
        <f t="shared" ref="AD27:AE27" si="33">AD271</f>
        <v>188.81516907712989</v>
      </c>
      <c r="AE27" s="595">
        <f t="shared" si="33"/>
        <v>256.90102691421112</v>
      </c>
      <c r="AF27" s="619">
        <f t="shared" ref="AF27:BJ27" si="34">AF271</f>
        <v>445.71619599134101</v>
      </c>
      <c r="AG27" s="25">
        <f t="shared" ref="AG27:AH27" si="35">AG271</f>
        <v>360.06904983097093</v>
      </c>
      <c r="AH27" s="595">
        <f t="shared" si="35"/>
        <v>315.72620543772274</v>
      </c>
      <c r="AI27" s="619">
        <f t="shared" si="34"/>
        <v>675.79525526869361</v>
      </c>
      <c r="AJ27" s="25">
        <f t="shared" si="34"/>
        <v>371.14390205543145</v>
      </c>
      <c r="AK27" s="595">
        <f t="shared" ref="AK27" si="36">AK271</f>
        <v>483.22664465371213</v>
      </c>
      <c r="AL27" s="619">
        <f t="shared" si="34"/>
        <v>854.37054670914358</v>
      </c>
      <c r="AM27" s="25">
        <f t="shared" ref="AM27:AO27" si="37">AM271</f>
        <v>452.46980110699837</v>
      </c>
      <c r="AN27" s="595">
        <f t="shared" si="37"/>
        <v>584.09884649607602</v>
      </c>
      <c r="AO27" s="619">
        <f t="shared" si="37"/>
        <v>1036.5686476030744</v>
      </c>
      <c r="AP27" s="25">
        <f t="shared" ref="AP27:AR27" si="38">AP271</f>
        <v>660.50083610610614</v>
      </c>
      <c r="AQ27" s="595">
        <f t="shared" si="38"/>
        <v>799.53543305238804</v>
      </c>
      <c r="AR27" s="619">
        <f t="shared" si="38"/>
        <v>1460.0362691584942</v>
      </c>
      <c r="AS27" s="25">
        <f t="shared" ref="AS27" si="39">AS271</f>
        <v>906.06239470276023</v>
      </c>
      <c r="AT27" s="630">
        <f t="shared" si="34"/>
        <v>1217.7969672527208</v>
      </c>
      <c r="AU27" s="653">
        <f t="shared" si="34"/>
        <v>2123.8593619554813</v>
      </c>
      <c r="AV27" s="25">
        <f t="shared" si="34"/>
        <v>1314.0800706309456</v>
      </c>
      <c r="AW27" s="601">
        <f t="shared" si="34"/>
        <v>1369.6870422370448</v>
      </c>
      <c r="AX27" s="625">
        <f>AX271</f>
        <v>2683.7671128679904</v>
      </c>
      <c r="AY27" s="49">
        <f t="shared" si="34"/>
        <v>1646.5925487194995</v>
      </c>
      <c r="AZ27" s="601">
        <f t="shared" si="34"/>
        <v>1607.8323058108886</v>
      </c>
      <c r="BA27" s="625">
        <f t="shared" si="34"/>
        <v>3254.4248545303881</v>
      </c>
      <c r="BB27" s="49">
        <f t="shared" si="34"/>
        <v>1860.9597166745211</v>
      </c>
      <c r="BC27" s="601">
        <f t="shared" si="34"/>
        <v>1881.370360251804</v>
      </c>
      <c r="BD27" s="625">
        <f t="shared" si="34"/>
        <v>3742.3300769263251</v>
      </c>
      <c r="BE27" s="49">
        <f t="shared" si="34"/>
        <v>2156.2078375356518</v>
      </c>
      <c r="BF27" s="601">
        <f t="shared" si="34"/>
        <v>2183.7328856151412</v>
      </c>
      <c r="BG27" s="625">
        <f t="shared" si="34"/>
        <v>4339.940723150793</v>
      </c>
      <c r="BH27" s="49">
        <f t="shared" si="34"/>
        <v>2475.3405323655779</v>
      </c>
      <c r="BI27" s="601">
        <f t="shared" si="34"/>
        <v>2508.7951538339121</v>
      </c>
      <c r="BJ27" s="625">
        <f t="shared" si="34"/>
        <v>4984.13568619949</v>
      </c>
      <c r="BK27" s="264">
        <f>+(AU27/AL27)^(1/3)-1</f>
        <v>0.35464811077280034</v>
      </c>
      <c r="BL27" s="433">
        <f>+(BA27/AL27)^(1/5)-1</f>
        <v>0.30666902447950206</v>
      </c>
      <c r="BN27" s="38"/>
      <c r="BO27" s="38"/>
    </row>
    <row r="28" spans="1:74" ht="11.4">
      <c r="A28" s="93" t="s">
        <v>546</v>
      </c>
      <c r="S28" s="595"/>
      <c r="T28" s="619">
        <f t="shared" ref="T28:BJ28" si="40">T348</f>
        <v>297</v>
      </c>
      <c r="V28" s="595"/>
      <c r="W28" s="619">
        <f t="shared" si="40"/>
        <v>317</v>
      </c>
      <c r="Y28" s="595"/>
      <c r="Z28" s="619">
        <f>Z348</f>
        <v>302.40000000000003</v>
      </c>
      <c r="AA28" s="25">
        <f t="shared" ref="AA28:AB28" si="41">AA348</f>
        <v>169.60000000000002</v>
      </c>
      <c r="AB28" s="595">
        <f t="shared" si="41"/>
        <v>163.19999999999999</v>
      </c>
      <c r="AC28" s="619">
        <f>AC348</f>
        <v>332.8</v>
      </c>
      <c r="AD28" s="25">
        <f t="shared" ref="AD28:AE28" si="42">AD348</f>
        <v>99.899999999999991</v>
      </c>
      <c r="AE28" s="595">
        <f t="shared" si="42"/>
        <v>88.500000000000014</v>
      </c>
      <c r="AF28" s="619">
        <f t="shared" si="40"/>
        <v>188.4</v>
      </c>
      <c r="AG28" s="25">
        <f t="shared" ref="AG28:AH28" si="43">AG348</f>
        <v>214.79999999999998</v>
      </c>
      <c r="AH28" s="595">
        <f t="shared" si="43"/>
        <v>289.79999999999995</v>
      </c>
      <c r="AI28" s="619">
        <f t="shared" si="40"/>
        <v>504.59999999999997</v>
      </c>
      <c r="AJ28" s="25">
        <f t="shared" si="40"/>
        <v>214.5</v>
      </c>
      <c r="AK28" s="595">
        <f t="shared" ref="AK28" si="44">AK348</f>
        <v>260.5</v>
      </c>
      <c r="AL28" s="619">
        <f t="shared" si="40"/>
        <v>475</v>
      </c>
      <c r="AM28" s="25">
        <f t="shared" ref="AM28:AO28" si="45">AM348</f>
        <v>211.60000000000002</v>
      </c>
      <c r="AN28" s="595">
        <f t="shared" si="45"/>
        <v>210</v>
      </c>
      <c r="AO28" s="619">
        <f t="shared" si="45"/>
        <v>421.6</v>
      </c>
      <c r="AP28" s="25">
        <f t="shared" ref="AP28:AR28" si="46">AP348</f>
        <v>267.2</v>
      </c>
      <c r="AQ28" s="595">
        <f t="shared" si="46"/>
        <v>231.20000000000005</v>
      </c>
      <c r="AR28" s="619">
        <f t="shared" si="46"/>
        <v>498.40000000000003</v>
      </c>
      <c r="AS28" s="25">
        <f t="shared" ref="AS28" si="47">AS348</f>
        <v>261.2</v>
      </c>
      <c r="AT28" s="216">
        <f t="shared" si="40"/>
        <v>299.05</v>
      </c>
      <c r="AU28" s="556">
        <f t="shared" si="40"/>
        <v>560.25</v>
      </c>
      <c r="AV28" s="25">
        <f t="shared" si="40"/>
        <v>368</v>
      </c>
      <c r="AW28" s="236">
        <f t="shared" si="40"/>
        <v>335.14782608695657</v>
      </c>
      <c r="AX28" s="605">
        <f t="shared" si="40"/>
        <v>703.14782608695657</v>
      </c>
      <c r="AY28" s="56">
        <f t="shared" si="40"/>
        <v>407.20222222222219</v>
      </c>
      <c r="AZ28" s="236">
        <f t="shared" si="40"/>
        <v>371.82177777777781</v>
      </c>
      <c r="BA28" s="605">
        <f t="shared" si="40"/>
        <v>779.024</v>
      </c>
      <c r="BB28" s="56">
        <f t="shared" si="40"/>
        <v>451.3593181818182</v>
      </c>
      <c r="BC28" s="236">
        <f t="shared" si="40"/>
        <v>413.15177272727277</v>
      </c>
      <c r="BD28" s="605">
        <f t="shared" si="40"/>
        <v>864.51109090909097</v>
      </c>
      <c r="BE28" s="56">
        <f t="shared" si="40"/>
        <v>489.75206818181829</v>
      </c>
      <c r="BF28" s="236">
        <f t="shared" si="40"/>
        <v>449.3192227272728</v>
      </c>
      <c r="BG28" s="605">
        <f t="shared" si="40"/>
        <v>939.07129090909109</v>
      </c>
      <c r="BH28" s="56">
        <f t="shared" si="40"/>
        <v>531.98409318181837</v>
      </c>
      <c r="BI28" s="236">
        <f t="shared" si="40"/>
        <v>489.10341772727281</v>
      </c>
      <c r="BJ28" s="605">
        <f t="shared" si="40"/>
        <v>1021.0875109090912</v>
      </c>
      <c r="BK28" s="56"/>
      <c r="BL28" s="49"/>
      <c r="BN28" s="38"/>
      <c r="BO28" s="38"/>
    </row>
    <row r="29" spans="1:74">
      <c r="A29" s="93" t="s">
        <v>268</v>
      </c>
      <c r="S29" s="595"/>
      <c r="T29" s="619">
        <f t="shared" ref="T29:BJ29" si="48">T369</f>
        <v>275.39999999999998</v>
      </c>
      <c r="V29" s="595"/>
      <c r="W29" s="619">
        <f t="shared" si="48"/>
        <v>300.8780542986425</v>
      </c>
      <c r="Y29" s="595"/>
      <c r="Z29" s="619">
        <f>Z369</f>
        <v>315.21259965217394</v>
      </c>
      <c r="AA29" s="25">
        <f t="shared" ref="AA29:AB29" si="49">AA369</f>
        <v>144.62352941176471</v>
      </c>
      <c r="AB29" s="595">
        <f t="shared" si="49"/>
        <v>137.8235294117647</v>
      </c>
      <c r="AC29" s="619">
        <f>AC369</f>
        <v>282.4470588235294</v>
      </c>
      <c r="AD29" s="25">
        <f t="shared" ref="AD29:AE29" si="50">AD369</f>
        <v>93.593548387096774</v>
      </c>
      <c r="AE29" s="595">
        <f t="shared" si="50"/>
        <v>56.680135823429552</v>
      </c>
      <c r="AF29" s="619">
        <f t="shared" si="48"/>
        <v>150.27368421052631</v>
      </c>
      <c r="AG29" s="25">
        <f t="shared" si="48"/>
        <v>42.77410071942446</v>
      </c>
      <c r="AH29" s="595">
        <f t="shared" si="48"/>
        <v>41.828548287198068</v>
      </c>
      <c r="AI29" s="619">
        <f>AI369</f>
        <v>84.602649006622528</v>
      </c>
      <c r="AJ29" s="25">
        <f t="shared" ref="AJ29:AK29" si="51">AJ369</f>
        <v>73</v>
      </c>
      <c r="AK29" s="595">
        <f t="shared" si="51"/>
        <v>79.400000000000006</v>
      </c>
      <c r="AL29" s="619">
        <f t="shared" si="48"/>
        <v>152.4</v>
      </c>
      <c r="AM29" s="25">
        <f t="shared" ref="AM29:AO29" si="52">AM369</f>
        <v>80.200000000000017</v>
      </c>
      <c r="AN29" s="595">
        <f t="shared" si="52"/>
        <v>88.200000000000017</v>
      </c>
      <c r="AO29" s="619">
        <f t="shared" si="52"/>
        <v>168.40000000000003</v>
      </c>
      <c r="AP29" s="25">
        <f t="shared" ref="AP29:AR29" si="53">AP369</f>
        <v>98.678378378378397</v>
      </c>
      <c r="AQ29" s="595">
        <f t="shared" si="53"/>
        <v>102.87837837837839</v>
      </c>
      <c r="AR29" s="619">
        <f t="shared" si="53"/>
        <v>201.55675675675678</v>
      </c>
      <c r="AS29" s="25">
        <f t="shared" ref="AS29" si="54">AS369</f>
        <v>89.933333333333337</v>
      </c>
      <c r="AT29" s="216">
        <f t="shared" si="48"/>
        <v>94.866666666666688</v>
      </c>
      <c r="AU29" s="556">
        <f t="shared" si="48"/>
        <v>184.8</v>
      </c>
      <c r="AV29" s="25">
        <f t="shared" si="48"/>
        <v>86.721739130434798</v>
      </c>
      <c r="AW29" s="236">
        <f t="shared" si="48"/>
        <v>90.814492753623213</v>
      </c>
      <c r="AX29" s="605">
        <f t="shared" si="48"/>
        <v>177.536231884058</v>
      </c>
      <c r="AY29" s="56">
        <f t="shared" si="48"/>
        <v>83.333333333333314</v>
      </c>
      <c r="AZ29" s="236">
        <f t="shared" si="48"/>
        <v>83.333333333333314</v>
      </c>
      <c r="BA29" s="605">
        <f t="shared" si="48"/>
        <v>166.66666666666663</v>
      </c>
      <c r="BB29" s="56">
        <f t="shared" si="48"/>
        <v>9.4696969696969688</v>
      </c>
      <c r="BC29" s="236">
        <f t="shared" si="48"/>
        <v>9.4696969696969688</v>
      </c>
      <c r="BD29" s="605">
        <f t="shared" si="48"/>
        <v>18.939393939393938</v>
      </c>
      <c r="BE29" s="56">
        <f t="shared" si="48"/>
        <v>9.4696969696969688</v>
      </c>
      <c r="BF29" s="236">
        <f t="shared" si="48"/>
        <v>9.4696969696969688</v>
      </c>
      <c r="BG29" s="605">
        <f t="shared" si="48"/>
        <v>18.939393939393938</v>
      </c>
      <c r="BH29" s="56">
        <f t="shared" si="48"/>
        <v>9.4696969696969688</v>
      </c>
      <c r="BI29" s="236">
        <f t="shared" si="48"/>
        <v>9.4696969696969688</v>
      </c>
      <c r="BJ29" s="605">
        <f t="shared" si="48"/>
        <v>18.939393939393938</v>
      </c>
      <c r="BK29" s="56"/>
      <c r="BL29" s="49"/>
    </row>
    <row r="30" spans="1:74" ht="10.8" thickBot="1">
      <c r="A30" s="37" t="s">
        <v>600</v>
      </c>
      <c r="B30" s="94"/>
      <c r="C30" s="94"/>
      <c r="D30" s="37"/>
      <c r="E30" s="37"/>
      <c r="F30" s="37"/>
      <c r="G30" s="37"/>
      <c r="H30" s="37"/>
      <c r="I30" s="37"/>
      <c r="J30" s="37"/>
      <c r="K30" s="37"/>
      <c r="L30" s="37"/>
      <c r="M30" s="37"/>
      <c r="N30" s="37"/>
      <c r="O30" s="37"/>
      <c r="P30" s="37"/>
      <c r="Q30" s="37"/>
      <c r="R30" s="37"/>
      <c r="S30" s="857"/>
      <c r="T30" s="882">
        <f t="shared" ref="T30:AT30" si="55">SUM(T27:T29)</f>
        <v>572.4</v>
      </c>
      <c r="U30" s="37"/>
      <c r="V30" s="857"/>
      <c r="W30" s="882">
        <f t="shared" si="55"/>
        <v>617.8780542986425</v>
      </c>
      <c r="X30" s="37"/>
      <c r="Y30" s="857"/>
      <c r="Z30" s="882">
        <f t="shared" ref="Z30:AM30" si="56">SUM(Z27:Z29)</f>
        <v>617.61259965217391</v>
      </c>
      <c r="AA30" s="37">
        <f t="shared" si="56"/>
        <v>927.36003894730629</v>
      </c>
      <c r="AB30" s="857">
        <f t="shared" si="56"/>
        <v>931.95026353972935</v>
      </c>
      <c r="AC30" s="882">
        <f t="shared" si="56"/>
        <v>1859.3103024870359</v>
      </c>
      <c r="AD30" s="37">
        <f t="shared" si="56"/>
        <v>382.30871746422667</v>
      </c>
      <c r="AE30" s="857">
        <f t="shared" si="56"/>
        <v>402.08116273764068</v>
      </c>
      <c r="AF30" s="882">
        <f t="shared" si="56"/>
        <v>784.3898802018673</v>
      </c>
      <c r="AG30" s="37">
        <f t="shared" si="56"/>
        <v>617.64315055039538</v>
      </c>
      <c r="AH30" s="857">
        <f t="shared" si="56"/>
        <v>647.35475372492067</v>
      </c>
      <c r="AI30" s="882">
        <f t="shared" si="56"/>
        <v>1264.9979042753162</v>
      </c>
      <c r="AJ30" s="37">
        <f t="shared" si="56"/>
        <v>658.64390205543145</v>
      </c>
      <c r="AK30" s="857">
        <f t="shared" si="56"/>
        <v>823.12664465371211</v>
      </c>
      <c r="AL30" s="882">
        <f t="shared" si="56"/>
        <v>1481.7705467091437</v>
      </c>
      <c r="AM30" s="37">
        <f t="shared" si="56"/>
        <v>744.26980110699844</v>
      </c>
      <c r="AN30" s="857">
        <f t="shared" ref="AN30:AP30" si="57">SUM(AN27:AN29)</f>
        <v>882.29884649607607</v>
      </c>
      <c r="AO30" s="882">
        <f t="shared" si="57"/>
        <v>1626.5686476030746</v>
      </c>
      <c r="AP30" s="37">
        <f t="shared" si="57"/>
        <v>1026.3792144844847</v>
      </c>
      <c r="AQ30" s="857">
        <f t="shared" ref="AQ30:AS30" si="58">SUM(AQ27:AQ29)</f>
        <v>1133.6138114307664</v>
      </c>
      <c r="AR30" s="882">
        <f t="shared" si="58"/>
        <v>2159.9930259152511</v>
      </c>
      <c r="AS30" s="37">
        <f t="shared" si="58"/>
        <v>1257.1957280360937</v>
      </c>
      <c r="AT30" s="227">
        <f t="shared" si="55"/>
        <v>1611.7136339193876</v>
      </c>
      <c r="AU30" s="557">
        <f t="shared" ref="AU30:BJ30" si="59">SUM(AU27:AU29)</f>
        <v>2868.9093619554815</v>
      </c>
      <c r="AV30" s="37">
        <f t="shared" si="59"/>
        <v>1768.8018097613804</v>
      </c>
      <c r="AW30" s="244">
        <f t="shared" ref="AW30" si="60">SUM(AW27:AW29)</f>
        <v>1795.6493610776247</v>
      </c>
      <c r="AX30" s="581">
        <f t="shared" si="59"/>
        <v>3564.451170839005</v>
      </c>
      <c r="AY30" s="181">
        <f t="shared" ref="AY30:AZ30" si="61">SUM(AY27:AY29)</f>
        <v>2137.1281042750552</v>
      </c>
      <c r="AZ30" s="244">
        <f t="shared" si="61"/>
        <v>2062.9874169219997</v>
      </c>
      <c r="BA30" s="581">
        <f t="shared" si="59"/>
        <v>4200.1155211970545</v>
      </c>
      <c r="BB30" s="181">
        <f t="shared" ref="BB30:BC30" si="62">SUM(BB27:BB29)</f>
        <v>2321.7887318260364</v>
      </c>
      <c r="BC30" s="244">
        <f t="shared" si="62"/>
        <v>2303.9918299487736</v>
      </c>
      <c r="BD30" s="581">
        <f t="shared" si="59"/>
        <v>4625.7805617748099</v>
      </c>
      <c r="BE30" s="181">
        <f t="shared" ref="BE30:BF30" si="63">SUM(BE27:BE29)</f>
        <v>2655.4296026871671</v>
      </c>
      <c r="BF30" s="244">
        <f t="shared" si="63"/>
        <v>2642.5218053121112</v>
      </c>
      <c r="BG30" s="581">
        <f t="shared" si="59"/>
        <v>5297.9514079992778</v>
      </c>
      <c r="BH30" s="181">
        <f t="shared" ref="BH30:BI30" si="64">SUM(BH27:BH29)</f>
        <v>3016.7943225170934</v>
      </c>
      <c r="BI30" s="244">
        <f t="shared" si="64"/>
        <v>3007.3682685308818</v>
      </c>
      <c r="BJ30" s="581">
        <f t="shared" si="59"/>
        <v>6024.1625910479752</v>
      </c>
      <c r="BK30" s="264">
        <f>+(AU30/AL30)^(1/3)-1</f>
        <v>0.24636512944986633</v>
      </c>
      <c r="BL30" s="433">
        <f>+(BA30/AL30)^(1/5)-1</f>
        <v>0.23167479894330811</v>
      </c>
    </row>
    <row r="31" spans="1:74">
      <c r="A31" s="95" t="s">
        <v>620</v>
      </c>
      <c r="R31" s="114"/>
      <c r="S31" s="736"/>
      <c r="T31" s="740"/>
      <c r="U31" s="114"/>
      <c r="V31" s="736"/>
      <c r="W31" s="740">
        <f t="shared" ref="W31" si="65">W30/T30-1</f>
        <v>7.9451527426000146E-2</v>
      </c>
      <c r="X31" s="114"/>
      <c r="Y31" s="736"/>
      <c r="Z31" s="740">
        <f>Z30/W30-1</f>
        <v>-4.2962303746152397E-4</v>
      </c>
      <c r="AA31" s="114"/>
      <c r="AB31" s="736"/>
      <c r="AC31" s="740"/>
      <c r="AD31" s="114">
        <f t="shared" ref="AD31:BI31" si="66">AD30/AA30-1</f>
        <v>-0.58774510286403459</v>
      </c>
      <c r="AE31" s="736">
        <f t="shared" si="66"/>
        <v>-0.5685594194582253</v>
      </c>
      <c r="AF31" s="740">
        <f t="shared" si="66"/>
        <v>-0.5781285785634287</v>
      </c>
      <c r="AG31" s="114">
        <f t="shared" si="66"/>
        <v>0.61556125281969121</v>
      </c>
      <c r="AH31" s="736">
        <f t="shared" si="66"/>
        <v>0.61001015147611337</v>
      </c>
      <c r="AI31" s="740">
        <f t="shared" si="66"/>
        <v>0.61271573767596488</v>
      </c>
      <c r="AJ31" s="114">
        <f t="shared" si="66"/>
        <v>6.6382589151194216E-2</v>
      </c>
      <c r="AK31" s="736">
        <f t="shared" si="66"/>
        <v>0.27152328752880672</v>
      </c>
      <c r="AL31" s="740">
        <f t="shared" si="66"/>
        <v>0.17136205657037107</v>
      </c>
      <c r="AM31" s="114">
        <f t="shared" si="66"/>
        <v>0.13000332772284695</v>
      </c>
      <c r="AN31" s="736">
        <f t="shared" ref="AN31" si="67">AN30/AK30-1</f>
        <v>7.1887117525223143E-2</v>
      </c>
      <c r="AO31" s="740">
        <f t="shared" ref="AO31" si="68">AO30/AL30-1</f>
        <v>9.7719651139990704E-2</v>
      </c>
      <c r="AP31" s="114">
        <f t="shared" si="66"/>
        <v>0.37904186486928193</v>
      </c>
      <c r="AQ31" s="736">
        <f t="shared" ref="AQ31" si="69">AQ30/AN30-1</f>
        <v>0.28484108976539169</v>
      </c>
      <c r="AR31" s="740">
        <f t="shared" ref="AR31" si="70">AR30/AO30-1</f>
        <v>0.32794458389336056</v>
      </c>
      <c r="AS31" s="114">
        <f t="shared" si="66"/>
        <v>0.22488424384893668</v>
      </c>
      <c r="AT31" s="647">
        <f t="shared" si="66"/>
        <v>0.42174840996793939</v>
      </c>
      <c r="AU31" s="671">
        <f t="shared" si="66"/>
        <v>0.32820306710936809</v>
      </c>
      <c r="AV31" s="114">
        <f t="shared" si="66"/>
        <v>0.40694226866685512</v>
      </c>
      <c r="AW31" s="599">
        <f t="shared" si="66"/>
        <v>0.11412432288665308</v>
      </c>
      <c r="AX31" s="623">
        <f t="shared" si="66"/>
        <v>0.24244119319595181</v>
      </c>
      <c r="AY31" s="435">
        <f t="shared" si="66"/>
        <v>0.20823491500348679</v>
      </c>
      <c r="AZ31" s="599">
        <f t="shared" si="66"/>
        <v>0.14888099070964356</v>
      </c>
      <c r="BA31" s="623">
        <f t="shared" si="66"/>
        <v>0.17833442510265218</v>
      </c>
      <c r="BB31" s="435">
        <f t="shared" si="66"/>
        <v>8.6405970321381753E-2</v>
      </c>
      <c r="BC31" s="599">
        <f t="shared" si="66"/>
        <v>0.11682301649050042</v>
      </c>
      <c r="BD31" s="623">
        <f t="shared" si="66"/>
        <v>0.1013460316578243</v>
      </c>
      <c r="BE31" s="435">
        <f t="shared" si="66"/>
        <v>0.14369992682268262</v>
      </c>
      <c r="BF31" s="599">
        <f t="shared" si="66"/>
        <v>0.14693193394304016</v>
      </c>
      <c r="BG31" s="623">
        <f t="shared" si="66"/>
        <v>0.1453097130847405</v>
      </c>
      <c r="BH31" s="435">
        <f t="shared" si="66"/>
        <v>0.13608521930471906</v>
      </c>
      <c r="BI31" s="599">
        <f t="shared" si="66"/>
        <v>0.13806753173629094</v>
      </c>
      <c r="BJ31" s="623">
        <f t="shared" ref="BJ31" si="71">BJ30/BG30-1</f>
        <v>0.13707396069209032</v>
      </c>
      <c r="BK31" s="56"/>
      <c r="BL31" s="49"/>
    </row>
    <row r="32" spans="1:74">
      <c r="A32" s="93" t="s">
        <v>953</v>
      </c>
      <c r="S32" s="595"/>
      <c r="T32" s="619"/>
      <c r="V32" s="595"/>
      <c r="W32" s="619"/>
      <c r="Y32" s="595"/>
      <c r="Z32" s="619"/>
      <c r="AA32" s="519">
        <f>AA30/AA23</f>
        <v>0.37882354532161205</v>
      </c>
      <c r="AB32" s="860">
        <f>AB30/AB23</f>
        <v>0.38622058165757533</v>
      </c>
      <c r="AC32" s="885">
        <f t="shared" ref="AC32:AI32" si="72">AC30/AC23</f>
        <v>0.38249543355009996</v>
      </c>
      <c r="AD32" s="519">
        <f>AD30/AD23</f>
        <v>0.28766645407391023</v>
      </c>
      <c r="AE32" s="860">
        <f>AE30/AE23</f>
        <v>0.27520955697305999</v>
      </c>
      <c r="AF32" s="885">
        <f t="shared" si="72"/>
        <v>0.28114332623722843</v>
      </c>
      <c r="AG32" s="519">
        <f>AG30/AG23</f>
        <v>0.42713910826445045</v>
      </c>
      <c r="AH32" s="860">
        <f>AH30/AH23</f>
        <v>0.43799374406286917</v>
      </c>
      <c r="AI32" s="885">
        <f t="shared" si="72"/>
        <v>0.43262582225558011</v>
      </c>
      <c r="AJ32" s="519">
        <f t="shared" ref="AJ32:AM32" si="73">AJ30/AJ23</f>
        <v>0.39228344374951246</v>
      </c>
      <c r="AK32" s="860">
        <f t="shared" si="73"/>
        <v>0.40648229365615413</v>
      </c>
      <c r="AL32" s="885">
        <f t="shared" si="73"/>
        <v>0.40004604392795456</v>
      </c>
      <c r="AM32" s="519">
        <f t="shared" si="73"/>
        <v>0.33799718488056241</v>
      </c>
      <c r="AN32" s="860">
        <f t="shared" ref="AN32:AP32" si="74">AN30/AN23</f>
        <v>0.3611538462939321</v>
      </c>
      <c r="AO32" s="885">
        <f t="shared" si="74"/>
        <v>0.35017624275631315</v>
      </c>
      <c r="AP32" s="519">
        <f t="shared" si="74"/>
        <v>0.36787785465393719</v>
      </c>
      <c r="AQ32" s="860">
        <f t="shared" ref="AQ32:AS32" si="75">AQ30/AQ23</f>
        <v>0.36044954258529932</v>
      </c>
      <c r="AR32" s="885">
        <f t="shared" si="75"/>
        <v>0.36394153764368176</v>
      </c>
      <c r="AS32" s="519">
        <f t="shared" si="75"/>
        <v>0.3800470761898711</v>
      </c>
      <c r="AT32" s="647">
        <f>AT30/AT23</f>
        <v>0.41786715942944974</v>
      </c>
      <c r="AU32" s="671">
        <f t="shared" ref="AU32:BJ32" si="76">AU30/AU23</f>
        <v>0.40040605191283762</v>
      </c>
      <c r="AV32" s="519">
        <f t="shared" si="76"/>
        <v>0.42447847606464612</v>
      </c>
      <c r="AW32" s="599">
        <f>AW30/AW23</f>
        <v>0.42145027490801479</v>
      </c>
      <c r="AX32" s="623">
        <f t="shared" si="76"/>
        <v>0.42294755161019976</v>
      </c>
      <c r="AY32" s="435">
        <f t="shared" si="76"/>
        <v>0.43684928403367251</v>
      </c>
      <c r="AZ32" s="599">
        <f>AZ30/AZ23</f>
        <v>0.43970603670326641</v>
      </c>
      <c r="BA32" s="623">
        <f t="shared" si="76"/>
        <v>0.43824779312882789</v>
      </c>
      <c r="BB32" s="435">
        <f t="shared" si="76"/>
        <v>0.44857664567103378</v>
      </c>
      <c r="BC32" s="599">
        <f>BC30/BC23</f>
        <v>0.45035266350686332</v>
      </c>
      <c r="BD32" s="623">
        <f t="shared" si="76"/>
        <v>0.44945948372299377</v>
      </c>
      <c r="BE32" s="435">
        <f t="shared" si="76"/>
        <v>0.46479171402626951</v>
      </c>
      <c r="BF32" s="599">
        <f>BF30/BF23</f>
        <v>0.46694871915536867</v>
      </c>
      <c r="BG32" s="623">
        <f t="shared" si="76"/>
        <v>0.46586509221926725</v>
      </c>
      <c r="BH32" s="435">
        <f t="shared" si="76"/>
        <v>0.47718611666397026</v>
      </c>
      <c r="BI32" s="599">
        <f>BI30/BI23</f>
        <v>0.47926217839506008</v>
      </c>
      <c r="BJ32" s="623">
        <f t="shared" si="76"/>
        <v>0.47822027018329055</v>
      </c>
      <c r="BK32" s="56"/>
      <c r="BL32" s="49"/>
    </row>
    <row r="33" spans="1:65">
      <c r="R33" s="31"/>
      <c r="S33" s="793"/>
      <c r="T33" s="824"/>
      <c r="U33" s="31"/>
      <c r="V33" s="793"/>
      <c r="W33" s="824"/>
      <c r="X33" s="31"/>
      <c r="Y33" s="793"/>
      <c r="Z33" s="824"/>
      <c r="AA33" s="116"/>
      <c r="AB33" s="792"/>
      <c r="AC33" s="823"/>
      <c r="AD33" s="116"/>
      <c r="AE33" s="792"/>
      <c r="AF33" s="823"/>
      <c r="AG33" s="116"/>
      <c r="AH33" s="792"/>
      <c r="AI33" s="823"/>
      <c r="AJ33" s="116"/>
      <c r="AK33" s="792"/>
      <c r="AL33" s="823"/>
      <c r="AM33" s="116"/>
      <c r="AN33" s="792"/>
      <c r="AO33" s="823"/>
      <c r="AP33" s="116"/>
      <c r="AQ33" s="792"/>
      <c r="AR33" s="823"/>
      <c r="AS33" s="116"/>
      <c r="AT33" s="865"/>
      <c r="AU33" s="889"/>
      <c r="AV33" s="116"/>
      <c r="AW33" s="792"/>
      <c r="AX33" s="823"/>
      <c r="AY33" s="116"/>
      <c r="AZ33" s="792"/>
      <c r="BA33" s="823"/>
      <c r="BB33" s="116"/>
      <c r="BC33" s="792"/>
      <c r="BD33" s="823"/>
      <c r="BE33" s="116"/>
      <c r="BF33" s="792"/>
      <c r="BG33" s="823"/>
      <c r="BH33" s="116"/>
      <c r="BI33" s="792"/>
      <c r="BJ33" s="823"/>
      <c r="BK33" s="56"/>
      <c r="BL33" s="49"/>
    </row>
    <row r="34" spans="1:65">
      <c r="A34" s="117" t="s">
        <v>553</v>
      </c>
      <c r="S34" s="595"/>
      <c r="T34" s="619"/>
      <c r="V34" s="595"/>
      <c r="W34" s="619"/>
      <c r="Y34" s="595"/>
      <c r="Z34" s="619"/>
      <c r="AB34" s="595"/>
      <c r="AC34" s="619"/>
      <c r="AE34" s="595"/>
      <c r="AF34" s="619"/>
      <c r="AH34" s="595"/>
      <c r="AI34" s="619"/>
      <c r="AK34" s="595"/>
      <c r="AL34" s="619"/>
      <c r="AN34" s="595"/>
      <c r="AO34" s="619"/>
      <c r="AQ34" s="595"/>
      <c r="AR34" s="619"/>
      <c r="AT34" s="630"/>
      <c r="AU34" s="671"/>
      <c r="AW34" s="595"/>
      <c r="AX34" s="619"/>
      <c r="AZ34" s="595"/>
      <c r="BA34" s="619"/>
      <c r="BC34" s="595"/>
      <c r="BD34" s="619"/>
      <c r="BF34" s="595"/>
      <c r="BG34" s="619"/>
      <c r="BI34" s="595"/>
      <c r="BJ34" s="619"/>
      <c r="BK34" s="56"/>
      <c r="BL34" s="49"/>
    </row>
    <row r="35" spans="1:65">
      <c r="A35" s="93" t="s">
        <v>514</v>
      </c>
      <c r="S35" s="595"/>
      <c r="T35" s="619">
        <f t="shared" ref="T35:BH35" si="77">+T105</f>
        <v>2015</v>
      </c>
      <c r="V35" s="595"/>
      <c r="W35" s="619">
        <f t="shared" si="77"/>
        <v>2327</v>
      </c>
      <c r="Y35" s="595"/>
      <c r="Z35" s="619">
        <f t="shared" si="77"/>
        <v>2666</v>
      </c>
      <c r="AA35" s="25">
        <f>+AA105</f>
        <v>1791.0392156862745</v>
      </c>
      <c r="AB35" s="595">
        <f>+AB105</f>
        <v>1941.5607843137254</v>
      </c>
      <c r="AC35" s="619">
        <f>+AC105</f>
        <v>3732.6</v>
      </c>
      <c r="AD35" s="25">
        <f>+AD105</f>
        <v>1381.9483870967742</v>
      </c>
      <c r="AE35" s="595">
        <f>+AE105</f>
        <v>545.22161290322595</v>
      </c>
      <c r="AF35" s="619">
        <f t="shared" si="77"/>
        <v>1927.17</v>
      </c>
      <c r="AG35" s="25">
        <f>+AG105</f>
        <v>816.04748201438849</v>
      </c>
      <c r="AH35" s="595">
        <f>+AH105</f>
        <v>912.23251798561148</v>
      </c>
      <c r="AI35" s="619">
        <f t="shared" si="77"/>
        <v>1728.28</v>
      </c>
      <c r="AJ35" s="25">
        <f t="shared" ref="AJ35:AM35" si="78">+AJ105</f>
        <v>1183.08</v>
      </c>
      <c r="AK35" s="595">
        <f t="shared" si="78"/>
        <v>1766.9199999999998</v>
      </c>
      <c r="AL35" s="619">
        <f t="shared" si="78"/>
        <v>2950</v>
      </c>
      <c r="AM35" s="25">
        <f t="shared" si="78"/>
        <v>1942.377777777778</v>
      </c>
      <c r="AN35" s="595">
        <f t="shared" ref="AN35" si="79">+AN105</f>
        <v>2314.8222222222221</v>
      </c>
      <c r="AO35" s="619">
        <f>+AO105</f>
        <v>4257.2</v>
      </c>
      <c r="AP35" s="25">
        <f t="shared" ref="AP35:AQ35" si="80">+AP105</f>
        <v>2362.6684556962027</v>
      </c>
      <c r="AQ35" s="595">
        <f t="shared" si="80"/>
        <v>2571.9815443037974</v>
      </c>
      <c r="AR35" s="619">
        <f>+AR105</f>
        <v>4934.6499999999996</v>
      </c>
      <c r="AS35" s="25">
        <f t="shared" ref="AS35:AT35" si="81">+AS105</f>
        <v>2790.2618094117643</v>
      </c>
      <c r="AT35" s="595">
        <f t="shared" si="81"/>
        <v>3071.4881905882357</v>
      </c>
      <c r="AU35" s="556">
        <f>+AU105</f>
        <v>5861.75</v>
      </c>
      <c r="AV35" s="25">
        <f t="shared" ref="AV35" si="82">+AV105</f>
        <v>3340.2351295999997</v>
      </c>
      <c r="AW35" s="236">
        <f>+AW105</f>
        <v>3848.9288612652126</v>
      </c>
      <c r="AX35" s="605">
        <f t="shared" si="77"/>
        <v>7189.1639908652123</v>
      </c>
      <c r="AY35" s="56">
        <f t="shared" si="77"/>
        <v>4074.4657346257022</v>
      </c>
      <c r="AZ35" s="236">
        <f>+AZ105</f>
        <v>4142.1184908097021</v>
      </c>
      <c r="BA35" s="605">
        <f t="shared" si="77"/>
        <v>8216.5842254354047</v>
      </c>
      <c r="BB35" s="56">
        <f t="shared" si="77"/>
        <v>4509.6335040440326</v>
      </c>
      <c r="BC35" s="236">
        <f>+BC105</f>
        <v>4589.4637563411525</v>
      </c>
      <c r="BD35" s="605">
        <f t="shared" si="77"/>
        <v>9099.0972603851842</v>
      </c>
      <c r="BE35" s="56">
        <f t="shared" si="77"/>
        <v>4984.8792962319203</v>
      </c>
      <c r="BF35" s="236">
        <f>+BF105</f>
        <v>5075.087481327666</v>
      </c>
      <c r="BG35" s="605">
        <f t="shared" si="77"/>
        <v>10059.966777559586</v>
      </c>
      <c r="BH35" s="56">
        <f t="shared" si="77"/>
        <v>5567.2017082884431</v>
      </c>
      <c r="BI35" s="236">
        <f>+BI105</f>
        <v>5669.1369574466362</v>
      </c>
      <c r="BJ35" s="605">
        <f>+BJ105</f>
        <v>11236.338665735078</v>
      </c>
      <c r="BK35" s="264">
        <f>+(AU35/AL35)^(1/3)-1</f>
        <v>0.2571924340436238</v>
      </c>
      <c r="BL35" s="433">
        <f>+(BA35/AL35)^(1/5)-1</f>
        <v>0.22736535175752937</v>
      </c>
    </row>
    <row r="36" spans="1:65">
      <c r="A36" s="93" t="s">
        <v>515</v>
      </c>
      <c r="S36" s="595"/>
      <c r="T36" s="619">
        <f t="shared" ref="T36:W38" si="83">+T5</f>
        <v>452</v>
      </c>
      <c r="V36" s="595"/>
      <c r="W36" s="619">
        <f t="shared" si="83"/>
        <v>527</v>
      </c>
      <c r="Y36" s="595"/>
      <c r="Z36" s="619">
        <f>+Z42/Z$374</f>
        <v>550.15123350947908</v>
      </c>
      <c r="AA36">
        <f>(2448+128-AA35-AA38)*(AA20/(AA20+AA21))</f>
        <v>219.1173695893452</v>
      </c>
      <c r="AB36" s="539">
        <f>AC36-AA36</f>
        <v>324.6167650260395</v>
      </c>
      <c r="AC36" s="550">
        <f>(5505-AC35-AC38)*(AC20/(AC20+AC21))</f>
        <v>543.73413461538473</v>
      </c>
      <c r="AD36">
        <f>(1329+788-AD35-AD38)*(AD20/(AD20+AD21))</f>
        <v>241.22127288578898</v>
      </c>
      <c r="AE36" s="539">
        <f>AF36-AD36</f>
        <v>315.77955513968868</v>
      </c>
      <c r="AF36" s="550">
        <f>(3269-AF35-AF38)*(AF20/(AF20+AF21))</f>
        <v>557.00082802547763</v>
      </c>
      <c r="AG36">
        <f>(1446-108-AG35-AG38)*(AG20/(AG20+AG21))</f>
        <v>387.25137655238939</v>
      </c>
      <c r="AH36" s="539">
        <f>AI36-AG36</f>
        <v>496.71399800171287</v>
      </c>
      <c r="AI36" s="550">
        <f>(2990-AI35-AI38)*(AI20/(AI20+AI21))</f>
        <v>883.96537455410225</v>
      </c>
      <c r="AJ36">
        <f>(1679+433-AJ35-AJ38)*(AJ20/(AJ20+AJ21))</f>
        <v>624.19505827505839</v>
      </c>
      <c r="AK36" s="595">
        <f>AL36-AJ36</f>
        <v>350.29336277757318</v>
      </c>
      <c r="AL36" s="619">
        <f>(4496-AL35-AL38)*(AL20/(AL20+AL21))</f>
        <v>974.48842105263157</v>
      </c>
      <c r="AM36" s="25">
        <f>(2202+727-AM35-AM38)*(AM20/(AM20+AM21))</f>
        <v>662.14223902541471</v>
      </c>
      <c r="AN36" s="595">
        <f>AO36-AM36</f>
        <v>407.2809108797087</v>
      </c>
      <c r="AO36" s="619">
        <f>(4645+1331-AO35-AO38)*(AO20/(AO20+AO21))</f>
        <v>1069.4231499051234</v>
      </c>
      <c r="AP36" s="25">
        <f>(2790+715-AP35-AP38)*(AP20/(AP20+AP21))</f>
        <v>806.9770672326232</v>
      </c>
      <c r="AQ36" s="595">
        <f>AR36-AP36</f>
        <v>487.46478669996134</v>
      </c>
      <c r="AR36" s="619">
        <f>(5935+910-AR35-AR38)*(AR20/(AR20+AR21))</f>
        <v>1294.4418539325845</v>
      </c>
      <c r="AS36" s="25">
        <f>(3308+441-AS35-AS38)*(AS20/(AS20+AS21))</f>
        <v>675.66116847491253</v>
      </c>
      <c r="AT36" s="595">
        <f>AU36-AS36</f>
        <v>566.01895200701529</v>
      </c>
      <c r="AU36" s="619">
        <f>(7165+501-AU35-AU38)*(AU20/(AU20+AU21))</f>
        <v>1241.6801204819278</v>
      </c>
      <c r="AV36" s="25">
        <f>(4167+112-AV35-AV38)*(AV20/(AV20+AV21))</f>
        <v>649.69195153913063</v>
      </c>
      <c r="AW36" s="236">
        <f>AX36-AV36</f>
        <v>773.41909717747546</v>
      </c>
      <c r="AX36" s="605">
        <f>AX301*(AU36/(AU36+AU37))</f>
        <v>1423.1110487166061</v>
      </c>
      <c r="AY36" s="56">
        <f>AY20*(1+((AV36/AV20)-1))</f>
        <v>730.54250550844472</v>
      </c>
      <c r="AZ36" s="236">
        <f>BA36-AY36</f>
        <v>831.2813338875394</v>
      </c>
      <c r="BA36" s="605">
        <f>BA301*(AX36/(AX36+AX37))</f>
        <v>1561.8238393959841</v>
      </c>
      <c r="BB36" s="56">
        <f>BB20*(1+((AY36/AY20)-1))</f>
        <v>821.86031869700037</v>
      </c>
      <c r="BC36" s="236">
        <f>BD36-BB36</f>
        <v>893.49453417326981</v>
      </c>
      <c r="BD36" s="605">
        <f>BD301*(BA36/(BA36+BA37))</f>
        <v>1715.3548528702702</v>
      </c>
      <c r="BE36" s="56">
        <f>BE20*(1+((BB36/BB20)-1))</f>
        <v>904.04635056670043</v>
      </c>
      <c r="BF36" s="236">
        <f>BG36-BE36</f>
        <v>938.53474914016249</v>
      </c>
      <c r="BG36" s="605">
        <f>BG301*(BD36/(BD36+BD37))</f>
        <v>1842.5810997068629</v>
      </c>
      <c r="BH36" s="56">
        <f>BH20*(1+((BE36/BE20)-1))</f>
        <v>994.45098562337057</v>
      </c>
      <c r="BI36" s="236">
        <f>BJ36-BH36</f>
        <v>985.28124229150808</v>
      </c>
      <c r="BJ36" s="605">
        <f>BJ301*(BG36/(BG36+BG37))</f>
        <v>1979.7322279148786</v>
      </c>
      <c r="BK36" s="56"/>
      <c r="BL36" s="49"/>
    </row>
    <row r="37" spans="1:65">
      <c r="A37" s="93" t="s">
        <v>287</v>
      </c>
      <c r="S37" s="595"/>
      <c r="T37" s="619">
        <f t="shared" si="83"/>
        <v>342</v>
      </c>
      <c r="V37" s="595"/>
      <c r="W37" s="619">
        <f t="shared" si="83"/>
        <v>343</v>
      </c>
      <c r="Y37" s="595"/>
      <c r="Z37" s="619">
        <f>+Z43/Z$374</f>
        <v>358.06807038662487</v>
      </c>
      <c r="AA37">
        <f>(2448+128-AA35-AA38)*(AA21/(AA20+AA21))</f>
        <v>136.84341472438032</v>
      </c>
      <c r="AB37" s="539">
        <f>AC37-AA37</f>
        <v>267.82245066023506</v>
      </c>
      <c r="AC37" s="550">
        <f>(5505-AC35-AC38)*(AC21/(AC20+AC21))</f>
        <v>404.66586538461542</v>
      </c>
      <c r="AD37">
        <f>(1329+788-AD35-AD38)*(AD21/(AD20+AD21))</f>
        <v>146.83034001743678</v>
      </c>
      <c r="AE37" s="539">
        <f>AF37-AD37</f>
        <v>83.998831957085486</v>
      </c>
      <c r="AF37" s="550">
        <f>(3269-AF35-AF38)*(AF21/(AF20+AF21))</f>
        <v>230.82917197452227</v>
      </c>
      <c r="AG37">
        <f>(1446-108-AG35-AG38)*(AG21/(AG20+AG21))</f>
        <v>82.701141433222148</v>
      </c>
      <c r="AH37" s="539">
        <f>AI37-AG37</f>
        <v>170.0534840126756</v>
      </c>
      <c r="AI37" s="550">
        <f>(2990-AI35-AI38)*(AI21/(AI20+AI21))</f>
        <v>252.75462544589774</v>
      </c>
      <c r="AJ37">
        <f>(1679+433-AJ35-AJ38)*(AJ21/(AJ20+AJ21))</f>
        <v>189.72494172494174</v>
      </c>
      <c r="AK37" s="595">
        <f>AL37-AJ37</f>
        <v>119.78663722242669</v>
      </c>
      <c r="AL37" s="619">
        <f>(4496-AL35-AL38)*(AL21/(AL20+AL21))</f>
        <v>309.51157894736843</v>
      </c>
      <c r="AM37" s="25">
        <f>(2202+727-AM35-AM38)*(AM21/(AM20+AM21))</f>
        <v>198.47998319680735</v>
      </c>
      <c r="AN37" s="595">
        <f>AO37-AM37</f>
        <v>158.89686689806936</v>
      </c>
      <c r="AO37" s="619">
        <f>(4645+1331-AO35-AO38)*(AO21/(AO20+AO21))</f>
        <v>357.37685009487672</v>
      </c>
      <c r="AP37" s="25">
        <f>(2790+715-AP35-AP38)*(AP21/(AP20+AP21))</f>
        <v>171.35447707117407</v>
      </c>
      <c r="AQ37" s="595">
        <f>AR37-AP37</f>
        <v>95.553668996241754</v>
      </c>
      <c r="AR37" s="619">
        <f>(5935+910-AR35-AR38)*(AR21/(AR20+AR21))</f>
        <v>266.90814606741583</v>
      </c>
      <c r="AS37" s="25">
        <f>(3308+441-AS35-AS38)*(AS21/(AS20+AS21))</f>
        <v>125.0770221133232</v>
      </c>
      <c r="AT37" s="595">
        <f>AU37-AS37</f>
        <v>138.49285740474909</v>
      </c>
      <c r="AU37" s="619">
        <f>(7165+501-AU35-AU38)*(AU21/(AU20+AU21))</f>
        <v>263.5698795180723</v>
      </c>
      <c r="AV37" s="25">
        <f>(4167+112-AV35-AV38)*(AV21/(AV20+AV21))</f>
        <v>138.07291886086961</v>
      </c>
      <c r="AW37" s="236">
        <f>AX37-AV37</f>
        <v>164.00907590078549</v>
      </c>
      <c r="AX37" s="605">
        <f>AX301-AX36</f>
        <v>302.0819947616551</v>
      </c>
      <c r="AY37" s="56">
        <f>AY21*(1+((AV37/AV21)-1))</f>
        <v>141.14120594666659</v>
      </c>
      <c r="AZ37" s="236">
        <f>BA37-AY37</f>
        <v>190.38517865734931</v>
      </c>
      <c r="BA37" s="605">
        <f>BA301-BA36</f>
        <v>331.5263846040159</v>
      </c>
      <c r="BB37" s="56">
        <f>BB21*(1+((AY37/AY21)-1))</f>
        <v>144.34896062727265</v>
      </c>
      <c r="BC37" s="236">
        <f>BD37-BB37</f>
        <v>219.76725935882129</v>
      </c>
      <c r="BD37" s="605">
        <f>BD301-BD36</f>
        <v>364.11621998609394</v>
      </c>
      <c r="BE37" s="56">
        <f>BE21*(1+((BB37/BB21)-1))</f>
        <v>144.34896062727276</v>
      </c>
      <c r="BF37" s="236">
        <f>BG37-BE37</f>
        <v>246.77341496775725</v>
      </c>
      <c r="BG37" s="605">
        <f>BG301-BG36</f>
        <v>391.12237559503001</v>
      </c>
      <c r="BH37" s="56">
        <f>BH21*(1+((BE37/BE21)-1))</f>
        <v>144.34896062727276</v>
      </c>
      <c r="BI37" s="236">
        <f>BJ37-BH37</f>
        <v>275.88631267890366</v>
      </c>
      <c r="BJ37" s="605">
        <f>BJ301-BJ36</f>
        <v>420.2352733061764</v>
      </c>
      <c r="BK37" s="56"/>
      <c r="BL37" s="49"/>
    </row>
    <row r="38" spans="1:65">
      <c r="A38" s="93" t="s">
        <v>268</v>
      </c>
      <c r="S38" s="595"/>
      <c r="T38" s="619">
        <f t="shared" si="83"/>
        <v>627</v>
      </c>
      <c r="V38" s="595"/>
      <c r="W38" s="619">
        <f t="shared" si="83"/>
        <v>709</v>
      </c>
      <c r="Y38" s="595"/>
      <c r="Z38" s="619">
        <f>+Z44/Z$374</f>
        <v>704.11724675324683</v>
      </c>
      <c r="AA38" s="25">
        <f>+AA44/AA$374</f>
        <v>429</v>
      </c>
      <c r="AB38" s="595">
        <f>AC38-AA38</f>
        <v>395</v>
      </c>
      <c r="AC38" s="619">
        <f>+AC44/AC$374</f>
        <v>824</v>
      </c>
      <c r="AD38" s="25">
        <f>+AD44/AD$374</f>
        <v>347</v>
      </c>
      <c r="AE38" s="595">
        <f>AF38-AD38</f>
        <v>207</v>
      </c>
      <c r="AF38" s="619">
        <f>+AF44/AF$374</f>
        <v>554</v>
      </c>
      <c r="AG38" s="25">
        <f>+AG44/AG$374</f>
        <v>52.000000000000007</v>
      </c>
      <c r="AH38" s="595">
        <f>AI38-AG38</f>
        <v>73</v>
      </c>
      <c r="AI38" s="619">
        <f>+AI44/AI$374</f>
        <v>125</v>
      </c>
      <c r="AJ38" s="25">
        <f>+AJ44/AJ$374</f>
        <v>115</v>
      </c>
      <c r="AK38" s="595">
        <f>AL38-AJ38</f>
        <v>147</v>
      </c>
      <c r="AL38" s="619">
        <f>+AL44/AL$374</f>
        <v>262</v>
      </c>
      <c r="AM38" s="25">
        <f>+AM44/AM$374</f>
        <v>126</v>
      </c>
      <c r="AN38" s="595">
        <f>AO38-AM38</f>
        <v>166</v>
      </c>
      <c r="AO38" s="619">
        <f>+AO44/AO$374</f>
        <v>292</v>
      </c>
      <c r="AP38" s="25">
        <f>+AP44/AP$374</f>
        <v>164</v>
      </c>
      <c r="AQ38" s="595">
        <f>AR38-AP38</f>
        <v>185</v>
      </c>
      <c r="AR38" s="619">
        <f>+AR44/AR$374</f>
        <v>349</v>
      </c>
      <c r="AS38" s="25">
        <f>+AS44/AS$374</f>
        <v>158</v>
      </c>
      <c r="AT38" s="595">
        <f>AU38-AS38</f>
        <v>141</v>
      </c>
      <c r="AU38" s="556">
        <f>+AU44/AU$374</f>
        <v>299</v>
      </c>
      <c r="AV38" s="25">
        <f>+AV44/AV$374</f>
        <v>151</v>
      </c>
      <c r="AW38" s="236">
        <f>AX38-AV38</f>
        <v>138.85507246376812</v>
      </c>
      <c r="AX38" s="605">
        <f>+AX44/AX$374</f>
        <v>289.85507246376812</v>
      </c>
      <c r="AY38" s="56">
        <f>+AY44/AY$374</f>
        <v>138.88888888888889</v>
      </c>
      <c r="AZ38" s="236">
        <f>BA38-AY38</f>
        <v>138.88888888888889</v>
      </c>
      <c r="BA38" s="605">
        <f>+BA44/BA$374</f>
        <v>277.77777777777777</v>
      </c>
      <c r="BB38" s="56">
        <f>+BB44/BB$374</f>
        <v>47.348484848484844</v>
      </c>
      <c r="BC38" s="236">
        <f>BD38-BB38</f>
        <v>47.348484848484844</v>
      </c>
      <c r="BD38" s="605">
        <f>+BD44/BD$374</f>
        <v>94.696969696969688</v>
      </c>
      <c r="BE38" s="56">
        <f>+BE44/BE$374</f>
        <v>47.348484848484844</v>
      </c>
      <c r="BF38" s="236">
        <f>BG38-BE38</f>
        <v>47.348484848484844</v>
      </c>
      <c r="BG38" s="605">
        <f>+BG44/BG$374</f>
        <v>94.696969696969688</v>
      </c>
      <c r="BH38" s="56">
        <f>+BH44/BH$374</f>
        <v>47.348484848484844</v>
      </c>
      <c r="BI38" s="236">
        <f>BJ38-BH38</f>
        <v>47.348484848484844</v>
      </c>
      <c r="BJ38" s="605">
        <f>+BJ44/BJ$374</f>
        <v>94.696969696969688</v>
      </c>
      <c r="BK38" s="56"/>
      <c r="BL38" s="49"/>
    </row>
    <row r="39" spans="1:65" ht="10.8" thickBot="1">
      <c r="A39" s="37" t="s">
        <v>554</v>
      </c>
      <c r="B39" s="94"/>
      <c r="C39" s="94"/>
      <c r="D39" s="37"/>
      <c r="E39" s="37"/>
      <c r="F39" s="37"/>
      <c r="G39" s="37"/>
      <c r="H39" s="37"/>
      <c r="I39" s="37"/>
      <c r="J39" s="37"/>
      <c r="K39" s="37"/>
      <c r="L39" s="37"/>
      <c r="M39" s="37"/>
      <c r="N39" s="37"/>
      <c r="O39" s="37"/>
      <c r="P39" s="37"/>
      <c r="Q39" s="37"/>
      <c r="R39" s="37"/>
      <c r="S39" s="857"/>
      <c r="T39" s="882">
        <f t="shared" ref="T39:AM39" si="84">+SUM(T35:T38)</f>
        <v>3436</v>
      </c>
      <c r="U39" s="37"/>
      <c r="V39" s="857"/>
      <c r="W39" s="882">
        <f t="shared" si="84"/>
        <v>3906</v>
      </c>
      <c r="X39" s="37"/>
      <c r="Y39" s="857"/>
      <c r="Z39" s="882">
        <f t="shared" si="84"/>
        <v>4278.336550649351</v>
      </c>
      <c r="AA39" s="37">
        <f t="shared" ref="AA39:AB39" si="85">+SUM(AA35:AA38)</f>
        <v>2576</v>
      </c>
      <c r="AB39" s="857">
        <f t="shared" si="85"/>
        <v>2929</v>
      </c>
      <c r="AC39" s="882">
        <f t="shared" si="84"/>
        <v>5505</v>
      </c>
      <c r="AD39" s="37">
        <f t="shared" ref="AD39:AE39" si="86">+SUM(AD35:AD38)</f>
        <v>2117</v>
      </c>
      <c r="AE39" s="857">
        <f t="shared" si="86"/>
        <v>1152</v>
      </c>
      <c r="AF39" s="882">
        <f t="shared" si="84"/>
        <v>3269</v>
      </c>
      <c r="AG39" s="37">
        <f t="shared" si="84"/>
        <v>1338</v>
      </c>
      <c r="AH39" s="857">
        <f t="shared" si="84"/>
        <v>1652</v>
      </c>
      <c r="AI39" s="882">
        <f t="shared" si="84"/>
        <v>2990</v>
      </c>
      <c r="AJ39" s="37">
        <f t="shared" ref="AJ39:AK39" si="87">+SUM(AJ35:AJ38)</f>
        <v>2112</v>
      </c>
      <c r="AK39" s="857">
        <f t="shared" si="87"/>
        <v>2383.9999999999995</v>
      </c>
      <c r="AL39" s="882">
        <f t="shared" si="84"/>
        <v>4496</v>
      </c>
      <c r="AM39" s="37">
        <f t="shared" si="84"/>
        <v>2929</v>
      </c>
      <c r="AN39" s="857">
        <f t="shared" ref="AN39" si="88">+SUM(AN35:AN38)</f>
        <v>3047</v>
      </c>
      <c r="AO39" s="882">
        <f t="shared" ref="AO39" si="89">+SUM(AO35:AO38)</f>
        <v>5975.9999999999991</v>
      </c>
      <c r="AP39" s="37">
        <f t="shared" ref="AP39:AR39" si="90">+SUM(AP35:AP38)</f>
        <v>3505</v>
      </c>
      <c r="AQ39" s="857">
        <f t="shared" si="90"/>
        <v>3340.0000000000005</v>
      </c>
      <c r="AR39" s="882">
        <f t="shared" si="90"/>
        <v>6845</v>
      </c>
      <c r="AS39" s="37">
        <f t="shared" ref="AS39:AT39" si="91">+SUM(AS35:AS38)</f>
        <v>3748.9999999999995</v>
      </c>
      <c r="AT39" s="857">
        <f t="shared" si="91"/>
        <v>3917</v>
      </c>
      <c r="AU39" s="557">
        <f t="shared" ref="AU39:BJ39" si="92">+SUM(AU35:AU38)</f>
        <v>7666</v>
      </c>
      <c r="AV39" s="37">
        <f t="shared" si="92"/>
        <v>4279</v>
      </c>
      <c r="AW39" s="244">
        <f>+SUM(AW35:AW38)</f>
        <v>4925.2121068072411</v>
      </c>
      <c r="AX39" s="581">
        <f t="shared" si="92"/>
        <v>9204.2121068072411</v>
      </c>
      <c r="AY39" s="181">
        <f t="shared" ref="AY39" si="93">+SUM(AY35:AY38)</f>
        <v>5085.0383349697022</v>
      </c>
      <c r="AZ39" s="244">
        <f>+SUM(AZ35:AZ38)</f>
        <v>5302.6738922434797</v>
      </c>
      <c r="BA39" s="581">
        <f t="shared" si="92"/>
        <v>10387.712227213182</v>
      </c>
      <c r="BB39" s="181">
        <f t="shared" ref="BB39" si="94">+SUM(BB35:BB38)</f>
        <v>5523.1912682167904</v>
      </c>
      <c r="BC39" s="244">
        <f>+SUM(BC35:BC38)</f>
        <v>5750.0740347217288</v>
      </c>
      <c r="BD39" s="581">
        <f t="shared" si="92"/>
        <v>11273.265302938518</v>
      </c>
      <c r="BE39" s="181">
        <f t="shared" ref="BE39" si="95">+SUM(BE35:BE38)</f>
        <v>6080.623092274378</v>
      </c>
      <c r="BF39" s="244">
        <f>+SUM(BF35:BF38)</f>
        <v>6307.7441302840707</v>
      </c>
      <c r="BG39" s="581">
        <f t="shared" si="92"/>
        <v>12388.367222558451</v>
      </c>
      <c r="BH39" s="181">
        <f t="shared" ref="BH39" si="96">+SUM(BH35:BH38)</f>
        <v>6753.3501393875713</v>
      </c>
      <c r="BI39" s="244">
        <f>+SUM(BI35:BI38)</f>
        <v>6977.6529972655326</v>
      </c>
      <c r="BJ39" s="581">
        <f t="shared" si="92"/>
        <v>13731.003136653104</v>
      </c>
      <c r="BK39" s="264">
        <f>+(AU39/AL39)^(1/3)-1</f>
        <v>0.19466875137506001</v>
      </c>
      <c r="BL39" s="433">
        <f>+(BA39/AL39)^(1/5)-1</f>
        <v>0.18233003292157512</v>
      </c>
    </row>
    <row r="40" spans="1:65">
      <c r="A40" s="31"/>
      <c r="D40" s="31"/>
      <c r="E40" s="31"/>
      <c r="F40" s="31"/>
      <c r="G40" s="31"/>
      <c r="H40" s="31"/>
      <c r="I40" s="31"/>
      <c r="J40" s="31"/>
      <c r="K40" s="31"/>
      <c r="L40" s="31"/>
      <c r="M40" s="31"/>
      <c r="N40" s="31"/>
      <c r="O40" s="31"/>
      <c r="P40" s="31"/>
      <c r="Q40" s="31"/>
      <c r="R40" s="31"/>
      <c r="S40" s="793"/>
      <c r="T40" s="824"/>
      <c r="U40" s="31"/>
      <c r="V40" s="793"/>
      <c r="W40" s="824"/>
      <c r="X40" s="31"/>
      <c r="Y40" s="793"/>
      <c r="Z40" s="824"/>
      <c r="AA40" s="31"/>
      <c r="AB40" s="793"/>
      <c r="AC40" s="824"/>
      <c r="AD40" s="31"/>
      <c r="AE40" s="793"/>
      <c r="AF40" s="824"/>
      <c r="AG40" s="31"/>
      <c r="AH40" s="793"/>
      <c r="AI40" s="824"/>
      <c r="AJ40" s="31"/>
      <c r="AK40" s="793"/>
      <c r="AL40" s="824"/>
      <c r="AM40" s="31"/>
      <c r="AN40" s="793"/>
      <c r="AO40" s="824"/>
      <c r="AP40" s="2"/>
      <c r="AQ40" s="793"/>
      <c r="AR40" s="578"/>
      <c r="AS40" s="2"/>
      <c r="AT40" s="793"/>
      <c r="AU40" s="578"/>
      <c r="AV40" s="2"/>
      <c r="AW40" s="793"/>
      <c r="AX40" s="578"/>
      <c r="AY40" s="2"/>
      <c r="AZ40" s="793"/>
      <c r="BA40" s="578"/>
      <c r="BB40" s="2"/>
      <c r="BC40" s="793"/>
      <c r="BD40" s="578"/>
      <c r="BE40" s="2"/>
      <c r="BF40" s="793"/>
      <c r="BG40" s="578"/>
      <c r="BH40" s="2"/>
      <c r="BI40" s="793"/>
      <c r="BJ40" s="578"/>
      <c r="BK40" s="56"/>
      <c r="BL40" s="49"/>
    </row>
    <row r="41" spans="1:65">
      <c r="A41" s="93" t="s">
        <v>514</v>
      </c>
      <c r="S41" s="595"/>
      <c r="T41" s="619">
        <f>+T116+(T110*T375)</f>
        <v>3090.6749999999997</v>
      </c>
      <c r="V41" s="595"/>
      <c r="W41" s="619">
        <f>+W116+(W110*W375)</f>
        <v>3517.64</v>
      </c>
      <c r="Y41" s="595"/>
      <c r="Z41" s="619">
        <f>+Z116+(Z110*Z375)</f>
        <v>4051.8274999999999</v>
      </c>
      <c r="AA41" s="25">
        <f>+AA116+(AA110*AA374)</f>
        <v>2740.29</v>
      </c>
      <c r="AB41" s="595">
        <f>AC41-AA41</f>
        <v>2970.5879999999997</v>
      </c>
      <c r="AC41" s="619">
        <f>+AC116+(AC110*AC374)</f>
        <v>5710.8779999999997</v>
      </c>
      <c r="AD41" s="25">
        <f>+AD116+(AD110*AD374)</f>
        <v>1713.616</v>
      </c>
      <c r="AE41" s="595">
        <f>AF41-AD41</f>
        <v>1215.6824000000001</v>
      </c>
      <c r="AF41" s="619">
        <f>+AF116+(AF110*AF374)</f>
        <v>2929.2984000000001</v>
      </c>
      <c r="AG41" s="25">
        <f>+AG116+(AG110*AG374)</f>
        <v>1134.306</v>
      </c>
      <c r="AH41" s="595">
        <f>AI41-AG41</f>
        <v>1475.3968</v>
      </c>
      <c r="AI41" s="619">
        <f>+AI116+(AI110*AI374)</f>
        <v>2609.7028</v>
      </c>
      <c r="AJ41" s="25">
        <f>+AJ116+(AJ110*AJ374)</f>
        <v>1774.62</v>
      </c>
      <c r="AK41" s="595">
        <f>AL41-AJ41</f>
        <v>2650.38</v>
      </c>
      <c r="AL41" s="619">
        <f>+AL116+(AL110*AL374)</f>
        <v>4425</v>
      </c>
      <c r="AM41" s="25">
        <f>+AM116+(AM110*AM374)</f>
        <v>2913.5666666666666</v>
      </c>
      <c r="AN41" s="595">
        <f>AO41-AM41</f>
        <v>3472.2333333333336</v>
      </c>
      <c r="AO41" s="619">
        <f>+AO116+(AO110*AO374)</f>
        <v>6385.8</v>
      </c>
      <c r="AP41" s="25">
        <f>+AP116+(AP110*AP374)</f>
        <v>3496.7493144303799</v>
      </c>
      <c r="AQ41" s="595">
        <f>AR41-AP41</f>
        <v>3806.5326855696203</v>
      </c>
      <c r="AR41" s="619">
        <f>+AR116+(AR110*AR374)</f>
        <v>7303.2820000000002</v>
      </c>
      <c r="AS41" s="25">
        <f>+AS116+(AS110*AS374)</f>
        <v>4017.9770055529402</v>
      </c>
      <c r="AT41" s="216">
        <f>AU41-AS41</f>
        <v>4422.9429944470594</v>
      </c>
      <c r="AU41" s="556">
        <f>+AU116+(AU110*AU374)</f>
        <v>8440.92</v>
      </c>
      <c r="AV41" s="25">
        <f>+AV116+(AV110*AV374)</f>
        <v>4609.5244788479995</v>
      </c>
      <c r="AW41" s="236">
        <f>AX41-AV41</f>
        <v>5311.5218285459941</v>
      </c>
      <c r="AX41" s="605">
        <f>+AX116+(AX110*AX374)</f>
        <v>9921.0463073939936</v>
      </c>
      <c r="AY41" s="56">
        <f>+AY116+(AY110*AY374)</f>
        <v>5500.528741744698</v>
      </c>
      <c r="AZ41" s="236">
        <f>BA41-AY41</f>
        <v>5591.8599625930983</v>
      </c>
      <c r="BA41" s="605">
        <f>+BA116+(BA110*BA374)</f>
        <v>11092.388704337796</v>
      </c>
      <c r="BB41" s="56">
        <f>+BB116+(BB110*BB374)</f>
        <v>5952.716225338123</v>
      </c>
      <c r="BC41" s="236">
        <f>BD41-BB41</f>
        <v>6058.0921583703221</v>
      </c>
      <c r="BD41" s="605">
        <f>+BD116+(BD110*BD374)</f>
        <v>12010.808383708445</v>
      </c>
      <c r="BE41" s="56">
        <f>+BE116+(BE110*BE374)</f>
        <v>6580.040671026135</v>
      </c>
      <c r="BF41" s="236">
        <f>BG41-BE41</f>
        <v>6699.1154753525198</v>
      </c>
      <c r="BG41" s="605">
        <f>+BG116+(BG110*BG374)</f>
        <v>13279.156146378655</v>
      </c>
      <c r="BH41" s="56">
        <f>+BH116+(BH110*BH374)</f>
        <v>7348.7062549407447</v>
      </c>
      <c r="BI41" s="236">
        <f>BJ41-BH41</f>
        <v>7483.2607838295598</v>
      </c>
      <c r="BJ41" s="605">
        <f>+BJ116+(BJ110*BJ374)</f>
        <v>14831.967038770304</v>
      </c>
      <c r="BK41" s="264">
        <f>+(AU41/AL41)^(1/3)-1</f>
        <v>0.24020126423811927</v>
      </c>
      <c r="BL41" s="433">
        <f>+(BA41/AL41)^(1/5)-1</f>
        <v>0.20177277419198902</v>
      </c>
    </row>
    <row r="42" spans="1:65">
      <c r="A42" s="93" t="s">
        <v>515</v>
      </c>
      <c r="S42" s="595"/>
      <c r="T42" s="619">
        <f>+T36*T$375</f>
        <v>678</v>
      </c>
      <c r="V42" s="595"/>
      <c r="W42" s="619">
        <f>+W36*W$375</f>
        <v>745.38880000000006</v>
      </c>
      <c r="Y42" s="595"/>
      <c r="Z42" s="619">
        <f>+W42*Z326/W326</f>
        <v>847.23289960459783</v>
      </c>
      <c r="AA42">
        <f>AA36*AA374</f>
        <v>335.24957547169817</v>
      </c>
      <c r="AB42" s="595">
        <f>AC42-AA42</f>
        <v>496.66365048984045</v>
      </c>
      <c r="AC42" s="550">
        <f>AC36*AC374</f>
        <v>831.91322596153861</v>
      </c>
      <c r="AD42">
        <f>AD36*AD374</f>
        <v>299.11437837837832</v>
      </c>
      <c r="AE42" s="595">
        <f>AF42-AD42</f>
        <v>547.52688022034772</v>
      </c>
      <c r="AF42" s="550">
        <f>AF36*AF374</f>
        <v>846.64125859872604</v>
      </c>
      <c r="AG42">
        <f>AG36*AG374</f>
        <v>538.27941340782127</v>
      </c>
      <c r="AH42" s="595">
        <f>AI42-AG42</f>
        <v>796.50830216887312</v>
      </c>
      <c r="AI42" s="550">
        <f>AI36*AI374</f>
        <v>1334.7877155766944</v>
      </c>
      <c r="AJ42">
        <f>AJ36*AJ374</f>
        <v>936.29258741258764</v>
      </c>
      <c r="AK42" s="595">
        <f>AL42-AJ42</f>
        <v>525.44004416635971</v>
      </c>
      <c r="AL42" s="550">
        <f>AL36*AL374</f>
        <v>1461.7326315789473</v>
      </c>
      <c r="AM42">
        <f>AM36*AM374</f>
        <v>993.21335853812207</v>
      </c>
      <c r="AN42" s="595">
        <f>AO42-AM42</f>
        <v>610.92136631956305</v>
      </c>
      <c r="AO42" s="550">
        <f>AO36*AO374</f>
        <v>1604.1347248576851</v>
      </c>
      <c r="AP42">
        <f>AP36*AP374</f>
        <v>1194.3260595042823</v>
      </c>
      <c r="AQ42" s="595">
        <f>AR42-AP42</f>
        <v>721.4478843159427</v>
      </c>
      <c r="AR42" s="550">
        <f>AR36*AR374</f>
        <v>1915.773943820225</v>
      </c>
      <c r="AS42">
        <f>AS36*AS374</f>
        <v>972.95208260387403</v>
      </c>
      <c r="AT42" s="216">
        <f t="shared" ref="AT42:AT43" si="97">AU42-AS42</f>
        <v>815.06729089010196</v>
      </c>
      <c r="AU42" s="556">
        <f>AU36*AU374</f>
        <v>1788.019373493976</v>
      </c>
      <c r="AV42">
        <f>AV36*AV374</f>
        <v>896.57489312400014</v>
      </c>
      <c r="AW42" s="236">
        <f t="shared" ref="AW42:AW43" si="98">AX42-AV42</f>
        <v>1067.3183541049161</v>
      </c>
      <c r="AX42" s="605">
        <f>AX36*AX374</f>
        <v>1963.8932472289162</v>
      </c>
      <c r="AY42" s="56">
        <f>AY36*AY374</f>
        <v>986.23238243640048</v>
      </c>
      <c r="AZ42" s="236">
        <f t="shared" ref="AZ42:AZ43" si="99">BA42-AY42</f>
        <v>1122.2298007481784</v>
      </c>
      <c r="BA42" s="605">
        <f>BA36*BA374</f>
        <v>2108.4621831845789</v>
      </c>
      <c r="BB42" s="56">
        <f>BB36*BB374</f>
        <v>1084.8556206800406</v>
      </c>
      <c r="BC42" s="236">
        <f t="shared" ref="BC42:BC43" si="100">BD42-BB42</f>
        <v>1179.4127851087162</v>
      </c>
      <c r="BD42" s="605">
        <f>BD36*BD374</f>
        <v>2264.2684057887568</v>
      </c>
      <c r="BE42" s="56">
        <f>BE36*BE374</f>
        <v>1193.3411827480447</v>
      </c>
      <c r="BF42" s="236">
        <f t="shared" ref="BF42:BF43" si="101">BG42-BE42</f>
        <v>1238.8658688650146</v>
      </c>
      <c r="BG42" s="605">
        <f>BG36*BG374</f>
        <v>2432.2070516130593</v>
      </c>
      <c r="BH42" s="56">
        <f>BH36*BH374</f>
        <v>1312.6753010228492</v>
      </c>
      <c r="BI42" s="236">
        <f t="shared" ref="BI42:BI43" si="102">BJ42-BH42</f>
        <v>1300.5712398247908</v>
      </c>
      <c r="BJ42" s="605">
        <f>BJ36*BJ374</f>
        <v>2613.2465408476401</v>
      </c>
      <c r="BK42" s="56"/>
      <c r="BL42" s="49"/>
    </row>
    <row r="43" spans="1:65">
      <c r="A43" s="93" t="s">
        <v>287</v>
      </c>
      <c r="S43" s="595"/>
      <c r="T43" s="619">
        <f>+T37*T$375</f>
        <v>513</v>
      </c>
      <c r="V43" s="595"/>
      <c r="W43" s="619">
        <f>+W37*W$375</f>
        <v>485.13920000000002</v>
      </c>
      <c r="Y43" s="595"/>
      <c r="Z43" s="619">
        <f>+W43*Z326/W326</f>
        <v>551.4248283954023</v>
      </c>
      <c r="AA43">
        <f>AA37*AA374</f>
        <v>209.3704245283019</v>
      </c>
      <c r="AB43" s="595">
        <f>AC43-AA43</f>
        <v>409.76834951015974</v>
      </c>
      <c r="AC43" s="550">
        <f>AC37*AC374</f>
        <v>619.13877403846163</v>
      </c>
      <c r="AD43">
        <f>AD37*AD374</f>
        <v>182.06962162162162</v>
      </c>
      <c r="AE43" s="595">
        <f>AF43-AD43</f>
        <v>168.79071977965222</v>
      </c>
      <c r="AF43" s="550">
        <f>AF37*AF374</f>
        <v>350.86034140127384</v>
      </c>
      <c r="AG43">
        <f>AG37*AG374</f>
        <v>114.95458659217877</v>
      </c>
      <c r="AH43" s="595">
        <f>AI43-AG43</f>
        <v>266.7048978311268</v>
      </c>
      <c r="AI43" s="550">
        <f>AI37*AI374</f>
        <v>381.65948442330557</v>
      </c>
      <c r="AJ43">
        <f>AJ37*AJ374</f>
        <v>284.58741258741259</v>
      </c>
      <c r="AK43" s="595">
        <f>AL43-AJ43</f>
        <v>179.67995583364007</v>
      </c>
      <c r="AL43" s="550">
        <f>AL37*AL374</f>
        <v>464.26736842105265</v>
      </c>
      <c r="AM43">
        <f>AM37*AM374</f>
        <v>297.71997479521104</v>
      </c>
      <c r="AN43" s="595">
        <f>AO43-AM43</f>
        <v>238.345300347104</v>
      </c>
      <c r="AO43" s="550">
        <f>AO37*AO374</f>
        <v>536.06527514231504</v>
      </c>
      <c r="AP43">
        <f>AP37*AP374</f>
        <v>253.60462606533761</v>
      </c>
      <c r="AQ43" s="595">
        <f>AR43-AP43</f>
        <v>141.4194301144378</v>
      </c>
      <c r="AR43" s="550">
        <f>AR37*AR374</f>
        <v>395.02405617977541</v>
      </c>
      <c r="AS43">
        <f>AS37*AS374</f>
        <v>180.11091184318539</v>
      </c>
      <c r="AT43" s="216">
        <f t="shared" si="97"/>
        <v>199.42971466283868</v>
      </c>
      <c r="AU43" s="556">
        <f>AU37*AU374</f>
        <v>379.54062650602407</v>
      </c>
      <c r="AV43">
        <f>AV37*AV374</f>
        <v>190.54062802800004</v>
      </c>
      <c r="AW43" s="236">
        <f t="shared" si="98"/>
        <v>226.33252474308395</v>
      </c>
      <c r="AX43" s="605">
        <f>AX37*AX374</f>
        <v>416.87315277108399</v>
      </c>
      <c r="AY43" s="56">
        <f>AY37*AY374</f>
        <v>190.5406280279999</v>
      </c>
      <c r="AZ43" s="236">
        <f t="shared" si="99"/>
        <v>257.01999118742162</v>
      </c>
      <c r="BA43" s="605">
        <f>BA37*BA374</f>
        <v>447.56061921542153</v>
      </c>
      <c r="BB43" s="56">
        <f>BB37*BB374</f>
        <v>190.5406280279999</v>
      </c>
      <c r="BC43" s="236">
        <f t="shared" si="100"/>
        <v>290.09278235364411</v>
      </c>
      <c r="BD43" s="605">
        <f>BD37*BD374</f>
        <v>480.63341038164401</v>
      </c>
      <c r="BE43" s="56">
        <f>BE37*BE374</f>
        <v>190.54062802800004</v>
      </c>
      <c r="BF43" s="236">
        <f t="shared" si="101"/>
        <v>325.74090775743957</v>
      </c>
      <c r="BG43" s="605">
        <f>BG37*BG374</f>
        <v>516.28153578543959</v>
      </c>
      <c r="BH43" s="56">
        <f>BH37*BH374</f>
        <v>190.54062802800004</v>
      </c>
      <c r="BI43" s="236">
        <f t="shared" si="102"/>
        <v>364.16993273615287</v>
      </c>
      <c r="BJ43" s="605">
        <f>BJ37*BJ374</f>
        <v>554.71056076415289</v>
      </c>
      <c r="BK43" s="56"/>
      <c r="BL43" s="49"/>
    </row>
    <row r="44" spans="1:65">
      <c r="A44" s="93" t="s">
        <v>268</v>
      </c>
      <c r="S44" s="595"/>
      <c r="T44" s="619">
        <f>+T38*T$375</f>
        <v>940.5</v>
      </c>
      <c r="V44" s="595"/>
      <c r="W44" s="619">
        <f>+W38*W$375</f>
        <v>1002.8096</v>
      </c>
      <c r="Y44" s="595"/>
      <c r="Z44" s="619">
        <f t="shared" ref="Z44:BJ44" si="103">+Z362</f>
        <v>1084.3405600000001</v>
      </c>
      <c r="AA44" s="25">
        <f t="shared" ref="AA44" si="104">+AA362</f>
        <v>656.37</v>
      </c>
      <c r="AB44" s="595">
        <f>AC44-AA44</f>
        <v>604.35</v>
      </c>
      <c r="AC44" s="619">
        <f>+AC362</f>
        <v>1260.72</v>
      </c>
      <c r="AD44" s="25">
        <f t="shared" ref="AD44" si="105">+AD362</f>
        <v>430.28</v>
      </c>
      <c r="AE44" s="595">
        <f>AF44-AD44</f>
        <v>411.80000000000007</v>
      </c>
      <c r="AF44" s="619">
        <f t="shared" si="103"/>
        <v>842.08</v>
      </c>
      <c r="AG44" s="25">
        <f t="shared" si="103"/>
        <v>72.28</v>
      </c>
      <c r="AH44" s="595">
        <f>AI44-AG44</f>
        <v>116.47</v>
      </c>
      <c r="AI44" s="619">
        <f>+AI362</f>
        <v>188.75</v>
      </c>
      <c r="AJ44" s="25">
        <f t="shared" ref="AJ44" si="106">+AJ362</f>
        <v>172.5</v>
      </c>
      <c r="AK44" s="595">
        <f>AL44-AJ44</f>
        <v>220.5</v>
      </c>
      <c r="AL44" s="619">
        <f t="shared" si="103"/>
        <v>393</v>
      </c>
      <c r="AM44" s="25">
        <f t="shared" ref="AM44" si="107">+AM362</f>
        <v>189</v>
      </c>
      <c r="AN44" s="595">
        <f>AO44-AM44</f>
        <v>249</v>
      </c>
      <c r="AO44" s="619">
        <f t="shared" ref="AO44:AP44" si="108">+AO362</f>
        <v>438</v>
      </c>
      <c r="AP44" s="25">
        <f t="shared" si="108"/>
        <v>242.72</v>
      </c>
      <c r="AQ44" s="595">
        <f>AR44-AP44</f>
        <v>273.79999999999995</v>
      </c>
      <c r="AR44" s="619">
        <f t="shared" ref="AR44:AS44" si="109">+AR362</f>
        <v>516.52</v>
      </c>
      <c r="AS44" s="25">
        <f t="shared" si="109"/>
        <v>227.51999999999998</v>
      </c>
      <c r="AT44" s="216">
        <f t="shared" ref="AT44" si="110">+AT362</f>
        <v>203.04</v>
      </c>
      <c r="AU44" s="556">
        <f t="shared" si="103"/>
        <v>430.56</v>
      </c>
      <c r="AV44" s="25">
        <f t="shared" si="103"/>
        <v>208.38</v>
      </c>
      <c r="AW44" s="236">
        <f t="shared" ref="AW44" si="111">+AW362</f>
        <v>191.62</v>
      </c>
      <c r="AX44" s="605">
        <f t="shared" si="103"/>
        <v>400</v>
      </c>
      <c r="AY44" s="56">
        <f t="shared" si="103"/>
        <v>187.5</v>
      </c>
      <c r="AZ44" s="236">
        <f t="shared" ref="AZ44" si="112">+AZ362</f>
        <v>187.5</v>
      </c>
      <c r="BA44" s="605">
        <f t="shared" si="103"/>
        <v>375</v>
      </c>
      <c r="BB44" s="56">
        <f t="shared" si="103"/>
        <v>62.5</v>
      </c>
      <c r="BC44" s="236">
        <f t="shared" ref="BC44" si="113">+BC362</f>
        <v>62.5</v>
      </c>
      <c r="BD44" s="605">
        <f t="shared" si="103"/>
        <v>125</v>
      </c>
      <c r="BE44" s="56">
        <f t="shared" si="103"/>
        <v>62.5</v>
      </c>
      <c r="BF44" s="236">
        <f t="shared" ref="BF44" si="114">+BF362</f>
        <v>62.5</v>
      </c>
      <c r="BG44" s="605">
        <f t="shared" si="103"/>
        <v>125</v>
      </c>
      <c r="BH44" s="56">
        <f t="shared" si="103"/>
        <v>62.5</v>
      </c>
      <c r="BI44" s="236">
        <f t="shared" ref="BI44" si="115">+BI362</f>
        <v>62.5</v>
      </c>
      <c r="BJ44" s="605">
        <f t="shared" si="103"/>
        <v>125</v>
      </c>
      <c r="BK44" s="56"/>
      <c r="BL44" s="49"/>
    </row>
    <row r="45" spans="1:65" ht="10.8" thickBot="1">
      <c r="A45" s="37" t="s">
        <v>555</v>
      </c>
      <c r="B45" s="94"/>
      <c r="C45" s="94"/>
      <c r="D45" s="37"/>
      <c r="E45" s="37"/>
      <c r="F45" s="37"/>
      <c r="G45" s="37"/>
      <c r="H45" s="37"/>
      <c r="I45" s="37"/>
      <c r="J45" s="37"/>
      <c r="K45" s="37"/>
      <c r="L45" s="37"/>
      <c r="M45" s="37"/>
      <c r="N45" s="37"/>
      <c r="O45" s="37"/>
      <c r="P45" s="37"/>
      <c r="Q45" s="37"/>
      <c r="R45" s="37"/>
      <c r="S45" s="857"/>
      <c r="T45" s="882">
        <f>+SUM(T41:T44)</f>
        <v>5222.1749999999993</v>
      </c>
      <c r="U45" s="37"/>
      <c r="V45" s="857"/>
      <c r="W45" s="882">
        <f>+SUM(W41:W44)</f>
        <v>5750.9776000000002</v>
      </c>
      <c r="X45" s="37"/>
      <c r="Y45" s="857"/>
      <c r="Z45" s="882">
        <f t="shared" ref="Z45:BJ45" si="116">+SUM(Z41:Z44)</f>
        <v>6534.8257880000001</v>
      </c>
      <c r="AA45" s="37">
        <f t="shared" ref="AA45:AH45" si="117">+SUM(AA41:AA44)</f>
        <v>3941.28</v>
      </c>
      <c r="AB45" s="857">
        <f t="shared" si="117"/>
        <v>4481.37</v>
      </c>
      <c r="AC45" s="882">
        <f t="shared" si="117"/>
        <v>8422.65</v>
      </c>
      <c r="AD45" s="37">
        <f t="shared" si="117"/>
        <v>2625.08</v>
      </c>
      <c r="AE45" s="857">
        <f t="shared" si="117"/>
        <v>2343.8000000000002</v>
      </c>
      <c r="AF45" s="882">
        <f t="shared" si="117"/>
        <v>4968.88</v>
      </c>
      <c r="AG45" s="37">
        <f t="shared" si="117"/>
        <v>1859.82</v>
      </c>
      <c r="AH45" s="857">
        <f t="shared" si="117"/>
        <v>2655.0799999999995</v>
      </c>
      <c r="AI45" s="882">
        <f t="shared" si="116"/>
        <v>4514.9000000000005</v>
      </c>
      <c r="AJ45" s="37">
        <f t="shared" ref="AJ45:AO45" si="118">+SUM(AJ41:AJ44)</f>
        <v>3168</v>
      </c>
      <c r="AK45" s="857">
        <f t="shared" si="118"/>
        <v>3576</v>
      </c>
      <c r="AL45" s="882">
        <f t="shared" si="118"/>
        <v>6744</v>
      </c>
      <c r="AM45" s="37">
        <f t="shared" si="118"/>
        <v>4393.5</v>
      </c>
      <c r="AN45" s="857">
        <f t="shared" si="118"/>
        <v>4570.5000000000009</v>
      </c>
      <c r="AO45" s="882">
        <f t="shared" si="118"/>
        <v>8964</v>
      </c>
      <c r="AP45" s="37">
        <f t="shared" ref="AP45:AR45" si="119">+SUM(AP41:AP44)</f>
        <v>5187.3999999999996</v>
      </c>
      <c r="AQ45" s="857">
        <f t="shared" si="119"/>
        <v>4943.2000000000016</v>
      </c>
      <c r="AR45" s="882">
        <f t="shared" si="119"/>
        <v>10130.6</v>
      </c>
      <c r="AS45" s="37">
        <f t="shared" ref="AS45" si="120">+SUM(AS41:AS44)</f>
        <v>5398.5599999999995</v>
      </c>
      <c r="AT45" s="227">
        <f t="shared" ref="AT45" si="121">+SUM(AT41:AT44)</f>
        <v>5640.48</v>
      </c>
      <c r="AU45" s="557">
        <f t="shared" si="116"/>
        <v>11039.04</v>
      </c>
      <c r="AV45" s="37">
        <f t="shared" si="116"/>
        <v>5905.02</v>
      </c>
      <c r="AW45" s="244">
        <f t="shared" ref="AW45" si="122">+SUM(AW41:AW44)</f>
        <v>6796.7927073939945</v>
      </c>
      <c r="AX45" s="581">
        <f t="shared" si="116"/>
        <v>12701.812707393994</v>
      </c>
      <c r="AY45" s="181">
        <f t="shared" si="116"/>
        <v>6864.8017522090977</v>
      </c>
      <c r="AZ45" s="244">
        <f t="shared" ref="AZ45" si="123">+SUM(AZ41:AZ44)</f>
        <v>7158.6097545286984</v>
      </c>
      <c r="BA45" s="581">
        <f t="shared" si="116"/>
        <v>14023.411506737795</v>
      </c>
      <c r="BB45" s="181">
        <f t="shared" si="116"/>
        <v>7290.6124740461637</v>
      </c>
      <c r="BC45" s="244">
        <f t="shared" ref="BC45" si="124">+SUM(BC41:BC44)</f>
        <v>7590.097725832682</v>
      </c>
      <c r="BD45" s="581">
        <f t="shared" si="116"/>
        <v>14880.710199878846</v>
      </c>
      <c r="BE45" s="181">
        <f t="shared" si="116"/>
        <v>8026.4224818021803</v>
      </c>
      <c r="BF45" s="244">
        <f t="shared" ref="BF45" si="125">+SUM(BF41:BF44)</f>
        <v>8326.2222519749739</v>
      </c>
      <c r="BG45" s="581">
        <f t="shared" si="116"/>
        <v>16352.644733777153</v>
      </c>
      <c r="BH45" s="181">
        <f t="shared" si="116"/>
        <v>8914.4221839915936</v>
      </c>
      <c r="BI45" s="244">
        <f t="shared" ref="BI45" si="126">+SUM(BI41:BI44)</f>
        <v>9210.5019563905043</v>
      </c>
      <c r="BJ45" s="581">
        <f t="shared" si="116"/>
        <v>18124.924140382096</v>
      </c>
      <c r="BK45" s="264">
        <f>+(AU45/AL45)^(1/3)-1</f>
        <v>0.1785225997865918</v>
      </c>
      <c r="BL45" s="433">
        <f>+(BA45/AL45)^(1/5)-1</f>
        <v>0.1576765155053601</v>
      </c>
    </row>
    <row r="46" spans="1:65" ht="12">
      <c r="A46" s="118"/>
      <c r="R46" s="119"/>
      <c r="S46" s="861"/>
      <c r="T46" s="886"/>
      <c r="U46" s="119"/>
      <c r="V46" s="861"/>
      <c r="W46" s="886"/>
      <c r="X46" s="119"/>
      <c r="Y46" s="861"/>
      <c r="Z46" s="886"/>
      <c r="AA46" s="119"/>
      <c r="AB46" s="861"/>
      <c r="AC46" s="886"/>
      <c r="AD46" s="119"/>
      <c r="AE46" s="861"/>
      <c r="AF46" s="886"/>
      <c r="AG46" s="119"/>
      <c r="AH46" s="861"/>
      <c r="AI46" s="886"/>
      <c r="AJ46" s="119"/>
      <c r="AK46" s="861"/>
      <c r="AL46" s="886"/>
      <c r="AM46" s="119"/>
      <c r="AN46" s="794"/>
      <c r="AO46" s="825"/>
      <c r="AP46" s="163"/>
      <c r="AQ46" s="794"/>
      <c r="AR46" s="825"/>
      <c r="AS46" s="163"/>
      <c r="AT46" s="794"/>
      <c r="AU46" s="825"/>
      <c r="AV46" s="163"/>
      <c r="AW46" s="794"/>
      <c r="AX46" s="825"/>
      <c r="AY46" s="163"/>
      <c r="AZ46" s="794"/>
      <c r="BA46" s="825"/>
      <c r="BB46" s="163"/>
      <c r="BC46" s="794"/>
      <c r="BD46" s="825"/>
      <c r="BE46" s="163"/>
      <c r="BF46" s="794"/>
      <c r="BG46" s="825"/>
      <c r="BH46" s="163"/>
      <c r="BI46" s="794"/>
      <c r="BJ46" s="825"/>
      <c r="BK46" s="56"/>
      <c r="BL46" s="434"/>
      <c r="BM46" s="106"/>
    </row>
    <row r="47" spans="1:65" ht="12">
      <c r="A47" s="456" t="s">
        <v>908</v>
      </c>
      <c r="B47" s="41"/>
      <c r="C47" s="41"/>
      <c r="D47" s="41"/>
      <c r="E47" s="41"/>
      <c r="F47" s="41"/>
      <c r="G47" s="41"/>
      <c r="H47" s="41"/>
      <c r="I47" s="41"/>
      <c r="J47" s="41"/>
      <c r="K47" s="41"/>
      <c r="L47" s="41"/>
      <c r="M47" s="41"/>
      <c r="N47" s="41"/>
      <c r="O47" s="41"/>
      <c r="P47" s="41"/>
      <c r="Q47" s="41"/>
      <c r="R47" s="457"/>
      <c r="S47" s="862"/>
      <c r="T47" s="887"/>
      <c r="U47" s="457"/>
      <c r="V47" s="862"/>
      <c r="W47" s="887"/>
      <c r="X47" s="457"/>
      <c r="Y47" s="862"/>
      <c r="Z47" s="887"/>
      <c r="AA47" s="457"/>
      <c r="AB47" s="862"/>
      <c r="AC47" s="887"/>
      <c r="AD47" s="457"/>
      <c r="AE47" s="862"/>
      <c r="AF47" s="887"/>
      <c r="AG47" s="457"/>
      <c r="AH47" s="862"/>
      <c r="AI47" s="887"/>
      <c r="AJ47" s="457"/>
      <c r="AK47" s="862"/>
      <c r="AL47" s="887"/>
      <c r="AM47" s="457"/>
      <c r="AN47" s="862"/>
      <c r="AO47" s="887"/>
      <c r="AP47" s="457"/>
      <c r="AQ47" s="862"/>
      <c r="AR47" s="887"/>
      <c r="AS47" s="457"/>
      <c r="AT47" s="862"/>
      <c r="AU47" s="887"/>
      <c r="AV47" s="457"/>
      <c r="AW47" s="795"/>
      <c r="AX47" s="826"/>
      <c r="AY47" s="458"/>
      <c r="AZ47" s="795"/>
      <c r="BA47" s="826"/>
      <c r="BB47" s="458"/>
      <c r="BC47" s="795"/>
      <c r="BD47" s="826"/>
      <c r="BE47" s="458"/>
      <c r="BF47" s="795"/>
      <c r="BG47" s="826"/>
      <c r="BH47" s="458"/>
      <c r="BI47" s="795"/>
      <c r="BJ47" s="826"/>
      <c r="BK47" s="56"/>
      <c r="BL47" s="434"/>
      <c r="BM47" s="106"/>
    </row>
    <row r="48" spans="1:65" ht="12">
      <c r="A48" s="118"/>
      <c r="R48" s="119"/>
      <c r="S48" s="861"/>
      <c r="T48" s="886"/>
      <c r="U48" s="119"/>
      <c r="V48" s="861"/>
      <c r="W48" s="886"/>
      <c r="X48" s="119"/>
      <c r="Y48" s="861"/>
      <c r="Z48" s="886"/>
      <c r="AA48" s="119"/>
      <c r="AB48" s="861"/>
      <c r="AC48" s="886"/>
      <c r="AD48" s="119"/>
      <c r="AE48" s="861"/>
      <c r="AF48" s="886"/>
      <c r="AG48" s="119"/>
      <c r="AH48" s="861"/>
      <c r="AI48" s="886"/>
      <c r="AJ48" s="51"/>
      <c r="AK48" s="861"/>
      <c r="AL48" s="886"/>
      <c r="AM48" s="119"/>
      <c r="AN48" s="794"/>
      <c r="AO48" s="825"/>
      <c r="AP48" s="163"/>
      <c r="AQ48" s="794"/>
      <c r="AR48" s="825"/>
      <c r="AS48" s="163"/>
      <c r="AT48" s="794"/>
      <c r="AU48" s="825"/>
      <c r="AV48" s="163"/>
      <c r="AW48" s="794"/>
      <c r="AX48" s="825"/>
      <c r="AY48" s="163"/>
      <c r="AZ48" s="794"/>
      <c r="BA48" s="825"/>
      <c r="BB48" s="163"/>
      <c r="BC48" s="794"/>
      <c r="BD48" s="825"/>
      <c r="BE48" s="163"/>
      <c r="BF48" s="794"/>
      <c r="BG48" s="825"/>
      <c r="BH48" s="163"/>
      <c r="BI48" s="794"/>
      <c r="BJ48" s="825"/>
      <c r="BK48" s="56"/>
      <c r="BL48" s="434"/>
      <c r="BM48" s="106"/>
    </row>
    <row r="49" spans="1:65" s="69" customFormat="1" ht="11.4">
      <c r="A49" s="455" t="s">
        <v>909</v>
      </c>
      <c r="B49" s="40"/>
      <c r="C49" s="40"/>
      <c r="D49" s="40"/>
      <c r="E49" s="40"/>
      <c r="F49" s="40"/>
      <c r="G49" s="40"/>
      <c r="H49" s="40"/>
      <c r="I49" s="40"/>
      <c r="J49" s="40"/>
      <c r="K49" s="40"/>
      <c r="L49" s="40"/>
      <c r="M49" s="40"/>
      <c r="N49" s="40"/>
      <c r="O49" s="40"/>
      <c r="P49" s="40"/>
      <c r="Q49" s="40"/>
      <c r="R49" s="51"/>
      <c r="S49" s="629"/>
      <c r="T49" s="652"/>
      <c r="U49" s="51"/>
      <c r="V49" s="629"/>
      <c r="W49" s="652"/>
      <c r="X49" s="51"/>
      <c r="Y49" s="629"/>
      <c r="Z49" s="652"/>
      <c r="AA49" s="51">
        <f>+AA117+AA307</f>
        <v>9600</v>
      </c>
      <c r="AB49" s="629">
        <f t="shared" ref="AB49:BJ49" si="127">+AB117+AB307</f>
        <v>9800</v>
      </c>
      <c r="AC49" s="652">
        <f t="shared" si="127"/>
        <v>19400</v>
      </c>
      <c r="AD49" s="51">
        <f>+AD117+AD307</f>
        <v>5700</v>
      </c>
      <c r="AE49" s="629">
        <f t="shared" si="127"/>
        <v>3800</v>
      </c>
      <c r="AF49" s="652">
        <f t="shared" si="127"/>
        <v>9500</v>
      </c>
      <c r="AG49" s="51">
        <f>+AG117+AG307</f>
        <v>4630</v>
      </c>
      <c r="AH49" s="629">
        <f t="shared" si="127"/>
        <v>5670</v>
      </c>
      <c r="AI49" s="652">
        <f t="shared" si="127"/>
        <v>10300</v>
      </c>
      <c r="AJ49" s="51">
        <f t="shared" si="127"/>
        <v>6117</v>
      </c>
      <c r="AK49" s="629">
        <f t="shared" si="127"/>
        <v>7083</v>
      </c>
      <c r="AL49" s="652">
        <f t="shared" si="127"/>
        <v>13200</v>
      </c>
      <c r="AM49" s="51">
        <f t="shared" si="127"/>
        <v>7700</v>
      </c>
      <c r="AN49" s="629">
        <f t="shared" si="127"/>
        <v>8800</v>
      </c>
      <c r="AO49" s="652">
        <f t="shared" si="127"/>
        <v>16500</v>
      </c>
      <c r="AP49" s="51">
        <f t="shared" ref="AP49:AQ49" si="128">+AP117+AP307</f>
        <v>9000</v>
      </c>
      <c r="AQ49" s="629">
        <f t="shared" si="128"/>
        <v>9800</v>
      </c>
      <c r="AR49" s="652">
        <f>+AR117+AR307</f>
        <v>18800</v>
      </c>
      <c r="AS49" s="51">
        <f t="shared" ref="AS49" si="129">+AS117+AS307</f>
        <v>9600</v>
      </c>
      <c r="AT49" s="218">
        <f t="shared" si="127"/>
        <v>10400</v>
      </c>
      <c r="AU49" s="553">
        <f>+AU117+AU307</f>
        <v>20000</v>
      </c>
      <c r="AV49" s="27">
        <f t="shared" si="127"/>
        <v>10000</v>
      </c>
      <c r="AW49" s="237">
        <f t="shared" si="127"/>
        <v>10719.055394169398</v>
      </c>
      <c r="AX49" s="576">
        <f t="shared" si="127"/>
        <v>20719.055394169398</v>
      </c>
      <c r="AY49" s="48">
        <f t="shared" si="127"/>
        <v>10968.509256376592</v>
      </c>
      <c r="AZ49" s="237">
        <f t="shared" si="127"/>
        <v>10917.509256376592</v>
      </c>
      <c r="BA49" s="576">
        <f t="shared" si="127"/>
        <v>21886.018512753184</v>
      </c>
      <c r="BB49" s="48">
        <f t="shared" si="127"/>
        <v>11565.071509531077</v>
      </c>
      <c r="BC49" s="237">
        <f t="shared" si="127"/>
        <v>11513.051509531078</v>
      </c>
      <c r="BD49" s="576">
        <f t="shared" si="127"/>
        <v>23078.123019062157</v>
      </c>
      <c r="BE49" s="48">
        <f t="shared" si="127"/>
        <v>12214.629758346968</v>
      </c>
      <c r="BF49" s="237">
        <f t="shared" si="127"/>
        <v>12161.569358346967</v>
      </c>
      <c r="BG49" s="576">
        <f t="shared" si="127"/>
        <v>24376.199116693933</v>
      </c>
      <c r="BH49" s="48">
        <f t="shared" si="127"/>
        <v>13113.566681153688</v>
      </c>
      <c r="BI49" s="237">
        <f t="shared" si="127"/>
        <v>13059.445073153689</v>
      </c>
      <c r="BJ49" s="576">
        <f t="shared" si="127"/>
        <v>26173.011754307379</v>
      </c>
      <c r="BK49" s="264">
        <f>+(AU49/AL49)^(1/3)-1</f>
        <v>0.14855559430448251</v>
      </c>
      <c r="BL49" s="433">
        <f>+(BA49/AL49)^(1/5)-1</f>
        <v>0.10641630235617638</v>
      </c>
      <c r="BM49" s="107"/>
    </row>
    <row r="50" spans="1:65" ht="11.4">
      <c r="A50" s="80" t="s">
        <v>510</v>
      </c>
      <c r="B50" s="40"/>
      <c r="C50" s="40"/>
      <c r="D50" s="40"/>
      <c r="E50" s="40"/>
      <c r="F50" s="40"/>
      <c r="G50" s="40"/>
      <c r="H50" s="40"/>
      <c r="I50" s="40"/>
      <c r="J50" s="40"/>
      <c r="K50" s="40"/>
      <c r="L50" s="40"/>
      <c r="M50" s="40"/>
      <c r="N50" s="40"/>
      <c r="O50" s="40"/>
      <c r="P50" s="40"/>
      <c r="Q50" s="40"/>
      <c r="R50" s="50"/>
      <c r="S50" s="647"/>
      <c r="T50" s="671"/>
      <c r="U50" s="50"/>
      <c r="V50" s="647"/>
      <c r="W50" s="671"/>
      <c r="X50" s="50"/>
      <c r="Y50" s="647"/>
      <c r="Z50" s="671"/>
      <c r="AA50" s="952"/>
      <c r="AB50" s="647"/>
      <c r="AC50" s="671"/>
      <c r="AD50" s="952">
        <f t="shared" ref="AD50:BI50" si="130">+AD49/AA49-1</f>
        <v>-0.40625</v>
      </c>
      <c r="AE50" s="647">
        <f t="shared" si="130"/>
        <v>-0.61224489795918369</v>
      </c>
      <c r="AF50" s="671">
        <f t="shared" si="130"/>
        <v>-0.51030927835051543</v>
      </c>
      <c r="AG50" s="952">
        <f t="shared" si="130"/>
        <v>-0.18771929824561406</v>
      </c>
      <c r="AH50" s="647">
        <f t="shared" si="130"/>
        <v>0.49210526315789482</v>
      </c>
      <c r="AI50" s="671">
        <f t="shared" si="130"/>
        <v>8.4210526315789513E-2</v>
      </c>
      <c r="AJ50" s="952">
        <f t="shared" si="130"/>
        <v>0.32116630669546442</v>
      </c>
      <c r="AK50" s="647">
        <f t="shared" si="130"/>
        <v>0.24920634920634921</v>
      </c>
      <c r="AL50" s="671">
        <f t="shared" si="130"/>
        <v>0.28155339805825252</v>
      </c>
      <c r="AM50" s="952">
        <f t="shared" si="130"/>
        <v>0.25878698708517245</v>
      </c>
      <c r="AN50" s="647">
        <f t="shared" ref="AN50" si="131">+AN49/AK49-1</f>
        <v>0.24241140759565161</v>
      </c>
      <c r="AO50" s="671">
        <f t="shared" ref="AO50" si="132">+AO49/AL49-1</f>
        <v>0.25</v>
      </c>
      <c r="AP50" s="952">
        <f t="shared" si="130"/>
        <v>0.16883116883116878</v>
      </c>
      <c r="AQ50" s="647">
        <f t="shared" ref="AQ50" si="133">+AQ49/AN49-1</f>
        <v>0.11363636363636354</v>
      </c>
      <c r="AR50" s="671">
        <f t="shared" ref="AR50" si="134">+AR49/AO49-1</f>
        <v>0.1393939393939394</v>
      </c>
      <c r="AS50" s="952">
        <f t="shared" si="130"/>
        <v>6.6666666666666652E-2</v>
      </c>
      <c r="AT50" s="217">
        <f t="shared" si="130"/>
        <v>6.1224489795918435E-2</v>
      </c>
      <c r="AU50" s="554">
        <f t="shared" si="130"/>
        <v>6.3829787234042534E-2</v>
      </c>
      <c r="AV50" s="211">
        <f t="shared" si="130"/>
        <v>4.1666666666666741E-2</v>
      </c>
      <c r="AW50" s="252">
        <f t="shared" si="130"/>
        <v>3.0678403285518963E-2</v>
      </c>
      <c r="AX50" s="577">
        <f t="shared" si="130"/>
        <v>3.5952769708469834E-2</v>
      </c>
      <c r="AY50" s="251">
        <f t="shared" si="130"/>
        <v>9.6850925637659291E-2</v>
      </c>
      <c r="AZ50" s="252">
        <f t="shared" si="130"/>
        <v>1.851411854025331E-2</v>
      </c>
      <c r="BA50" s="577">
        <f t="shared" si="130"/>
        <v>5.632318155354632E-2</v>
      </c>
      <c r="BB50" s="251">
        <f t="shared" si="130"/>
        <v>5.4388635612234282E-2</v>
      </c>
      <c r="BC50" s="252">
        <f t="shared" si="130"/>
        <v>5.4549278518508881E-2</v>
      </c>
      <c r="BD50" s="577">
        <f t="shared" si="130"/>
        <v>5.4468769895918756E-2</v>
      </c>
      <c r="BE50" s="251">
        <f t="shared" si="130"/>
        <v>5.6165519450577683E-2</v>
      </c>
      <c r="BF50" s="252">
        <f t="shared" si="130"/>
        <v>5.6328927937047135E-2</v>
      </c>
      <c r="BG50" s="577">
        <f t="shared" si="130"/>
        <v>5.6247039525683551E-2</v>
      </c>
      <c r="BH50" s="251">
        <f t="shared" si="130"/>
        <v>7.359510198763286E-2</v>
      </c>
      <c r="BI50" s="252">
        <f t="shared" si="130"/>
        <v>7.3828935094669701E-2</v>
      </c>
      <c r="BJ50" s="577">
        <f t="shared" ref="BJ50" si="135">+BJ49/BG49-1</f>
        <v>7.3711764045400585E-2</v>
      </c>
      <c r="BL50" s="107"/>
      <c r="BM50" s="107"/>
    </row>
    <row r="51" spans="1:65" ht="11.4">
      <c r="A51" s="80" t="s">
        <v>912</v>
      </c>
      <c r="B51" s="40"/>
      <c r="C51" s="40"/>
      <c r="D51" s="40"/>
      <c r="E51" s="40"/>
      <c r="F51" s="40"/>
      <c r="G51" s="40"/>
      <c r="H51" s="40"/>
      <c r="I51" s="40"/>
      <c r="J51" s="40"/>
      <c r="K51" s="40"/>
      <c r="L51" s="40"/>
      <c r="M51" s="40"/>
      <c r="N51" s="40"/>
      <c r="O51" s="40"/>
      <c r="P51" s="40"/>
      <c r="Q51" s="40"/>
      <c r="R51" s="50"/>
      <c r="S51" s="647"/>
      <c r="T51" s="671"/>
      <c r="U51" s="50"/>
      <c r="V51" s="647"/>
      <c r="W51" s="671"/>
      <c r="X51" s="50"/>
      <c r="Y51" s="647"/>
      <c r="Z51" s="671"/>
      <c r="AA51" s="952"/>
      <c r="AB51" s="647"/>
      <c r="AC51" s="671"/>
      <c r="AD51" s="952">
        <f>AD49/$AA$49</f>
        <v>0.59375</v>
      </c>
      <c r="AE51" s="647">
        <f>AE49/$AB$49</f>
        <v>0.38775510204081631</v>
      </c>
      <c r="AF51" s="671">
        <f>AF49/$AC$49</f>
        <v>0.48969072164948452</v>
      </c>
      <c r="AG51" s="952">
        <f>AG49/$AA$49</f>
        <v>0.48229166666666667</v>
      </c>
      <c r="AH51" s="647">
        <f>AH49/$AB$49</f>
        <v>0.57857142857142863</v>
      </c>
      <c r="AI51" s="671">
        <f>AI49/$AC$49</f>
        <v>0.53092783505154639</v>
      </c>
      <c r="AJ51" s="952">
        <f>AJ49/$AA$49</f>
        <v>0.63718750000000002</v>
      </c>
      <c r="AK51" s="647">
        <f>AK49/$AB$49</f>
        <v>0.72275510204081628</v>
      </c>
      <c r="AL51" s="671">
        <f t="shared" ref="AL51:BJ51" si="136">AL49/$AC$49</f>
        <v>0.68041237113402064</v>
      </c>
      <c r="AM51" s="952">
        <f>AM49/$AA$49</f>
        <v>0.80208333333333337</v>
      </c>
      <c r="AN51" s="647">
        <f>AN49/$AB$49</f>
        <v>0.89795918367346939</v>
      </c>
      <c r="AO51" s="671">
        <f t="shared" ref="AO51" si="137">AO49/$AC$49</f>
        <v>0.85051546391752575</v>
      </c>
      <c r="AP51" s="952">
        <f>AP49/$AA$49</f>
        <v>0.9375</v>
      </c>
      <c r="AQ51" s="647">
        <f>AQ49/$AB$49</f>
        <v>1</v>
      </c>
      <c r="AR51" s="671">
        <f t="shared" ref="AR51" si="138">AR49/$AC$49</f>
        <v>0.96907216494845361</v>
      </c>
      <c r="AS51" s="952">
        <f>AS49/$AA$49</f>
        <v>1</v>
      </c>
      <c r="AT51" s="647">
        <f>AT49/$AB$49</f>
        <v>1.0612244897959184</v>
      </c>
      <c r="AU51" s="671">
        <f t="shared" si="136"/>
        <v>1.0309278350515463</v>
      </c>
      <c r="AV51" s="952">
        <f>AV49/$AA$49</f>
        <v>1.0416666666666667</v>
      </c>
      <c r="AW51" s="599">
        <f>AW49/$AB$49</f>
        <v>1.0937811626703466</v>
      </c>
      <c r="AX51" s="623">
        <f t="shared" si="136"/>
        <v>1.0679925460912061</v>
      </c>
      <c r="AY51" s="435">
        <f>AY49/$AA$49</f>
        <v>1.1425530475392283</v>
      </c>
      <c r="AZ51" s="599">
        <f>AZ49/$AB$49</f>
        <v>1.1140315567731216</v>
      </c>
      <c r="BA51" s="623">
        <f t="shared" si="136"/>
        <v>1.1281452841625352</v>
      </c>
      <c r="BB51" s="435">
        <f>BB49/$AA$49</f>
        <v>1.2046949489094871</v>
      </c>
      <c r="BC51" s="599">
        <f>BC49/$AB$49</f>
        <v>1.1748011744419469</v>
      </c>
      <c r="BD51" s="623">
        <f t="shared" si="136"/>
        <v>1.1895939700547504</v>
      </c>
      <c r="BE51" s="435">
        <f>BE49/$AA$49</f>
        <v>1.2723572664944758</v>
      </c>
      <c r="BF51" s="599">
        <f>BF49/$AB$49</f>
        <v>1.2409764651374458</v>
      </c>
      <c r="BG51" s="623">
        <f t="shared" si="136"/>
        <v>1.2565051091079347</v>
      </c>
      <c r="BH51" s="435">
        <f>BH49/$AA$49</f>
        <v>1.3659965292868426</v>
      </c>
      <c r="BI51" s="599">
        <f>BI49/$AB$49</f>
        <v>1.3325964360360907</v>
      </c>
      <c r="BJ51" s="623">
        <f t="shared" si="136"/>
        <v>1.3491243172323391</v>
      </c>
      <c r="BL51" s="107"/>
      <c r="BM51" s="107"/>
    </row>
    <row r="52" spans="1:65" s="69" customFormat="1" ht="11.4">
      <c r="A52" s="459" t="s">
        <v>910</v>
      </c>
      <c r="B52" s="40"/>
      <c r="C52" s="40"/>
      <c r="D52" s="40"/>
      <c r="E52" s="40"/>
      <c r="F52" s="40"/>
      <c r="G52" s="40"/>
      <c r="H52" s="40"/>
      <c r="I52" s="40"/>
      <c r="J52" s="40"/>
      <c r="K52" s="40"/>
      <c r="L52" s="40"/>
      <c r="M52" s="40"/>
      <c r="N52" s="40"/>
      <c r="O52" s="40"/>
      <c r="P52" s="40"/>
      <c r="Q52" s="40"/>
      <c r="R52" s="51"/>
      <c r="S52" s="629"/>
      <c r="T52" s="652"/>
      <c r="U52" s="51"/>
      <c r="V52" s="629"/>
      <c r="W52" s="652"/>
      <c r="X52" s="51"/>
      <c r="Y52" s="629"/>
      <c r="Z52" s="652"/>
      <c r="AA52" s="51">
        <f t="shared" ref="AA52:AB52" si="139">AA117</f>
        <v>7500</v>
      </c>
      <c r="AB52" s="629">
        <f t="shared" si="139"/>
        <v>7800</v>
      </c>
      <c r="AC52" s="652">
        <f>AC117</f>
        <v>15300</v>
      </c>
      <c r="AD52" s="51">
        <f t="shared" ref="AD52:AE52" si="140">AD117</f>
        <v>3900</v>
      </c>
      <c r="AE52" s="629">
        <f t="shared" si="140"/>
        <v>2700</v>
      </c>
      <c r="AF52" s="652">
        <f t="shared" ref="AF52:BJ52" si="141">AF117</f>
        <v>6600</v>
      </c>
      <c r="AG52" s="51">
        <f t="shared" ref="AG52:AH52" si="142">AG117</f>
        <v>3200</v>
      </c>
      <c r="AH52" s="629">
        <f t="shared" si="142"/>
        <v>4200</v>
      </c>
      <c r="AI52" s="652">
        <f t="shared" si="141"/>
        <v>7400</v>
      </c>
      <c r="AJ52" s="51">
        <f t="shared" si="141"/>
        <v>4524</v>
      </c>
      <c r="AK52" s="629">
        <f t="shared" ref="AK52" si="143">AK117</f>
        <v>5476</v>
      </c>
      <c r="AL52" s="652">
        <f t="shared" si="141"/>
        <v>10000</v>
      </c>
      <c r="AM52" s="51">
        <f t="shared" ref="AM52:AO52" si="144">AM117</f>
        <v>6200</v>
      </c>
      <c r="AN52" s="629">
        <f t="shared" si="144"/>
        <v>7300</v>
      </c>
      <c r="AO52" s="652">
        <f t="shared" si="144"/>
        <v>13500</v>
      </c>
      <c r="AP52" s="51">
        <f t="shared" ref="AP52:AR52" si="145">AP117</f>
        <v>7600</v>
      </c>
      <c r="AQ52" s="629">
        <f t="shared" si="145"/>
        <v>8200</v>
      </c>
      <c r="AR52" s="652">
        <f t="shared" si="145"/>
        <v>15800</v>
      </c>
      <c r="AS52" s="51">
        <f t="shared" ref="AS52" si="146">AS117</f>
        <v>8100</v>
      </c>
      <c r="AT52" s="629">
        <f t="shared" ref="AT52:AW52" si="147">AT117</f>
        <v>8900</v>
      </c>
      <c r="AU52" s="652">
        <f t="shared" si="147"/>
        <v>17000</v>
      </c>
      <c r="AV52" s="51">
        <f>AV117</f>
        <v>8400</v>
      </c>
      <c r="AW52" s="600">
        <f t="shared" si="147"/>
        <v>9169.0553941693979</v>
      </c>
      <c r="AX52" s="624">
        <f t="shared" si="141"/>
        <v>17569.055394169398</v>
      </c>
      <c r="AY52" s="52">
        <f>AY117</f>
        <v>9336.509256376592</v>
      </c>
      <c r="AZ52" s="600">
        <f>AZ117</f>
        <v>9336.509256376592</v>
      </c>
      <c r="BA52" s="624">
        <f t="shared" si="141"/>
        <v>18673.018512753184</v>
      </c>
      <c r="BB52" s="52">
        <f>BB117</f>
        <v>9900.4315095310776</v>
      </c>
      <c r="BC52" s="600">
        <f>BC117</f>
        <v>9900.4315095310776</v>
      </c>
      <c r="BD52" s="624">
        <f>BD117</f>
        <v>19800.863019062155</v>
      </c>
      <c r="BE52" s="52">
        <f>BE117</f>
        <v>10516.696958346967</v>
      </c>
      <c r="BF52" s="600">
        <f>BF117</f>
        <v>10516.696958346967</v>
      </c>
      <c r="BG52" s="624">
        <f t="shared" si="141"/>
        <v>21033.393916693934</v>
      </c>
      <c r="BH52" s="52">
        <f>BH117</f>
        <v>11381.675225153689</v>
      </c>
      <c r="BI52" s="600">
        <f>BI117</f>
        <v>11381.675225153689</v>
      </c>
      <c r="BJ52" s="624">
        <f t="shared" si="141"/>
        <v>22763.350450307378</v>
      </c>
      <c r="BK52" s="264">
        <f>+(AU52/AL52)^(1/3)-1</f>
        <v>0.19348319192733698</v>
      </c>
      <c r="BL52" s="433">
        <f>+(BA52/AL52)^(1/5)-1</f>
        <v>0.13303390404380155</v>
      </c>
      <c r="BM52" s="107"/>
    </row>
    <row r="53" spans="1:65" s="69" customFormat="1" ht="11.4">
      <c r="A53" s="155" t="s">
        <v>510</v>
      </c>
      <c r="B53" s="40"/>
      <c r="C53" s="40"/>
      <c r="D53" s="40"/>
      <c r="E53" s="40"/>
      <c r="F53" s="40"/>
      <c r="G53" s="40"/>
      <c r="H53" s="40"/>
      <c r="I53" s="40"/>
      <c r="J53" s="40"/>
      <c r="K53" s="40"/>
      <c r="L53" s="40"/>
      <c r="M53" s="40"/>
      <c r="N53" s="40"/>
      <c r="O53" s="40"/>
      <c r="P53" s="40"/>
      <c r="Q53" s="40"/>
      <c r="R53" s="51"/>
      <c r="S53" s="629"/>
      <c r="T53" s="652"/>
      <c r="U53" s="51"/>
      <c r="V53" s="629"/>
      <c r="W53" s="652"/>
      <c r="X53" s="51"/>
      <c r="Y53" s="629"/>
      <c r="Z53" s="652"/>
      <c r="AA53" s="952"/>
      <c r="AB53" s="647"/>
      <c r="AC53" s="652"/>
      <c r="AD53" s="952">
        <f>+AD52/AA52-1</f>
        <v>-0.48</v>
      </c>
      <c r="AE53" s="647">
        <f>+AE52/AB52-1</f>
        <v>-0.65384615384615385</v>
      </c>
      <c r="AF53" s="671">
        <f t="shared" ref="AF53" si="148">+AF52/AC52-1</f>
        <v>-0.56862745098039214</v>
      </c>
      <c r="AG53" s="952">
        <f t="shared" ref="AG53:BJ53" si="149">+AG52/AD52-1</f>
        <v>-0.17948717948717952</v>
      </c>
      <c r="AH53" s="647">
        <f t="shared" si="149"/>
        <v>0.55555555555555558</v>
      </c>
      <c r="AI53" s="671">
        <f t="shared" si="149"/>
        <v>0.1212121212121211</v>
      </c>
      <c r="AJ53" s="952">
        <f t="shared" si="149"/>
        <v>0.41375000000000006</v>
      </c>
      <c r="AK53" s="647">
        <f t="shared" si="149"/>
        <v>0.30380952380952375</v>
      </c>
      <c r="AL53" s="671">
        <f t="shared" si="149"/>
        <v>0.35135135135135132</v>
      </c>
      <c r="AM53" s="952">
        <f t="shared" si="149"/>
        <v>0.37046861184792212</v>
      </c>
      <c r="AN53" s="647">
        <f t="shared" ref="AN53" si="150">+AN52/AK52-1</f>
        <v>0.33308984660336005</v>
      </c>
      <c r="AO53" s="671">
        <f t="shared" ref="AO53" si="151">+AO52/AL52-1</f>
        <v>0.35000000000000009</v>
      </c>
      <c r="AP53" s="952">
        <f t="shared" si="149"/>
        <v>0.22580645161290325</v>
      </c>
      <c r="AQ53" s="647">
        <f t="shared" ref="AQ53" si="152">+AQ52/AN52-1</f>
        <v>0.12328767123287676</v>
      </c>
      <c r="AR53" s="671">
        <f t="shared" ref="AR53" si="153">+AR52/AO52-1</f>
        <v>0.17037037037037028</v>
      </c>
      <c r="AS53" s="952">
        <f t="shared" si="149"/>
        <v>6.578947368421062E-2</v>
      </c>
      <c r="AT53" s="217">
        <f t="shared" si="149"/>
        <v>8.5365853658536661E-2</v>
      </c>
      <c r="AU53" s="554">
        <f t="shared" si="149"/>
        <v>7.5949367088607556E-2</v>
      </c>
      <c r="AV53" s="211">
        <f t="shared" si="149"/>
        <v>3.7037037037036979E-2</v>
      </c>
      <c r="AW53" s="252">
        <f t="shared" si="149"/>
        <v>3.0230943165100888E-2</v>
      </c>
      <c r="AX53" s="577">
        <f t="shared" si="149"/>
        <v>3.3473846715846856E-2</v>
      </c>
      <c r="AY53" s="251">
        <f t="shared" si="149"/>
        <v>0.11148919718768946</v>
      </c>
      <c r="AZ53" s="252">
        <f t="shared" si="149"/>
        <v>1.8262934948967358E-2</v>
      </c>
      <c r="BA53" s="577">
        <f t="shared" si="149"/>
        <v>6.2835655862873319E-2</v>
      </c>
      <c r="BB53" s="251">
        <f t="shared" si="149"/>
        <v>6.0399688756195724E-2</v>
      </c>
      <c r="BC53" s="252">
        <f t="shared" si="149"/>
        <v>6.0399688756195724E-2</v>
      </c>
      <c r="BD53" s="577">
        <f t="shared" si="149"/>
        <v>6.0399688756195724E-2</v>
      </c>
      <c r="BE53" s="251">
        <f t="shared" si="149"/>
        <v>6.2246322114608343E-2</v>
      </c>
      <c r="BF53" s="252">
        <f t="shared" si="149"/>
        <v>6.2246322114608343E-2</v>
      </c>
      <c r="BG53" s="577">
        <f t="shared" si="149"/>
        <v>6.2246322114608343E-2</v>
      </c>
      <c r="BH53" s="251">
        <f t="shared" si="149"/>
        <v>8.2248092745526913E-2</v>
      </c>
      <c r="BI53" s="252">
        <f t="shared" si="149"/>
        <v>8.2248092745526913E-2</v>
      </c>
      <c r="BJ53" s="577">
        <f t="shared" si="149"/>
        <v>8.2248092745526913E-2</v>
      </c>
      <c r="BK53" s="163"/>
      <c r="BL53" s="107"/>
      <c r="BM53" s="107"/>
    </row>
    <row r="54" spans="1:65" s="69" customFormat="1" ht="11.4">
      <c r="A54" s="155" t="s">
        <v>912</v>
      </c>
      <c r="B54" s="40"/>
      <c r="C54" s="40"/>
      <c r="D54" s="40"/>
      <c r="E54" s="40"/>
      <c r="F54" s="40"/>
      <c r="G54" s="40"/>
      <c r="H54" s="40"/>
      <c r="I54" s="40"/>
      <c r="J54" s="40"/>
      <c r="K54" s="40"/>
      <c r="L54" s="40"/>
      <c r="M54" s="40"/>
      <c r="N54" s="40"/>
      <c r="O54" s="40"/>
      <c r="P54" s="40"/>
      <c r="Q54" s="40"/>
      <c r="R54" s="51"/>
      <c r="S54" s="629"/>
      <c r="T54" s="652"/>
      <c r="U54" s="51"/>
      <c r="V54" s="629"/>
      <c r="W54" s="652"/>
      <c r="X54" s="51"/>
      <c r="Y54" s="629"/>
      <c r="Z54" s="652"/>
      <c r="AA54" s="952"/>
      <c r="AB54" s="647"/>
      <c r="AC54" s="671">
        <f t="shared" ref="AC54" si="154">AC52/$AC$52</f>
        <v>1</v>
      </c>
      <c r="AD54" s="952">
        <f>AD52/$AA$52</f>
        <v>0.52</v>
      </c>
      <c r="AE54" s="647">
        <f>AE52/$AB$52</f>
        <v>0.34615384615384615</v>
      </c>
      <c r="AF54" s="671">
        <f t="shared" ref="AF54:BJ54" si="155">AF52/$AC$52</f>
        <v>0.43137254901960786</v>
      </c>
      <c r="AG54" s="952">
        <f>AG52/$AA$52</f>
        <v>0.42666666666666669</v>
      </c>
      <c r="AH54" s="647">
        <f>AH52/$AB$52</f>
        <v>0.53846153846153844</v>
      </c>
      <c r="AI54" s="671">
        <f t="shared" si="155"/>
        <v>0.48366013071895425</v>
      </c>
      <c r="AJ54" s="952">
        <f>AJ52/$AA$52</f>
        <v>0.60319999999999996</v>
      </c>
      <c r="AK54" s="647">
        <f>AK52/$AB$52</f>
        <v>0.70205128205128209</v>
      </c>
      <c r="AL54" s="671">
        <f t="shared" si="155"/>
        <v>0.65359477124183007</v>
      </c>
      <c r="AM54" s="952">
        <f>AM52/$AA$52</f>
        <v>0.82666666666666666</v>
      </c>
      <c r="AN54" s="647">
        <f>AN52/$AB$52</f>
        <v>0.9358974358974359</v>
      </c>
      <c r="AO54" s="671">
        <f t="shared" ref="AO54" si="156">AO52/$AC$52</f>
        <v>0.88235294117647056</v>
      </c>
      <c r="AP54" s="952">
        <f>AP52/$AA$52</f>
        <v>1.0133333333333334</v>
      </c>
      <c r="AQ54" s="647">
        <f>AQ52/$AB$52</f>
        <v>1.0512820512820513</v>
      </c>
      <c r="AR54" s="671">
        <f t="shared" ref="AR54" si="157">AR52/$AC$52</f>
        <v>1.0326797385620916</v>
      </c>
      <c r="AS54" s="952">
        <f>AS52/$AA$52</f>
        <v>1.08</v>
      </c>
      <c r="AT54" s="647">
        <f>AT52/$AB$52</f>
        <v>1.141025641025641</v>
      </c>
      <c r="AU54" s="671">
        <f t="shared" si="155"/>
        <v>1.1111111111111112</v>
      </c>
      <c r="AV54" s="952">
        <f>AV52/$AA$52</f>
        <v>1.1200000000000001</v>
      </c>
      <c r="AW54" s="599">
        <f>AW52/$AB$52</f>
        <v>1.1755199223294099</v>
      </c>
      <c r="AX54" s="623">
        <f t="shared" si="155"/>
        <v>1.1483042741287188</v>
      </c>
      <c r="AY54" s="435">
        <f>AY52/$AA$52</f>
        <v>1.2448679008502124</v>
      </c>
      <c r="AZ54" s="599">
        <f>AZ52/$AB$52</f>
        <v>1.1969883662021272</v>
      </c>
      <c r="BA54" s="623">
        <f t="shared" si="155"/>
        <v>1.2204587263237374</v>
      </c>
      <c r="BB54" s="435">
        <f>BB52/$AA$52</f>
        <v>1.3200575346041437</v>
      </c>
      <c r="BC54" s="599">
        <f>BC52/$AB$52</f>
        <v>1.2692860909655228</v>
      </c>
      <c r="BD54" s="623">
        <f t="shared" si="155"/>
        <v>1.2941740535334743</v>
      </c>
      <c r="BE54" s="435">
        <f>BE52/$AA$52</f>
        <v>1.402226261112929</v>
      </c>
      <c r="BF54" s="599">
        <f>BF52/$AB$52</f>
        <v>1.3482944818393547</v>
      </c>
      <c r="BG54" s="623">
        <f t="shared" si="155"/>
        <v>1.3747316285420872</v>
      </c>
      <c r="BH54" s="435">
        <f>BH52/$AA$52</f>
        <v>1.5175566966871585</v>
      </c>
      <c r="BI54" s="599">
        <f>BI52/$AB$52</f>
        <v>1.4591891314299601</v>
      </c>
      <c r="BJ54" s="623">
        <f t="shared" si="155"/>
        <v>1.4878006830266259</v>
      </c>
      <c r="BK54" s="163"/>
      <c r="BL54" s="107"/>
      <c r="BM54" s="107"/>
    </row>
    <row r="55" spans="1:65" s="69" customFormat="1" ht="11.4">
      <c r="A55" s="459" t="s">
        <v>911</v>
      </c>
      <c r="B55" s="40"/>
      <c r="C55" s="40"/>
      <c r="D55" s="40"/>
      <c r="E55" s="40"/>
      <c r="F55" s="40"/>
      <c r="G55" s="40"/>
      <c r="H55" s="40"/>
      <c r="I55" s="40"/>
      <c r="J55" s="40"/>
      <c r="K55" s="40"/>
      <c r="L55" s="40"/>
      <c r="M55" s="40"/>
      <c r="N55" s="40"/>
      <c r="O55" s="40"/>
      <c r="P55" s="40"/>
      <c r="Q55" s="40"/>
      <c r="R55" s="51"/>
      <c r="S55" s="629"/>
      <c r="T55" s="652"/>
      <c r="U55" s="51"/>
      <c r="V55" s="629"/>
      <c r="W55" s="652"/>
      <c r="X55" s="51"/>
      <c r="Y55" s="629"/>
      <c r="Z55" s="652"/>
      <c r="AA55" s="51">
        <f t="shared" ref="AA55:BJ55" si="158">AA307</f>
        <v>2100</v>
      </c>
      <c r="AB55" s="629">
        <f t="shared" si="158"/>
        <v>2000</v>
      </c>
      <c r="AC55" s="652">
        <f t="shared" si="158"/>
        <v>4100</v>
      </c>
      <c r="AD55" s="51">
        <f t="shared" si="158"/>
        <v>1800</v>
      </c>
      <c r="AE55" s="629">
        <f t="shared" si="158"/>
        <v>1100</v>
      </c>
      <c r="AF55" s="652">
        <f t="shared" si="158"/>
        <v>2900</v>
      </c>
      <c r="AG55" s="51">
        <f t="shared" si="158"/>
        <v>1430</v>
      </c>
      <c r="AH55" s="629">
        <f t="shared" si="158"/>
        <v>1470</v>
      </c>
      <c r="AI55" s="652">
        <f t="shared" si="158"/>
        <v>2900</v>
      </c>
      <c r="AJ55" s="51">
        <f t="shared" si="158"/>
        <v>1593</v>
      </c>
      <c r="AK55" s="629">
        <f t="shared" si="158"/>
        <v>1607</v>
      </c>
      <c r="AL55" s="652">
        <f t="shared" si="158"/>
        <v>3200</v>
      </c>
      <c r="AM55" s="51">
        <f t="shared" si="158"/>
        <v>1500</v>
      </c>
      <c r="AN55" s="629">
        <f t="shared" si="158"/>
        <v>1500</v>
      </c>
      <c r="AO55" s="652">
        <f t="shared" si="158"/>
        <v>3000</v>
      </c>
      <c r="AP55" s="51">
        <f t="shared" ref="AP55:AR55" si="159">AP307</f>
        <v>1400</v>
      </c>
      <c r="AQ55" s="629">
        <f t="shared" si="159"/>
        <v>1600</v>
      </c>
      <c r="AR55" s="652">
        <f t="shared" si="159"/>
        <v>3000</v>
      </c>
      <c r="AS55" s="51">
        <f t="shared" ref="AS55" si="160">AS307</f>
        <v>1500</v>
      </c>
      <c r="AT55" s="629">
        <f t="shared" si="158"/>
        <v>1500</v>
      </c>
      <c r="AU55" s="652">
        <f t="shared" si="158"/>
        <v>3000</v>
      </c>
      <c r="AV55" s="51">
        <f t="shared" si="158"/>
        <v>1600</v>
      </c>
      <c r="AW55" s="600">
        <f t="shared" si="158"/>
        <v>1550</v>
      </c>
      <c r="AX55" s="624">
        <f t="shared" si="158"/>
        <v>3150</v>
      </c>
      <c r="AY55" s="52">
        <f t="shared" si="158"/>
        <v>1632</v>
      </c>
      <c r="AZ55" s="600">
        <f t="shared" si="158"/>
        <v>1581</v>
      </c>
      <c r="BA55" s="624">
        <f t="shared" si="158"/>
        <v>3213</v>
      </c>
      <c r="BB55" s="52">
        <f t="shared" si="158"/>
        <v>1664.64</v>
      </c>
      <c r="BC55" s="600">
        <f t="shared" si="158"/>
        <v>1612.6200000000001</v>
      </c>
      <c r="BD55" s="624">
        <f t="shared" si="158"/>
        <v>3277.26</v>
      </c>
      <c r="BE55" s="52">
        <f t="shared" si="158"/>
        <v>1697.9328</v>
      </c>
      <c r="BF55" s="600">
        <f t="shared" si="158"/>
        <v>1644.8724000000002</v>
      </c>
      <c r="BG55" s="624">
        <f t="shared" si="158"/>
        <v>3342.8052000000002</v>
      </c>
      <c r="BH55" s="52">
        <f t="shared" si="158"/>
        <v>1731.8914560000001</v>
      </c>
      <c r="BI55" s="600">
        <f t="shared" si="158"/>
        <v>1677.7698480000001</v>
      </c>
      <c r="BJ55" s="624">
        <f t="shared" si="158"/>
        <v>3409.6613040000002</v>
      </c>
      <c r="BK55" s="264">
        <f>+(AU55/AL55)^(1/3)-1</f>
        <v>-2.1283089707784142E-2</v>
      </c>
      <c r="BL55" s="433">
        <f>+(BA55/AL55)^(1/5)-1</f>
        <v>8.1118289663795196E-4</v>
      </c>
      <c r="BM55" s="107"/>
    </row>
    <row r="56" spans="1:65" s="69" customFormat="1" ht="11.4">
      <c r="A56" s="155" t="s">
        <v>510</v>
      </c>
      <c r="B56" s="40"/>
      <c r="C56" s="40"/>
      <c r="D56" s="40"/>
      <c r="E56" s="40"/>
      <c r="F56" s="40"/>
      <c r="G56" s="40"/>
      <c r="H56" s="40"/>
      <c r="I56" s="40"/>
      <c r="J56" s="40"/>
      <c r="K56" s="40"/>
      <c r="L56" s="40"/>
      <c r="M56" s="40"/>
      <c r="N56" s="40"/>
      <c r="O56" s="40"/>
      <c r="P56" s="40"/>
      <c r="Q56" s="40"/>
      <c r="R56" s="51"/>
      <c r="S56" s="629"/>
      <c r="T56" s="652"/>
      <c r="U56" s="51"/>
      <c r="V56" s="629"/>
      <c r="W56" s="652"/>
      <c r="X56" s="51"/>
      <c r="Y56" s="629"/>
      <c r="Z56" s="652"/>
      <c r="AA56" s="1052"/>
      <c r="AB56" s="647"/>
      <c r="AC56" s="652"/>
      <c r="AD56" s="952">
        <f>+AD55/AA55-1</f>
        <v>-0.1428571428571429</v>
      </c>
      <c r="AE56" s="647">
        <f>+AE55/AB55-1</f>
        <v>-0.44999999999999996</v>
      </c>
      <c r="AF56" s="671">
        <f t="shared" ref="AF56" si="161">+AF55/AC55-1</f>
        <v>-0.29268292682926833</v>
      </c>
      <c r="AG56" s="952">
        <f t="shared" ref="AG56:BJ56" si="162">+AG55/AD55-1</f>
        <v>-0.2055555555555556</v>
      </c>
      <c r="AH56" s="647">
        <f t="shared" si="162"/>
        <v>0.33636363636363642</v>
      </c>
      <c r="AI56" s="671">
        <f t="shared" si="162"/>
        <v>0</v>
      </c>
      <c r="AJ56" s="952">
        <f t="shared" si="162"/>
        <v>0.11398601398601405</v>
      </c>
      <c r="AK56" s="638">
        <f>IFERROR(+AK55/AH55-1,"NM")</f>
        <v>9.3197278911564707E-2</v>
      </c>
      <c r="AL56" s="671">
        <f t="shared" si="162"/>
        <v>0.10344827586206895</v>
      </c>
      <c r="AM56" s="952">
        <f t="shared" si="162"/>
        <v>-5.8380414312617757E-2</v>
      </c>
      <c r="AN56" s="638">
        <f>IFERROR(+AN55/AK55-1,"NM")</f>
        <v>-6.6583696328562536E-2</v>
      </c>
      <c r="AO56" s="671">
        <f t="shared" ref="AO56" si="163">+AO55/AL55-1</f>
        <v>-6.25E-2</v>
      </c>
      <c r="AP56" s="952">
        <f t="shared" si="162"/>
        <v>-6.6666666666666652E-2</v>
      </c>
      <c r="AQ56" s="638">
        <f>IFERROR(+AQ55/AN55-1,"NM")</f>
        <v>6.6666666666666652E-2</v>
      </c>
      <c r="AR56" s="671">
        <f t="shared" ref="AR56" si="164">+AR55/AO55-1</f>
        <v>0</v>
      </c>
      <c r="AS56" s="952">
        <f t="shared" si="162"/>
        <v>7.1428571428571397E-2</v>
      </c>
      <c r="AT56" s="217">
        <f t="shared" si="162"/>
        <v>-6.25E-2</v>
      </c>
      <c r="AU56" s="554">
        <f t="shared" si="162"/>
        <v>0</v>
      </c>
      <c r="AV56" s="211">
        <f t="shared" si="162"/>
        <v>6.6666666666666652E-2</v>
      </c>
      <c r="AW56" s="252">
        <f t="shared" si="162"/>
        <v>3.3333333333333437E-2</v>
      </c>
      <c r="AX56" s="577">
        <f t="shared" si="162"/>
        <v>5.0000000000000044E-2</v>
      </c>
      <c r="AY56" s="251">
        <f t="shared" si="162"/>
        <v>2.0000000000000018E-2</v>
      </c>
      <c r="AZ56" s="252">
        <f t="shared" si="162"/>
        <v>2.0000000000000018E-2</v>
      </c>
      <c r="BA56" s="577">
        <f t="shared" si="162"/>
        <v>2.0000000000000018E-2</v>
      </c>
      <c r="BB56" s="251">
        <f t="shared" si="162"/>
        <v>2.0000000000000018E-2</v>
      </c>
      <c r="BC56" s="252">
        <f t="shared" si="162"/>
        <v>2.0000000000000018E-2</v>
      </c>
      <c r="BD56" s="577">
        <f t="shared" si="162"/>
        <v>2.0000000000000018E-2</v>
      </c>
      <c r="BE56" s="251">
        <f t="shared" si="162"/>
        <v>2.0000000000000018E-2</v>
      </c>
      <c r="BF56" s="252">
        <f t="shared" si="162"/>
        <v>2.0000000000000018E-2</v>
      </c>
      <c r="BG56" s="577">
        <f t="shared" si="162"/>
        <v>2.0000000000000018E-2</v>
      </c>
      <c r="BH56" s="251">
        <f t="shared" si="162"/>
        <v>2.0000000000000018E-2</v>
      </c>
      <c r="BI56" s="252">
        <f t="shared" si="162"/>
        <v>2.0000000000000018E-2</v>
      </c>
      <c r="BJ56" s="577">
        <f t="shared" si="162"/>
        <v>2.0000000000000018E-2</v>
      </c>
      <c r="BK56" s="163"/>
      <c r="BL56" s="107"/>
      <c r="BM56" s="107"/>
    </row>
    <row r="57" spans="1:65" s="69" customFormat="1" ht="11.4">
      <c r="A57" s="155" t="s">
        <v>912</v>
      </c>
      <c r="B57" s="40"/>
      <c r="C57" s="40"/>
      <c r="D57" s="40"/>
      <c r="E57" s="40"/>
      <c r="F57" s="40"/>
      <c r="G57" s="40"/>
      <c r="H57" s="40"/>
      <c r="I57" s="40"/>
      <c r="J57" s="40"/>
      <c r="K57" s="40"/>
      <c r="L57" s="40"/>
      <c r="M57" s="40"/>
      <c r="N57" s="40"/>
      <c r="O57" s="40"/>
      <c r="P57" s="40"/>
      <c r="Q57" s="40"/>
      <c r="R57" s="51"/>
      <c r="S57" s="629"/>
      <c r="T57" s="652"/>
      <c r="U57" s="51"/>
      <c r="V57" s="629"/>
      <c r="W57" s="652"/>
      <c r="X57" s="51"/>
      <c r="Y57" s="629"/>
      <c r="Z57" s="652"/>
      <c r="AA57" s="952"/>
      <c r="AB57" s="647"/>
      <c r="AC57" s="652"/>
      <c r="AD57" s="952">
        <f>AD55/$AA$55</f>
        <v>0.8571428571428571</v>
      </c>
      <c r="AE57" s="647">
        <f>AE55/$AB$55</f>
        <v>0.55000000000000004</v>
      </c>
      <c r="AF57" s="671">
        <f>AF55/$AC$55</f>
        <v>0.70731707317073167</v>
      </c>
      <c r="AG57" s="952">
        <f>AG55/$AA$55</f>
        <v>0.68095238095238098</v>
      </c>
      <c r="AH57" s="647">
        <f>AH55/$AB$55</f>
        <v>0.73499999999999999</v>
      </c>
      <c r="AI57" s="671">
        <f>AI55/$AC$55</f>
        <v>0.70731707317073167</v>
      </c>
      <c r="AJ57" s="952">
        <f>AJ55/$AA$55</f>
        <v>0.75857142857142856</v>
      </c>
      <c r="AK57" s="647">
        <f>AK55/$AB$55</f>
        <v>0.80349999999999999</v>
      </c>
      <c r="AL57" s="671">
        <f t="shared" ref="AL57:BJ57" si="165">AL55/$AC$55</f>
        <v>0.78048780487804881</v>
      </c>
      <c r="AM57" s="952">
        <f>AM55/$AA$55</f>
        <v>0.7142857142857143</v>
      </c>
      <c r="AN57" s="647">
        <f>AN55/$AB$55</f>
        <v>0.75</v>
      </c>
      <c r="AO57" s="671">
        <f t="shared" ref="AO57" si="166">AO55/$AC$55</f>
        <v>0.73170731707317072</v>
      </c>
      <c r="AP57" s="952">
        <f>AP55/$AA$55</f>
        <v>0.66666666666666663</v>
      </c>
      <c r="AQ57" s="647">
        <f>AQ55/$AB$55</f>
        <v>0.8</v>
      </c>
      <c r="AR57" s="671">
        <f t="shared" ref="AR57" si="167">AR55/$AC$55</f>
        <v>0.73170731707317072</v>
      </c>
      <c r="AS57" s="952">
        <f>AS55/$AA$55</f>
        <v>0.7142857142857143</v>
      </c>
      <c r="AT57" s="647">
        <f>AT55/$AB$55</f>
        <v>0.75</v>
      </c>
      <c r="AU57" s="671">
        <f t="shared" si="165"/>
        <v>0.73170731707317072</v>
      </c>
      <c r="AV57" s="952">
        <f>AV55/$AA$55</f>
        <v>0.76190476190476186</v>
      </c>
      <c r="AW57" s="599">
        <f>AW55/$AB$55</f>
        <v>0.77500000000000002</v>
      </c>
      <c r="AX57" s="623">
        <f t="shared" si="165"/>
        <v>0.76829268292682928</v>
      </c>
      <c r="AY57" s="435">
        <f>AY55/$AA$55</f>
        <v>0.77714285714285714</v>
      </c>
      <c r="AZ57" s="599">
        <f>AZ55/$AB$55</f>
        <v>0.79049999999999998</v>
      </c>
      <c r="BA57" s="623">
        <f t="shared" si="165"/>
        <v>0.78365853658536588</v>
      </c>
      <c r="BB57" s="435">
        <f>BB55/$AA$55</f>
        <v>0.79268571428571433</v>
      </c>
      <c r="BC57" s="599">
        <f>BC55/$AB$55</f>
        <v>0.80631000000000008</v>
      </c>
      <c r="BD57" s="623">
        <f t="shared" si="165"/>
        <v>0.79933170731707326</v>
      </c>
      <c r="BE57" s="435">
        <f>BE55/$AA$55</f>
        <v>0.80853942857142858</v>
      </c>
      <c r="BF57" s="599">
        <f>BF55/$AB$55</f>
        <v>0.82243620000000006</v>
      </c>
      <c r="BG57" s="623">
        <f t="shared" si="165"/>
        <v>0.81531834146341464</v>
      </c>
      <c r="BH57" s="435">
        <f>BH55/$AA$55</f>
        <v>0.82471021714285719</v>
      </c>
      <c r="BI57" s="599">
        <f>BI55/$AB$55</f>
        <v>0.83888492400000003</v>
      </c>
      <c r="BJ57" s="623">
        <f t="shared" si="165"/>
        <v>0.83162470829268298</v>
      </c>
      <c r="BK57" s="163"/>
      <c r="BL57" s="107"/>
      <c r="BM57" s="107"/>
    </row>
    <row r="58" spans="1:65" s="69" customFormat="1" ht="11.4">
      <c r="A58" s="455"/>
      <c r="B58" s="40"/>
      <c r="C58" s="40"/>
      <c r="D58" s="40"/>
      <c r="E58" s="40"/>
      <c r="F58" s="40"/>
      <c r="G58" s="40"/>
      <c r="H58" s="40"/>
      <c r="I58" s="40"/>
      <c r="J58" s="40"/>
      <c r="K58" s="40"/>
      <c r="L58" s="40"/>
      <c r="M58" s="40"/>
      <c r="N58" s="40"/>
      <c r="O58" s="40"/>
      <c r="P58" s="40"/>
      <c r="Q58" s="40"/>
      <c r="R58" s="51"/>
      <c r="S58" s="629"/>
      <c r="T58" s="652"/>
      <c r="U58" s="51"/>
      <c r="V58" s="629"/>
      <c r="W58" s="652"/>
      <c r="X58" s="51"/>
      <c r="Y58" s="629"/>
      <c r="Z58" s="652"/>
      <c r="AA58" s="51"/>
      <c r="AB58" s="629"/>
      <c r="AC58" s="652"/>
      <c r="AD58" s="51"/>
      <c r="AE58" s="629"/>
      <c r="AF58" s="652"/>
      <c r="AG58" s="51"/>
      <c r="AH58" s="629"/>
      <c r="AI58" s="652"/>
      <c r="AJ58" s="51"/>
      <c r="AK58" s="629"/>
      <c r="AL58" s="652"/>
      <c r="AM58" s="51"/>
      <c r="AN58" s="796"/>
      <c r="AO58" s="854"/>
      <c r="AP58" s="971"/>
      <c r="AQ58" s="796"/>
      <c r="AR58" s="854"/>
      <c r="AS58" s="971"/>
      <c r="AT58" s="796"/>
      <c r="AU58" s="854"/>
      <c r="AV58" s="971"/>
      <c r="AW58" s="796"/>
      <c r="AX58" s="854"/>
      <c r="AY58" s="971"/>
      <c r="AZ58" s="796"/>
      <c r="BA58" s="854"/>
      <c r="BB58" s="971"/>
      <c r="BC58" s="796"/>
      <c r="BD58" s="854"/>
      <c r="BE58" s="971"/>
      <c r="BF58" s="796"/>
      <c r="BG58" s="854"/>
      <c r="BH58" s="971"/>
      <c r="BI58" s="796"/>
      <c r="BJ58" s="854"/>
      <c r="BK58" s="163"/>
      <c r="BL58" s="107"/>
      <c r="BM58" s="107"/>
    </row>
    <row r="59" spans="1:65" s="69" customFormat="1">
      <c r="A59" s="455" t="s">
        <v>815</v>
      </c>
      <c r="B59" s="40"/>
      <c r="C59" s="40"/>
      <c r="D59" s="40"/>
      <c r="E59" s="40"/>
      <c r="F59" s="40"/>
      <c r="G59" s="40"/>
      <c r="H59" s="40"/>
      <c r="I59" s="40"/>
      <c r="J59" s="40"/>
      <c r="K59" s="40"/>
      <c r="L59" s="40"/>
      <c r="M59" s="40"/>
      <c r="N59" s="40"/>
      <c r="O59" s="40"/>
      <c r="P59" s="40"/>
      <c r="Q59" s="40"/>
      <c r="R59" s="51"/>
      <c r="S59" s="629"/>
      <c r="T59" s="652"/>
      <c r="U59" s="51"/>
      <c r="V59" s="629"/>
      <c r="W59" s="652"/>
      <c r="X59" s="51"/>
      <c r="Y59" s="629"/>
      <c r="Z59" s="652"/>
      <c r="AA59" s="51">
        <f t="shared" ref="AA59:AB59" si="168">AA62+AA63</f>
        <v>775</v>
      </c>
      <c r="AB59" s="629">
        <f t="shared" si="168"/>
        <v>779</v>
      </c>
      <c r="AC59" s="652">
        <f>AC62+AC63</f>
        <v>1554</v>
      </c>
      <c r="AD59" s="51">
        <f t="shared" ref="AD59:AE59" si="169">AD62+AD63</f>
        <v>704</v>
      </c>
      <c r="AE59" s="629">
        <f t="shared" si="169"/>
        <v>554</v>
      </c>
      <c r="AF59" s="652">
        <f>AF62+AF63</f>
        <v>1258</v>
      </c>
      <c r="AG59" s="51">
        <f t="shared" ref="AG59:AH59" si="170">AG62+AG63</f>
        <v>450</v>
      </c>
      <c r="AH59" s="629">
        <f t="shared" si="170"/>
        <v>503</v>
      </c>
      <c r="AI59" s="652">
        <f t="shared" ref="AI59:BJ59" si="171">AI62+AI63</f>
        <v>953</v>
      </c>
      <c r="AJ59" s="51">
        <f t="shared" si="171"/>
        <v>477</v>
      </c>
      <c r="AK59" s="629">
        <f t="shared" ref="AK59" si="172">AK62+AK63</f>
        <v>567</v>
      </c>
      <c r="AL59" s="652">
        <f t="shared" si="171"/>
        <v>1044</v>
      </c>
      <c r="AM59" s="51">
        <f t="shared" ref="AM59:AO59" si="173">AM62+AM63</f>
        <v>591</v>
      </c>
      <c r="AN59" s="629">
        <f t="shared" si="173"/>
        <v>636</v>
      </c>
      <c r="AO59" s="652">
        <f t="shared" si="173"/>
        <v>1227</v>
      </c>
      <c r="AP59" s="51">
        <f t="shared" ref="AP59:AR59" si="174">AP62+AP63</f>
        <v>624</v>
      </c>
      <c r="AQ59" s="629">
        <f t="shared" si="174"/>
        <v>689</v>
      </c>
      <c r="AR59" s="652">
        <f t="shared" si="174"/>
        <v>1313</v>
      </c>
      <c r="AS59" s="51">
        <f t="shared" ref="AS59" si="175">AS62+AS63</f>
        <v>696</v>
      </c>
      <c r="AT59" s="218">
        <f t="shared" si="171"/>
        <v>744</v>
      </c>
      <c r="AU59" s="553">
        <f t="shared" si="171"/>
        <v>1440</v>
      </c>
      <c r="AV59" s="27">
        <f t="shared" si="171"/>
        <v>712</v>
      </c>
      <c r="AW59" s="237">
        <f t="shared" si="171"/>
        <v>807.84999999999991</v>
      </c>
      <c r="AX59" s="576">
        <f t="shared" si="171"/>
        <v>1519.85</v>
      </c>
      <c r="AY59" s="48">
        <f t="shared" si="171"/>
        <v>756.49999999999989</v>
      </c>
      <c r="AZ59" s="237">
        <f t="shared" si="171"/>
        <v>715.36549999999988</v>
      </c>
      <c r="BA59" s="576">
        <f t="shared" si="171"/>
        <v>1471.8654999999999</v>
      </c>
      <c r="BB59" s="48">
        <f t="shared" si="171"/>
        <v>654.17399999999998</v>
      </c>
      <c r="BC59" s="237">
        <f t="shared" si="171"/>
        <v>668.14358000000004</v>
      </c>
      <c r="BD59" s="576">
        <f t="shared" si="171"/>
        <v>1322.3175799999999</v>
      </c>
      <c r="BE59" s="48">
        <f t="shared" si="171"/>
        <v>674.19764000000009</v>
      </c>
      <c r="BF59" s="237">
        <f t="shared" si="171"/>
        <v>689.12522080000008</v>
      </c>
      <c r="BG59" s="576">
        <f t="shared" si="171"/>
        <v>1363.3228607999999</v>
      </c>
      <c r="BH59" s="48">
        <f t="shared" si="171"/>
        <v>695.1653364</v>
      </c>
      <c r="BI59" s="237">
        <f t="shared" si="171"/>
        <v>711.07706950800002</v>
      </c>
      <c r="BJ59" s="576">
        <f t="shared" si="171"/>
        <v>1406.2424059079999</v>
      </c>
      <c r="BK59" s="264">
        <f>+(AU59/AL59)^(1/3)-1</f>
        <v>0.11315078730200367</v>
      </c>
      <c r="BL59" s="433">
        <f>+(BA59/AL59)^(1/5)-1</f>
        <v>7.1108647120895041E-2</v>
      </c>
      <c r="BM59" s="74">
        <f>(AU59/AI59)^(1/4)-1</f>
        <v>0.10870855302462745</v>
      </c>
    </row>
    <row r="60" spans="1:65" s="69" customFormat="1" ht="11.4">
      <c r="A60" s="80" t="s">
        <v>816</v>
      </c>
      <c r="B60" s="40"/>
      <c r="C60" s="40"/>
      <c r="D60" s="40"/>
      <c r="E60" s="40"/>
      <c r="F60" s="40"/>
      <c r="G60" s="40"/>
      <c r="H60" s="40"/>
      <c r="I60" s="40"/>
      <c r="J60" s="40"/>
      <c r="K60" s="40"/>
      <c r="L60" s="40"/>
      <c r="M60" s="40"/>
      <c r="N60" s="40"/>
      <c r="O60" s="40"/>
      <c r="P60" s="40"/>
      <c r="Q60" s="40"/>
      <c r="R60" s="40"/>
      <c r="S60" s="630"/>
      <c r="T60" s="653"/>
      <c r="U60" s="40"/>
      <c r="V60" s="630"/>
      <c r="W60" s="653"/>
      <c r="X60" s="40"/>
      <c r="Y60" s="630"/>
      <c r="Z60" s="653"/>
      <c r="AA60" s="40">
        <f t="shared" ref="AA60:AM60" si="176">+AA221</f>
        <v>141</v>
      </c>
      <c r="AB60" s="630">
        <f t="shared" si="176"/>
        <v>165</v>
      </c>
      <c r="AC60" s="653">
        <f t="shared" si="176"/>
        <v>306</v>
      </c>
      <c r="AD60" s="40">
        <f t="shared" si="176"/>
        <v>161</v>
      </c>
      <c r="AE60" s="630">
        <f t="shared" si="176"/>
        <v>111</v>
      </c>
      <c r="AF60" s="653">
        <f t="shared" si="176"/>
        <v>272</v>
      </c>
      <c r="AG60" s="40">
        <f t="shared" si="176"/>
        <v>92</v>
      </c>
      <c r="AH60" s="630">
        <f t="shared" si="176"/>
        <v>116</v>
      </c>
      <c r="AI60" s="653">
        <f t="shared" si="176"/>
        <v>208</v>
      </c>
      <c r="AJ60" s="40">
        <f t="shared" si="176"/>
        <v>113</v>
      </c>
      <c r="AK60" s="630">
        <f t="shared" si="176"/>
        <v>135</v>
      </c>
      <c r="AL60" s="653">
        <f t="shared" si="176"/>
        <v>248</v>
      </c>
      <c r="AM60" s="40">
        <f t="shared" si="176"/>
        <v>144</v>
      </c>
      <c r="AN60" s="630">
        <f t="shared" ref="AN60:AP60" si="177">+AN221</f>
        <v>224</v>
      </c>
      <c r="AO60" s="653">
        <f t="shared" si="177"/>
        <v>368</v>
      </c>
      <c r="AP60" s="40">
        <f t="shared" si="177"/>
        <v>195</v>
      </c>
      <c r="AQ60" s="630">
        <f t="shared" ref="AQ60:AS60" si="178">+AQ221</f>
        <v>235</v>
      </c>
      <c r="AR60" s="653">
        <f t="shared" si="178"/>
        <v>430</v>
      </c>
      <c r="AS60" s="40">
        <f t="shared" si="178"/>
        <v>217</v>
      </c>
      <c r="AT60" s="216">
        <f t="shared" ref="AT60:BJ60" si="179">+AT221</f>
        <v>300</v>
      </c>
      <c r="AU60" s="556">
        <f t="shared" si="179"/>
        <v>517</v>
      </c>
      <c r="AV60" s="10">
        <f t="shared" si="179"/>
        <v>294</v>
      </c>
      <c r="AW60" s="236">
        <f t="shared" si="179"/>
        <v>300.54999999999995</v>
      </c>
      <c r="AX60" s="605">
        <f t="shared" si="179"/>
        <v>594.54999999999995</v>
      </c>
      <c r="AY60" s="56">
        <f t="shared" si="179"/>
        <v>338.09999999999997</v>
      </c>
      <c r="AZ60" s="236">
        <f t="shared" si="179"/>
        <v>345.63249999999988</v>
      </c>
      <c r="BA60" s="605">
        <f t="shared" si="179"/>
        <v>683.73249999999985</v>
      </c>
      <c r="BB60" s="56">
        <f t="shared" si="179"/>
        <v>371.90999999999997</v>
      </c>
      <c r="BC60" s="236">
        <f t="shared" si="179"/>
        <v>380.19574999999998</v>
      </c>
      <c r="BD60" s="605">
        <f t="shared" si="179"/>
        <v>752.10574999999994</v>
      </c>
      <c r="BE60" s="56">
        <f t="shared" si="179"/>
        <v>390.50549999999998</v>
      </c>
      <c r="BF60" s="236">
        <f t="shared" si="179"/>
        <v>399.20553749999999</v>
      </c>
      <c r="BG60" s="605">
        <f t="shared" si="179"/>
        <v>789.71103749999997</v>
      </c>
      <c r="BH60" s="56">
        <f t="shared" si="179"/>
        <v>410.03077500000001</v>
      </c>
      <c r="BI60" s="236">
        <f t="shared" si="179"/>
        <v>419.16581437500002</v>
      </c>
      <c r="BJ60" s="605">
        <f t="shared" si="179"/>
        <v>829.19658937500003</v>
      </c>
      <c r="BK60" s="182">
        <f>+(AU60/AL60)^(1/3)-1</f>
        <v>0.27745699115545874</v>
      </c>
      <c r="BL60" s="74">
        <f>+(BA60/AL60)^(1/5)-1</f>
        <v>0.22486128716619103</v>
      </c>
      <c r="BM60" s="107"/>
    </row>
    <row r="61" spans="1:65" s="69" customFormat="1" ht="11.4">
      <c r="A61" s="80" t="s">
        <v>817</v>
      </c>
      <c r="B61" s="40"/>
      <c r="C61" s="40"/>
      <c r="D61" s="40"/>
      <c r="E61" s="40"/>
      <c r="F61" s="40"/>
      <c r="G61" s="40"/>
      <c r="H61" s="40"/>
      <c r="I61" s="40"/>
      <c r="J61" s="40"/>
      <c r="K61" s="40"/>
      <c r="L61" s="40"/>
      <c r="M61" s="40"/>
      <c r="N61" s="40"/>
      <c r="O61" s="40"/>
      <c r="P61" s="40"/>
      <c r="Q61" s="40"/>
      <c r="R61" s="40"/>
      <c r="S61" s="630"/>
      <c r="T61" s="653"/>
      <c r="U61" s="40"/>
      <c r="V61" s="630"/>
      <c r="W61" s="653"/>
      <c r="X61" s="40"/>
      <c r="Y61" s="630"/>
      <c r="Z61" s="653"/>
      <c r="AA61" s="40">
        <f t="shared" ref="AA61:AB61" si="180">AA224</f>
        <v>342</v>
      </c>
      <c r="AB61" s="630">
        <f t="shared" si="180"/>
        <v>318</v>
      </c>
      <c r="AC61" s="653">
        <f>AC224</f>
        <v>660</v>
      </c>
      <c r="AD61" s="40">
        <f t="shared" ref="AD61:AE61" si="181">AD224</f>
        <v>310</v>
      </c>
      <c r="AE61" s="630">
        <f t="shared" si="181"/>
        <v>249</v>
      </c>
      <c r="AF61" s="653">
        <f t="shared" ref="AF61:BJ61" si="182">AF224</f>
        <v>559</v>
      </c>
      <c r="AG61" s="40">
        <f t="shared" ref="AG61:AH61" si="183">AG224</f>
        <v>192</v>
      </c>
      <c r="AH61" s="630">
        <f t="shared" si="183"/>
        <v>210</v>
      </c>
      <c r="AI61" s="653">
        <f t="shared" si="182"/>
        <v>402</v>
      </c>
      <c r="AJ61" s="40">
        <f t="shared" si="182"/>
        <v>208</v>
      </c>
      <c r="AK61" s="630">
        <f t="shared" ref="AK61" si="184">AK224</f>
        <v>247</v>
      </c>
      <c r="AL61" s="653">
        <f t="shared" si="182"/>
        <v>455</v>
      </c>
      <c r="AM61" s="40">
        <f t="shared" ref="AM61:AO61" si="185">AM224</f>
        <v>250</v>
      </c>
      <c r="AN61" s="630">
        <f t="shared" si="185"/>
        <v>221</v>
      </c>
      <c r="AO61" s="653">
        <f t="shared" si="185"/>
        <v>471</v>
      </c>
      <c r="AP61" s="40">
        <f t="shared" ref="AP61:AR61" si="186">AP224</f>
        <v>218</v>
      </c>
      <c r="AQ61" s="630">
        <f t="shared" si="186"/>
        <v>255</v>
      </c>
      <c r="AR61" s="653">
        <f t="shared" si="186"/>
        <v>473</v>
      </c>
      <c r="AS61" s="40">
        <f t="shared" ref="AS61" si="187">AS224</f>
        <v>277</v>
      </c>
      <c r="AT61" s="216">
        <f t="shared" si="182"/>
        <v>285</v>
      </c>
      <c r="AU61" s="556">
        <f t="shared" si="182"/>
        <v>562</v>
      </c>
      <c r="AV61" s="10">
        <f t="shared" si="182"/>
        <v>262</v>
      </c>
      <c r="AW61" s="236">
        <f t="shared" si="182"/>
        <v>300</v>
      </c>
      <c r="AX61" s="605">
        <f t="shared" si="182"/>
        <v>562</v>
      </c>
      <c r="AY61" s="56">
        <f t="shared" si="182"/>
        <v>262</v>
      </c>
      <c r="AZ61" s="236">
        <f t="shared" si="182"/>
        <v>159.5</v>
      </c>
      <c r="BA61" s="605">
        <f t="shared" si="182"/>
        <v>421.5</v>
      </c>
      <c r="BB61" s="56">
        <f t="shared" si="182"/>
        <v>124.44999999999999</v>
      </c>
      <c r="BC61" s="236">
        <f t="shared" si="182"/>
        <v>75.762499999999989</v>
      </c>
      <c r="BD61" s="605">
        <f t="shared" si="182"/>
        <v>200.21249999999998</v>
      </c>
      <c r="BE61" s="56">
        <f t="shared" si="182"/>
        <v>124.44999999999999</v>
      </c>
      <c r="BF61" s="236">
        <f t="shared" si="182"/>
        <v>75.762499999999989</v>
      </c>
      <c r="BG61" s="605">
        <f t="shared" si="182"/>
        <v>200.21249999999998</v>
      </c>
      <c r="BH61" s="56">
        <f t="shared" si="182"/>
        <v>124.44999999999999</v>
      </c>
      <c r="BI61" s="236">
        <f t="shared" si="182"/>
        <v>75.762499999999989</v>
      </c>
      <c r="BJ61" s="605">
        <f t="shared" si="182"/>
        <v>200.21249999999998</v>
      </c>
      <c r="BK61" s="182">
        <f>+(AU61/AL61)^(1/3)-1</f>
        <v>7.2938855047854023E-2</v>
      </c>
      <c r="BL61" s="74">
        <f>+(BA61/AL61)^(1/5)-1</f>
        <v>-1.5179145841426989E-2</v>
      </c>
      <c r="BM61" s="107"/>
    </row>
    <row r="62" spans="1:65" s="70" customFormat="1" ht="12">
      <c r="A62" s="455" t="s">
        <v>820</v>
      </c>
      <c r="B62" s="51"/>
      <c r="C62" s="51"/>
      <c r="D62" s="51"/>
      <c r="E62" s="51"/>
      <c r="F62" s="51"/>
      <c r="G62" s="51"/>
      <c r="H62" s="51"/>
      <c r="I62" s="51"/>
      <c r="J62" s="51"/>
      <c r="K62" s="51"/>
      <c r="L62" s="51"/>
      <c r="M62" s="51"/>
      <c r="N62" s="51"/>
      <c r="O62" s="51"/>
      <c r="P62" s="51"/>
      <c r="Q62" s="51"/>
      <c r="R62" s="51"/>
      <c r="S62" s="629"/>
      <c r="T62" s="652"/>
      <c r="U62" s="51"/>
      <c r="V62" s="629"/>
      <c r="W62" s="652"/>
      <c r="X62" s="51"/>
      <c r="Y62" s="629"/>
      <c r="Z62" s="652"/>
      <c r="AA62" s="51">
        <f t="shared" ref="AA62:AB62" si="188">+AA60+AA61</f>
        <v>483</v>
      </c>
      <c r="AB62" s="629">
        <f t="shared" si="188"/>
        <v>483</v>
      </c>
      <c r="AC62" s="652">
        <f>+AC60+AC61</f>
        <v>966</v>
      </c>
      <c r="AD62" s="51">
        <f t="shared" ref="AD62:AE62" si="189">+AD60+AD61</f>
        <v>471</v>
      </c>
      <c r="AE62" s="629">
        <f t="shared" si="189"/>
        <v>360</v>
      </c>
      <c r="AF62" s="652">
        <f t="shared" ref="AF62:BJ62" si="190">+AF60+AF61</f>
        <v>831</v>
      </c>
      <c r="AG62" s="51">
        <f t="shared" ref="AG62:AH62" si="191">+AG60+AG61</f>
        <v>284</v>
      </c>
      <c r="AH62" s="629">
        <f t="shared" si="191"/>
        <v>326</v>
      </c>
      <c r="AI62" s="652">
        <f t="shared" si="190"/>
        <v>610</v>
      </c>
      <c r="AJ62" s="51">
        <f t="shared" si="190"/>
        <v>321</v>
      </c>
      <c r="AK62" s="629">
        <f t="shared" ref="AK62" si="192">+AK60+AK61</f>
        <v>382</v>
      </c>
      <c r="AL62" s="652">
        <f t="shared" si="190"/>
        <v>703</v>
      </c>
      <c r="AM62" s="51">
        <f t="shared" ref="AM62:AO62" si="193">+AM60+AM61</f>
        <v>394</v>
      </c>
      <c r="AN62" s="629">
        <f t="shared" si="193"/>
        <v>445</v>
      </c>
      <c r="AO62" s="652">
        <f t="shared" si="193"/>
        <v>839</v>
      </c>
      <c r="AP62" s="51">
        <f t="shared" ref="AP62:AR62" si="194">+AP60+AP61</f>
        <v>413</v>
      </c>
      <c r="AQ62" s="629">
        <f t="shared" si="194"/>
        <v>490</v>
      </c>
      <c r="AR62" s="652">
        <f t="shared" si="194"/>
        <v>903</v>
      </c>
      <c r="AS62" s="51">
        <f t="shared" ref="AS62" si="195">+AS60+AS61</f>
        <v>494</v>
      </c>
      <c r="AT62" s="218">
        <f t="shared" si="190"/>
        <v>585</v>
      </c>
      <c r="AU62" s="553">
        <f t="shared" si="190"/>
        <v>1079</v>
      </c>
      <c r="AV62" s="27">
        <f t="shared" si="190"/>
        <v>556</v>
      </c>
      <c r="AW62" s="237">
        <f t="shared" si="190"/>
        <v>600.54999999999995</v>
      </c>
      <c r="AX62" s="576">
        <f t="shared" si="190"/>
        <v>1156.55</v>
      </c>
      <c r="AY62" s="48">
        <f t="shared" si="190"/>
        <v>600.09999999999991</v>
      </c>
      <c r="AZ62" s="237">
        <f t="shared" si="190"/>
        <v>505.13249999999988</v>
      </c>
      <c r="BA62" s="576">
        <f t="shared" si="190"/>
        <v>1105.2324999999998</v>
      </c>
      <c r="BB62" s="48">
        <f t="shared" si="190"/>
        <v>496.35999999999996</v>
      </c>
      <c r="BC62" s="237">
        <f t="shared" si="190"/>
        <v>455.95824999999996</v>
      </c>
      <c r="BD62" s="576">
        <f t="shared" si="190"/>
        <v>952.31824999999992</v>
      </c>
      <c r="BE62" s="48">
        <f t="shared" si="190"/>
        <v>514.95550000000003</v>
      </c>
      <c r="BF62" s="237">
        <f t="shared" si="190"/>
        <v>474.96803749999998</v>
      </c>
      <c r="BG62" s="576">
        <f t="shared" si="190"/>
        <v>989.92353749999995</v>
      </c>
      <c r="BH62" s="48">
        <f t="shared" si="190"/>
        <v>534.48077499999999</v>
      </c>
      <c r="BI62" s="237">
        <f t="shared" si="190"/>
        <v>494.92831437500001</v>
      </c>
      <c r="BJ62" s="576">
        <f t="shared" si="190"/>
        <v>1029.4090893749999</v>
      </c>
      <c r="BK62" s="264">
        <f>+(AU62/AL62)^(1/3)-1</f>
        <v>0.15351179557922912</v>
      </c>
      <c r="BL62" s="433">
        <f>+(BA62/AL62)^(1/5)-1</f>
        <v>9.4711459731338765E-2</v>
      </c>
      <c r="BM62" s="106"/>
    </row>
    <row r="63" spans="1:65" s="70" customFormat="1" ht="12">
      <c r="A63" s="455" t="s">
        <v>818</v>
      </c>
      <c r="B63" s="51"/>
      <c r="C63" s="51"/>
      <c r="D63" s="51"/>
      <c r="E63" s="51"/>
      <c r="F63" s="51"/>
      <c r="G63" s="51"/>
      <c r="H63" s="51"/>
      <c r="I63" s="51"/>
      <c r="J63" s="51"/>
      <c r="K63" s="51"/>
      <c r="L63" s="51"/>
      <c r="M63" s="51"/>
      <c r="N63" s="51"/>
      <c r="O63" s="51"/>
      <c r="P63" s="51"/>
      <c r="Q63" s="51"/>
      <c r="R63" s="51"/>
      <c r="S63" s="629"/>
      <c r="T63" s="652"/>
      <c r="U63" s="51"/>
      <c r="V63" s="629"/>
      <c r="W63" s="652"/>
      <c r="X63" s="51"/>
      <c r="Y63" s="629"/>
      <c r="Z63" s="652"/>
      <c r="AA63" s="51">
        <f t="shared" ref="AA63:BJ63" si="196">+AA322</f>
        <v>292</v>
      </c>
      <c r="AB63" s="629">
        <f t="shared" si="196"/>
        <v>296</v>
      </c>
      <c r="AC63" s="652">
        <f t="shared" si="196"/>
        <v>588</v>
      </c>
      <c r="AD63" s="51">
        <f t="shared" si="196"/>
        <v>233</v>
      </c>
      <c r="AE63" s="629">
        <f t="shared" si="196"/>
        <v>194</v>
      </c>
      <c r="AF63" s="652">
        <f t="shared" si="196"/>
        <v>427</v>
      </c>
      <c r="AG63" s="51">
        <f t="shared" si="196"/>
        <v>166</v>
      </c>
      <c r="AH63" s="629">
        <f t="shared" si="196"/>
        <v>177</v>
      </c>
      <c r="AI63" s="652">
        <f t="shared" si="196"/>
        <v>343</v>
      </c>
      <c r="AJ63" s="51">
        <f t="shared" si="196"/>
        <v>156</v>
      </c>
      <c r="AK63" s="629">
        <f t="shared" si="196"/>
        <v>185</v>
      </c>
      <c r="AL63" s="652">
        <f t="shared" si="196"/>
        <v>341</v>
      </c>
      <c r="AM63" s="51">
        <f t="shared" si="196"/>
        <v>197</v>
      </c>
      <c r="AN63" s="629">
        <f t="shared" si="196"/>
        <v>191</v>
      </c>
      <c r="AO63" s="652">
        <f t="shared" si="196"/>
        <v>388</v>
      </c>
      <c r="AP63" s="51">
        <f t="shared" ref="AP63:AR63" si="197">+AP322</f>
        <v>211</v>
      </c>
      <c r="AQ63" s="629">
        <f t="shared" si="197"/>
        <v>199</v>
      </c>
      <c r="AR63" s="652">
        <f t="shared" si="197"/>
        <v>410</v>
      </c>
      <c r="AS63" s="51">
        <f t="shared" ref="AS63" si="198">+AS322</f>
        <v>202</v>
      </c>
      <c r="AT63" s="218">
        <f t="shared" si="196"/>
        <v>159</v>
      </c>
      <c r="AU63" s="553">
        <f t="shared" si="196"/>
        <v>361</v>
      </c>
      <c r="AV63" s="27">
        <f t="shared" si="196"/>
        <v>156</v>
      </c>
      <c r="AW63" s="237">
        <f t="shared" si="196"/>
        <v>207.3</v>
      </c>
      <c r="AX63" s="576">
        <f t="shared" si="196"/>
        <v>363.3</v>
      </c>
      <c r="AY63" s="48">
        <f t="shared" si="196"/>
        <v>156.4</v>
      </c>
      <c r="AZ63" s="237">
        <f t="shared" si="196"/>
        <v>210.23300000000003</v>
      </c>
      <c r="BA63" s="576">
        <f t="shared" si="196"/>
        <v>366.63300000000004</v>
      </c>
      <c r="BB63" s="48">
        <f t="shared" si="196"/>
        <v>157.81399999999999</v>
      </c>
      <c r="BC63" s="237">
        <f t="shared" si="196"/>
        <v>212.18533000000005</v>
      </c>
      <c r="BD63" s="576">
        <f t="shared" si="196"/>
        <v>369.99933000000004</v>
      </c>
      <c r="BE63" s="48">
        <f t="shared" si="196"/>
        <v>159.24214000000001</v>
      </c>
      <c r="BF63" s="237">
        <f t="shared" si="196"/>
        <v>214.15718330000004</v>
      </c>
      <c r="BG63" s="576">
        <f t="shared" si="196"/>
        <v>373.39932330000005</v>
      </c>
      <c r="BH63" s="48">
        <f t="shared" si="196"/>
        <v>160.68456140000001</v>
      </c>
      <c r="BI63" s="237">
        <f t="shared" si="196"/>
        <v>216.14875513300007</v>
      </c>
      <c r="BJ63" s="576">
        <f t="shared" si="196"/>
        <v>376.83331653300007</v>
      </c>
      <c r="BK63" s="264">
        <f>+(AU63/AL63)^(1/3)-1</f>
        <v>1.9180113408044486E-2</v>
      </c>
      <c r="BL63" s="433">
        <f>+(BA63/AL63)^(1/5)-1</f>
        <v>1.460134732581686E-2</v>
      </c>
      <c r="BM63" s="106"/>
    </row>
    <row r="64" spans="1:65" s="69" customFormat="1" ht="11.4">
      <c r="A64" s="455"/>
      <c r="B64" s="40"/>
      <c r="C64" s="40"/>
      <c r="D64" s="40"/>
      <c r="E64" s="40"/>
      <c r="F64" s="40"/>
      <c r="G64" s="40"/>
      <c r="H64" s="40"/>
      <c r="I64" s="40"/>
      <c r="J64" s="40"/>
      <c r="K64" s="40"/>
      <c r="L64" s="40"/>
      <c r="M64" s="40"/>
      <c r="N64" s="40"/>
      <c r="O64" s="40"/>
      <c r="P64" s="40"/>
      <c r="Q64" s="40"/>
      <c r="R64" s="51"/>
      <c r="S64" s="629"/>
      <c r="T64" s="652"/>
      <c r="U64" s="51"/>
      <c r="V64" s="629"/>
      <c r="W64" s="652"/>
      <c r="X64" s="51"/>
      <c r="Y64" s="629"/>
      <c r="Z64" s="652"/>
      <c r="AA64" s="51"/>
      <c r="AB64" s="629"/>
      <c r="AC64" s="652"/>
      <c r="AD64" s="51"/>
      <c r="AE64" s="629"/>
      <c r="AF64" s="652"/>
      <c r="AG64" s="51"/>
      <c r="AH64" s="629"/>
      <c r="AI64" s="652"/>
      <c r="AJ64" s="51"/>
      <c r="AK64" s="629"/>
      <c r="AL64" s="652"/>
      <c r="AM64" s="51"/>
      <c r="AN64" s="796"/>
      <c r="AO64" s="827"/>
      <c r="AP64" s="208"/>
      <c r="AQ64" s="796"/>
      <c r="AR64" s="827"/>
      <c r="AS64" s="208"/>
      <c r="AT64" s="796"/>
      <c r="AU64" s="827"/>
      <c r="AV64" s="208"/>
      <c r="AW64" s="796"/>
      <c r="AX64" s="827"/>
      <c r="AY64" s="208"/>
      <c r="AZ64" s="796"/>
      <c r="BA64" s="827"/>
      <c r="BB64" s="208"/>
      <c r="BC64" s="796"/>
      <c r="BD64" s="827"/>
      <c r="BE64" s="208"/>
      <c r="BF64" s="796"/>
      <c r="BG64" s="827"/>
      <c r="BH64" s="208"/>
      <c r="BI64" s="796"/>
      <c r="BJ64" s="827"/>
      <c r="BK64" s="163"/>
      <c r="BL64" s="107"/>
      <c r="BM64" s="107"/>
    </row>
    <row r="65" spans="1:65" s="69" customFormat="1" ht="11.4">
      <c r="A65" s="455" t="s">
        <v>913</v>
      </c>
      <c r="B65" s="40"/>
      <c r="C65" s="40"/>
      <c r="D65" s="40"/>
      <c r="E65" s="40"/>
      <c r="F65" s="40"/>
      <c r="G65" s="40"/>
      <c r="H65" s="40"/>
      <c r="I65" s="40"/>
      <c r="J65" s="40"/>
      <c r="K65" s="40"/>
      <c r="L65" s="40"/>
      <c r="M65" s="40"/>
      <c r="N65" s="40"/>
      <c r="O65" s="40"/>
      <c r="P65" s="40"/>
      <c r="Q65" s="40"/>
      <c r="R65" s="51"/>
      <c r="S65" s="629"/>
      <c r="T65" s="652"/>
      <c r="U65" s="51"/>
      <c r="V65" s="629"/>
      <c r="W65" s="652"/>
      <c r="X65" s="51"/>
      <c r="Y65" s="629"/>
      <c r="Z65" s="652"/>
      <c r="AA65" s="51"/>
      <c r="AB65" s="629"/>
      <c r="AC65" s="652"/>
      <c r="AD65" s="51"/>
      <c r="AE65" s="629"/>
      <c r="AF65" s="652"/>
      <c r="AG65" s="51"/>
      <c r="AH65" s="629"/>
      <c r="AI65" s="652"/>
      <c r="AJ65" s="51"/>
      <c r="AK65" s="629"/>
      <c r="AL65" s="652"/>
      <c r="AM65" s="51"/>
      <c r="AN65" s="796"/>
      <c r="AO65" s="827"/>
      <c r="AP65" s="208"/>
      <c r="AQ65" s="796"/>
      <c r="AR65" s="827"/>
      <c r="AS65" s="208"/>
      <c r="AT65" s="796"/>
      <c r="AU65" s="827"/>
      <c r="AV65" s="208"/>
      <c r="AW65" s="796"/>
      <c r="AX65" s="827"/>
      <c r="AY65" s="208"/>
      <c r="AZ65" s="796"/>
      <c r="BA65" s="827"/>
      <c r="BB65" s="208"/>
      <c r="BC65" s="796"/>
      <c r="BD65" s="827"/>
      <c r="BE65" s="208"/>
      <c r="BF65" s="796"/>
      <c r="BG65" s="827"/>
      <c r="BH65" s="208"/>
      <c r="BI65" s="796"/>
      <c r="BJ65" s="827"/>
      <c r="BK65" s="163"/>
      <c r="BL65" s="107"/>
      <c r="BM65" s="107"/>
    </row>
    <row r="66" spans="1:65" s="69" customFormat="1" ht="11.4">
      <c r="A66" s="101" t="s">
        <v>816</v>
      </c>
      <c r="B66" s="40"/>
      <c r="C66" s="40"/>
      <c r="D66" s="40"/>
      <c r="E66" s="40"/>
      <c r="F66" s="40"/>
      <c r="G66" s="40"/>
      <c r="H66" s="40"/>
      <c r="I66" s="40"/>
      <c r="J66" s="40"/>
      <c r="K66" s="40"/>
      <c r="L66" s="40"/>
      <c r="M66" s="40"/>
      <c r="N66" s="40"/>
      <c r="O66" s="40"/>
      <c r="P66" s="40"/>
      <c r="Q66" s="40"/>
      <c r="R66" s="51"/>
      <c r="S66" s="629"/>
      <c r="T66" s="652"/>
      <c r="U66" s="51"/>
      <c r="V66" s="629"/>
      <c r="W66" s="652"/>
      <c r="X66" s="51"/>
      <c r="Y66" s="629"/>
      <c r="Z66" s="652"/>
      <c r="AA66" s="952">
        <f t="shared" ref="AA66:AB66" si="199">+AA60/AA$59</f>
        <v>0.18193548387096775</v>
      </c>
      <c r="AB66" s="647">
        <f t="shared" si="199"/>
        <v>0.21181001283697048</v>
      </c>
      <c r="AC66" s="671">
        <f>+AC60/AC$59</f>
        <v>0.19691119691119691</v>
      </c>
      <c r="AD66" s="952">
        <f t="shared" ref="AD66:AE66" si="200">+AD60/AD$59</f>
        <v>0.22869318181818182</v>
      </c>
      <c r="AE66" s="647">
        <f t="shared" si="200"/>
        <v>0.2003610108303249</v>
      </c>
      <c r="AF66" s="671">
        <f>+AF60/AF$59</f>
        <v>0.21621621621621623</v>
      </c>
      <c r="AG66" s="952">
        <f t="shared" ref="AG66:AH67" si="201">+AG60/AG$59</f>
        <v>0.20444444444444446</v>
      </c>
      <c r="AH66" s="647">
        <f t="shared" si="201"/>
        <v>0.23061630218687873</v>
      </c>
      <c r="AI66" s="671">
        <f t="shared" ref="AI66:BJ67" si="202">+AI60/AI$59</f>
        <v>0.21825813221406087</v>
      </c>
      <c r="AJ66" s="952">
        <f t="shared" si="202"/>
        <v>0.23689727463312368</v>
      </c>
      <c r="AK66" s="647">
        <f t="shared" ref="AK66" si="203">+AK60/AK$59</f>
        <v>0.23809523809523808</v>
      </c>
      <c r="AL66" s="671">
        <f t="shared" si="202"/>
        <v>0.23754789272030652</v>
      </c>
      <c r="AM66" s="952">
        <f t="shared" ref="AM66:AO67" si="204">+AM60/AM$59</f>
        <v>0.24365482233502539</v>
      </c>
      <c r="AN66" s="647">
        <f t="shared" si="204"/>
        <v>0.3522012578616352</v>
      </c>
      <c r="AO66" s="671">
        <f t="shared" si="204"/>
        <v>0.29991850040749796</v>
      </c>
      <c r="AP66" s="952">
        <f t="shared" ref="AP66:AR67" si="205">+AP60/AP$59</f>
        <v>0.3125</v>
      </c>
      <c r="AQ66" s="647">
        <f t="shared" si="205"/>
        <v>0.34107402031930334</v>
      </c>
      <c r="AR66" s="671">
        <f t="shared" si="205"/>
        <v>0.32749428789032747</v>
      </c>
      <c r="AS66" s="952">
        <f t="shared" ref="AS66" si="206">+AS60/AS$59</f>
        <v>0.31178160919540232</v>
      </c>
      <c r="AT66" s="217">
        <f t="shared" si="202"/>
        <v>0.40322580645161288</v>
      </c>
      <c r="AU66" s="554">
        <f t="shared" si="202"/>
        <v>0.35902777777777778</v>
      </c>
      <c r="AV66" s="211">
        <f t="shared" si="202"/>
        <v>0.41292134831460675</v>
      </c>
      <c r="AW66" s="252">
        <f t="shared" si="202"/>
        <v>0.37203688803614532</v>
      </c>
      <c r="AX66" s="577">
        <f t="shared" si="202"/>
        <v>0.39118992005790043</v>
      </c>
      <c r="AY66" s="251">
        <f t="shared" si="202"/>
        <v>0.44692663582286851</v>
      </c>
      <c r="AZ66" s="252">
        <f t="shared" si="202"/>
        <v>0.48315511441354098</v>
      </c>
      <c r="BA66" s="577">
        <f t="shared" si="202"/>
        <v>0.46453463308977616</v>
      </c>
      <c r="BB66" s="251">
        <f t="shared" si="202"/>
        <v>0.56851846756367574</v>
      </c>
      <c r="BC66" s="252">
        <f t="shared" si="202"/>
        <v>0.56903300634872511</v>
      </c>
      <c r="BD66" s="577">
        <f t="shared" si="202"/>
        <v>0.5687784548701228</v>
      </c>
      <c r="BE66" s="251">
        <f t="shared" si="202"/>
        <v>0.57921516901186409</v>
      </c>
      <c r="BF66" s="252">
        <f t="shared" si="202"/>
        <v>0.57929317553719106</v>
      </c>
      <c r="BG66" s="577">
        <f t="shared" si="202"/>
        <v>0.57925459933723722</v>
      </c>
      <c r="BH66" s="251">
        <f t="shared" si="202"/>
        <v>0.58983202057138706</v>
      </c>
      <c r="BI66" s="252">
        <f t="shared" si="202"/>
        <v>0.58948014547146665</v>
      </c>
      <c r="BJ66" s="577">
        <f t="shared" si="202"/>
        <v>0.58965409227550225</v>
      </c>
      <c r="BK66" s="163"/>
      <c r="BL66" s="107"/>
      <c r="BM66" s="107"/>
    </row>
    <row r="67" spans="1:65" s="69" customFormat="1" ht="11.4">
      <c r="A67" s="101" t="s">
        <v>817</v>
      </c>
      <c r="B67" s="40"/>
      <c r="C67" s="40"/>
      <c r="D67" s="40"/>
      <c r="E67" s="40"/>
      <c r="F67" s="40"/>
      <c r="G67" s="40"/>
      <c r="H67" s="40"/>
      <c r="I67" s="40"/>
      <c r="J67" s="40"/>
      <c r="K67" s="40"/>
      <c r="L67" s="40"/>
      <c r="M67" s="40"/>
      <c r="N67" s="40"/>
      <c r="O67" s="40"/>
      <c r="P67" s="40"/>
      <c r="Q67" s="40"/>
      <c r="R67" s="51"/>
      <c r="S67" s="629"/>
      <c r="T67" s="652"/>
      <c r="U67" s="51"/>
      <c r="V67" s="629"/>
      <c r="W67" s="652"/>
      <c r="X67" s="51"/>
      <c r="Y67" s="629"/>
      <c r="Z67" s="652"/>
      <c r="AA67" s="952">
        <f t="shared" ref="AA67:AB67" si="207">+AA61/AA$59</f>
        <v>0.44129032258064516</v>
      </c>
      <c r="AB67" s="647">
        <f t="shared" si="207"/>
        <v>0.40821566110397944</v>
      </c>
      <c r="AC67" s="671">
        <f>+AC61/AC$59</f>
        <v>0.42471042471042469</v>
      </c>
      <c r="AD67" s="952">
        <f t="shared" ref="AD67:AE67" si="208">+AD61/AD$59</f>
        <v>0.44034090909090912</v>
      </c>
      <c r="AE67" s="647">
        <f t="shared" si="208"/>
        <v>0.44945848375451264</v>
      </c>
      <c r="AF67" s="671">
        <f>+AF61/AF$59</f>
        <v>0.44435612082670906</v>
      </c>
      <c r="AG67" s="952">
        <f t="shared" ref="AG67" si="209">+AG61/AG$59</f>
        <v>0.42666666666666669</v>
      </c>
      <c r="AH67" s="647">
        <f t="shared" si="201"/>
        <v>0.41749502982107356</v>
      </c>
      <c r="AI67" s="671">
        <f t="shared" ref="AI67:BJ67" si="210">+AI61/AI$59</f>
        <v>0.42182581322140611</v>
      </c>
      <c r="AJ67" s="952">
        <f t="shared" si="202"/>
        <v>0.4360587002096436</v>
      </c>
      <c r="AK67" s="647">
        <f t="shared" ref="AK67" si="211">+AK61/AK$59</f>
        <v>0.43562610229276894</v>
      </c>
      <c r="AL67" s="671">
        <f t="shared" si="210"/>
        <v>0.43582375478927204</v>
      </c>
      <c r="AM67" s="952">
        <f t="shared" ref="AM67" si="212">+AM61/AM$59</f>
        <v>0.4230118443316413</v>
      </c>
      <c r="AN67" s="647">
        <f t="shared" si="204"/>
        <v>0.34748427672955973</v>
      </c>
      <c r="AO67" s="671">
        <f t="shared" si="204"/>
        <v>0.38386308068459657</v>
      </c>
      <c r="AP67" s="952">
        <f t="shared" si="205"/>
        <v>0.34935897435897434</v>
      </c>
      <c r="AQ67" s="647">
        <f t="shared" si="205"/>
        <v>0.37010159651669083</v>
      </c>
      <c r="AR67" s="671">
        <f t="shared" si="205"/>
        <v>0.36024371667936023</v>
      </c>
      <c r="AS67" s="952">
        <f t="shared" ref="AS67" si="213">+AS61/AS$59</f>
        <v>0.39798850574712646</v>
      </c>
      <c r="AT67" s="217">
        <f t="shared" si="202"/>
        <v>0.38306451612903225</v>
      </c>
      <c r="AU67" s="554">
        <f t="shared" si="210"/>
        <v>0.39027777777777778</v>
      </c>
      <c r="AV67" s="211">
        <f t="shared" si="202"/>
        <v>0.36797752808988765</v>
      </c>
      <c r="AW67" s="252">
        <f t="shared" si="202"/>
        <v>0.37135606857708736</v>
      </c>
      <c r="AX67" s="577">
        <f t="shared" si="210"/>
        <v>0.36977333289469355</v>
      </c>
      <c r="AY67" s="251">
        <f t="shared" si="202"/>
        <v>0.34633179114342372</v>
      </c>
      <c r="AZ67" s="252">
        <f t="shared" si="202"/>
        <v>0.22296294691315144</v>
      </c>
      <c r="BA67" s="577">
        <f t="shared" si="210"/>
        <v>0.28637127509273097</v>
      </c>
      <c r="BB67" s="251">
        <f t="shared" si="202"/>
        <v>0.19023990559086726</v>
      </c>
      <c r="BC67" s="252">
        <f t="shared" si="202"/>
        <v>0.11339254356077175</v>
      </c>
      <c r="BD67" s="577">
        <f t="shared" si="210"/>
        <v>0.15141029887842827</v>
      </c>
      <c r="BE67" s="251">
        <f t="shared" si="202"/>
        <v>0.18458978883402791</v>
      </c>
      <c r="BF67" s="252">
        <f t="shared" si="202"/>
        <v>0.10994010625826159</v>
      </c>
      <c r="BG67" s="577">
        <f t="shared" si="210"/>
        <v>0.1468562625602236</v>
      </c>
      <c r="BH67" s="251">
        <f t="shared" si="202"/>
        <v>0.17902215988570397</v>
      </c>
      <c r="BI67" s="252">
        <f t="shared" si="202"/>
        <v>0.10654611609458968</v>
      </c>
      <c r="BJ67" s="577">
        <f t="shared" si="210"/>
        <v>0.14237410218811053</v>
      </c>
      <c r="BK67" s="163"/>
      <c r="BL67" s="107"/>
      <c r="BM67" s="107"/>
    </row>
    <row r="68" spans="1:65" s="69" customFormat="1" ht="11.4">
      <c r="A68" s="101" t="s">
        <v>818</v>
      </c>
      <c r="B68" s="40"/>
      <c r="C68" s="40"/>
      <c r="D68" s="40"/>
      <c r="E68" s="40"/>
      <c r="F68" s="40"/>
      <c r="G68" s="40"/>
      <c r="H68" s="40"/>
      <c r="I68" s="40"/>
      <c r="J68" s="40"/>
      <c r="K68" s="40"/>
      <c r="L68" s="40"/>
      <c r="M68" s="40"/>
      <c r="N68" s="40"/>
      <c r="O68" s="40"/>
      <c r="P68" s="40"/>
      <c r="Q68" s="40"/>
      <c r="R68" s="51"/>
      <c r="S68" s="629"/>
      <c r="T68" s="652"/>
      <c r="U68" s="51"/>
      <c r="V68" s="629"/>
      <c r="W68" s="652"/>
      <c r="X68" s="51"/>
      <c r="Y68" s="629"/>
      <c r="Z68" s="652"/>
      <c r="AA68" s="952">
        <f t="shared" ref="AA68:AB68" si="214">+AA63/AA$59</f>
        <v>0.37677419354838709</v>
      </c>
      <c r="AB68" s="647">
        <f t="shared" si="214"/>
        <v>0.37997432605905007</v>
      </c>
      <c r="AC68" s="671">
        <f>+AC63/AC$59</f>
        <v>0.3783783783783784</v>
      </c>
      <c r="AD68" s="952">
        <f t="shared" ref="AD68:AE68" si="215">+AD63/AD$59</f>
        <v>0.33096590909090912</v>
      </c>
      <c r="AE68" s="647">
        <f t="shared" si="215"/>
        <v>0.35018050541516244</v>
      </c>
      <c r="AF68" s="671">
        <f>+AF63/AF$59</f>
        <v>0.33942766295707472</v>
      </c>
      <c r="AG68" s="952">
        <f t="shared" ref="AG68:AH68" si="216">+AG63/AG$59</f>
        <v>0.36888888888888888</v>
      </c>
      <c r="AH68" s="647">
        <f t="shared" si="216"/>
        <v>0.35188866799204771</v>
      </c>
      <c r="AI68" s="671">
        <f t="shared" ref="AI68:BJ68" si="217">+AI63/AI$59</f>
        <v>0.35991605456453307</v>
      </c>
      <c r="AJ68" s="952">
        <f t="shared" si="217"/>
        <v>0.32704402515723269</v>
      </c>
      <c r="AK68" s="647">
        <f t="shared" ref="AK68" si="218">+AK63/AK$59</f>
        <v>0.32627865961199293</v>
      </c>
      <c r="AL68" s="671">
        <f t="shared" si="217"/>
        <v>0.32662835249042144</v>
      </c>
      <c r="AM68" s="952">
        <f t="shared" ref="AM68:AO68" si="219">+AM63/AM$59</f>
        <v>0.33333333333333331</v>
      </c>
      <c r="AN68" s="647">
        <f t="shared" si="219"/>
        <v>0.30031446540880502</v>
      </c>
      <c r="AO68" s="671">
        <f t="shared" si="219"/>
        <v>0.31621841890790547</v>
      </c>
      <c r="AP68" s="952">
        <f t="shared" ref="AP68:AR68" si="220">+AP63/AP$59</f>
        <v>0.33814102564102566</v>
      </c>
      <c r="AQ68" s="647">
        <f t="shared" si="220"/>
        <v>0.28882438316400583</v>
      </c>
      <c r="AR68" s="671">
        <f t="shared" si="220"/>
        <v>0.31226199543031224</v>
      </c>
      <c r="AS68" s="952">
        <f t="shared" ref="AS68" si="221">+AS63/AS$59</f>
        <v>0.29022988505747127</v>
      </c>
      <c r="AT68" s="217">
        <f t="shared" si="217"/>
        <v>0.21370967741935484</v>
      </c>
      <c r="AU68" s="554">
        <f t="shared" si="217"/>
        <v>0.25069444444444444</v>
      </c>
      <c r="AV68" s="211">
        <f t="shared" si="217"/>
        <v>0.21910112359550563</v>
      </c>
      <c r="AW68" s="252">
        <f t="shared" si="217"/>
        <v>0.25660704338676738</v>
      </c>
      <c r="AX68" s="577">
        <f t="shared" si="217"/>
        <v>0.23903674704740602</v>
      </c>
      <c r="AY68" s="251">
        <f t="shared" si="217"/>
        <v>0.20674157303370791</v>
      </c>
      <c r="AZ68" s="252">
        <f t="shared" si="217"/>
        <v>0.29388193867330764</v>
      </c>
      <c r="BA68" s="577">
        <f t="shared" si="217"/>
        <v>0.24909409181749287</v>
      </c>
      <c r="BB68" s="251">
        <f t="shared" si="217"/>
        <v>0.24124162684545702</v>
      </c>
      <c r="BC68" s="252">
        <f t="shared" si="217"/>
        <v>0.31757445009050306</v>
      </c>
      <c r="BD68" s="577">
        <f t="shared" si="217"/>
        <v>0.27981124625144899</v>
      </c>
      <c r="BE68" s="251">
        <f t="shared" si="217"/>
        <v>0.23619504215410778</v>
      </c>
      <c r="BF68" s="252">
        <f t="shared" si="217"/>
        <v>0.31076671820454727</v>
      </c>
      <c r="BG68" s="577">
        <f t="shared" si="217"/>
        <v>0.27388913810253923</v>
      </c>
      <c r="BH68" s="251">
        <f t="shared" si="217"/>
        <v>0.23114581954290897</v>
      </c>
      <c r="BI68" s="252">
        <f t="shared" si="217"/>
        <v>0.30397373843394376</v>
      </c>
      <c r="BJ68" s="577">
        <f t="shared" si="217"/>
        <v>0.26797180553638739</v>
      </c>
      <c r="BK68" s="163"/>
      <c r="BL68" s="107"/>
      <c r="BM68" s="107"/>
    </row>
    <row r="69" spans="1:65" s="40" customFormat="1" ht="11.4">
      <c r="A69" s="455"/>
      <c r="R69" s="51"/>
      <c r="S69" s="629"/>
      <c r="T69" s="652"/>
      <c r="U69" s="51"/>
      <c r="V69" s="629"/>
      <c r="W69" s="652"/>
      <c r="X69" s="51"/>
      <c r="Y69" s="629"/>
      <c r="Z69" s="652"/>
      <c r="AA69" s="51"/>
      <c r="AB69" s="629"/>
      <c r="AC69" s="652"/>
      <c r="AD69" s="51"/>
      <c r="AE69" s="629"/>
      <c r="AF69" s="652"/>
      <c r="AG69" s="51"/>
      <c r="AH69" s="629"/>
      <c r="AI69" s="652"/>
      <c r="AJ69" s="51"/>
      <c r="AK69" s="629"/>
      <c r="AL69" s="652"/>
      <c r="AM69" s="51"/>
      <c r="AN69" s="218"/>
      <c r="AO69" s="553"/>
      <c r="AP69" s="27"/>
      <c r="AQ69" s="218"/>
      <c r="AR69" s="553"/>
      <c r="AS69" s="27"/>
      <c r="AT69" s="218"/>
      <c r="AU69" s="553"/>
      <c r="AV69" s="27"/>
      <c r="AW69" s="218"/>
      <c r="AX69" s="553"/>
      <c r="AY69" s="27"/>
      <c r="AZ69" s="218"/>
      <c r="BA69" s="553"/>
      <c r="BB69" s="27"/>
      <c r="BC69" s="218"/>
      <c r="BD69" s="553"/>
      <c r="BE69" s="27"/>
      <c r="BF69" s="218"/>
      <c r="BG69" s="553"/>
      <c r="BH69" s="27"/>
      <c r="BI69" s="218"/>
      <c r="BJ69" s="553"/>
      <c r="BK69" s="221"/>
      <c r="BL69" s="108"/>
      <c r="BM69" s="108"/>
    </row>
    <row r="70" spans="1:65" s="40" customFormat="1" ht="11.4">
      <c r="A70" s="455" t="s">
        <v>907</v>
      </c>
      <c r="R70" s="51"/>
      <c r="S70" s="629"/>
      <c r="T70" s="652"/>
      <c r="U70" s="51"/>
      <c r="V70" s="629"/>
      <c r="W70" s="652"/>
      <c r="X70" s="51"/>
      <c r="Y70" s="629"/>
      <c r="Z70" s="652"/>
      <c r="AA70" s="51"/>
      <c r="AB70" s="629"/>
      <c r="AC70" s="652"/>
      <c r="AD70" s="51"/>
      <c r="AE70" s="629"/>
      <c r="AF70" s="652"/>
      <c r="AG70" s="51"/>
      <c r="AH70" s="629"/>
      <c r="AI70" s="652"/>
      <c r="AJ70" s="51"/>
      <c r="AK70" s="629"/>
      <c r="AL70" s="652"/>
      <c r="AM70" s="51"/>
      <c r="AN70" s="218"/>
      <c r="AO70" s="553"/>
      <c r="AP70" s="27"/>
      <c r="AQ70" s="218"/>
      <c r="AR70" s="553"/>
      <c r="AS70" s="27"/>
      <c r="AT70" s="218"/>
      <c r="AU70" s="553"/>
      <c r="AV70" s="27"/>
      <c r="AW70" s="218"/>
      <c r="AX70" s="553"/>
      <c r="AY70" s="27"/>
      <c r="AZ70" s="218"/>
      <c r="BA70" s="553"/>
      <c r="BB70" s="27"/>
      <c r="BC70" s="218"/>
      <c r="BD70" s="553"/>
      <c r="BE70" s="27"/>
      <c r="BF70" s="218"/>
      <c r="BG70" s="553"/>
      <c r="BH70" s="27"/>
      <c r="BI70" s="218"/>
      <c r="BJ70" s="553"/>
      <c r="BK70" s="221"/>
      <c r="BL70" s="108"/>
      <c r="BM70" s="108"/>
    </row>
    <row r="71" spans="1:65" s="40" customFormat="1" ht="11.4">
      <c r="A71" s="455"/>
      <c r="R71" s="51"/>
      <c r="S71" s="629"/>
      <c r="T71" s="652"/>
      <c r="U71" s="51"/>
      <c r="V71" s="629"/>
      <c r="W71" s="652"/>
      <c r="X71" s="51"/>
      <c r="Y71" s="629"/>
      <c r="Z71" s="652"/>
      <c r="AA71" s="461"/>
      <c r="AB71" s="863"/>
      <c r="AC71" s="888"/>
      <c r="AD71" s="461"/>
      <c r="AE71" s="863"/>
      <c r="AF71" s="888"/>
      <c r="AG71" s="461"/>
      <c r="AH71" s="863"/>
      <c r="AI71" s="888"/>
      <c r="AJ71" s="461"/>
      <c r="AK71" s="863"/>
      <c r="AL71" s="888"/>
      <c r="AM71" s="461"/>
      <c r="AN71" s="218"/>
      <c r="AO71" s="553"/>
      <c r="AP71" s="27"/>
      <c r="AQ71" s="218"/>
      <c r="AR71" s="553"/>
      <c r="AS71" s="27"/>
      <c r="AT71" s="218"/>
      <c r="AU71" s="553"/>
      <c r="AV71" s="27"/>
      <c r="AW71" s="218"/>
      <c r="AX71" s="553"/>
      <c r="AY71" s="27"/>
      <c r="AZ71" s="218"/>
      <c r="BA71" s="553"/>
      <c r="BB71" s="27"/>
      <c r="BC71" s="218"/>
      <c r="BD71" s="553"/>
      <c r="BE71" s="27"/>
      <c r="BF71" s="218"/>
      <c r="BG71" s="553"/>
      <c r="BH71" s="27"/>
      <c r="BI71" s="218"/>
      <c r="BJ71" s="553"/>
      <c r="BK71" s="221"/>
      <c r="BL71" s="108"/>
      <c r="BM71" s="108"/>
    </row>
    <row r="72" spans="1:65" s="40" customFormat="1">
      <c r="A72" s="455" t="s">
        <v>914</v>
      </c>
      <c r="R72" s="51"/>
      <c r="S72" s="629"/>
      <c r="T72" s="652"/>
      <c r="U72" s="51"/>
      <c r="V72" s="629"/>
      <c r="W72" s="652"/>
      <c r="X72" s="51"/>
      <c r="Y72" s="629"/>
      <c r="Z72" s="652"/>
      <c r="AA72" s="27">
        <f>AC72/2</f>
        <v>1947</v>
      </c>
      <c r="AB72" s="218">
        <f>AC72-AA72</f>
        <v>1947</v>
      </c>
      <c r="AC72" s="553">
        <v>3894</v>
      </c>
      <c r="AD72" s="27">
        <f>AF72/2</f>
        <v>855.5</v>
      </c>
      <c r="AE72" s="218">
        <f>AF72-AD72</f>
        <v>855.5</v>
      </c>
      <c r="AF72" s="553">
        <v>1711</v>
      </c>
      <c r="AG72" s="27">
        <v>1002</v>
      </c>
      <c r="AH72" s="218">
        <f>AI72-AG72</f>
        <v>1287</v>
      </c>
      <c r="AI72" s="553">
        <v>2289</v>
      </c>
      <c r="AJ72" s="27">
        <v>1648</v>
      </c>
      <c r="AK72" s="629">
        <f>AL72-AJ72</f>
        <v>1916</v>
      </c>
      <c r="AL72" s="652">
        <v>3564</v>
      </c>
      <c r="AM72" s="51">
        <v>2337</v>
      </c>
      <c r="AN72" s="629">
        <f>AO72-AM72</f>
        <v>2311</v>
      </c>
      <c r="AO72" s="652">
        <v>4648</v>
      </c>
      <c r="AP72" s="51">
        <v>2894</v>
      </c>
      <c r="AQ72" s="629">
        <f>AR72-AP72</f>
        <v>2610</v>
      </c>
      <c r="AR72" s="652">
        <v>5504</v>
      </c>
      <c r="AS72" s="51">
        <v>2949</v>
      </c>
      <c r="AT72" s="629">
        <f>AU72-AS72</f>
        <v>3021</v>
      </c>
      <c r="AU72" s="652">
        <v>5970</v>
      </c>
      <c r="AV72" s="27">
        <v>3375</v>
      </c>
      <c r="AW72" s="237">
        <f>AW73+AW74</f>
        <v>3852.3106212999955</v>
      </c>
      <c r="AX72" s="576">
        <f t="shared" ref="AX72:BJ72" si="222">AX73+AX74</f>
        <v>7227.3106212999955</v>
      </c>
      <c r="AY72" s="48">
        <f t="shared" si="222"/>
        <v>3990.7765252177023</v>
      </c>
      <c r="AZ72" s="237">
        <f>AZ73+AZ74</f>
        <v>4087.014749217702</v>
      </c>
      <c r="BA72" s="576">
        <f t="shared" si="222"/>
        <v>8077.7912744354044</v>
      </c>
      <c r="BB72" s="48">
        <f t="shared" si="222"/>
        <v>4314.587600578956</v>
      </c>
      <c r="BC72" s="237">
        <f>BC73+BC74</f>
        <v>4493.420400708048</v>
      </c>
      <c r="BD72" s="576">
        <f t="shared" si="222"/>
        <v>8808.0080012870039</v>
      </c>
      <c r="BE72" s="48">
        <f t="shared" si="222"/>
        <v>4683.7163753163841</v>
      </c>
      <c r="BF72" s="237">
        <f>BF73+BF74</f>
        <v>4950.1338233455499</v>
      </c>
      <c r="BG72" s="576">
        <f t="shared" si="222"/>
        <v>9633.850198661934</v>
      </c>
      <c r="BH72" s="48">
        <f t="shared" si="222"/>
        <v>5144.5113366538872</v>
      </c>
      <c r="BI72" s="237">
        <f>BI73+BI74</f>
        <v>5506.2296929658514</v>
      </c>
      <c r="BJ72" s="576">
        <f t="shared" si="222"/>
        <v>10650.741029619738</v>
      </c>
      <c r="BK72" s="264">
        <f>+(AU72/AL72)^(1/3)-1</f>
        <v>0.1876237625593753</v>
      </c>
      <c r="BL72" s="433">
        <f>+(BA72/AL72)^(1/5)-1</f>
        <v>0.1777984714025842</v>
      </c>
      <c r="BM72" s="264">
        <f>(AR72/AI72)^(1/3)-1</f>
        <v>0.33971024193767119</v>
      </c>
    </row>
    <row r="73" spans="1:65" s="40" customFormat="1">
      <c r="A73" s="460" t="s">
        <v>910</v>
      </c>
      <c r="R73" s="51"/>
      <c r="S73" s="629"/>
      <c r="T73" s="652"/>
      <c r="U73" s="51"/>
      <c r="V73" s="629"/>
      <c r="W73" s="652"/>
      <c r="X73" s="51"/>
      <c r="Y73" s="629"/>
      <c r="Z73" s="652"/>
      <c r="AA73" s="10">
        <f t="shared" ref="AA73:AB73" si="223">AA107</f>
        <v>1348.0392156862745</v>
      </c>
      <c r="AB73" s="216">
        <f t="shared" si="223"/>
        <v>1651.9607843137255</v>
      </c>
      <c r="AC73" s="653">
        <f t="shared" ref="AC73:AL73" si="224">AC107</f>
        <v>3000</v>
      </c>
      <c r="AD73" s="10">
        <f t="shared" si="224"/>
        <v>943.54838709677415</v>
      </c>
      <c r="AE73" s="216">
        <f t="shared" si="224"/>
        <v>105.22161290322583</v>
      </c>
      <c r="AF73" s="556">
        <f t="shared" si="224"/>
        <v>1048.77</v>
      </c>
      <c r="AG73" s="10">
        <f t="shared" ref="AG73:AH73" si="225">AG107</f>
        <v>690.64748201438852</v>
      </c>
      <c r="AH73" s="216">
        <f t="shared" si="225"/>
        <v>629.8325179856115</v>
      </c>
      <c r="AI73" s="556">
        <f t="shared" si="224"/>
        <v>1320.48</v>
      </c>
      <c r="AJ73" s="10">
        <f t="shared" si="224"/>
        <v>919.88</v>
      </c>
      <c r="AK73" s="216">
        <f t="shared" ref="AK73" si="226">AK107</f>
        <v>1550.12</v>
      </c>
      <c r="AL73" s="556">
        <f t="shared" si="224"/>
        <v>2470</v>
      </c>
      <c r="AM73" s="10">
        <f t="shared" ref="AM73:AO73" si="227">AM107</f>
        <v>1576.1777777777779</v>
      </c>
      <c r="AN73" s="216">
        <f t="shared" si="227"/>
        <v>1855.8222222222221</v>
      </c>
      <c r="AO73" s="556">
        <f t="shared" si="227"/>
        <v>3432</v>
      </c>
      <c r="AP73" s="10">
        <f t="shared" ref="AP73:AR73" si="228">AP107</f>
        <v>2031.3164556962026</v>
      </c>
      <c r="AQ73" s="216">
        <f t="shared" si="228"/>
        <v>2191.6835443037971</v>
      </c>
      <c r="AR73" s="556">
        <f t="shared" si="228"/>
        <v>4223</v>
      </c>
      <c r="AS73" s="10">
        <f t="shared" ref="AS73:AT73" si="229">AS107</f>
        <v>2275.6235294117641</v>
      </c>
      <c r="AT73" s="216">
        <f t="shared" si="229"/>
        <v>2500.3764705882359</v>
      </c>
      <c r="AU73" s="653">
        <f t="shared" ref="AU73:BH73" si="230">AU107</f>
        <v>4776</v>
      </c>
      <c r="AV73" s="40">
        <f>AV107</f>
        <v>2700</v>
      </c>
      <c r="AW73" s="601">
        <f>AW107</f>
        <v>3153.6914908652125</v>
      </c>
      <c r="AX73" s="625">
        <f t="shared" si="230"/>
        <v>5853.6914908652125</v>
      </c>
      <c r="AY73" s="49">
        <f t="shared" si="230"/>
        <v>3286.9765252177021</v>
      </c>
      <c r="AZ73" s="601">
        <f>AZ107</f>
        <v>3286.9765252177021</v>
      </c>
      <c r="BA73" s="625">
        <f t="shared" si="230"/>
        <v>6573.9530504354043</v>
      </c>
      <c r="BB73" s="49">
        <f t="shared" si="230"/>
        <v>3580.3962369425926</v>
      </c>
      <c r="BC73" s="601">
        <f>BC107</f>
        <v>3580.3962369425926</v>
      </c>
      <c r="BD73" s="625">
        <f t="shared" si="230"/>
        <v>7160.7924738851852</v>
      </c>
      <c r="BE73" s="49">
        <f t="shared" si="230"/>
        <v>3934.841184407293</v>
      </c>
      <c r="BF73" s="601">
        <f>BF107</f>
        <v>3934.841184407293</v>
      </c>
      <c r="BG73" s="625">
        <f t="shared" si="230"/>
        <v>7869.682368814586</v>
      </c>
      <c r="BH73" s="49">
        <f t="shared" si="230"/>
        <v>4380.6586419266141</v>
      </c>
      <c r="BI73" s="601">
        <f>BI107</f>
        <v>4380.6586419266141</v>
      </c>
      <c r="BJ73" s="625">
        <f>BJ107</f>
        <v>8761.3172838532282</v>
      </c>
      <c r="BK73" s="264">
        <f>+(AU73/AL73)^(1/3)-1</f>
        <v>0.24582140466265612</v>
      </c>
      <c r="BL73" s="433">
        <f>+(BA73/AL73)^(1/5)-1</f>
        <v>0.21625861358156584</v>
      </c>
      <c r="BM73" s="264">
        <f>(AR73/AI73)^(1/3)-1</f>
        <v>0.47331773907884434</v>
      </c>
    </row>
    <row r="74" spans="1:65" s="40" customFormat="1">
      <c r="A74" s="460" t="s">
        <v>911</v>
      </c>
      <c r="R74" s="51"/>
      <c r="S74" s="629"/>
      <c r="T74" s="652"/>
      <c r="U74" s="51"/>
      <c r="V74" s="629"/>
      <c r="W74" s="652"/>
      <c r="X74" s="51"/>
      <c r="Y74" s="629"/>
      <c r="Z74" s="652"/>
      <c r="AA74" s="40">
        <f t="shared" ref="AA74:AM74" si="231">AA72-AA73</f>
        <v>598.96078431372553</v>
      </c>
      <c r="AB74" s="630">
        <f t="shared" si="231"/>
        <v>295.03921568627447</v>
      </c>
      <c r="AC74" s="653">
        <f t="shared" si="231"/>
        <v>894</v>
      </c>
      <c r="AD74" s="40">
        <f t="shared" si="231"/>
        <v>-88.04838709677415</v>
      </c>
      <c r="AE74" s="630">
        <f t="shared" si="231"/>
        <v>750.27838709677417</v>
      </c>
      <c r="AF74" s="653">
        <f t="shared" si="231"/>
        <v>662.23</v>
      </c>
      <c r="AG74" s="40">
        <f t="shared" si="231"/>
        <v>311.35251798561148</v>
      </c>
      <c r="AH74" s="630">
        <f t="shared" si="231"/>
        <v>657.1674820143885</v>
      </c>
      <c r="AI74" s="653">
        <f t="shared" si="231"/>
        <v>968.52</v>
      </c>
      <c r="AJ74" s="40">
        <f t="shared" si="231"/>
        <v>728.12</v>
      </c>
      <c r="AK74" s="630">
        <f t="shared" si="231"/>
        <v>365.88000000000011</v>
      </c>
      <c r="AL74" s="653">
        <f t="shared" si="231"/>
        <v>1094</v>
      </c>
      <c r="AM74" s="40">
        <f t="shared" si="231"/>
        <v>760.82222222222208</v>
      </c>
      <c r="AN74" s="630">
        <f t="shared" ref="AN74:AP74" si="232">AN72-AN73</f>
        <v>455.17777777777792</v>
      </c>
      <c r="AO74" s="653">
        <f t="shared" si="232"/>
        <v>1216</v>
      </c>
      <c r="AP74" s="40">
        <f t="shared" si="232"/>
        <v>862.68354430379736</v>
      </c>
      <c r="AQ74" s="630">
        <f t="shared" ref="AQ74:AV74" si="233">AQ72-AQ73</f>
        <v>418.31645569620287</v>
      </c>
      <c r="AR74" s="653">
        <f t="shared" si="233"/>
        <v>1281</v>
      </c>
      <c r="AS74" s="40">
        <f t="shared" si="233"/>
        <v>673.37647058823586</v>
      </c>
      <c r="AT74" s="630">
        <f t="shared" ref="AT74" si="234">AT72-AT73</f>
        <v>520.62352941176414</v>
      </c>
      <c r="AU74" s="653">
        <f t="shared" si="233"/>
        <v>1194</v>
      </c>
      <c r="AV74" s="40">
        <f t="shared" si="233"/>
        <v>675</v>
      </c>
      <c r="AW74" s="236">
        <f>AW80/AW76</f>
        <v>698.61913043478285</v>
      </c>
      <c r="AX74" s="605">
        <f t="shared" ref="AX74:BJ74" si="235">AX80/AX76</f>
        <v>1373.6191304347828</v>
      </c>
      <c r="AY74" s="56">
        <f t="shared" si="235"/>
        <v>703.8</v>
      </c>
      <c r="AZ74" s="236">
        <f>AZ80/AZ76</f>
        <v>800.03822400000013</v>
      </c>
      <c r="BA74" s="605">
        <f t="shared" si="235"/>
        <v>1503.8382240000001</v>
      </c>
      <c r="BB74" s="56">
        <f t="shared" si="235"/>
        <v>734.19136363636358</v>
      </c>
      <c r="BC74" s="236">
        <f>BC80/BC76</f>
        <v>913.02416376545523</v>
      </c>
      <c r="BD74" s="605">
        <f t="shared" si="235"/>
        <v>1647.2155274018187</v>
      </c>
      <c r="BE74" s="56">
        <f t="shared" si="235"/>
        <v>748.87519090909086</v>
      </c>
      <c r="BF74" s="236">
        <f>BF80/BF76</f>
        <v>1015.2926389382568</v>
      </c>
      <c r="BG74" s="605">
        <f t="shared" si="235"/>
        <v>1764.1678298473475</v>
      </c>
      <c r="BH74" s="56">
        <f t="shared" si="235"/>
        <v>763.85269472727271</v>
      </c>
      <c r="BI74" s="236">
        <f>BI80/BI76</f>
        <v>1125.5710510392369</v>
      </c>
      <c r="BJ74" s="605">
        <f t="shared" si="235"/>
        <v>1889.4237457665095</v>
      </c>
      <c r="BK74" s="264">
        <f>+(AU74/AL74)^(1/3)-1</f>
        <v>2.958530396214698E-2</v>
      </c>
      <c r="BL74" s="433">
        <f>+(BA74/AL74)^(1/5)-1</f>
        <v>6.5704401496900378E-2</v>
      </c>
      <c r="BM74" s="264">
        <f>(AR74/AI74)^(1/3)-1</f>
        <v>9.7691190494879176E-2</v>
      </c>
    </row>
    <row r="75" spans="1:65" s="270" customFormat="1" ht="11.4">
      <c r="A75" s="467"/>
      <c r="R75" s="468"/>
      <c r="S75" s="864"/>
      <c r="T75" s="896"/>
      <c r="U75" s="468"/>
      <c r="V75" s="864"/>
      <c r="W75" s="896"/>
      <c r="X75" s="468"/>
      <c r="Y75" s="864"/>
      <c r="Z75" s="896"/>
      <c r="AA75" s="954"/>
      <c r="AB75" s="864"/>
      <c r="AC75" s="896"/>
      <c r="AD75" s="954"/>
      <c r="AE75" s="864"/>
      <c r="AF75" s="828"/>
      <c r="AG75" s="954"/>
      <c r="AH75" s="864"/>
      <c r="AI75" s="828"/>
      <c r="AJ75" s="954"/>
      <c r="AK75" s="864"/>
      <c r="AL75" s="828"/>
      <c r="AM75" s="954"/>
      <c r="AN75" s="797"/>
      <c r="AO75" s="828"/>
      <c r="AP75" s="954"/>
      <c r="AQ75" s="797"/>
      <c r="AR75" s="828"/>
      <c r="AS75" s="954"/>
      <c r="AT75" s="797"/>
      <c r="AU75" s="828"/>
      <c r="AV75" s="954"/>
      <c r="AW75" s="797"/>
      <c r="AX75" s="828"/>
      <c r="AY75" s="954"/>
      <c r="AZ75" s="797"/>
      <c r="BA75" s="828"/>
      <c r="BB75" s="954"/>
      <c r="BC75" s="797"/>
      <c r="BD75" s="828"/>
      <c r="BE75" s="954"/>
      <c r="BF75" s="797"/>
      <c r="BG75" s="828"/>
      <c r="BH75" s="954"/>
      <c r="BI75" s="797"/>
      <c r="BJ75" s="828"/>
      <c r="BK75" s="503"/>
      <c r="BL75" s="469"/>
      <c r="BM75" s="469"/>
    </row>
    <row r="76" spans="1:65" s="40" customFormat="1" ht="11.4">
      <c r="A76" s="455" t="s">
        <v>916</v>
      </c>
      <c r="R76" s="51"/>
      <c r="S76" s="629"/>
      <c r="T76" s="652"/>
      <c r="U76" s="51"/>
      <c r="V76" s="629"/>
      <c r="W76" s="652"/>
      <c r="X76" s="51"/>
      <c r="Y76" s="629"/>
      <c r="Z76" s="652"/>
      <c r="AA76" s="461">
        <f t="shared" ref="AA76:BJ76" si="236">AA374</f>
        <v>1.53</v>
      </c>
      <c r="AB76" s="863">
        <f t="shared" si="236"/>
        <v>1.53</v>
      </c>
      <c r="AC76" s="888">
        <f t="shared" si="236"/>
        <v>1.53</v>
      </c>
      <c r="AD76" s="461">
        <f t="shared" si="236"/>
        <v>1.24</v>
      </c>
      <c r="AE76" s="863">
        <f t="shared" si="236"/>
        <v>1.52</v>
      </c>
      <c r="AF76" s="888">
        <f t="shared" si="236"/>
        <v>1.52</v>
      </c>
      <c r="AG76" s="461">
        <f t="shared" si="236"/>
        <v>1.39</v>
      </c>
      <c r="AH76" s="863">
        <f t="shared" si="236"/>
        <v>1.6300000000000001</v>
      </c>
      <c r="AI76" s="888">
        <f t="shared" si="236"/>
        <v>1.51</v>
      </c>
      <c r="AJ76" s="461">
        <f t="shared" si="236"/>
        <v>1.5</v>
      </c>
      <c r="AK76" s="863">
        <f t="shared" si="236"/>
        <v>1.5</v>
      </c>
      <c r="AL76" s="888">
        <f t="shared" si="236"/>
        <v>1.5</v>
      </c>
      <c r="AM76" s="461">
        <f t="shared" si="236"/>
        <v>1.5</v>
      </c>
      <c r="AN76" s="863">
        <f t="shared" si="236"/>
        <v>1.5</v>
      </c>
      <c r="AO76" s="888">
        <f t="shared" si="236"/>
        <v>1.5</v>
      </c>
      <c r="AP76" s="461">
        <f t="shared" si="236"/>
        <v>1.48</v>
      </c>
      <c r="AQ76" s="863">
        <f t="shared" si="236"/>
        <v>1.48</v>
      </c>
      <c r="AR76" s="888">
        <f t="shared" si="236"/>
        <v>1.48</v>
      </c>
      <c r="AS76" s="1088">
        <f t="shared" si="236"/>
        <v>1.44</v>
      </c>
      <c r="AT76" s="863">
        <f t="shared" si="236"/>
        <v>1.44</v>
      </c>
      <c r="AU76" s="888">
        <f t="shared" si="236"/>
        <v>1.44</v>
      </c>
      <c r="AV76" s="461">
        <f t="shared" si="236"/>
        <v>1.38</v>
      </c>
      <c r="AW76" s="798">
        <f t="shared" si="236"/>
        <v>1.38</v>
      </c>
      <c r="AX76" s="829">
        <f t="shared" si="236"/>
        <v>1.38</v>
      </c>
      <c r="AY76" s="972">
        <f t="shared" si="236"/>
        <v>1.35</v>
      </c>
      <c r="AZ76" s="798">
        <f t="shared" si="236"/>
        <v>1.35</v>
      </c>
      <c r="BA76" s="829">
        <f t="shared" si="236"/>
        <v>1.35</v>
      </c>
      <c r="BB76" s="972">
        <f t="shared" si="236"/>
        <v>1.32</v>
      </c>
      <c r="BC76" s="798">
        <f t="shared" si="236"/>
        <v>1.32</v>
      </c>
      <c r="BD76" s="829">
        <f t="shared" si="236"/>
        <v>1.32</v>
      </c>
      <c r="BE76" s="972">
        <f t="shared" si="236"/>
        <v>1.32</v>
      </c>
      <c r="BF76" s="798">
        <f t="shared" si="236"/>
        <v>1.32</v>
      </c>
      <c r="BG76" s="829">
        <f t="shared" si="236"/>
        <v>1.32</v>
      </c>
      <c r="BH76" s="972">
        <f t="shared" si="236"/>
        <v>1.32</v>
      </c>
      <c r="BI76" s="798">
        <f t="shared" si="236"/>
        <v>1.32</v>
      </c>
      <c r="BJ76" s="829">
        <f t="shared" si="236"/>
        <v>1.32</v>
      </c>
      <c r="BK76" s="221"/>
      <c r="BL76" s="108"/>
      <c r="BM76" s="108"/>
    </row>
    <row r="77" spans="1:65" s="40" customFormat="1" ht="11.4">
      <c r="A77" s="455"/>
      <c r="R77" s="51"/>
      <c r="S77" s="629"/>
      <c r="T77" s="652"/>
      <c r="U77" s="51"/>
      <c r="V77" s="629"/>
      <c r="W77" s="652"/>
      <c r="X77" s="51"/>
      <c r="Y77" s="629"/>
      <c r="Z77" s="652"/>
      <c r="AA77" s="51"/>
      <c r="AB77" s="629"/>
      <c r="AC77" s="652"/>
      <c r="AD77" s="51"/>
      <c r="AE77" s="629"/>
      <c r="AF77" s="652"/>
      <c r="AG77" s="51"/>
      <c r="AH77" s="629"/>
      <c r="AI77" s="652"/>
      <c r="AJ77" s="51"/>
      <c r="AK77" s="629"/>
      <c r="AL77" s="652"/>
      <c r="AM77" s="51"/>
      <c r="AN77" s="237"/>
      <c r="AO77" s="576"/>
      <c r="AP77" s="48"/>
      <c r="AQ77" s="237"/>
      <c r="AR77" s="576"/>
      <c r="AS77" s="48"/>
      <c r="AT77" s="237"/>
      <c r="AU77" s="576"/>
      <c r="AV77" s="48"/>
      <c r="AW77" s="237"/>
      <c r="AX77" s="576"/>
      <c r="AY77" s="48"/>
      <c r="AZ77" s="237"/>
      <c r="BA77" s="576"/>
      <c r="BB77" s="48"/>
      <c r="BC77" s="237"/>
      <c r="BD77" s="576"/>
      <c r="BE77" s="48"/>
      <c r="BF77" s="237"/>
      <c r="BG77" s="576"/>
      <c r="BH77" s="48"/>
      <c r="BI77" s="237"/>
      <c r="BJ77" s="576"/>
      <c r="BK77" s="221"/>
      <c r="BL77" s="108"/>
      <c r="BM77" s="108"/>
    </row>
    <row r="78" spans="1:65" s="40" customFormat="1" ht="11.4">
      <c r="A78" s="455" t="s">
        <v>915</v>
      </c>
      <c r="R78" s="51"/>
      <c r="S78" s="629"/>
      <c r="T78" s="652"/>
      <c r="U78" s="51"/>
      <c r="V78" s="629"/>
      <c r="W78" s="652"/>
      <c r="X78" s="51"/>
      <c r="Y78" s="629"/>
      <c r="Z78" s="652"/>
      <c r="AA78" s="51">
        <f t="shared" ref="AA78:AB78" si="237">AA72*AA76</f>
        <v>2978.91</v>
      </c>
      <c r="AB78" s="629">
        <f t="shared" si="237"/>
        <v>2978.91</v>
      </c>
      <c r="AC78" s="652">
        <f>AC72*AC76</f>
        <v>5957.82</v>
      </c>
      <c r="AD78" s="51">
        <f t="shared" ref="AD78:AE78" si="238">AD72*AD76</f>
        <v>1060.82</v>
      </c>
      <c r="AE78" s="629">
        <f t="shared" si="238"/>
        <v>1300.3600000000001</v>
      </c>
      <c r="AF78" s="652">
        <f t="shared" ref="AF78:BJ78" si="239">AF72*AF76</f>
        <v>2600.7200000000003</v>
      </c>
      <c r="AG78" s="51">
        <f t="shared" ref="AG78:AH78" si="240">AG72*AG76</f>
        <v>1392.78</v>
      </c>
      <c r="AH78" s="629">
        <f t="shared" si="240"/>
        <v>2097.81</v>
      </c>
      <c r="AI78" s="652">
        <f t="shared" si="239"/>
        <v>3456.39</v>
      </c>
      <c r="AJ78" s="51">
        <f t="shared" si="239"/>
        <v>2472</v>
      </c>
      <c r="AK78" s="629">
        <f t="shared" ref="AK78" si="241">AK72*AK76</f>
        <v>2874</v>
      </c>
      <c r="AL78" s="652">
        <f t="shared" si="239"/>
        <v>5346</v>
      </c>
      <c r="AM78" s="51">
        <f t="shared" ref="AM78:AO78" si="242">AM72*AM76</f>
        <v>3505.5</v>
      </c>
      <c r="AN78" s="629">
        <f t="shared" si="242"/>
        <v>3466.5</v>
      </c>
      <c r="AO78" s="652">
        <f t="shared" si="242"/>
        <v>6972</v>
      </c>
      <c r="AP78" s="51">
        <f t="shared" ref="AP78:AR78" si="243">AP72*AP76</f>
        <v>4283.12</v>
      </c>
      <c r="AQ78" s="629">
        <f t="shared" si="243"/>
        <v>3862.7999999999997</v>
      </c>
      <c r="AR78" s="652">
        <f t="shared" si="243"/>
        <v>8145.92</v>
      </c>
      <c r="AS78" s="51">
        <f t="shared" ref="AS78:AT78" si="244">AS72*AS76</f>
        <v>4246.5599999999995</v>
      </c>
      <c r="AT78" s="629">
        <f t="shared" si="244"/>
        <v>4350.24</v>
      </c>
      <c r="AU78" s="652">
        <f t="shared" si="239"/>
        <v>8596.7999999999993</v>
      </c>
      <c r="AV78" s="51">
        <f t="shared" si="239"/>
        <v>4657.5</v>
      </c>
      <c r="AW78" s="600">
        <f t="shared" si="239"/>
        <v>5316.1886573939937</v>
      </c>
      <c r="AX78" s="624">
        <f t="shared" si="239"/>
        <v>9973.6886573939937</v>
      </c>
      <c r="AY78" s="52">
        <f t="shared" si="239"/>
        <v>5387.5483090438984</v>
      </c>
      <c r="AZ78" s="600">
        <f t="shared" si="239"/>
        <v>5517.4699114438981</v>
      </c>
      <c r="BA78" s="624">
        <f t="shared" si="239"/>
        <v>10905.018220487796</v>
      </c>
      <c r="BB78" s="52">
        <f t="shared" si="239"/>
        <v>5695.2556327642224</v>
      </c>
      <c r="BC78" s="600">
        <f t="shared" si="239"/>
        <v>5931.3149289346238</v>
      </c>
      <c r="BD78" s="624">
        <f t="shared" si="239"/>
        <v>11626.570561698845</v>
      </c>
      <c r="BE78" s="52">
        <f t="shared" si="239"/>
        <v>6182.5056154176273</v>
      </c>
      <c r="BF78" s="600">
        <f t="shared" si="239"/>
        <v>6534.1766468161259</v>
      </c>
      <c r="BG78" s="624">
        <f t="shared" si="239"/>
        <v>12716.682262233753</v>
      </c>
      <c r="BH78" s="52">
        <f t="shared" si="239"/>
        <v>6790.7549643831317</v>
      </c>
      <c r="BI78" s="600">
        <f t="shared" si="239"/>
        <v>7268.2231947149239</v>
      </c>
      <c r="BJ78" s="624">
        <f t="shared" si="239"/>
        <v>14058.978159098055</v>
      </c>
      <c r="BK78" s="221"/>
      <c r="BL78" s="108"/>
      <c r="BM78" s="108"/>
    </row>
    <row r="79" spans="1:65" s="40" customFormat="1" ht="11.4">
      <c r="A79" s="460" t="s">
        <v>910</v>
      </c>
      <c r="R79" s="51"/>
      <c r="S79" s="629"/>
      <c r="T79" s="652"/>
      <c r="U79" s="51"/>
      <c r="V79" s="629"/>
      <c r="W79" s="652"/>
      <c r="X79" s="51"/>
      <c r="Y79" s="629"/>
      <c r="Z79" s="652"/>
      <c r="AA79" s="40">
        <f t="shared" ref="AA79:AB79" si="245">AA73*AA76</f>
        <v>2062.5</v>
      </c>
      <c r="AB79" s="630">
        <f t="shared" si="245"/>
        <v>2527.5</v>
      </c>
      <c r="AC79" s="653">
        <f>AC73*AC76</f>
        <v>4590</v>
      </c>
      <c r="AD79" s="40">
        <f t="shared" ref="AD79:AE79" si="246">AD73*AD76</f>
        <v>1170</v>
      </c>
      <c r="AE79" s="630">
        <f t="shared" si="246"/>
        <v>159.93685161290327</v>
      </c>
      <c r="AF79" s="653">
        <f t="shared" ref="AF79:BJ79" si="247">AF73*AF76</f>
        <v>1594.1304</v>
      </c>
      <c r="AG79" s="40">
        <f t="shared" ref="AG79:AH79" si="248">AG73*AG76</f>
        <v>960</v>
      </c>
      <c r="AH79" s="630">
        <f t="shared" si="248"/>
        <v>1026.6270043165468</v>
      </c>
      <c r="AI79" s="653">
        <f t="shared" si="247"/>
        <v>1993.9248</v>
      </c>
      <c r="AJ79" s="40">
        <f t="shared" si="247"/>
        <v>1379.82</v>
      </c>
      <c r="AK79" s="630">
        <f t="shared" ref="AK79" si="249">AK73*AK76</f>
        <v>2325.1799999999998</v>
      </c>
      <c r="AL79" s="653">
        <f t="shared" si="247"/>
        <v>3705</v>
      </c>
      <c r="AM79" s="40">
        <f t="shared" ref="AM79:AO79" si="250">AM73*AM76</f>
        <v>2364.2666666666669</v>
      </c>
      <c r="AN79" s="630">
        <f t="shared" si="250"/>
        <v>2783.7333333333331</v>
      </c>
      <c r="AO79" s="653">
        <f t="shared" si="250"/>
        <v>5148</v>
      </c>
      <c r="AP79" s="40">
        <f t="shared" ref="AP79:AR79" si="251">AP73*AP76</f>
        <v>3006.3483544303799</v>
      </c>
      <c r="AQ79" s="630">
        <f t="shared" si="251"/>
        <v>3243.6916455696196</v>
      </c>
      <c r="AR79" s="653">
        <f t="shared" si="251"/>
        <v>6250.04</v>
      </c>
      <c r="AS79" s="40">
        <f t="shared" ref="AS79:AT79" si="252">AS73*AS76</f>
        <v>3276.8978823529401</v>
      </c>
      <c r="AT79" s="630">
        <f t="shared" si="252"/>
        <v>3600.5421176470595</v>
      </c>
      <c r="AU79" s="653">
        <f t="shared" si="247"/>
        <v>6877.44</v>
      </c>
      <c r="AV79" s="40">
        <f t="shared" si="247"/>
        <v>3725.9999999999995</v>
      </c>
      <c r="AW79" s="601">
        <f t="shared" si="247"/>
        <v>4352.0942573939928</v>
      </c>
      <c r="AX79" s="625">
        <f t="shared" si="247"/>
        <v>8078.0942573939928</v>
      </c>
      <c r="AY79" s="49">
        <f t="shared" si="247"/>
        <v>4437.4183090438983</v>
      </c>
      <c r="AZ79" s="601">
        <f t="shared" si="247"/>
        <v>4437.4183090438983</v>
      </c>
      <c r="BA79" s="625">
        <f t="shared" si="247"/>
        <v>8874.8366180877965</v>
      </c>
      <c r="BB79" s="49">
        <f t="shared" si="247"/>
        <v>4726.1230327642224</v>
      </c>
      <c r="BC79" s="601">
        <f t="shared" si="247"/>
        <v>4726.1230327642224</v>
      </c>
      <c r="BD79" s="625">
        <f t="shared" si="247"/>
        <v>9452.2460655284449</v>
      </c>
      <c r="BE79" s="49">
        <f t="shared" si="247"/>
        <v>5193.9903634176271</v>
      </c>
      <c r="BF79" s="601">
        <f t="shared" si="247"/>
        <v>5193.9903634176271</v>
      </c>
      <c r="BG79" s="625">
        <f t="shared" si="247"/>
        <v>10387.980726835254</v>
      </c>
      <c r="BH79" s="49">
        <f t="shared" si="247"/>
        <v>5782.469407343131</v>
      </c>
      <c r="BI79" s="601">
        <f t="shared" si="247"/>
        <v>5782.469407343131</v>
      </c>
      <c r="BJ79" s="625">
        <f t="shared" si="247"/>
        <v>11564.938814686262</v>
      </c>
      <c r="BK79" s="221"/>
      <c r="BL79" s="108"/>
      <c r="BM79" s="108"/>
    </row>
    <row r="80" spans="1:65" s="40" customFormat="1" ht="11.4">
      <c r="A80" s="460" t="s">
        <v>911</v>
      </c>
      <c r="R80" s="51"/>
      <c r="S80" s="629"/>
      <c r="T80" s="652"/>
      <c r="U80" s="51"/>
      <c r="V80" s="629"/>
      <c r="W80" s="652"/>
      <c r="X80" s="51"/>
      <c r="Y80" s="629"/>
      <c r="Z80" s="652"/>
      <c r="AA80" s="40">
        <f t="shared" ref="AA80:AB80" si="253">AA74*AA76</f>
        <v>916.41000000000008</v>
      </c>
      <c r="AB80" s="630">
        <f t="shared" si="253"/>
        <v>451.40999999999997</v>
      </c>
      <c r="AC80" s="653">
        <f>AC74*AC76</f>
        <v>1367.82</v>
      </c>
      <c r="AD80" s="40">
        <f t="shared" ref="AD80:AE80" si="254">AD74*AD76</f>
        <v>-109.17999999999995</v>
      </c>
      <c r="AE80" s="630">
        <f t="shared" si="254"/>
        <v>1140.4231483870967</v>
      </c>
      <c r="AF80" s="653">
        <f t="shared" ref="AF80:AL80" si="255">AF74*AF76</f>
        <v>1006.5896</v>
      </c>
      <c r="AG80" s="40">
        <f t="shared" ref="AG80:AH80" si="256">AG74*AG76</f>
        <v>432.77999999999992</v>
      </c>
      <c r="AH80" s="630">
        <f t="shared" si="256"/>
        <v>1071.1829956834533</v>
      </c>
      <c r="AI80" s="653">
        <f t="shared" si="255"/>
        <v>1462.4651999999999</v>
      </c>
      <c r="AJ80" s="40">
        <f t="shared" si="255"/>
        <v>1092.18</v>
      </c>
      <c r="AK80" s="630">
        <f t="shared" ref="AK80" si="257">AK74*AK76</f>
        <v>548.82000000000016</v>
      </c>
      <c r="AL80" s="653">
        <f t="shared" si="255"/>
        <v>1641</v>
      </c>
      <c r="AM80" s="40">
        <f t="shared" ref="AM80:AO80" si="258">AM74*AM76</f>
        <v>1141.2333333333331</v>
      </c>
      <c r="AN80" s="630">
        <f t="shared" si="258"/>
        <v>682.76666666666688</v>
      </c>
      <c r="AO80" s="653">
        <f t="shared" si="258"/>
        <v>1824</v>
      </c>
      <c r="AP80" s="40">
        <f t="shared" ref="AP80:AR80" si="259">AP74*AP76</f>
        <v>1276.77164556962</v>
      </c>
      <c r="AQ80" s="630">
        <f t="shared" si="259"/>
        <v>619.10835443038025</v>
      </c>
      <c r="AR80" s="653">
        <f t="shared" si="259"/>
        <v>1895.8799999999999</v>
      </c>
      <c r="AS80" s="40">
        <f t="shared" ref="AS80:AT80" si="260">AS74*AS76</f>
        <v>969.66211764705963</v>
      </c>
      <c r="AT80" s="630">
        <f t="shared" si="260"/>
        <v>749.69788235294038</v>
      </c>
      <c r="AU80" s="653">
        <f t="shared" ref="AU80" si="261">AU74*AU76</f>
        <v>1719.36</v>
      </c>
      <c r="AV80" s="40">
        <f>AV74*AV76</f>
        <v>931.49999999999989</v>
      </c>
      <c r="AW80" s="236">
        <f>AX80-AV80</f>
        <v>964.09440000000029</v>
      </c>
      <c r="AX80" s="605">
        <f>AX306</f>
        <v>1895.5944000000002</v>
      </c>
      <c r="AY80" s="56">
        <f>(AV80/AV55)*AY55</f>
        <v>950.13</v>
      </c>
      <c r="AZ80" s="236">
        <f>BA80-AY80</f>
        <v>1080.0516024000003</v>
      </c>
      <c r="BA80" s="605">
        <f>BA306</f>
        <v>2030.1816024000002</v>
      </c>
      <c r="BB80" s="56">
        <f>(AY80/AY55)*BB55</f>
        <v>969.13260000000002</v>
      </c>
      <c r="BC80" s="236">
        <f>BD80-BB80</f>
        <v>1205.1918961704009</v>
      </c>
      <c r="BD80" s="605">
        <f>BD306</f>
        <v>2174.3244961704008</v>
      </c>
      <c r="BE80" s="56">
        <f>(BB80/BB55)*BE55</f>
        <v>988.51525199999992</v>
      </c>
      <c r="BF80" s="236">
        <f>BG80-BE80</f>
        <v>1340.186283398499</v>
      </c>
      <c r="BG80" s="605">
        <f>BG306</f>
        <v>2328.7015353984989</v>
      </c>
      <c r="BH80" s="56">
        <f>(BE80/BE55)*BH55</f>
        <v>1008.28555704</v>
      </c>
      <c r="BI80" s="236">
        <f>BJ80-BH80</f>
        <v>1485.7537873717927</v>
      </c>
      <c r="BJ80" s="605">
        <f>BJ306</f>
        <v>2494.0393444117926</v>
      </c>
      <c r="BK80" s="221"/>
      <c r="BL80" s="108"/>
      <c r="BM80" s="108"/>
    </row>
    <row r="81" spans="1:65" s="40" customFormat="1" ht="11.4">
      <c r="A81" s="455"/>
      <c r="R81" s="51"/>
      <c r="S81" s="629"/>
      <c r="T81" s="652"/>
      <c r="U81" s="51"/>
      <c r="V81" s="629"/>
      <c r="W81" s="652"/>
      <c r="X81" s="51"/>
      <c r="Y81" s="629"/>
      <c r="Z81" s="652"/>
      <c r="AA81" s="51"/>
      <c r="AB81" s="629"/>
      <c r="AC81" s="652"/>
      <c r="AD81" s="51"/>
      <c r="AE81" s="629"/>
      <c r="AF81" s="652"/>
      <c r="AG81" s="51"/>
      <c r="AH81" s="629"/>
      <c r="AI81" s="652"/>
      <c r="AJ81" s="51"/>
      <c r="AK81" s="629"/>
      <c r="AL81" s="652"/>
      <c r="AM81" s="51"/>
      <c r="AN81" s="218"/>
      <c r="AO81" s="553"/>
      <c r="AP81" s="27"/>
      <c r="AQ81" s="218"/>
      <c r="AR81" s="553"/>
      <c r="AS81" s="27"/>
      <c r="AT81" s="218"/>
      <c r="AU81" s="553"/>
      <c r="AV81" s="27"/>
      <c r="AW81" s="218"/>
      <c r="AX81" s="553"/>
      <c r="AY81" s="27"/>
      <c r="AZ81" s="218"/>
      <c r="BA81" s="553"/>
      <c r="BB81" s="27"/>
      <c r="BC81" s="218"/>
      <c r="BD81" s="553"/>
      <c r="BE81" s="27"/>
      <c r="BF81" s="218"/>
      <c r="BG81" s="553"/>
      <c r="BH81" s="27"/>
      <c r="BI81" s="218"/>
      <c r="BJ81" s="553"/>
      <c r="BK81" s="221"/>
      <c r="BL81" s="108"/>
      <c r="BM81" s="108"/>
    </row>
    <row r="82" spans="1:65" s="40" customFormat="1" ht="11.4">
      <c r="A82" s="455" t="s">
        <v>865</v>
      </c>
      <c r="R82" s="51"/>
      <c r="S82" s="629"/>
      <c r="T82" s="652"/>
      <c r="U82" s="51"/>
      <c r="V82" s="629"/>
      <c r="W82" s="652"/>
      <c r="X82" s="51"/>
      <c r="Y82" s="629"/>
      <c r="Z82" s="652"/>
      <c r="AA82" s="51">
        <f t="shared" ref="AA82:AB82" si="262">(AA78/AA49)*1000</f>
        <v>310.30312499999997</v>
      </c>
      <c r="AB82" s="629">
        <f t="shared" si="262"/>
        <v>303.97040816326529</v>
      </c>
      <c r="AC82" s="652">
        <f>(AC78/AC49)*1000</f>
        <v>307.10412371134021</v>
      </c>
      <c r="AD82" s="51">
        <f t="shared" ref="AD82:AE82" si="263">(AD78/AD49)*1000</f>
        <v>186.10877192982457</v>
      </c>
      <c r="AE82" s="629">
        <f t="shared" si="263"/>
        <v>342.20000000000005</v>
      </c>
      <c r="AF82" s="652">
        <f>(AF78/AF49)*1000</f>
        <v>273.76</v>
      </c>
      <c r="AG82" s="51">
        <f t="shared" ref="AG82:AH82" si="264">(AG78/AG49)*1000</f>
        <v>300.81641468682506</v>
      </c>
      <c r="AH82" s="629">
        <f t="shared" si="264"/>
        <v>369.98412698412699</v>
      </c>
      <c r="AI82" s="652">
        <f t="shared" ref="AI82:BJ82" si="265">(AI78/AI49)*1000</f>
        <v>335.57184466019419</v>
      </c>
      <c r="AJ82" s="51">
        <f t="shared" si="265"/>
        <v>404.11966650318783</v>
      </c>
      <c r="AK82" s="629">
        <f t="shared" ref="AK82" si="266">(AK78/AK49)*1000</f>
        <v>405.76027107157984</v>
      </c>
      <c r="AL82" s="652">
        <f t="shared" si="265"/>
        <v>405</v>
      </c>
      <c r="AM82" s="51">
        <f t="shared" ref="AM82:AO82" si="267">(AM78/AM49)*1000</f>
        <v>455.25974025974023</v>
      </c>
      <c r="AN82" s="629">
        <f t="shared" si="267"/>
        <v>393.92045454545456</v>
      </c>
      <c r="AO82" s="652">
        <f t="shared" si="267"/>
        <v>422.54545454545456</v>
      </c>
      <c r="AP82" s="51">
        <f t="shared" ref="AP82:AR82" si="268">(AP78/AP49)*1000</f>
        <v>475.90222222222224</v>
      </c>
      <c r="AQ82" s="629">
        <f t="shared" si="268"/>
        <v>394.16326530612247</v>
      </c>
      <c r="AR82" s="652">
        <f t="shared" si="268"/>
        <v>433.29361702127659</v>
      </c>
      <c r="AS82" s="51">
        <f t="shared" ref="AS82" si="269">(AS78/AS49)*1000</f>
        <v>442.34999999999997</v>
      </c>
      <c r="AT82" s="629">
        <f t="shared" si="265"/>
        <v>418.2923076923077</v>
      </c>
      <c r="AU82" s="652">
        <f t="shared" si="265"/>
        <v>429.83999999999992</v>
      </c>
      <c r="AV82" s="51">
        <f t="shared" si="265"/>
        <v>465.75</v>
      </c>
      <c r="AW82" s="600">
        <f t="shared" si="265"/>
        <v>495.9568228638617</v>
      </c>
      <c r="AX82" s="624">
        <f t="shared" si="265"/>
        <v>481.37757574607934</v>
      </c>
      <c r="AY82" s="52">
        <f t="shared" si="265"/>
        <v>491.18327596904959</v>
      </c>
      <c r="AZ82" s="600">
        <f t="shared" si="265"/>
        <v>505.37808412860363</v>
      </c>
      <c r="BA82" s="624">
        <f t="shared" si="265"/>
        <v>498.26414128880236</v>
      </c>
      <c r="BB82" s="52">
        <f t="shared" si="265"/>
        <v>492.45312733869514</v>
      </c>
      <c r="BC82" s="600">
        <f t="shared" si="265"/>
        <v>515.18182855556461</v>
      </c>
      <c r="BD82" s="624">
        <f t="shared" si="265"/>
        <v>503.79186175996568</v>
      </c>
      <c r="BE82" s="52">
        <f t="shared" si="265"/>
        <v>506.15579331766168</v>
      </c>
      <c r="BF82" s="600">
        <f t="shared" si="265"/>
        <v>537.28071224060079</v>
      </c>
      <c r="BG82" s="624">
        <f t="shared" si="265"/>
        <v>521.68437750923965</v>
      </c>
      <c r="BH82" s="52">
        <f t="shared" si="265"/>
        <v>517.84195173556725</v>
      </c>
      <c r="BI82" s="600">
        <f t="shared" si="265"/>
        <v>556.54916070333002</v>
      </c>
      <c r="BJ82" s="624">
        <f t="shared" si="265"/>
        <v>537.15553605649995</v>
      </c>
      <c r="BK82" s="264"/>
      <c r="BL82" s="108"/>
      <c r="BM82" s="108"/>
    </row>
    <row r="83" spans="1:65" s="40" customFormat="1" ht="11.4">
      <c r="A83" s="460" t="s">
        <v>910</v>
      </c>
      <c r="R83" s="51"/>
      <c r="S83" s="629"/>
      <c r="T83" s="652"/>
      <c r="U83" s="51"/>
      <c r="V83" s="629"/>
      <c r="W83" s="652"/>
      <c r="X83" s="51"/>
      <c r="Y83" s="629"/>
      <c r="Z83" s="652"/>
      <c r="AA83" s="40">
        <f t="shared" ref="AA83:AB83" si="270">(AA79/AA52)*1000</f>
        <v>275</v>
      </c>
      <c r="AB83" s="630">
        <f t="shared" si="270"/>
        <v>324.03846153846155</v>
      </c>
      <c r="AC83" s="653">
        <f>(AC79/AC52)*1000</f>
        <v>300</v>
      </c>
      <c r="AD83" s="40">
        <f t="shared" ref="AD83:AE83" si="271">(AD79/AD52)*1000</f>
        <v>300</v>
      </c>
      <c r="AE83" s="630">
        <f t="shared" si="271"/>
        <v>59.235870967741953</v>
      </c>
      <c r="AF83" s="653">
        <f t="shared" ref="AF83:BJ83" si="272">(AF79/AF52)*1000</f>
        <v>241.53490909090911</v>
      </c>
      <c r="AG83" s="40">
        <f t="shared" ref="AG83:AH83" si="273">(AG79/AG52)*1000</f>
        <v>300</v>
      </c>
      <c r="AH83" s="630">
        <f t="shared" si="273"/>
        <v>244.43500102774925</v>
      </c>
      <c r="AI83" s="653">
        <f t="shared" si="272"/>
        <v>269.44929729729728</v>
      </c>
      <c r="AJ83" s="40">
        <f t="shared" si="272"/>
        <v>305</v>
      </c>
      <c r="AK83" s="630">
        <f t="shared" ref="AK83" si="274">(AK79/AK52)*1000</f>
        <v>424.61285609934259</v>
      </c>
      <c r="AL83" s="653">
        <f t="shared" si="272"/>
        <v>370.5</v>
      </c>
      <c r="AM83" s="40">
        <f t="shared" ref="AM83:AO83" si="275">(AM79/AM52)*1000</f>
        <v>381.33333333333337</v>
      </c>
      <c r="AN83" s="630">
        <f t="shared" si="275"/>
        <v>381.33333333333331</v>
      </c>
      <c r="AO83" s="653">
        <f t="shared" si="275"/>
        <v>381.33333333333337</v>
      </c>
      <c r="AP83" s="40">
        <f t="shared" ref="AP83:AR83" si="276">(AP79/AP52)*1000</f>
        <v>395.57215189873421</v>
      </c>
      <c r="AQ83" s="630">
        <f t="shared" si="276"/>
        <v>395.57215189873409</v>
      </c>
      <c r="AR83" s="653">
        <f t="shared" si="276"/>
        <v>395.57215189873421</v>
      </c>
      <c r="AS83" s="40">
        <f>(AS79/AS52)*1000</f>
        <v>404.55529411764689</v>
      </c>
      <c r="AT83" s="630">
        <f t="shared" si="272"/>
        <v>404.55529411764712</v>
      </c>
      <c r="AU83" s="653">
        <f t="shared" si="272"/>
        <v>404.55529411764701</v>
      </c>
      <c r="AV83" s="40">
        <f>(AV79/AV52)*1000</f>
        <v>443.5714285714285</v>
      </c>
      <c r="AW83" s="601">
        <f t="shared" si="272"/>
        <v>474.65023061824769</v>
      </c>
      <c r="AX83" s="625">
        <f t="shared" si="272"/>
        <v>459.79104033531888</v>
      </c>
      <c r="AY83" s="49">
        <f t="shared" si="272"/>
        <v>475.27595027159185</v>
      </c>
      <c r="AZ83" s="601">
        <f t="shared" si="272"/>
        <v>475.27595027159185</v>
      </c>
      <c r="BA83" s="625">
        <f t="shared" si="272"/>
        <v>475.27595027159185</v>
      </c>
      <c r="BB83" s="49">
        <f t="shared" si="272"/>
        <v>477.3653580871113</v>
      </c>
      <c r="BC83" s="601">
        <f t="shared" si="272"/>
        <v>477.3653580871113</v>
      </c>
      <c r="BD83" s="625">
        <f t="shared" si="272"/>
        <v>477.3653580871113</v>
      </c>
      <c r="BE83" s="49">
        <f t="shared" si="272"/>
        <v>493.88038696838402</v>
      </c>
      <c r="BF83" s="601">
        <f t="shared" si="272"/>
        <v>493.88038696838402</v>
      </c>
      <c r="BG83" s="625">
        <f t="shared" si="272"/>
        <v>493.88038696838402</v>
      </c>
      <c r="BH83" s="49">
        <f t="shared" si="272"/>
        <v>508.05081791156539</v>
      </c>
      <c r="BI83" s="601">
        <f t="shared" si="272"/>
        <v>508.05081791156539</v>
      </c>
      <c r="BJ83" s="625">
        <f t="shared" si="272"/>
        <v>508.05081791156539</v>
      </c>
      <c r="BK83" s="264"/>
      <c r="BL83" s="108"/>
      <c r="BM83" s="108"/>
    </row>
    <row r="84" spans="1:65" s="40" customFormat="1" ht="11.4">
      <c r="A84" s="460" t="s">
        <v>911</v>
      </c>
      <c r="R84" s="51"/>
      <c r="S84" s="629"/>
      <c r="T84" s="652"/>
      <c r="U84" s="51"/>
      <c r="V84" s="629"/>
      <c r="W84" s="652"/>
      <c r="X84" s="51"/>
      <c r="Y84" s="629"/>
      <c r="Z84" s="652"/>
      <c r="AA84" s="40">
        <f t="shared" ref="AA84:AB84" si="277">(AA80/AA55)*1000</f>
        <v>436.3857142857143</v>
      </c>
      <c r="AB84" s="630">
        <f t="shared" si="277"/>
        <v>225.70499999999998</v>
      </c>
      <c r="AC84" s="653">
        <f>(AC80/AC55)*1000</f>
        <v>333.61463414634147</v>
      </c>
      <c r="AD84" s="40">
        <f t="shared" ref="AD84:AE84" si="278">(AD80/AD55)*1000</f>
        <v>-60.655555555555523</v>
      </c>
      <c r="AE84" s="630">
        <f t="shared" si="278"/>
        <v>1036.7483167155424</v>
      </c>
      <c r="AF84" s="653">
        <f t="shared" ref="AF84:BJ84" si="279">(AF80/AF55)*1000</f>
        <v>347.09986206896554</v>
      </c>
      <c r="AG84" s="40">
        <f t="shared" ref="AG84" si="280">(AG80/AG55)*1000</f>
        <v>302.64335664335658</v>
      </c>
      <c r="AH84" s="648">
        <f>IFERROR((AH80/AH55)*1000,"NM")</f>
        <v>728.69591543092065</v>
      </c>
      <c r="AI84" s="653">
        <f t="shared" si="279"/>
        <v>504.29834482758616</v>
      </c>
      <c r="AJ84" s="40">
        <f t="shared" si="279"/>
        <v>685.61205273069686</v>
      </c>
      <c r="AK84" s="630">
        <f t="shared" ref="AK84" si="281">(AK80/AK55)*1000</f>
        <v>341.51835718730564</v>
      </c>
      <c r="AL84" s="653">
        <f t="shared" si="279"/>
        <v>512.8125</v>
      </c>
      <c r="AM84" s="40">
        <f t="shared" ref="AM84:AO84" si="282">(AM80/AM55)*1000</f>
        <v>760.82222222222208</v>
      </c>
      <c r="AN84" s="630">
        <f t="shared" si="282"/>
        <v>455.17777777777792</v>
      </c>
      <c r="AO84" s="653">
        <f t="shared" si="282"/>
        <v>608</v>
      </c>
      <c r="AP84" s="40">
        <f t="shared" ref="AP84:AR84" si="283">(AP80/AP55)*1000</f>
        <v>911.97974683544282</v>
      </c>
      <c r="AQ84" s="630">
        <f t="shared" si="283"/>
        <v>386.9427215189877</v>
      </c>
      <c r="AR84" s="653">
        <f t="shared" si="283"/>
        <v>631.95999999999992</v>
      </c>
      <c r="AS84" s="40">
        <f t="shared" ref="AS84" si="284">(AS80/AS55)*1000</f>
        <v>646.44141176470634</v>
      </c>
      <c r="AT84" s="630">
        <f>(AT80/AT55)*1000</f>
        <v>499.79858823529361</v>
      </c>
      <c r="AU84" s="653">
        <f t="shared" si="279"/>
        <v>573.12</v>
      </c>
      <c r="AV84" s="40">
        <f t="shared" si="279"/>
        <v>582.1875</v>
      </c>
      <c r="AW84" s="601">
        <f>(AW80/AW55)*1000</f>
        <v>621.99638709677436</v>
      </c>
      <c r="AX84" s="625">
        <f t="shared" si="279"/>
        <v>601.77600000000007</v>
      </c>
      <c r="AY84" s="49">
        <f t="shared" si="279"/>
        <v>582.1875</v>
      </c>
      <c r="AZ84" s="601">
        <f>(AZ80/AZ55)*1000</f>
        <v>683.14459354838732</v>
      </c>
      <c r="BA84" s="625">
        <f t="shared" si="279"/>
        <v>631.86480000000006</v>
      </c>
      <c r="BB84" s="49">
        <f t="shared" si="279"/>
        <v>582.1875</v>
      </c>
      <c r="BC84" s="601">
        <f>(BC80/BC55)*1000</f>
        <v>747.35021032258123</v>
      </c>
      <c r="BD84" s="625">
        <f t="shared" si="279"/>
        <v>663.45804000000021</v>
      </c>
      <c r="BE84" s="49">
        <f t="shared" si="279"/>
        <v>582.1875</v>
      </c>
      <c r="BF84" s="601">
        <f>(BF80/BF55)*1000</f>
        <v>814.76610793548411</v>
      </c>
      <c r="BG84" s="625">
        <f t="shared" si="279"/>
        <v>696.63094200000012</v>
      </c>
      <c r="BH84" s="49">
        <f t="shared" si="279"/>
        <v>582.1875</v>
      </c>
      <c r="BI84" s="601">
        <f>(BI80/BI55)*1000</f>
        <v>885.55280042903269</v>
      </c>
      <c r="BJ84" s="625">
        <f t="shared" si="279"/>
        <v>731.4624891000002</v>
      </c>
      <c r="BK84" s="264"/>
      <c r="BL84" s="108"/>
      <c r="BM84" s="108"/>
    </row>
    <row r="85" spans="1:65" s="40" customFormat="1" ht="11.4">
      <c r="A85" s="455"/>
      <c r="R85" s="51"/>
      <c r="S85" s="629"/>
      <c r="T85" s="652"/>
      <c r="U85" s="51"/>
      <c r="V85" s="629"/>
      <c r="W85" s="652"/>
      <c r="X85" s="51"/>
      <c r="Y85" s="629"/>
      <c r="Z85" s="652"/>
      <c r="AA85" s="51"/>
      <c r="AB85" s="629"/>
      <c r="AC85" s="652"/>
      <c r="AD85" s="51"/>
      <c r="AE85" s="629"/>
      <c r="AF85" s="652"/>
      <c r="AG85" s="51"/>
      <c r="AH85" s="629"/>
      <c r="AI85" s="652"/>
      <c r="AJ85" s="51"/>
      <c r="AK85" s="629"/>
      <c r="AL85" s="652"/>
      <c r="AM85" s="51"/>
      <c r="AN85" s="218"/>
      <c r="AO85" s="553"/>
      <c r="AP85" s="27"/>
      <c r="AQ85" s="218"/>
      <c r="AR85" s="553"/>
      <c r="AS85" s="27"/>
      <c r="AT85" s="218"/>
      <c r="AU85" s="553"/>
      <c r="AV85" s="27"/>
      <c r="AW85" s="218"/>
      <c r="AX85" s="553"/>
      <c r="AY85" s="27"/>
      <c r="AZ85" s="218"/>
      <c r="BA85" s="553"/>
      <c r="BB85" s="27"/>
      <c r="BC85" s="218"/>
      <c r="BD85" s="553"/>
      <c r="BE85" s="27"/>
      <c r="BF85" s="218"/>
      <c r="BG85" s="553"/>
      <c r="BH85" s="27"/>
      <c r="BI85" s="218"/>
      <c r="BJ85" s="553"/>
      <c r="BK85" s="221"/>
      <c r="BL85" s="108"/>
      <c r="BM85" s="108"/>
    </row>
    <row r="86" spans="1:65" s="40" customFormat="1" ht="11.4">
      <c r="A86" s="455" t="s">
        <v>917</v>
      </c>
      <c r="R86" s="51"/>
      <c r="S86" s="629"/>
      <c r="T86" s="652"/>
      <c r="U86" s="51"/>
      <c r="V86" s="629"/>
      <c r="W86" s="652"/>
      <c r="X86" s="51"/>
      <c r="Y86" s="629"/>
      <c r="Z86" s="652"/>
      <c r="AA86" s="51">
        <f>BS!AD90</f>
        <v>-128</v>
      </c>
      <c r="AB86" s="629">
        <f>BS!AE90</f>
        <v>-628</v>
      </c>
      <c r="AC86" s="652">
        <f>BS!AF90</f>
        <v>-756</v>
      </c>
      <c r="AD86" s="51">
        <f>BS!AG90</f>
        <v>-788</v>
      </c>
      <c r="AE86" s="629">
        <f>BS!AH90</f>
        <v>309</v>
      </c>
      <c r="AF86" s="652">
        <f>BS!AI90</f>
        <v>-479</v>
      </c>
      <c r="AG86" s="51">
        <f>BS!AJ90</f>
        <v>108</v>
      </c>
      <c r="AH86" s="629">
        <f>BS!AK90</f>
        <v>-174</v>
      </c>
      <c r="AI86" s="652">
        <f>BS!AL90</f>
        <v>-66</v>
      </c>
      <c r="AJ86" s="51">
        <f>BS!AM90</f>
        <v>-433</v>
      </c>
      <c r="AK86" s="629">
        <f>BS!AN90</f>
        <v>-359</v>
      </c>
      <c r="AL86" s="652">
        <f>BS!AO90</f>
        <v>-792</v>
      </c>
      <c r="AM86" s="51">
        <f>BS!AP90</f>
        <v>-727</v>
      </c>
      <c r="AN86" s="629">
        <f>BS!AQ90</f>
        <v>-604</v>
      </c>
      <c r="AO86" s="652">
        <f>BS!AR90</f>
        <v>-1331</v>
      </c>
      <c r="AP86" s="51">
        <f>BS!AS90</f>
        <v>-715</v>
      </c>
      <c r="AQ86" s="629">
        <f>BS!AT90</f>
        <v>-195</v>
      </c>
      <c r="AR86" s="652">
        <f>BS!AU90</f>
        <v>-910</v>
      </c>
      <c r="AS86" s="51">
        <f>BS!AV90</f>
        <v>-441</v>
      </c>
      <c r="AT86" s="218">
        <f>AU86-AS86</f>
        <v>-60</v>
      </c>
      <c r="AU86" s="652">
        <f>BS!AX90</f>
        <v>-501</v>
      </c>
      <c r="AV86" s="27">
        <f>BS!AY90-23</f>
        <v>-135</v>
      </c>
      <c r="AW86" s="237">
        <f>AX86-AV86</f>
        <v>-141.56863832322938</v>
      </c>
      <c r="AX86" s="576">
        <f>(AX104+AX300)-AX87</f>
        <v>-276.56863832322938</v>
      </c>
      <c r="AY86" s="48">
        <f t="shared" ref="AY86:BH86" si="285">AY104-AY87</f>
        <v>14.381499473655367</v>
      </c>
      <c r="AZ86" s="237">
        <f>BA86-AY86</f>
        <v>-518.21084798313632</v>
      </c>
      <c r="BA86" s="576">
        <f>(BA104+BA300)-BA87</f>
        <v>-503.82934850948095</v>
      </c>
      <c r="BB86" s="48">
        <f t="shared" si="285"/>
        <v>-233.79868245030138</v>
      </c>
      <c r="BC86" s="237">
        <f>BD86-BB86</f>
        <v>-647.59220400416484</v>
      </c>
      <c r="BD86" s="576">
        <f>(BD104+BD300)-BD87</f>
        <v>-881.39088645446623</v>
      </c>
      <c r="BE86" s="48">
        <f t="shared" ref="BE86" si="286">BE104-BE87</f>
        <v>-298.57154355431885</v>
      </c>
      <c r="BF86" s="237">
        <f>BG86-BE86</f>
        <v>-717.50894517495522</v>
      </c>
      <c r="BG86" s="576">
        <f>(BG104+BG300)-BG87</f>
        <v>-1016.0804887292741</v>
      </c>
      <c r="BH86" s="48">
        <f t="shared" si="285"/>
        <v>-356.46872808228909</v>
      </c>
      <c r="BI86" s="237">
        <f>BJ86-BH86</f>
        <v>-777.48872345367045</v>
      </c>
      <c r="BJ86" s="576">
        <f>(BJ104+BJ300)-BJ87</f>
        <v>-1133.9574515359595</v>
      </c>
      <c r="BK86" s="221"/>
      <c r="BL86" s="108"/>
      <c r="BM86" s="108"/>
    </row>
    <row r="87" spans="1:65" s="40" customFormat="1" ht="11.4">
      <c r="A87" s="455" t="s">
        <v>871</v>
      </c>
      <c r="R87" s="51"/>
      <c r="S87" s="629"/>
      <c r="T87" s="652"/>
      <c r="U87" s="51"/>
      <c r="V87" s="629"/>
      <c r="W87" s="652"/>
      <c r="X87" s="51"/>
      <c r="Y87" s="629"/>
      <c r="Z87" s="652"/>
      <c r="AA87" s="27">
        <f>-BS!AD88</f>
        <v>8</v>
      </c>
      <c r="AB87" s="218">
        <f>-BS!AE88</f>
        <v>92</v>
      </c>
      <c r="AC87" s="553">
        <f>-BS!AF88</f>
        <v>100</v>
      </c>
      <c r="AD87" s="27">
        <f>-BS!AG88</f>
        <v>1218</v>
      </c>
      <c r="AE87" s="218">
        <f>-BS!AH88</f>
        <v>-157</v>
      </c>
      <c r="AF87" s="553">
        <f>-BS!AI88</f>
        <v>1061</v>
      </c>
      <c r="AG87" s="27">
        <f>-BS!AJ88</f>
        <v>-160</v>
      </c>
      <c r="AH87" s="218">
        <f>-BS!AK88</f>
        <v>-54</v>
      </c>
      <c r="AI87" s="553">
        <f>-BS!AL88</f>
        <v>-214</v>
      </c>
      <c r="AJ87" s="27">
        <f>-BS!AM88</f>
        <v>-241</v>
      </c>
      <c r="AK87" s="218">
        <f>-BS!AN88</f>
        <v>-119</v>
      </c>
      <c r="AL87" s="553">
        <f>-BS!AO88</f>
        <v>-360</v>
      </c>
      <c r="AM87" s="27">
        <f>-BS!AP88</f>
        <v>-23</v>
      </c>
      <c r="AN87" s="218">
        <f>-BS!AQ88</f>
        <v>127</v>
      </c>
      <c r="AO87" s="553">
        <f>-BS!AR88</f>
        <v>104</v>
      </c>
      <c r="AP87" s="27">
        <f>-BS!AS88</f>
        <v>-258</v>
      </c>
      <c r="AQ87" s="218">
        <f>-BS!AT88</f>
        <v>-53</v>
      </c>
      <c r="AR87" s="553">
        <f>-BS!AU88</f>
        <v>-311</v>
      </c>
      <c r="AS87" s="27">
        <f>-BS!AV88</f>
        <v>-126</v>
      </c>
      <c r="AT87" s="629">
        <f>-BS!AW88</f>
        <v>-153</v>
      </c>
      <c r="AU87" s="553">
        <f>-BS!AX88</f>
        <v>-279</v>
      </c>
      <c r="AV87" s="27">
        <f>-BS!AY88</f>
        <v>-356</v>
      </c>
      <c r="AW87" s="600">
        <f>-BS!AZ88</f>
        <v>-144</v>
      </c>
      <c r="AX87" s="624">
        <f>-BS!BA88</f>
        <v>-500</v>
      </c>
      <c r="AY87" s="52">
        <f>-BS!BB88</f>
        <v>-150</v>
      </c>
      <c r="AZ87" s="600">
        <f>-BS!BC88</f>
        <v>-150</v>
      </c>
      <c r="BA87" s="624">
        <f>-BS!BD88</f>
        <v>-300</v>
      </c>
      <c r="BB87" s="52">
        <f>-BS!BE88</f>
        <v>-50</v>
      </c>
      <c r="BC87" s="600">
        <f>-BS!BF88</f>
        <v>-50</v>
      </c>
      <c r="BD87" s="624">
        <f>-BS!BG88</f>
        <v>-100</v>
      </c>
      <c r="BE87" s="52">
        <f>-BS!BH88</f>
        <v>0</v>
      </c>
      <c r="BF87" s="600">
        <f>-BS!BI88</f>
        <v>0</v>
      </c>
      <c r="BG87" s="624">
        <f>-BS!BJ88</f>
        <v>0</v>
      </c>
      <c r="BH87" s="52">
        <f>-BS!BK88</f>
        <v>0</v>
      </c>
      <c r="BI87" s="600">
        <f>-BS!BL88</f>
        <v>0</v>
      </c>
      <c r="BJ87" s="624">
        <f>-BS!BM88</f>
        <v>0</v>
      </c>
      <c r="BK87" s="221"/>
      <c r="BL87" s="108"/>
      <c r="BM87" s="108"/>
    </row>
    <row r="88" spans="1:65" s="40" customFormat="1" ht="11.4">
      <c r="A88" s="455"/>
      <c r="R88" s="51"/>
      <c r="S88" s="629"/>
      <c r="T88" s="652"/>
      <c r="U88" s="51"/>
      <c r="V88" s="629"/>
      <c r="W88" s="652"/>
      <c r="X88" s="51"/>
      <c r="Y88" s="629"/>
      <c r="Z88" s="652"/>
      <c r="AA88" s="51"/>
      <c r="AB88" s="629"/>
      <c r="AC88" s="652"/>
      <c r="AD88" s="51"/>
      <c r="AE88" s="629"/>
      <c r="AF88" s="652"/>
      <c r="AG88" s="51"/>
      <c r="AH88" s="629"/>
      <c r="AI88" s="652"/>
      <c r="AJ88" s="51"/>
      <c r="AK88" s="629"/>
      <c r="AL88" s="652"/>
      <c r="AM88" s="51"/>
      <c r="AN88" s="218"/>
      <c r="AO88" s="553"/>
      <c r="AP88" s="27"/>
      <c r="AQ88" s="218"/>
      <c r="AR88" s="553"/>
      <c r="AS88" s="27"/>
      <c r="AT88" s="218"/>
      <c r="AU88" s="553"/>
      <c r="AV88" s="27"/>
      <c r="AW88" s="218"/>
      <c r="AX88" s="553"/>
      <c r="AY88" s="27"/>
      <c r="AZ88" s="218"/>
      <c r="BA88" s="553"/>
      <c r="BB88" s="27"/>
      <c r="BC88" s="218"/>
      <c r="BD88" s="553"/>
      <c r="BE88" s="27"/>
      <c r="BF88" s="218"/>
      <c r="BG88" s="553"/>
      <c r="BH88" s="27"/>
      <c r="BI88" s="218"/>
      <c r="BJ88" s="553"/>
      <c r="BK88" s="221"/>
      <c r="BL88" s="108"/>
      <c r="BM88" s="108"/>
    </row>
    <row r="89" spans="1:65" s="40" customFormat="1" ht="11.4">
      <c r="A89" s="455" t="s">
        <v>872</v>
      </c>
      <c r="R89" s="51"/>
      <c r="S89" s="629"/>
      <c r="T89" s="652"/>
      <c r="U89" s="51"/>
      <c r="V89" s="629"/>
      <c r="W89" s="652"/>
      <c r="X89" s="51"/>
      <c r="Y89" s="629"/>
      <c r="Z89" s="652"/>
      <c r="AA89" s="51">
        <f t="shared" ref="AA89:AB89" si="287">AA72+AA86+AA87</f>
        <v>1827</v>
      </c>
      <c r="AB89" s="629">
        <f t="shared" si="287"/>
        <v>1411</v>
      </c>
      <c r="AC89" s="652">
        <f>AC72+AC86+AC87</f>
        <v>3238</v>
      </c>
      <c r="AD89" s="51">
        <f t="shared" ref="AD89:AE89" si="288">AD72+AD86+AD87</f>
        <v>1285.5</v>
      </c>
      <c r="AE89" s="629">
        <f t="shared" si="288"/>
        <v>1007.5</v>
      </c>
      <c r="AF89" s="652">
        <f t="shared" ref="AF89:BJ89" si="289">AF72+AF86+AF87</f>
        <v>2293</v>
      </c>
      <c r="AG89" s="51">
        <f t="shared" ref="AG89:AH89" si="290">AG72+AG86+AG87</f>
        <v>950</v>
      </c>
      <c r="AH89" s="629">
        <f t="shared" si="290"/>
        <v>1059</v>
      </c>
      <c r="AI89" s="652">
        <f t="shared" si="289"/>
        <v>2009</v>
      </c>
      <c r="AJ89" s="51">
        <f t="shared" si="289"/>
        <v>974</v>
      </c>
      <c r="AK89" s="629">
        <f t="shared" si="289"/>
        <v>1438</v>
      </c>
      <c r="AL89" s="652">
        <f t="shared" si="289"/>
        <v>2412</v>
      </c>
      <c r="AM89" s="51">
        <f t="shared" ref="AM89:AN89" si="291">AM72+AM86+AM87</f>
        <v>1587</v>
      </c>
      <c r="AN89" s="629">
        <f t="shared" si="291"/>
        <v>1834</v>
      </c>
      <c r="AO89" s="652">
        <f>AO72+AO86+AO87</f>
        <v>3421</v>
      </c>
      <c r="AP89" s="51">
        <f t="shared" ref="AP89:AQ89" si="292">AP72+AP86+AP87</f>
        <v>1921</v>
      </c>
      <c r="AQ89" s="629">
        <f t="shared" si="292"/>
        <v>2362</v>
      </c>
      <c r="AR89" s="652">
        <f>AR72+AR86+AR87</f>
        <v>4283</v>
      </c>
      <c r="AS89" s="51">
        <f>AS72+AS86+AS87</f>
        <v>2382</v>
      </c>
      <c r="AT89" s="629">
        <f>AT72+AT86+AT87</f>
        <v>2808</v>
      </c>
      <c r="AU89" s="652">
        <f t="shared" si="289"/>
        <v>5190</v>
      </c>
      <c r="AV89" s="51">
        <f t="shared" si="289"/>
        <v>2884</v>
      </c>
      <c r="AW89" s="600">
        <f>AW72+AW86+AW87</f>
        <v>3566.7419829767659</v>
      </c>
      <c r="AX89" s="624">
        <f t="shared" si="289"/>
        <v>6450.7419829767659</v>
      </c>
      <c r="AY89" s="52">
        <f t="shared" si="289"/>
        <v>3855.1580246913577</v>
      </c>
      <c r="AZ89" s="600">
        <f>AZ72+AZ86+AZ87</f>
        <v>3418.8039012345657</v>
      </c>
      <c r="BA89" s="624">
        <f t="shared" si="289"/>
        <v>7273.9619259259234</v>
      </c>
      <c r="BB89" s="52">
        <f t="shared" si="289"/>
        <v>4030.7889181286546</v>
      </c>
      <c r="BC89" s="600">
        <f>BC72+BC86+BC87</f>
        <v>3795.8281967038829</v>
      </c>
      <c r="BD89" s="624">
        <f t="shared" si="289"/>
        <v>7826.6171148325375</v>
      </c>
      <c r="BE89" s="52">
        <f t="shared" si="289"/>
        <v>4385.1448317620652</v>
      </c>
      <c r="BF89" s="600">
        <f>BF72+BF86+BF87</f>
        <v>4232.6248781705945</v>
      </c>
      <c r="BG89" s="624">
        <f t="shared" si="289"/>
        <v>8617.7697099326597</v>
      </c>
      <c r="BH89" s="52">
        <f t="shared" si="289"/>
        <v>4788.0426085715981</v>
      </c>
      <c r="BI89" s="600">
        <f>BI72+BI86+BI87</f>
        <v>4728.7409695121805</v>
      </c>
      <c r="BJ89" s="624">
        <f t="shared" si="289"/>
        <v>9516.7835780837777</v>
      </c>
      <c r="BK89" s="221"/>
      <c r="BL89" s="108"/>
      <c r="BM89" s="108"/>
    </row>
    <row r="90" spans="1:65" s="40" customFormat="1" ht="11.4">
      <c r="A90" s="101" t="s">
        <v>121</v>
      </c>
      <c r="S90" s="630"/>
      <c r="T90" s="653"/>
      <c r="V90" s="630"/>
      <c r="W90" s="653"/>
      <c r="Y90" s="630"/>
      <c r="Z90" s="653"/>
      <c r="AA90" s="10"/>
      <c r="AB90" s="216"/>
      <c r="AC90" s="556">
        <f>3238-AC89</f>
        <v>0</v>
      </c>
      <c r="AD90" s="10"/>
      <c r="AE90" s="216"/>
      <c r="AF90" s="556">
        <f>2293-AF89</f>
        <v>0</v>
      </c>
      <c r="AG90" s="10">
        <f>950-AG89</f>
        <v>0</v>
      </c>
      <c r="AH90" s="216">
        <f>2009-950-AH89</f>
        <v>0</v>
      </c>
      <c r="AI90" s="556">
        <f>2009-AI89</f>
        <v>0</v>
      </c>
      <c r="AJ90" s="10">
        <f>974-AJ89</f>
        <v>0</v>
      </c>
      <c r="AK90" s="630">
        <f>2412-974-AK89</f>
        <v>0</v>
      </c>
      <c r="AL90" s="653">
        <f>2412-AL89</f>
        <v>0</v>
      </c>
      <c r="AM90" s="40">
        <f>1587-AM89</f>
        <v>0</v>
      </c>
      <c r="AN90" s="630">
        <f>3422-1587-AN89</f>
        <v>1</v>
      </c>
      <c r="AO90" s="653">
        <f>3422-AO89</f>
        <v>1</v>
      </c>
      <c r="AP90" s="40">
        <f>1922-AP89</f>
        <v>1</v>
      </c>
      <c r="AQ90" s="216">
        <f>4283-1921-AQ89</f>
        <v>0</v>
      </c>
      <c r="AR90" s="556">
        <f>4283-AR89</f>
        <v>0</v>
      </c>
      <c r="AS90" s="40">
        <f>2379-AS89</f>
        <v>-3</v>
      </c>
      <c r="AT90" s="216">
        <f>5190-2382-2808</f>
        <v>0</v>
      </c>
      <c r="AU90" s="556">
        <f>5190-AU89</f>
        <v>0</v>
      </c>
      <c r="AV90" s="10">
        <f>2884-AV89</f>
        <v>0</v>
      </c>
      <c r="AW90" s="630"/>
      <c r="AX90" s="653"/>
      <c r="AZ90" s="630"/>
      <c r="BA90" s="653"/>
      <c r="BC90" s="630"/>
      <c r="BD90" s="653"/>
      <c r="BF90" s="630"/>
      <c r="BG90" s="653"/>
      <c r="BI90" s="630"/>
      <c r="BJ90" s="653"/>
      <c r="BK90" s="186"/>
      <c r="BL90" s="108"/>
      <c r="BM90" s="108"/>
    </row>
    <row r="91" spans="1:65" s="40" customFormat="1" ht="11.4">
      <c r="A91" s="455" t="s">
        <v>922</v>
      </c>
      <c r="R91" s="51"/>
      <c r="S91" s="629"/>
      <c r="T91" s="652"/>
      <c r="U91" s="51"/>
      <c r="V91" s="629"/>
      <c r="W91" s="652"/>
      <c r="X91" s="51"/>
      <c r="Y91" s="629"/>
      <c r="Z91" s="652"/>
      <c r="AA91" s="27">
        <f t="shared" ref="AA91:AB91" si="293">AA72+AA86</f>
        <v>1819</v>
      </c>
      <c r="AB91" s="218">
        <f t="shared" si="293"/>
        <v>1319</v>
      </c>
      <c r="AC91" s="553">
        <f t="shared" ref="AC91:BJ91" si="294">AC72+AC86</f>
        <v>3138</v>
      </c>
      <c r="AD91" s="27">
        <f t="shared" si="294"/>
        <v>67.5</v>
      </c>
      <c r="AE91" s="218">
        <f t="shared" si="294"/>
        <v>1164.5</v>
      </c>
      <c r="AF91" s="553">
        <f t="shared" si="294"/>
        <v>1232</v>
      </c>
      <c r="AG91" s="27">
        <f t="shared" ref="AG91:AH91" si="295">AG72+AG86</f>
        <v>1110</v>
      </c>
      <c r="AH91" s="218">
        <f t="shared" si="295"/>
        <v>1113</v>
      </c>
      <c r="AI91" s="553">
        <f t="shared" si="294"/>
        <v>2223</v>
      </c>
      <c r="AJ91" s="27">
        <f t="shared" si="294"/>
        <v>1215</v>
      </c>
      <c r="AK91" s="629">
        <f t="shared" si="294"/>
        <v>1557</v>
      </c>
      <c r="AL91" s="652">
        <f t="shared" si="294"/>
        <v>2772</v>
      </c>
      <c r="AM91" s="51">
        <f t="shared" ref="AM91:AO91" si="296">AM72+AM86</f>
        <v>1610</v>
      </c>
      <c r="AN91" s="629">
        <f t="shared" si="296"/>
        <v>1707</v>
      </c>
      <c r="AO91" s="652">
        <f t="shared" si="296"/>
        <v>3317</v>
      </c>
      <c r="AP91" s="51">
        <f t="shared" ref="AP91:AR91" si="297">AP72+AP86</f>
        <v>2179</v>
      </c>
      <c r="AQ91" s="629">
        <f t="shared" si="297"/>
        <v>2415</v>
      </c>
      <c r="AR91" s="652">
        <f t="shared" si="297"/>
        <v>4594</v>
      </c>
      <c r="AS91" s="51">
        <f t="shared" ref="AS91" si="298">AS72+AS86</f>
        <v>2508</v>
      </c>
      <c r="AT91" s="629">
        <f t="shared" si="294"/>
        <v>2961</v>
      </c>
      <c r="AU91" s="652">
        <f t="shared" si="294"/>
        <v>5469</v>
      </c>
      <c r="AV91" s="51">
        <f t="shared" si="294"/>
        <v>3240</v>
      </c>
      <c r="AW91" s="600">
        <f t="shared" si="294"/>
        <v>3710.7419829767659</v>
      </c>
      <c r="AX91" s="624">
        <f t="shared" si="294"/>
        <v>6950.7419829767659</v>
      </c>
      <c r="AY91" s="52">
        <f t="shared" si="294"/>
        <v>4005.1580246913577</v>
      </c>
      <c r="AZ91" s="600">
        <f t="shared" si="294"/>
        <v>3568.8039012345657</v>
      </c>
      <c r="BA91" s="624">
        <f t="shared" si="294"/>
        <v>7573.9619259259234</v>
      </c>
      <c r="BB91" s="52">
        <f t="shared" si="294"/>
        <v>4080.7889181286546</v>
      </c>
      <c r="BC91" s="600">
        <f t="shared" si="294"/>
        <v>3845.8281967038829</v>
      </c>
      <c r="BD91" s="624">
        <f t="shared" si="294"/>
        <v>7926.6171148325375</v>
      </c>
      <c r="BE91" s="52">
        <f t="shared" si="294"/>
        <v>4385.1448317620652</v>
      </c>
      <c r="BF91" s="600">
        <f t="shared" si="294"/>
        <v>4232.6248781705945</v>
      </c>
      <c r="BG91" s="624">
        <f t="shared" si="294"/>
        <v>8617.7697099326597</v>
      </c>
      <c r="BH91" s="52">
        <f t="shared" si="294"/>
        <v>4788.0426085715981</v>
      </c>
      <c r="BI91" s="600">
        <f t="shared" si="294"/>
        <v>4728.7409695121805</v>
      </c>
      <c r="BJ91" s="624">
        <f t="shared" si="294"/>
        <v>9516.7835780837777</v>
      </c>
      <c r="BK91" s="221"/>
      <c r="BL91" s="108"/>
      <c r="BM91" s="108"/>
    </row>
    <row r="92" spans="1:65" s="40" customFormat="1" ht="11.4">
      <c r="A92" s="460" t="s">
        <v>923</v>
      </c>
      <c r="R92" s="51"/>
      <c r="S92" s="629"/>
      <c r="T92" s="652"/>
      <c r="U92" s="51"/>
      <c r="V92" s="629"/>
      <c r="W92" s="652"/>
      <c r="X92" s="51"/>
      <c r="Y92" s="629"/>
      <c r="Z92" s="652"/>
      <c r="AA92" s="222">
        <f t="shared" ref="AA92:AB92" si="299">AA91/AA23</f>
        <v>0.74305555555555558</v>
      </c>
      <c r="AB92" s="228">
        <f t="shared" si="299"/>
        <v>0.54662246166597594</v>
      </c>
      <c r="AC92" s="745">
        <f t="shared" ref="AC92:BJ92" si="300">AC91/AC23</f>
        <v>0.64554618391277518</v>
      </c>
      <c r="AD92" s="222">
        <f t="shared" si="300"/>
        <v>5.0790067720090294E-2</v>
      </c>
      <c r="AE92" s="228">
        <f t="shared" si="300"/>
        <v>0.79705681040383303</v>
      </c>
      <c r="AF92" s="745">
        <f t="shared" si="300"/>
        <v>0.44157706093189963</v>
      </c>
      <c r="AG92" s="222">
        <f t="shared" ref="AG92:AH92" si="301">AG91/AG23</f>
        <v>0.76763485477178428</v>
      </c>
      <c r="AH92" s="228">
        <f t="shared" si="301"/>
        <v>0.75304465493910688</v>
      </c>
      <c r="AI92" s="745">
        <f t="shared" si="300"/>
        <v>0.76025991792065661</v>
      </c>
      <c r="AJ92" s="222">
        <f t="shared" si="300"/>
        <v>0.72364502680166765</v>
      </c>
      <c r="AK92" s="865">
        <f t="shared" si="300"/>
        <v>0.76888888888888884</v>
      </c>
      <c r="AL92" s="889">
        <f t="shared" si="300"/>
        <v>0.74838012958963285</v>
      </c>
      <c r="AM92" s="951">
        <f t="shared" ref="AM92:AO92" si="302">AM91/AM23</f>
        <v>0.73115349682107178</v>
      </c>
      <c r="AN92" s="865">
        <f t="shared" si="302"/>
        <v>0.69873106835857557</v>
      </c>
      <c r="AO92" s="889">
        <f t="shared" si="302"/>
        <v>0.71410118406889123</v>
      </c>
      <c r="AP92" s="951">
        <f t="shared" ref="AP92:AR92" si="303">AP91/AP23</f>
        <v>0.78100358422939065</v>
      </c>
      <c r="AQ92" s="865">
        <f t="shared" si="303"/>
        <v>0.7678855325914149</v>
      </c>
      <c r="AR92" s="889">
        <f t="shared" si="303"/>
        <v>0.77405223251895539</v>
      </c>
      <c r="AS92" s="951">
        <f t="shared" ref="AS92" si="304">AS91/AS23</f>
        <v>0.7581620314389359</v>
      </c>
      <c r="AT92" s="865">
        <f t="shared" si="300"/>
        <v>0.76769509981851181</v>
      </c>
      <c r="AU92" s="889">
        <f t="shared" si="300"/>
        <v>0.7632937892533147</v>
      </c>
      <c r="AV92" s="951">
        <f t="shared" si="300"/>
        <v>0.77753779697624192</v>
      </c>
      <c r="AW92" s="799">
        <f t="shared" si="300"/>
        <v>0.87093463943301785</v>
      </c>
      <c r="AX92" s="830">
        <f t="shared" si="300"/>
        <v>0.82475510609457281</v>
      </c>
      <c r="AY92" s="973">
        <f t="shared" si="300"/>
        <v>0.81869234325643958</v>
      </c>
      <c r="AZ92" s="799">
        <f t="shared" si="300"/>
        <v>0.7606564181202361</v>
      </c>
      <c r="BA92" s="830">
        <f t="shared" si="300"/>
        <v>0.7902811440607217</v>
      </c>
      <c r="BB92" s="973">
        <f t="shared" si="300"/>
        <v>0.7884208323924432</v>
      </c>
      <c r="BC92" s="799">
        <f t="shared" si="300"/>
        <v>0.75172964993278613</v>
      </c>
      <c r="BD92" s="830">
        <f t="shared" si="300"/>
        <v>0.77018206733428618</v>
      </c>
      <c r="BE92" s="973">
        <f t="shared" si="300"/>
        <v>0.76755150298301578</v>
      </c>
      <c r="BF92" s="799">
        <f t="shared" si="300"/>
        <v>0.74792902807985362</v>
      </c>
      <c r="BG92" s="830">
        <f t="shared" si="300"/>
        <v>0.75778688241278291</v>
      </c>
      <c r="BH92" s="973">
        <f t="shared" si="300"/>
        <v>0.7573560589637981</v>
      </c>
      <c r="BI92" s="799">
        <f t="shared" si="300"/>
        <v>0.75358469457466248</v>
      </c>
      <c r="BJ92" s="830">
        <f t="shared" si="300"/>
        <v>0.75547742033891641</v>
      </c>
      <c r="BK92" s="221"/>
      <c r="BL92" s="108"/>
      <c r="BM92" s="108"/>
    </row>
    <row r="93" spans="1:65" s="40" customFormat="1" ht="11.4">
      <c r="A93" s="455"/>
      <c r="R93" s="51"/>
      <c r="S93" s="629"/>
      <c r="T93" s="652"/>
      <c r="U93" s="51"/>
      <c r="V93" s="629"/>
      <c r="W93" s="652"/>
      <c r="X93" s="51"/>
      <c r="Y93" s="629"/>
      <c r="Z93" s="652"/>
      <c r="AA93" s="27"/>
      <c r="AB93" s="218"/>
      <c r="AC93" s="553"/>
      <c r="AD93" s="27"/>
      <c r="AE93" s="218"/>
      <c r="AF93" s="553"/>
      <c r="AG93" s="27"/>
      <c r="AH93" s="218"/>
      <c r="AI93" s="553"/>
      <c r="AJ93" s="27"/>
      <c r="AK93" s="629"/>
      <c r="AL93" s="652"/>
      <c r="AM93" s="51"/>
      <c r="AN93" s="218"/>
      <c r="AO93" s="553"/>
      <c r="AP93" s="27"/>
      <c r="AQ93" s="218"/>
      <c r="AR93" s="553"/>
      <c r="AS93" s="1089"/>
      <c r="AT93" s="218"/>
      <c r="AU93" s="553"/>
      <c r="AV93" s="1089"/>
      <c r="AW93" s="218"/>
      <c r="AX93" s="553"/>
      <c r="AY93" s="27"/>
      <c r="AZ93" s="218"/>
      <c r="BA93" s="553"/>
      <c r="BB93" s="27"/>
      <c r="BC93" s="218"/>
      <c r="BD93" s="553"/>
      <c r="BE93" s="27"/>
      <c r="BF93" s="218"/>
      <c r="BG93" s="553"/>
      <c r="BH93" s="27"/>
      <c r="BI93" s="218"/>
      <c r="BJ93" s="553"/>
      <c r="BK93" s="221"/>
      <c r="BL93" s="108"/>
      <c r="BM93" s="108"/>
    </row>
    <row r="94" spans="1:65" s="40" customFormat="1" ht="11.4">
      <c r="A94" s="455" t="s">
        <v>874</v>
      </c>
      <c r="R94" s="51"/>
      <c r="S94" s="629"/>
      <c r="T94" s="652"/>
      <c r="U94" s="51"/>
      <c r="V94" s="629"/>
      <c r="W94" s="652"/>
      <c r="X94" s="51"/>
      <c r="Y94" s="629"/>
      <c r="Z94" s="652"/>
      <c r="AA94" s="27">
        <f>827+45</f>
        <v>872</v>
      </c>
      <c r="AB94" s="218">
        <f>AC94-AA94</f>
        <v>851</v>
      </c>
      <c r="AC94" s="553">
        <v>1723</v>
      </c>
      <c r="AD94" s="27">
        <f>746+106</f>
        <v>852</v>
      </c>
      <c r="AE94" s="218">
        <f>AF94-AD94</f>
        <v>706</v>
      </c>
      <c r="AF94" s="553">
        <v>1558</v>
      </c>
      <c r="AG94" s="27">
        <f>193+56</f>
        <v>249</v>
      </c>
      <c r="AH94" s="218">
        <f>AI94-AG94</f>
        <v>452</v>
      </c>
      <c r="AI94" s="553">
        <v>701</v>
      </c>
      <c r="AJ94" s="27">
        <f>433+31</f>
        <v>464</v>
      </c>
      <c r="AK94" s="629">
        <f>AL94-AJ94</f>
        <v>468</v>
      </c>
      <c r="AL94" s="652">
        <f>865+67</f>
        <v>932</v>
      </c>
      <c r="AM94" s="51">
        <f>555+43</f>
        <v>598</v>
      </c>
      <c r="AN94" s="629">
        <f>AO94-AM94</f>
        <v>730</v>
      </c>
      <c r="AO94" s="652">
        <f>1227+83+18</f>
        <v>1328</v>
      </c>
      <c r="AP94" s="51">
        <f>559+51+1</f>
        <v>611</v>
      </c>
      <c r="AQ94" s="629">
        <f>AR94-AP94</f>
        <v>730</v>
      </c>
      <c r="AR94" s="652">
        <f>1258+83</f>
        <v>1341</v>
      </c>
      <c r="AS94" s="51">
        <f>766+37-3</f>
        <v>800</v>
      </c>
      <c r="AT94" s="629">
        <f>AU94-AS94</f>
        <v>896</v>
      </c>
      <c r="AU94" s="553">
        <f>1617+79</f>
        <v>1696</v>
      </c>
      <c r="AV94" s="27">
        <f>888+39</f>
        <v>927</v>
      </c>
      <c r="AW94" s="1129">
        <f>AX94-AV94</f>
        <v>1049.9014855072464</v>
      </c>
      <c r="AX94" s="576">
        <f>AX110+AX336+AX358</f>
        <v>1976.9014855072464</v>
      </c>
      <c r="AY94" s="48">
        <f>AY23-AY91</f>
        <v>886.98254274133296</v>
      </c>
      <c r="AZ94" s="237">
        <f>AZ23-AZ91</f>
        <v>1122.9384100364464</v>
      </c>
      <c r="BA94" s="576">
        <f>BA110+BA336+BA358</f>
        <v>2309.9209527777775</v>
      </c>
      <c r="BB94" s="48">
        <f>BB23-BB91</f>
        <v>1095.1130246771982</v>
      </c>
      <c r="BC94" s="237">
        <f>BC23-BC91</f>
        <v>1270.1442769743171</v>
      </c>
      <c r="BD94" s="576">
        <f>BD110+BD336+BD358</f>
        <v>2465.2573016515148</v>
      </c>
      <c r="BE94" s="48">
        <f>BE23-BE91</f>
        <v>1328.0155421276577</v>
      </c>
      <c r="BF94" s="237">
        <f>BF23-BF91</f>
        <v>1426.501481768858</v>
      </c>
      <c r="BG94" s="576">
        <f>BG110+BG336+BG358</f>
        <v>2754.5170238965147</v>
      </c>
      <c r="BH94" s="48">
        <f>BH23-BH91</f>
        <v>1534.007042846677</v>
      </c>
      <c r="BI94" s="237">
        <f>BI23-BI91</f>
        <v>1546.2550641866883</v>
      </c>
      <c r="BJ94" s="576">
        <f>BJ110+BJ336+BJ358</f>
        <v>3080.2621070333648</v>
      </c>
      <c r="BK94" s="221"/>
      <c r="BL94" s="108"/>
      <c r="BM94" s="108"/>
    </row>
    <row r="95" spans="1:65" s="40" customFormat="1" ht="11.4">
      <c r="A95" s="101" t="str">
        <f>A87</f>
        <v>Contract catch-ups</v>
      </c>
      <c r="S95" s="630"/>
      <c r="T95" s="653"/>
      <c r="V95" s="630"/>
      <c r="W95" s="653"/>
      <c r="Y95" s="630"/>
      <c r="Z95" s="653"/>
      <c r="AA95" s="40">
        <f t="shared" ref="AA95:AB95" si="305">-AA87</f>
        <v>-8</v>
      </c>
      <c r="AB95" s="630">
        <f t="shared" si="305"/>
        <v>-92</v>
      </c>
      <c r="AC95" s="653">
        <f t="shared" ref="AC95:BJ95" si="306">-AC87</f>
        <v>-100</v>
      </c>
      <c r="AD95" s="40">
        <f t="shared" si="306"/>
        <v>-1218</v>
      </c>
      <c r="AE95" s="630">
        <f t="shared" si="306"/>
        <v>157</v>
      </c>
      <c r="AF95" s="653">
        <f t="shared" si="306"/>
        <v>-1061</v>
      </c>
      <c r="AG95" s="40">
        <f t="shared" ref="AG95:AH95" si="307">-AG87</f>
        <v>160</v>
      </c>
      <c r="AH95" s="630">
        <f t="shared" si="307"/>
        <v>54</v>
      </c>
      <c r="AI95" s="653">
        <f t="shared" si="306"/>
        <v>214</v>
      </c>
      <c r="AJ95" s="40">
        <f t="shared" si="306"/>
        <v>241</v>
      </c>
      <c r="AK95" s="630">
        <f t="shared" ref="AK95" si="308">-AK87</f>
        <v>119</v>
      </c>
      <c r="AL95" s="653">
        <f t="shared" si="306"/>
        <v>360</v>
      </c>
      <c r="AM95" s="40">
        <f t="shared" ref="AM95:AP95" si="309">-AM87</f>
        <v>23</v>
      </c>
      <c r="AN95" s="630">
        <f t="shared" si="309"/>
        <v>-127</v>
      </c>
      <c r="AO95" s="653">
        <f t="shared" si="309"/>
        <v>-104</v>
      </c>
      <c r="AP95" s="40">
        <f t="shared" si="309"/>
        <v>258</v>
      </c>
      <c r="AQ95" s="630">
        <f t="shared" ref="AQ95:AS95" si="310">-AQ87</f>
        <v>53</v>
      </c>
      <c r="AR95" s="653">
        <f t="shared" si="310"/>
        <v>311</v>
      </c>
      <c r="AS95" s="40">
        <f t="shared" si="310"/>
        <v>126</v>
      </c>
      <c r="AT95" s="630">
        <f t="shared" si="306"/>
        <v>153</v>
      </c>
      <c r="AU95" s="653">
        <f t="shared" si="306"/>
        <v>279</v>
      </c>
      <c r="AV95" s="40">
        <f t="shared" si="306"/>
        <v>356</v>
      </c>
      <c r="AW95" s="601">
        <f t="shared" si="306"/>
        <v>144</v>
      </c>
      <c r="AX95" s="625">
        <f t="shared" si="306"/>
        <v>500</v>
      </c>
      <c r="AY95" s="49">
        <f t="shared" si="306"/>
        <v>150</v>
      </c>
      <c r="AZ95" s="601">
        <f t="shared" si="306"/>
        <v>150</v>
      </c>
      <c r="BA95" s="625">
        <f t="shared" si="306"/>
        <v>300</v>
      </c>
      <c r="BB95" s="49">
        <f t="shared" si="306"/>
        <v>50</v>
      </c>
      <c r="BC95" s="601">
        <f t="shared" si="306"/>
        <v>50</v>
      </c>
      <c r="BD95" s="625">
        <f t="shared" si="306"/>
        <v>100</v>
      </c>
      <c r="BE95" s="49">
        <f t="shared" si="306"/>
        <v>0</v>
      </c>
      <c r="BF95" s="601">
        <f t="shared" si="306"/>
        <v>0</v>
      </c>
      <c r="BG95" s="625">
        <f t="shared" si="306"/>
        <v>0</v>
      </c>
      <c r="BH95" s="49">
        <f t="shared" si="306"/>
        <v>0</v>
      </c>
      <c r="BI95" s="601">
        <f t="shared" si="306"/>
        <v>0</v>
      </c>
      <c r="BJ95" s="625">
        <f t="shared" si="306"/>
        <v>0</v>
      </c>
      <c r="BK95" s="221"/>
      <c r="BL95" s="108"/>
      <c r="BM95" s="108"/>
    </row>
    <row r="96" spans="1:65" s="40" customFormat="1" ht="11.4">
      <c r="A96" s="455" t="s">
        <v>875</v>
      </c>
      <c r="R96" s="51"/>
      <c r="S96" s="629"/>
      <c r="T96" s="652"/>
      <c r="U96" s="51"/>
      <c r="V96" s="629"/>
      <c r="W96" s="652"/>
      <c r="X96" s="51"/>
      <c r="Y96" s="629"/>
      <c r="Z96" s="652"/>
      <c r="AA96" s="51">
        <f t="shared" ref="AA96:AB96" si="311">AA89+AA94+AA95</f>
        <v>2691</v>
      </c>
      <c r="AB96" s="629">
        <f t="shared" si="311"/>
        <v>2170</v>
      </c>
      <c r="AC96" s="652">
        <f t="shared" ref="AC96:BJ96" si="312">AC89+AC94+AC95</f>
        <v>4861</v>
      </c>
      <c r="AD96" s="51">
        <f t="shared" si="312"/>
        <v>919.5</v>
      </c>
      <c r="AE96" s="629">
        <f t="shared" si="312"/>
        <v>1870.5</v>
      </c>
      <c r="AF96" s="652">
        <f t="shared" si="312"/>
        <v>2790</v>
      </c>
      <c r="AG96" s="51">
        <f t="shared" ref="AG96:AH96" si="313">AG89+AG94+AG95</f>
        <v>1359</v>
      </c>
      <c r="AH96" s="629">
        <f t="shared" si="313"/>
        <v>1565</v>
      </c>
      <c r="AI96" s="652">
        <f t="shared" si="312"/>
        <v>2924</v>
      </c>
      <c r="AJ96" s="51">
        <f t="shared" si="312"/>
        <v>1679</v>
      </c>
      <c r="AK96" s="629">
        <f t="shared" ref="AK96" si="314">AK89+AK94+AK95</f>
        <v>2025</v>
      </c>
      <c r="AL96" s="652">
        <f t="shared" si="312"/>
        <v>3704</v>
      </c>
      <c r="AM96" s="51">
        <f t="shared" ref="AM96:AN96" si="315">AM89+AM94+AM95</f>
        <v>2208</v>
      </c>
      <c r="AN96" s="629">
        <f t="shared" si="315"/>
        <v>2437</v>
      </c>
      <c r="AO96" s="553">
        <f>AO89+AO94+AO95</f>
        <v>4645</v>
      </c>
      <c r="AP96" s="51">
        <f t="shared" ref="AP96:AQ96" si="316">AP89+AP94+AP95</f>
        <v>2790</v>
      </c>
      <c r="AQ96" s="629">
        <f t="shared" si="316"/>
        <v>3145</v>
      </c>
      <c r="AR96" s="553">
        <f>AR89+AR94+AR95</f>
        <v>5935</v>
      </c>
      <c r="AS96" s="51">
        <f t="shared" ref="AS96" si="317">AS89+AS94+AS95</f>
        <v>3308</v>
      </c>
      <c r="AT96" s="629">
        <f>AT89+AT94+AT95</f>
        <v>3857</v>
      </c>
      <c r="AU96" s="652">
        <f t="shared" si="312"/>
        <v>7165</v>
      </c>
      <c r="AV96" s="51">
        <f>AV89+AV94+AV95</f>
        <v>4167</v>
      </c>
      <c r="AW96" s="600">
        <f>AW89+AW94+AW95</f>
        <v>4760.6434684840124</v>
      </c>
      <c r="AX96" s="624">
        <f>AX89+AX94+AX95</f>
        <v>8927.6434684840133</v>
      </c>
      <c r="AY96" s="52">
        <f t="shared" si="312"/>
        <v>4892.1405674326907</v>
      </c>
      <c r="AZ96" s="600">
        <f>AZ89+AZ94+AZ95</f>
        <v>4691.7423112710121</v>
      </c>
      <c r="BA96" s="624">
        <f t="shared" si="312"/>
        <v>9883.8828787037019</v>
      </c>
      <c r="BB96" s="52">
        <f t="shared" si="312"/>
        <v>5175.9019428058527</v>
      </c>
      <c r="BC96" s="600">
        <f>BC89+BC94+BC95</f>
        <v>5115.9724736782</v>
      </c>
      <c r="BD96" s="624">
        <f t="shared" si="312"/>
        <v>10391.874416484052</v>
      </c>
      <c r="BE96" s="52">
        <f t="shared" si="312"/>
        <v>5713.1603738897229</v>
      </c>
      <c r="BF96" s="600">
        <f>BF89+BF94+BF95</f>
        <v>5659.1263599394524</v>
      </c>
      <c r="BG96" s="624">
        <f t="shared" si="312"/>
        <v>11372.286733829174</v>
      </c>
      <c r="BH96" s="52">
        <f t="shared" si="312"/>
        <v>6322.0496514182751</v>
      </c>
      <c r="BI96" s="600">
        <f>BI89+BI94+BI95</f>
        <v>6274.9960336988688</v>
      </c>
      <c r="BJ96" s="624">
        <f t="shared" si="312"/>
        <v>12597.045685117142</v>
      </c>
      <c r="BK96" s="221"/>
      <c r="BL96" s="108"/>
      <c r="BM96" s="108"/>
    </row>
    <row r="97" spans="1:65" s="40" customFormat="1" ht="11.4">
      <c r="A97" s="460" t="s">
        <v>910</v>
      </c>
      <c r="S97" s="630"/>
      <c r="T97" s="653"/>
      <c r="V97" s="630"/>
      <c r="W97" s="653"/>
      <c r="Y97" s="630"/>
      <c r="Z97" s="653"/>
      <c r="AA97" s="40">
        <f t="shared" ref="AA97:AB97" si="318">AA19</f>
        <v>1595</v>
      </c>
      <c r="AB97" s="630">
        <f t="shared" si="318"/>
        <v>1610</v>
      </c>
      <c r="AC97" s="653">
        <f t="shared" ref="AC97:BJ97" si="319">AC19</f>
        <v>3205</v>
      </c>
      <c r="AD97" s="40">
        <f t="shared" si="319"/>
        <v>649</v>
      </c>
      <c r="AE97" s="630">
        <f t="shared" si="319"/>
        <v>959</v>
      </c>
      <c r="AF97" s="653">
        <f t="shared" si="319"/>
        <v>1608</v>
      </c>
      <c r="AG97" s="40">
        <f t="shared" ref="AG97:AH97" si="320">AG19</f>
        <v>1036</v>
      </c>
      <c r="AH97" s="630">
        <f t="shared" si="320"/>
        <v>922</v>
      </c>
      <c r="AI97" s="653">
        <f t="shared" si="319"/>
        <v>1958</v>
      </c>
      <c r="AJ97" s="40">
        <f t="shared" si="319"/>
        <v>1135</v>
      </c>
      <c r="AK97" s="630">
        <f t="shared" ref="AK97" si="321">AK19</f>
        <v>1357</v>
      </c>
      <c r="AL97" s="653">
        <f t="shared" si="319"/>
        <v>2492</v>
      </c>
      <c r="AM97" s="40">
        <f t="shared" ref="AM97:AO97" si="322">AM19</f>
        <v>1547</v>
      </c>
      <c r="AN97" s="630">
        <f t="shared" si="322"/>
        <v>1752</v>
      </c>
      <c r="AO97" s="653">
        <f t="shared" si="322"/>
        <v>3299</v>
      </c>
      <c r="AP97" s="40">
        <f t="shared" ref="AP97:AR97" si="323">AP19</f>
        <v>1958</v>
      </c>
      <c r="AQ97" s="630">
        <f t="shared" si="323"/>
        <v>2382</v>
      </c>
      <c r="AR97" s="653">
        <f t="shared" si="323"/>
        <v>4340</v>
      </c>
      <c r="AS97" s="40">
        <f t="shared" ref="AS97" si="324">AS19</f>
        <v>2497</v>
      </c>
      <c r="AT97" s="216">
        <f>AT19</f>
        <v>3124</v>
      </c>
      <c r="AU97" s="556">
        <f>AU19</f>
        <v>5621</v>
      </c>
      <c r="AV97" s="10">
        <f t="shared" si="319"/>
        <v>3280</v>
      </c>
      <c r="AW97" s="236">
        <f>AW19</f>
        <v>3451.492743846331</v>
      </c>
      <c r="AX97" s="605">
        <f t="shared" si="319"/>
        <v>6731.492743846331</v>
      </c>
      <c r="AY97" s="56">
        <f t="shared" si="319"/>
        <v>3938.8472340993576</v>
      </c>
      <c r="AZ97" s="236">
        <f>AZ19</f>
        <v>3809.2098668265671</v>
      </c>
      <c r="BA97" s="605">
        <f t="shared" si="319"/>
        <v>7748.0571009259238</v>
      </c>
      <c r="BB97" s="56">
        <f t="shared" si="319"/>
        <v>4225.8348215937312</v>
      </c>
      <c r="BC97" s="236">
        <f>BC19</f>
        <v>4242.3204433751689</v>
      </c>
      <c r="BD97" s="605">
        <f t="shared" si="319"/>
        <v>8468.1552649689002</v>
      </c>
      <c r="BE97" s="56">
        <f t="shared" si="319"/>
        <v>4686.3077526776015</v>
      </c>
      <c r="BF97" s="236">
        <f>BF19</f>
        <v>4713.1394296364224</v>
      </c>
      <c r="BG97" s="605">
        <f t="shared" si="319"/>
        <v>9399.4471823140229</v>
      </c>
      <c r="BH97" s="56">
        <f t="shared" si="319"/>
        <v>5210.732980206154</v>
      </c>
      <c r="BI97" s="236">
        <f>BI19</f>
        <v>5249.4407133958384</v>
      </c>
      <c r="BJ97" s="605">
        <f t="shared" si="319"/>
        <v>10460.173693601992</v>
      </c>
      <c r="BK97" s="186"/>
      <c r="BL97" s="108"/>
      <c r="BM97" s="108"/>
    </row>
    <row r="98" spans="1:65" s="40" customFormat="1" ht="11.4">
      <c r="A98" s="460" t="s">
        <v>911</v>
      </c>
      <c r="S98" s="630"/>
      <c r="T98" s="653"/>
      <c r="V98" s="630"/>
      <c r="W98" s="653"/>
      <c r="Y98" s="630"/>
      <c r="Z98" s="653"/>
      <c r="AA98" s="40">
        <f t="shared" ref="AA98:AB98" si="325">SUM(AA20:AA22)</f>
        <v>853</v>
      </c>
      <c r="AB98" s="630">
        <f t="shared" si="325"/>
        <v>803</v>
      </c>
      <c r="AC98" s="653">
        <f t="shared" ref="AC98:BJ98" si="326">SUM(AC20:AC22)</f>
        <v>1656</v>
      </c>
      <c r="AD98" s="40">
        <f t="shared" ref="AD98:AE98" si="327">SUM(AD20:AD22)</f>
        <v>680</v>
      </c>
      <c r="AE98" s="630">
        <f t="shared" si="327"/>
        <v>502</v>
      </c>
      <c r="AF98" s="653">
        <f t="shared" si="326"/>
        <v>1182</v>
      </c>
      <c r="AG98" s="40">
        <f t="shared" ref="AG98:AH98" si="328">SUM(AG20:AG22)</f>
        <v>410</v>
      </c>
      <c r="AH98" s="630">
        <f t="shared" si="328"/>
        <v>556</v>
      </c>
      <c r="AI98" s="653">
        <f t="shared" si="326"/>
        <v>966</v>
      </c>
      <c r="AJ98" s="40">
        <f t="shared" ref="AJ98:AK98" si="329">SUM(AJ20:AJ22)</f>
        <v>544</v>
      </c>
      <c r="AK98" s="630">
        <f t="shared" si="329"/>
        <v>668</v>
      </c>
      <c r="AL98" s="653">
        <f t="shared" si="326"/>
        <v>1212</v>
      </c>
      <c r="AM98" s="40">
        <f t="shared" ref="AM98:AO98" si="330">SUM(AM20:AM22)</f>
        <v>655</v>
      </c>
      <c r="AN98" s="630">
        <f t="shared" si="330"/>
        <v>691</v>
      </c>
      <c r="AO98" s="653">
        <f t="shared" si="330"/>
        <v>1346</v>
      </c>
      <c r="AP98" s="40">
        <f t="shared" ref="AP98:AR98" si="331">SUM(AP20:AP22)</f>
        <v>832</v>
      </c>
      <c r="AQ98" s="630">
        <f t="shared" si="331"/>
        <v>763</v>
      </c>
      <c r="AR98" s="653">
        <f t="shared" si="331"/>
        <v>1595</v>
      </c>
      <c r="AS98" s="40">
        <f t="shared" ref="AS98" si="332">SUM(AS20:AS22)</f>
        <v>811</v>
      </c>
      <c r="AT98" s="216">
        <f t="shared" si="326"/>
        <v>733</v>
      </c>
      <c r="AU98" s="556">
        <f t="shared" si="326"/>
        <v>1544</v>
      </c>
      <c r="AV98" s="10">
        <f t="shared" si="326"/>
        <v>887</v>
      </c>
      <c r="AW98" s="236">
        <f t="shared" si="326"/>
        <v>809.15072463768138</v>
      </c>
      <c r="AX98" s="605">
        <f t="shared" si="326"/>
        <v>1696.1507246376814</v>
      </c>
      <c r="AY98" s="56">
        <f t="shared" si="326"/>
        <v>953.29333333333329</v>
      </c>
      <c r="AZ98" s="236">
        <f t="shared" si="326"/>
        <v>882.53244444444465</v>
      </c>
      <c r="BA98" s="605">
        <f t="shared" si="326"/>
        <v>1835.8257777777778</v>
      </c>
      <c r="BB98" s="56">
        <f t="shared" si="326"/>
        <v>950.06712121212126</v>
      </c>
      <c r="BC98" s="236">
        <f t="shared" si="326"/>
        <v>873.65203030303053</v>
      </c>
      <c r="BD98" s="605">
        <f t="shared" si="326"/>
        <v>1823.7191515151517</v>
      </c>
      <c r="BE98" s="56">
        <f t="shared" si="326"/>
        <v>1026.8526212121214</v>
      </c>
      <c r="BF98" s="236">
        <f t="shared" si="326"/>
        <v>945.98693030303036</v>
      </c>
      <c r="BG98" s="605">
        <f t="shared" si="326"/>
        <v>1972.8395515151519</v>
      </c>
      <c r="BH98" s="56">
        <f t="shared" si="326"/>
        <v>1111.3166712121215</v>
      </c>
      <c r="BI98" s="236">
        <f t="shared" si="326"/>
        <v>1025.5553203030304</v>
      </c>
      <c r="BJ98" s="605">
        <f t="shared" si="326"/>
        <v>2136.8719915151519</v>
      </c>
      <c r="BK98" s="186"/>
      <c r="BL98" s="108"/>
      <c r="BM98" s="108"/>
    </row>
    <row r="99" spans="1:65" s="40" customFormat="1" ht="11.4">
      <c r="A99" s="455"/>
      <c r="R99" s="51"/>
      <c r="S99" s="629"/>
      <c r="T99" s="652"/>
      <c r="U99" s="51"/>
      <c r="V99" s="629"/>
      <c r="W99" s="652"/>
      <c r="X99" s="51"/>
      <c r="Y99" s="629"/>
      <c r="Z99" s="652"/>
      <c r="AA99" s="51">
        <f t="shared" ref="AA99:AT99" si="333">AA96-AA23</f>
        <v>243</v>
      </c>
      <c r="AB99" s="629">
        <f t="shared" si="333"/>
        <v>-243</v>
      </c>
      <c r="AC99" s="652">
        <f t="shared" si="333"/>
        <v>0</v>
      </c>
      <c r="AD99" s="51">
        <f t="shared" si="333"/>
        <v>-409.5</v>
      </c>
      <c r="AE99" s="629">
        <f t="shared" si="333"/>
        <v>409.5</v>
      </c>
      <c r="AF99" s="652">
        <f t="shared" si="333"/>
        <v>0</v>
      </c>
      <c r="AG99" s="51">
        <f t="shared" si="333"/>
        <v>-87</v>
      </c>
      <c r="AH99" s="629">
        <f t="shared" si="333"/>
        <v>87</v>
      </c>
      <c r="AI99" s="652">
        <f t="shared" si="333"/>
        <v>0</v>
      </c>
      <c r="AJ99" s="51">
        <f t="shared" si="333"/>
        <v>0</v>
      </c>
      <c r="AK99" s="629">
        <f t="shared" si="333"/>
        <v>0</v>
      </c>
      <c r="AL99" s="652">
        <f t="shared" si="333"/>
        <v>0</v>
      </c>
      <c r="AM99" s="51">
        <f t="shared" si="333"/>
        <v>6</v>
      </c>
      <c r="AN99" s="218">
        <f t="shared" si="333"/>
        <v>-6</v>
      </c>
      <c r="AO99" s="553">
        <f t="shared" si="333"/>
        <v>0</v>
      </c>
      <c r="AP99" s="27">
        <f t="shared" si="333"/>
        <v>0</v>
      </c>
      <c r="AQ99" s="218">
        <f t="shared" si="333"/>
        <v>0</v>
      </c>
      <c r="AR99" s="553">
        <f t="shared" si="333"/>
        <v>0</v>
      </c>
      <c r="AS99" s="27">
        <f t="shared" si="333"/>
        <v>0</v>
      </c>
      <c r="AT99" s="218">
        <f t="shared" si="333"/>
        <v>0</v>
      </c>
      <c r="AU99" s="553">
        <f>AU96-AU23</f>
        <v>0</v>
      </c>
      <c r="AV99" s="27">
        <f>AV96-AV23</f>
        <v>0</v>
      </c>
      <c r="AW99" s="218"/>
      <c r="AX99" s="553"/>
      <c r="AY99" s="27"/>
      <c r="AZ99" s="218"/>
      <c r="BA99" s="553"/>
      <c r="BB99" s="27"/>
      <c r="BC99" s="218"/>
      <c r="BD99" s="553"/>
      <c r="BE99" s="27"/>
      <c r="BF99" s="218"/>
      <c r="BG99" s="553"/>
      <c r="BH99" s="27"/>
      <c r="BI99" s="218"/>
      <c r="BJ99" s="553"/>
      <c r="BK99" s="221"/>
      <c r="BL99" s="108"/>
      <c r="BM99" s="108"/>
    </row>
    <row r="100" spans="1:65" s="40" customFormat="1" ht="11.4">
      <c r="A100" s="455"/>
      <c r="R100" s="51"/>
      <c r="S100" s="629"/>
      <c r="T100" s="652"/>
      <c r="U100" s="51"/>
      <c r="V100" s="629"/>
      <c r="W100" s="652"/>
      <c r="X100" s="51"/>
      <c r="Y100" s="629"/>
      <c r="Z100" s="652"/>
      <c r="AA100" s="51"/>
      <c r="AB100" s="629"/>
      <c r="AC100" s="652"/>
      <c r="AD100" s="51"/>
      <c r="AE100" s="629"/>
      <c r="AF100" s="652"/>
      <c r="AG100" s="51"/>
      <c r="AH100" s="629"/>
      <c r="AI100" s="652"/>
      <c r="AJ100" s="51"/>
      <c r="AK100" s="629"/>
      <c r="AL100" s="652"/>
      <c r="AM100" s="51"/>
      <c r="AN100" s="218"/>
      <c r="AO100" s="553"/>
      <c r="AP100" s="27"/>
      <c r="AQ100" s="218"/>
      <c r="AR100" s="553"/>
      <c r="AS100" s="27"/>
      <c r="AT100" s="218"/>
      <c r="AU100" s="553"/>
      <c r="AV100" s="27"/>
      <c r="AW100" s="218"/>
      <c r="AX100" s="553"/>
      <c r="AY100" s="27"/>
      <c r="AZ100" s="218"/>
      <c r="BA100" s="553"/>
      <c r="BB100" s="27"/>
      <c r="BC100" s="218"/>
      <c r="BD100" s="553"/>
      <c r="BE100" s="27"/>
      <c r="BF100" s="218"/>
      <c r="BG100" s="553"/>
      <c r="BH100" s="27"/>
      <c r="BI100" s="218"/>
      <c r="BJ100" s="553"/>
      <c r="BK100" s="221"/>
      <c r="BL100" s="108"/>
      <c r="BM100" s="108"/>
    </row>
    <row r="101" spans="1:65" ht="12">
      <c r="A101" s="463" t="s">
        <v>975</v>
      </c>
      <c r="B101" s="41"/>
      <c r="C101" s="41"/>
      <c r="D101" s="41"/>
      <c r="E101" s="41"/>
      <c r="F101" s="41"/>
      <c r="G101" s="41"/>
      <c r="H101" s="41"/>
      <c r="I101" s="41"/>
      <c r="J101" s="41"/>
      <c r="K101" s="41"/>
      <c r="L101" s="41"/>
      <c r="M101" s="41"/>
      <c r="N101" s="41"/>
      <c r="O101" s="41"/>
      <c r="P101" s="41"/>
      <c r="Q101" s="462"/>
      <c r="R101" s="440"/>
      <c r="S101" s="681"/>
      <c r="T101" s="690"/>
      <c r="U101" s="440"/>
      <c r="V101" s="681"/>
      <c r="W101" s="690"/>
      <c r="X101" s="440"/>
      <c r="Y101" s="681"/>
      <c r="Z101" s="690"/>
      <c r="AA101" s="457"/>
      <c r="AB101" s="862"/>
      <c r="AC101" s="690"/>
      <c r="AD101" s="457"/>
      <c r="AE101" s="862"/>
      <c r="AF101" s="887"/>
      <c r="AG101" s="457"/>
      <c r="AH101" s="862"/>
      <c r="AI101" s="887"/>
      <c r="AJ101" s="457"/>
      <c r="AK101" s="862"/>
      <c r="AL101" s="887"/>
      <c r="AM101" s="457"/>
      <c r="AN101" s="862"/>
      <c r="AO101" s="887"/>
      <c r="AP101" s="457"/>
      <c r="AQ101" s="862"/>
      <c r="AR101" s="887"/>
      <c r="AS101" s="457"/>
      <c r="AT101" s="862"/>
      <c r="AU101" s="887"/>
      <c r="AV101" s="457"/>
      <c r="AW101" s="795"/>
      <c r="AX101" s="826"/>
      <c r="AY101" s="458"/>
      <c r="AZ101" s="795"/>
      <c r="BA101" s="826"/>
      <c r="BB101" s="458"/>
      <c r="BC101" s="795"/>
      <c r="BD101" s="826"/>
      <c r="BE101" s="458"/>
      <c r="BF101" s="795"/>
      <c r="BG101" s="826"/>
      <c r="BH101" s="458"/>
      <c r="BI101" s="795"/>
      <c r="BJ101" s="826"/>
      <c r="BL101" s="106"/>
      <c r="BM101" s="106"/>
    </row>
    <row r="102" spans="1:65">
      <c r="A102" s="117" t="s">
        <v>727</v>
      </c>
      <c r="R102" s="40"/>
      <c r="S102" s="630"/>
      <c r="T102" s="653"/>
      <c r="U102" s="40"/>
      <c r="V102" s="630"/>
      <c r="W102" s="653"/>
      <c r="X102" s="40"/>
      <c r="Y102" s="630"/>
      <c r="Z102" s="653"/>
      <c r="AA102" s="33"/>
      <c r="AB102" s="866"/>
      <c r="AC102" s="653"/>
      <c r="AD102" s="33"/>
      <c r="AE102" s="866"/>
      <c r="AF102" s="890"/>
      <c r="AG102" s="33"/>
      <c r="AH102" s="866"/>
      <c r="AI102" s="890"/>
      <c r="AJ102" s="33"/>
      <c r="AK102" s="866"/>
      <c r="AL102" s="890"/>
      <c r="AM102" s="33"/>
      <c r="AN102" s="800"/>
      <c r="AO102" s="831"/>
      <c r="AP102" s="454"/>
      <c r="AQ102" s="800"/>
      <c r="AR102" s="833"/>
      <c r="AS102" s="454"/>
      <c r="AT102" s="800"/>
      <c r="AU102" s="833"/>
      <c r="AV102" s="454"/>
      <c r="AW102" s="800"/>
      <c r="AX102" s="833"/>
      <c r="AY102" s="454"/>
      <c r="AZ102" s="800"/>
      <c r="BA102" s="833"/>
      <c r="BB102" s="454"/>
      <c r="BC102" s="800"/>
      <c r="BD102" s="833"/>
      <c r="BE102" s="454"/>
      <c r="BF102" s="800"/>
      <c r="BG102" s="833"/>
      <c r="BH102" s="454"/>
      <c r="BI102" s="800"/>
      <c r="BJ102" s="833"/>
    </row>
    <row r="103" spans="1:65" ht="12">
      <c r="A103" s="72" t="s">
        <v>723</v>
      </c>
      <c r="Q103" s="51"/>
      <c r="R103" s="51"/>
      <c r="S103" s="629"/>
      <c r="T103" s="652">
        <f t="shared" ref="T103:BG103" si="334">+T19</f>
        <v>2015</v>
      </c>
      <c r="U103" s="51">
        <f t="shared" ref="U103:V103" si="335">+U19</f>
        <v>1061</v>
      </c>
      <c r="V103" s="629">
        <f t="shared" si="335"/>
        <v>1266</v>
      </c>
      <c r="W103" s="652">
        <f t="shared" si="334"/>
        <v>2327</v>
      </c>
      <c r="X103" s="51">
        <f t="shared" si="334"/>
        <v>1328</v>
      </c>
      <c r="Y103" s="629">
        <f t="shared" si="334"/>
        <v>1338</v>
      </c>
      <c r="Z103" s="652">
        <f t="shared" si="334"/>
        <v>2666</v>
      </c>
      <c r="AA103" s="51">
        <f t="shared" ref="AA103:AB103" si="336">+AA19</f>
        <v>1595</v>
      </c>
      <c r="AB103" s="629">
        <f t="shared" si="336"/>
        <v>1610</v>
      </c>
      <c r="AC103" s="652">
        <f t="shared" si="334"/>
        <v>3205</v>
      </c>
      <c r="AD103" s="51">
        <f t="shared" ref="AD103:AE103" si="337">+AD19</f>
        <v>649</v>
      </c>
      <c r="AE103" s="629">
        <f t="shared" si="337"/>
        <v>959</v>
      </c>
      <c r="AF103" s="652">
        <f t="shared" si="334"/>
        <v>1608</v>
      </c>
      <c r="AG103" s="51">
        <f t="shared" si="334"/>
        <v>1036</v>
      </c>
      <c r="AH103" s="629">
        <f t="shared" si="334"/>
        <v>922</v>
      </c>
      <c r="AI103" s="652">
        <f t="shared" si="334"/>
        <v>1958</v>
      </c>
      <c r="AJ103" s="51">
        <f t="shared" ref="AJ103:AK103" si="338">+AJ19</f>
        <v>1135</v>
      </c>
      <c r="AK103" s="629">
        <f t="shared" si="338"/>
        <v>1357</v>
      </c>
      <c r="AL103" s="652">
        <f>+AL19</f>
        <v>2492</v>
      </c>
      <c r="AM103" s="51">
        <f t="shared" si="334"/>
        <v>1547</v>
      </c>
      <c r="AN103" s="629">
        <f t="shared" si="334"/>
        <v>1752</v>
      </c>
      <c r="AO103" s="652">
        <f t="shared" ref="AO103:AQ103" si="339">+AO19</f>
        <v>3299</v>
      </c>
      <c r="AP103" s="51">
        <f t="shared" si="339"/>
        <v>1958</v>
      </c>
      <c r="AQ103" s="629">
        <f t="shared" si="339"/>
        <v>2382</v>
      </c>
      <c r="AR103" s="652">
        <f t="shared" ref="AR103:AS103" si="340">+AR19</f>
        <v>4340</v>
      </c>
      <c r="AS103" s="51">
        <f t="shared" si="340"/>
        <v>2497</v>
      </c>
      <c r="AT103" s="218">
        <f>+AT19</f>
        <v>3124</v>
      </c>
      <c r="AU103" s="553">
        <f t="shared" si="334"/>
        <v>5621</v>
      </c>
      <c r="AV103" s="27">
        <f t="shared" ref="AV103" si="341">+AV19</f>
        <v>3280</v>
      </c>
      <c r="AW103" s="237">
        <f>+AW19</f>
        <v>3451.492743846331</v>
      </c>
      <c r="AX103" s="576">
        <f t="shared" si="334"/>
        <v>6731.492743846331</v>
      </c>
      <c r="AY103" s="48">
        <f t="shared" ref="AY103" si="342">+AY19</f>
        <v>3938.8472340993576</v>
      </c>
      <c r="AZ103" s="237">
        <f>+AZ19</f>
        <v>3809.2098668265671</v>
      </c>
      <c r="BA103" s="576">
        <f t="shared" si="334"/>
        <v>7748.0571009259238</v>
      </c>
      <c r="BB103" s="48">
        <f t="shared" ref="BB103" si="343">+BB19</f>
        <v>4225.8348215937312</v>
      </c>
      <c r="BC103" s="237">
        <f>+BC19</f>
        <v>4242.3204433751689</v>
      </c>
      <c r="BD103" s="576">
        <f t="shared" si="334"/>
        <v>8468.1552649689002</v>
      </c>
      <c r="BE103" s="48">
        <f t="shared" ref="BE103" si="344">+BE19</f>
        <v>4686.3077526776015</v>
      </c>
      <c r="BF103" s="237">
        <f>+BF19</f>
        <v>4713.1394296364224</v>
      </c>
      <c r="BG103" s="576">
        <f t="shared" si="334"/>
        <v>9399.4471823140229</v>
      </c>
      <c r="BH103" s="48">
        <f t="shared" ref="BH103" si="345">+BH19</f>
        <v>5210.732980206154</v>
      </c>
      <c r="BI103" s="237">
        <f>+BI19</f>
        <v>5249.4407133958384</v>
      </c>
      <c r="BJ103" s="576">
        <f>+BJ19</f>
        <v>10460.173693601992</v>
      </c>
      <c r="BL103" s="129"/>
      <c r="BM103" s="129"/>
    </row>
    <row r="104" spans="1:65" ht="11.4">
      <c r="A104" s="65" t="s">
        <v>954</v>
      </c>
      <c r="Q104" s="40"/>
      <c r="R104" s="40"/>
      <c r="S104" s="630"/>
      <c r="T104" s="653"/>
      <c r="U104" s="40"/>
      <c r="V104" s="630"/>
      <c r="W104" s="653"/>
      <c r="X104" s="40"/>
      <c r="Y104" s="630"/>
      <c r="Z104" s="653"/>
      <c r="AA104" s="40">
        <f t="shared" ref="AA104:AB104" si="346">AA103-AA105</f>
        <v>-196.03921568627447</v>
      </c>
      <c r="AB104" s="630">
        <f t="shared" si="346"/>
        <v>-331.56078431372543</v>
      </c>
      <c r="AC104" s="653">
        <f t="shared" ref="AC104:AT104" si="347">AC103-AC105</f>
        <v>-527.59999999999991</v>
      </c>
      <c r="AD104" s="40">
        <f t="shared" ref="AD104:AE104" si="348">AD103-AD105</f>
        <v>-732.94838709677424</v>
      </c>
      <c r="AE104" s="630">
        <f t="shared" si="348"/>
        <v>413.77838709677405</v>
      </c>
      <c r="AF104" s="653">
        <f t="shared" si="347"/>
        <v>-319.17000000000007</v>
      </c>
      <c r="AG104" s="40">
        <f t="shared" si="347"/>
        <v>219.95251798561151</v>
      </c>
      <c r="AH104" s="630">
        <f t="shared" si="347"/>
        <v>9.7674820143885199</v>
      </c>
      <c r="AI104" s="653">
        <f t="shared" si="347"/>
        <v>229.72000000000003</v>
      </c>
      <c r="AJ104" s="40">
        <f t="shared" ref="AJ104:AK104" si="349">AJ103-AJ105</f>
        <v>-48.079999999999927</v>
      </c>
      <c r="AK104" s="630">
        <f t="shared" si="349"/>
        <v>-409.91999999999985</v>
      </c>
      <c r="AL104" s="653">
        <f t="shared" si="347"/>
        <v>-458</v>
      </c>
      <c r="AM104" s="40">
        <f t="shared" si="347"/>
        <v>-395.37777777777796</v>
      </c>
      <c r="AN104" s="630">
        <f t="shared" si="347"/>
        <v>-562.82222222222208</v>
      </c>
      <c r="AO104" s="653">
        <f t="shared" ref="AO104:AQ104" si="350">AO103-AO105</f>
        <v>-958.19999999999982</v>
      </c>
      <c r="AP104" s="40">
        <f t="shared" si="350"/>
        <v>-404.66845569620273</v>
      </c>
      <c r="AQ104" s="630">
        <f t="shared" si="350"/>
        <v>-189.98154430379736</v>
      </c>
      <c r="AR104" s="653">
        <f t="shared" ref="AR104:AS104" si="351">AR103-AR105</f>
        <v>-594.64999999999964</v>
      </c>
      <c r="AS104" s="40">
        <f t="shared" si="351"/>
        <v>-293.26180941176426</v>
      </c>
      <c r="AT104" s="216">
        <f t="shared" si="347"/>
        <v>52.511809411764261</v>
      </c>
      <c r="AU104" s="556">
        <f t="shared" ref="AU104:BJ104" si="352">AU103-AU105</f>
        <v>-240.75</v>
      </c>
      <c r="AV104" s="10">
        <f t="shared" si="352"/>
        <v>-60.235129599999709</v>
      </c>
      <c r="AW104" s="236">
        <f t="shared" si="352"/>
        <v>-397.43611741888162</v>
      </c>
      <c r="AX104" s="605">
        <f t="shared" si="352"/>
        <v>-457.67124701888133</v>
      </c>
      <c r="AY104" s="56">
        <f t="shared" si="352"/>
        <v>-135.61850052634463</v>
      </c>
      <c r="AZ104" s="236">
        <f t="shared" si="352"/>
        <v>-332.90862398313493</v>
      </c>
      <c r="BA104" s="605">
        <f t="shared" si="352"/>
        <v>-468.52712450948093</v>
      </c>
      <c r="BB104" s="56">
        <f t="shared" si="352"/>
        <v>-283.79868245030138</v>
      </c>
      <c r="BC104" s="236">
        <f t="shared" si="352"/>
        <v>-347.14331296598357</v>
      </c>
      <c r="BD104" s="605">
        <f t="shared" si="352"/>
        <v>-630.94199541628404</v>
      </c>
      <c r="BE104" s="56">
        <f t="shared" si="352"/>
        <v>-298.57154355431885</v>
      </c>
      <c r="BF104" s="236">
        <f t="shared" si="352"/>
        <v>-361.94805169124356</v>
      </c>
      <c r="BG104" s="605">
        <f t="shared" si="352"/>
        <v>-660.51959524556332</v>
      </c>
      <c r="BH104" s="56">
        <f t="shared" si="352"/>
        <v>-356.46872808228909</v>
      </c>
      <c r="BI104" s="236">
        <f t="shared" si="352"/>
        <v>-419.69624405079776</v>
      </c>
      <c r="BJ104" s="605">
        <f t="shared" si="352"/>
        <v>-776.16497213308685</v>
      </c>
      <c r="BL104" s="38"/>
      <c r="BM104" s="38"/>
    </row>
    <row r="105" spans="1:65" ht="12">
      <c r="A105" s="72" t="s">
        <v>724</v>
      </c>
      <c r="Q105" s="51"/>
      <c r="R105" s="51"/>
      <c r="S105" s="629"/>
      <c r="T105" s="652">
        <f>+SUM(T103:T103)</f>
        <v>2015</v>
      </c>
      <c r="U105" s="51">
        <f>+SUM(U103:U103)</f>
        <v>1061</v>
      </c>
      <c r="V105" s="629">
        <f t="shared" ref="V105" si="353">V107+V110</f>
        <v>1266</v>
      </c>
      <c r="W105" s="652">
        <f>+SUM(W103:W103)</f>
        <v>2327</v>
      </c>
      <c r="X105" s="51">
        <f>+SUM(X103:X103)</f>
        <v>1328</v>
      </c>
      <c r="Y105" s="629">
        <f t="shared" ref="Y105" si="354">Y107+Y110</f>
        <v>1338</v>
      </c>
      <c r="Z105" s="652">
        <f>+SUM(Z103:Z103)</f>
        <v>2666</v>
      </c>
      <c r="AA105" s="51">
        <f t="shared" ref="AA105:AM105" si="355">AA107+AA110</f>
        <v>1791.0392156862745</v>
      </c>
      <c r="AB105" s="629">
        <f t="shared" si="355"/>
        <v>1941.5607843137254</v>
      </c>
      <c r="AC105" s="652">
        <f t="shared" si="355"/>
        <v>3732.6</v>
      </c>
      <c r="AD105" s="51">
        <f t="shared" si="355"/>
        <v>1381.9483870967742</v>
      </c>
      <c r="AE105" s="629">
        <f t="shared" si="355"/>
        <v>545.22161290322595</v>
      </c>
      <c r="AF105" s="652">
        <f t="shared" si="355"/>
        <v>1927.17</v>
      </c>
      <c r="AG105" s="51">
        <f t="shared" si="355"/>
        <v>816.04748201438849</v>
      </c>
      <c r="AH105" s="629">
        <f t="shared" si="355"/>
        <v>912.23251798561148</v>
      </c>
      <c r="AI105" s="652">
        <f t="shared" si="355"/>
        <v>1728.28</v>
      </c>
      <c r="AJ105" s="51">
        <f t="shared" si="355"/>
        <v>1183.08</v>
      </c>
      <c r="AK105" s="629">
        <f t="shared" si="355"/>
        <v>1766.9199999999998</v>
      </c>
      <c r="AL105" s="652">
        <f t="shared" si="355"/>
        <v>2950</v>
      </c>
      <c r="AM105" s="51">
        <f t="shared" si="355"/>
        <v>1942.377777777778</v>
      </c>
      <c r="AN105" s="629">
        <f t="shared" ref="AN105:AP105" si="356">AN107+AN110</f>
        <v>2314.8222222222221</v>
      </c>
      <c r="AO105" s="652">
        <f t="shared" si="356"/>
        <v>4257.2</v>
      </c>
      <c r="AP105" s="51">
        <f t="shared" si="356"/>
        <v>2362.6684556962027</v>
      </c>
      <c r="AQ105" s="629">
        <f t="shared" ref="AQ105:AS105" si="357">AQ107+AQ110</f>
        <v>2571.9815443037974</v>
      </c>
      <c r="AR105" s="652">
        <f t="shared" si="357"/>
        <v>4934.6499999999996</v>
      </c>
      <c r="AS105" s="51">
        <f t="shared" si="357"/>
        <v>2790.2618094117643</v>
      </c>
      <c r="AT105" s="629">
        <f>AT107+AT110</f>
        <v>3071.4881905882357</v>
      </c>
      <c r="AU105" s="652">
        <f>AU107+AU110</f>
        <v>5861.75</v>
      </c>
      <c r="AV105" s="51">
        <f t="shared" ref="AV105" si="358">AV107+AV110</f>
        <v>3340.2351295999997</v>
      </c>
      <c r="AW105" s="600">
        <f>AW107+AW110</f>
        <v>3848.9288612652126</v>
      </c>
      <c r="AX105" s="624">
        <f t="shared" ref="AX105:BH105" si="359">AX107+AX110</f>
        <v>7189.1639908652123</v>
      </c>
      <c r="AY105" s="52">
        <f t="shared" si="359"/>
        <v>4074.4657346257022</v>
      </c>
      <c r="AZ105" s="600">
        <f>AZ107+AZ110</f>
        <v>4142.1184908097021</v>
      </c>
      <c r="BA105" s="624">
        <f t="shared" si="359"/>
        <v>8216.5842254354047</v>
      </c>
      <c r="BB105" s="52">
        <f t="shared" si="359"/>
        <v>4509.6335040440326</v>
      </c>
      <c r="BC105" s="600">
        <f>BC107+BC110</f>
        <v>4589.4637563411525</v>
      </c>
      <c r="BD105" s="624">
        <f t="shared" si="359"/>
        <v>9099.0972603851842</v>
      </c>
      <c r="BE105" s="52">
        <f t="shared" si="359"/>
        <v>4984.8792962319203</v>
      </c>
      <c r="BF105" s="600">
        <f>BF107+BF110</f>
        <v>5075.087481327666</v>
      </c>
      <c r="BG105" s="624">
        <f t="shared" si="359"/>
        <v>10059.966777559586</v>
      </c>
      <c r="BH105" s="52">
        <f t="shared" si="359"/>
        <v>5567.2017082884431</v>
      </c>
      <c r="BI105" s="600">
        <f>BI107+BI110</f>
        <v>5669.1369574466362</v>
      </c>
      <c r="BJ105" s="624">
        <f>BJ107+BJ110</f>
        <v>11236.338665735078</v>
      </c>
      <c r="BL105" s="130"/>
      <c r="BM105" s="129"/>
    </row>
    <row r="106" spans="1:65" ht="12">
      <c r="A106" s="72"/>
      <c r="Q106" s="51"/>
      <c r="R106" s="51"/>
      <c r="S106" s="629"/>
      <c r="T106" s="652"/>
      <c r="U106" s="51"/>
      <c r="V106" s="629"/>
      <c r="W106" s="652"/>
      <c r="X106" s="51"/>
      <c r="Y106" s="629"/>
      <c r="Z106" s="652"/>
      <c r="AA106" s="51"/>
      <c r="AB106" s="629"/>
      <c r="AC106" s="652"/>
      <c r="AD106" s="51"/>
      <c r="AE106" s="629"/>
      <c r="AF106" s="652"/>
      <c r="AG106" s="51"/>
      <c r="AH106" s="629"/>
      <c r="AI106" s="652"/>
      <c r="AJ106" s="51"/>
      <c r="AK106" s="629"/>
      <c r="AL106" s="652"/>
      <c r="AM106" s="51"/>
      <c r="AN106" s="629"/>
      <c r="AO106" s="652"/>
      <c r="AP106" s="52"/>
      <c r="AQ106" s="600"/>
      <c r="AR106" s="624"/>
      <c r="AS106" s="52"/>
      <c r="AT106" s="600"/>
      <c r="AU106" s="830"/>
      <c r="AV106" s="52"/>
      <c r="AW106" s="600"/>
      <c r="AX106" s="624"/>
      <c r="AY106" s="52"/>
      <c r="AZ106" s="600"/>
      <c r="BA106" s="624"/>
      <c r="BB106" s="52"/>
      <c r="BC106" s="600"/>
      <c r="BD106" s="624"/>
      <c r="BE106" s="52"/>
      <c r="BF106" s="600"/>
      <c r="BG106" s="624"/>
      <c r="BH106" s="52"/>
      <c r="BI106" s="600"/>
      <c r="BJ106" s="624"/>
      <c r="BL106" s="130"/>
      <c r="BM106" s="129"/>
    </row>
    <row r="107" spans="1:65" ht="11.4">
      <c r="A107" s="120" t="s">
        <v>1008</v>
      </c>
      <c r="Q107" s="40"/>
      <c r="R107" s="10"/>
      <c r="S107" s="216"/>
      <c r="T107" s="690">
        <f>+T105-T110</f>
        <v>1515</v>
      </c>
      <c r="U107" s="10">
        <f>+U105-U110</f>
        <v>798.5</v>
      </c>
      <c r="V107" s="216">
        <f>W107-U107</f>
        <v>1003.5</v>
      </c>
      <c r="W107" s="690">
        <f>+W105-W110</f>
        <v>1802</v>
      </c>
      <c r="X107" s="10">
        <f>+X105-X110</f>
        <v>1065.5</v>
      </c>
      <c r="Y107" s="216">
        <f>Z107-X107</f>
        <v>1075.5</v>
      </c>
      <c r="Z107" s="690">
        <f>+Z105-Z110</f>
        <v>2141</v>
      </c>
      <c r="AA107" s="10">
        <f>+AA116/AA374</f>
        <v>1348.0392156862745</v>
      </c>
      <c r="AB107" s="216">
        <f>AC107-AA107</f>
        <v>1651.9607843137255</v>
      </c>
      <c r="AC107" s="556">
        <f>30*100</f>
        <v>3000</v>
      </c>
      <c r="AD107" s="10">
        <f>+AD116/AD374</f>
        <v>943.54838709677415</v>
      </c>
      <c r="AE107" s="216">
        <f>AF107-AD107</f>
        <v>105.22161290322583</v>
      </c>
      <c r="AF107" s="556">
        <f>24.39*43</f>
        <v>1048.77</v>
      </c>
      <c r="AG107" s="10">
        <f>+AG116/AG374</f>
        <v>690.64748201438852</v>
      </c>
      <c r="AH107" s="216">
        <f>AI107-AG107</f>
        <v>629.8325179856115</v>
      </c>
      <c r="AI107" s="556">
        <f>27.51*48</f>
        <v>1320.48</v>
      </c>
      <c r="AJ107" s="10">
        <f>+AJ116/AJ374</f>
        <v>919.88</v>
      </c>
      <c r="AK107" s="216">
        <f>AL107-AJ107</f>
        <v>1550.12</v>
      </c>
      <c r="AL107" s="556">
        <f>(38*65)</f>
        <v>2470</v>
      </c>
      <c r="AM107" s="10">
        <f>+AM116/AM374</f>
        <v>1576.1777777777779</v>
      </c>
      <c r="AN107" s="216">
        <f>AO107-AM107</f>
        <v>1855.8222222222221</v>
      </c>
      <c r="AO107" s="556">
        <f>39*88</f>
        <v>3432</v>
      </c>
      <c r="AP107" s="10">
        <f>+AP116/AP374</f>
        <v>2031.3164556962026</v>
      </c>
      <c r="AQ107" s="216">
        <f>AR107-AP107</f>
        <v>2191.6835443037971</v>
      </c>
      <c r="AR107" s="556">
        <f>103*41</f>
        <v>4223</v>
      </c>
      <c r="AS107" s="10">
        <f>+AS116/AS374</f>
        <v>2275.6235294117641</v>
      </c>
      <c r="AT107" s="216">
        <f>AU107-AS107</f>
        <v>2500.3764705882359</v>
      </c>
      <c r="AU107" s="556">
        <f>AU72*0.8</f>
        <v>4776</v>
      </c>
      <c r="AV107" s="10">
        <f>AV72*0.8</f>
        <v>2700</v>
      </c>
      <c r="AW107" s="236">
        <f>AX107-AV107</f>
        <v>3153.6914908652125</v>
      </c>
      <c r="AX107" s="605">
        <f>+AX116/AX374</f>
        <v>5853.6914908652125</v>
      </c>
      <c r="AY107" s="56">
        <f>+AY116/AY374</f>
        <v>3286.9765252177021</v>
      </c>
      <c r="AZ107" s="236">
        <f>BA107-AY107</f>
        <v>3286.9765252177021</v>
      </c>
      <c r="BA107" s="605">
        <f>+BA116/BA374</f>
        <v>6573.9530504354043</v>
      </c>
      <c r="BB107" s="56">
        <f>+BB116/BB374</f>
        <v>3580.3962369425926</v>
      </c>
      <c r="BC107" s="236">
        <f>BD107-BB107</f>
        <v>3580.3962369425926</v>
      </c>
      <c r="BD107" s="605">
        <f>+BD116/BD374</f>
        <v>7160.7924738851852</v>
      </c>
      <c r="BE107" s="56">
        <f>+BE116/BE374</f>
        <v>3934.841184407293</v>
      </c>
      <c r="BF107" s="236">
        <f>BG107-BE107</f>
        <v>3934.841184407293</v>
      </c>
      <c r="BG107" s="605">
        <f>+BG116/BG374</f>
        <v>7869.682368814586</v>
      </c>
      <c r="BH107" s="56">
        <f>+BH116/BH374</f>
        <v>4380.6586419266141</v>
      </c>
      <c r="BI107" s="236">
        <f>BJ107-BH107</f>
        <v>4380.6586419266141</v>
      </c>
      <c r="BJ107" s="605">
        <f>+BJ116/BJ374</f>
        <v>8761.3172838532282</v>
      </c>
      <c r="BL107" s="38"/>
      <c r="BM107" s="38"/>
    </row>
    <row r="108" spans="1:65" ht="11.4">
      <c r="A108" s="148" t="s">
        <v>1001</v>
      </c>
      <c r="Q108" s="40"/>
      <c r="R108" s="10"/>
      <c r="S108" s="216"/>
      <c r="T108" s="690"/>
      <c r="U108" s="10"/>
      <c r="V108" s="216"/>
      <c r="W108" s="690"/>
      <c r="X108" s="10"/>
      <c r="Y108" s="216"/>
      <c r="Z108" s="690"/>
      <c r="AA108" s="10"/>
      <c r="AB108" s="216"/>
      <c r="AC108" s="556">
        <f>AC107/(AC54*100)</f>
        <v>30</v>
      </c>
      <c r="AD108" s="10">
        <f t="shared" ref="AD108:BJ108" si="360">AD107/(AD54*100)</f>
        <v>18.14516129032258</v>
      </c>
      <c r="AE108" s="216">
        <f t="shared" si="360"/>
        <v>3.0397354838709685</v>
      </c>
      <c r="AF108" s="556">
        <f t="shared" si="360"/>
        <v>24.312395454545452</v>
      </c>
      <c r="AG108" s="10">
        <f t="shared" si="360"/>
        <v>16.187050359712227</v>
      </c>
      <c r="AH108" s="216">
        <f t="shared" si="360"/>
        <v>11.696889619732785</v>
      </c>
      <c r="AI108" s="556">
        <f t="shared" si="360"/>
        <v>27.301816216216217</v>
      </c>
      <c r="AJ108" s="10">
        <f t="shared" si="360"/>
        <v>15.250000000000002</v>
      </c>
      <c r="AK108" s="216">
        <f t="shared" si="360"/>
        <v>22.079868517165814</v>
      </c>
      <c r="AL108" s="556">
        <f t="shared" si="360"/>
        <v>37.791000000000004</v>
      </c>
      <c r="AM108" s="10">
        <f t="shared" si="360"/>
        <v>19.066666666666666</v>
      </c>
      <c r="AN108" s="216">
        <f t="shared" si="360"/>
        <v>19.829333333333331</v>
      </c>
      <c r="AO108" s="556">
        <f t="shared" si="360"/>
        <v>38.896000000000001</v>
      </c>
      <c r="AP108" s="10">
        <f t="shared" ref="AP108" si="361">AP107/(AP54*100)</f>
        <v>20.045886075949365</v>
      </c>
      <c r="AQ108" s="216">
        <f t="shared" si="360"/>
        <v>20.847721518987335</v>
      </c>
      <c r="AR108" s="556">
        <f t="shared" si="360"/>
        <v>40.893607594936704</v>
      </c>
      <c r="AS108" s="10">
        <f t="shared" si="360"/>
        <v>21.070588235294114</v>
      </c>
      <c r="AT108" s="216">
        <f t="shared" si="360"/>
        <v>21.913411764705888</v>
      </c>
      <c r="AU108" s="556">
        <f t="shared" si="360"/>
        <v>42.984000000000002</v>
      </c>
      <c r="AV108" s="10">
        <f t="shared" si="360"/>
        <v>24.107142857142854</v>
      </c>
      <c r="AW108" s="236">
        <f t="shared" si="360"/>
        <v>26.828056513205311</v>
      </c>
      <c r="AX108" s="605">
        <f t="shared" si="360"/>
        <v>50.976832732828832</v>
      </c>
      <c r="AY108" s="56">
        <f t="shared" si="360"/>
        <v>26.404219459532875</v>
      </c>
      <c r="AZ108" s="236">
        <f t="shared" si="360"/>
        <v>27.460388237914195</v>
      </c>
      <c r="BA108" s="605">
        <f t="shared" si="360"/>
        <v>53.864607697447077</v>
      </c>
      <c r="BB108" s="56">
        <f t="shared" si="360"/>
        <v>27.12303170949496</v>
      </c>
      <c r="BC108" s="236">
        <f t="shared" si="360"/>
        <v>28.207952977874754</v>
      </c>
      <c r="BD108" s="605">
        <f t="shared" si="360"/>
        <v>55.330984687369714</v>
      </c>
      <c r="BE108" s="56">
        <f t="shared" si="360"/>
        <v>28.061385623203634</v>
      </c>
      <c r="BF108" s="236">
        <f t="shared" si="360"/>
        <v>29.183841048131779</v>
      </c>
      <c r="BG108" s="605">
        <f t="shared" si="360"/>
        <v>57.245226671335416</v>
      </c>
      <c r="BH108" s="56">
        <f t="shared" si="360"/>
        <v>28.8665237449753</v>
      </c>
      <c r="BI108" s="236">
        <f t="shared" si="360"/>
        <v>30.021184694774313</v>
      </c>
      <c r="BJ108" s="605">
        <f t="shared" si="360"/>
        <v>58.887708439749616</v>
      </c>
      <c r="BL108" s="38"/>
      <c r="BM108" s="38"/>
    </row>
    <row r="109" spans="1:65" ht="11.4">
      <c r="A109" s="148"/>
      <c r="Q109" s="40"/>
      <c r="R109" s="10"/>
      <c r="S109" s="216"/>
      <c r="T109" s="690"/>
      <c r="U109" s="10"/>
      <c r="V109" s="216"/>
      <c r="W109" s="690"/>
      <c r="X109" s="10"/>
      <c r="Y109" s="216"/>
      <c r="Z109" s="690"/>
      <c r="AA109" s="10"/>
      <c r="AB109" s="216"/>
      <c r="AC109" s="556"/>
      <c r="AD109" s="10"/>
      <c r="AE109" s="216"/>
      <c r="AF109" s="556"/>
      <c r="AG109" s="10"/>
      <c r="AH109" s="216"/>
      <c r="AI109" s="556"/>
      <c r="AJ109" s="10"/>
      <c r="AK109" s="216"/>
      <c r="AL109" s="556"/>
      <c r="AM109" s="10"/>
      <c r="AN109" s="216"/>
      <c r="AO109" s="556"/>
      <c r="AP109" s="56"/>
      <c r="AQ109" s="236"/>
      <c r="AR109" s="605"/>
      <c r="AS109" s="56"/>
      <c r="AT109" s="236"/>
      <c r="AU109" s="605"/>
      <c r="AV109" s="56"/>
      <c r="AW109" s="236"/>
      <c r="AX109" s="605"/>
      <c r="AY109" s="56"/>
      <c r="AZ109" s="236"/>
      <c r="BA109" s="605"/>
      <c r="BB109" s="56"/>
      <c r="BC109" s="236"/>
      <c r="BD109" s="605"/>
      <c r="BE109" s="56"/>
      <c r="BF109" s="236"/>
      <c r="BG109" s="605"/>
      <c r="BH109" s="56"/>
      <c r="BI109" s="236"/>
      <c r="BJ109" s="605"/>
      <c r="BL109" s="38"/>
      <c r="BM109" s="38"/>
    </row>
    <row r="110" spans="1:65" ht="11.4">
      <c r="A110" s="120" t="s">
        <v>1022</v>
      </c>
      <c r="Q110" s="40"/>
      <c r="R110" s="40"/>
      <c r="S110" s="630"/>
      <c r="T110" s="653">
        <v>500</v>
      </c>
      <c r="U110" s="10">
        <f>+W110*0.5</f>
        <v>262.5</v>
      </c>
      <c r="V110" s="216">
        <f>W110-U110</f>
        <v>262.5</v>
      </c>
      <c r="W110" s="653">
        <v>525</v>
      </c>
      <c r="X110" s="10">
        <f>+Z110*0.5</f>
        <v>262.5</v>
      </c>
      <c r="Y110" s="216">
        <f>Z110-X110</f>
        <v>262.5</v>
      </c>
      <c r="Z110" s="653">
        <f>+W110</f>
        <v>525</v>
      </c>
      <c r="AA110" s="10">
        <f>AA94-AA336-AA22</f>
        <v>443</v>
      </c>
      <c r="AB110" s="216">
        <f>AC110-AA110</f>
        <v>289.59999999999991</v>
      </c>
      <c r="AC110" s="556">
        <f>AC94-AC336-AC22</f>
        <v>732.59999999999991</v>
      </c>
      <c r="AD110" s="10">
        <f>AD94-AD336-AD22</f>
        <v>438.4</v>
      </c>
      <c r="AE110" s="216">
        <f>AF110-AD110</f>
        <v>440.00000000000011</v>
      </c>
      <c r="AF110" s="556">
        <f>AF94-AF336-AF22</f>
        <v>878.40000000000009</v>
      </c>
      <c r="AG110" s="10">
        <f>AG94-AG336-AG22</f>
        <v>125.4</v>
      </c>
      <c r="AH110" s="216">
        <f>AI110-AG110</f>
        <v>282.39999999999998</v>
      </c>
      <c r="AI110" s="556">
        <f>AI94-AI336-AI22</f>
        <v>407.79999999999995</v>
      </c>
      <c r="AJ110" s="10">
        <f>AJ94-AJ336-AJ22</f>
        <v>263.2</v>
      </c>
      <c r="AK110" s="216">
        <f>AL110-AJ110</f>
        <v>216.8</v>
      </c>
      <c r="AL110" s="556">
        <f>AL94-AL336-AL22</f>
        <v>480</v>
      </c>
      <c r="AM110" s="10">
        <f>AM94-AM336-AM22</f>
        <v>366.2</v>
      </c>
      <c r="AN110" s="216">
        <f>AO110-AM110</f>
        <v>459.00000000000006</v>
      </c>
      <c r="AO110" s="556">
        <f>AO94-AO336-AO22</f>
        <v>825.2</v>
      </c>
      <c r="AP110" s="10">
        <f>AP94-AP336-AP22</f>
        <v>331.35199999999998</v>
      </c>
      <c r="AQ110" s="216">
        <f>AR110-AP110</f>
        <v>380.29800000000012</v>
      </c>
      <c r="AR110" s="556">
        <f>AR94-AR336-AR22</f>
        <v>711.65000000000009</v>
      </c>
      <c r="AS110" s="10">
        <f>AS94-AS336-AS22</f>
        <v>514.6382799999999</v>
      </c>
      <c r="AT110" s="216">
        <f>AU110-AS110</f>
        <v>571.1117200000001</v>
      </c>
      <c r="AU110" s="556">
        <f>AU94-AU336-AU22</f>
        <v>1085.75</v>
      </c>
      <c r="AV110" s="10">
        <f>AV94-AV336-AV22</f>
        <v>640.23512959999994</v>
      </c>
      <c r="AW110" s="236">
        <f>AX110-AV110</f>
        <v>695.23737040000015</v>
      </c>
      <c r="AX110" s="605">
        <f>AU110*(1+AX111)</f>
        <v>1335.4725000000001</v>
      </c>
      <c r="AY110" s="56">
        <f t="shared" ref="AY110:BJ110" si="362">AV110*(1+AY111)</f>
        <v>787.48920940799997</v>
      </c>
      <c r="AZ110" s="236">
        <f t="shared" si="362"/>
        <v>855.14196559200002</v>
      </c>
      <c r="BA110" s="605">
        <f t="shared" si="362"/>
        <v>1642.631175</v>
      </c>
      <c r="BB110" s="56">
        <f t="shared" si="362"/>
        <v>929.2372671014399</v>
      </c>
      <c r="BC110" s="236">
        <f t="shared" si="362"/>
        <v>1009.0675193985603</v>
      </c>
      <c r="BD110" s="605">
        <f t="shared" si="362"/>
        <v>1938.3047864999999</v>
      </c>
      <c r="BE110" s="56">
        <f t="shared" si="362"/>
        <v>1050.0381118246271</v>
      </c>
      <c r="BF110" s="236">
        <f t="shared" si="362"/>
        <v>1140.2462969203732</v>
      </c>
      <c r="BG110" s="605">
        <f t="shared" si="362"/>
        <v>2190.2844087449998</v>
      </c>
      <c r="BH110" s="56">
        <f t="shared" si="362"/>
        <v>1186.5430663618286</v>
      </c>
      <c r="BI110" s="236">
        <f t="shared" si="362"/>
        <v>1288.4783155200219</v>
      </c>
      <c r="BJ110" s="605">
        <f t="shared" si="362"/>
        <v>2475.0213818818497</v>
      </c>
      <c r="BK110" s="21"/>
      <c r="BL110" s="38"/>
      <c r="BM110" s="38"/>
    </row>
    <row r="111" spans="1:65" s="33" customFormat="1" ht="11.4">
      <c r="A111" s="1024" t="s">
        <v>1005</v>
      </c>
      <c r="Q111" s="103"/>
      <c r="R111" s="103"/>
      <c r="S111" s="637"/>
      <c r="T111" s="660"/>
      <c r="U111" s="262"/>
      <c r="V111" s="931"/>
      <c r="W111" s="660"/>
      <c r="X111" s="262"/>
      <c r="Y111" s="931"/>
      <c r="Z111" s="660"/>
      <c r="AA111" s="262"/>
      <c r="AB111" s="931"/>
      <c r="AC111" s="937"/>
      <c r="AD111" s="262"/>
      <c r="AE111" s="931"/>
      <c r="AF111" s="937">
        <f t="shared" ref="AF111:AW111" si="363">AF110/AC110-1</f>
        <v>0.19901719901719939</v>
      </c>
      <c r="AG111" s="262">
        <f t="shared" si="363"/>
        <v>-0.71395985401459849</v>
      </c>
      <c r="AH111" s="931">
        <f t="shared" si="363"/>
        <v>-0.35818181818181838</v>
      </c>
      <c r="AI111" s="937">
        <f t="shared" si="363"/>
        <v>-0.53574681238615673</v>
      </c>
      <c r="AJ111" s="262">
        <f t="shared" si="363"/>
        <v>1.0988835725677828</v>
      </c>
      <c r="AK111" s="931">
        <f t="shared" si="363"/>
        <v>-0.23229461756373926</v>
      </c>
      <c r="AL111" s="937">
        <f t="shared" si="363"/>
        <v>0.17704757233938229</v>
      </c>
      <c r="AM111" s="262">
        <f t="shared" si="363"/>
        <v>0.3913373860182372</v>
      </c>
      <c r="AN111" s="931">
        <f t="shared" si="363"/>
        <v>1.1171586715867159</v>
      </c>
      <c r="AO111" s="937">
        <f>AO110/AL110-1</f>
        <v>0.71916666666666673</v>
      </c>
      <c r="AP111" s="262">
        <f t="shared" si="363"/>
        <v>-9.5161114145275838E-2</v>
      </c>
      <c r="AQ111" s="931">
        <f t="shared" si="363"/>
        <v>-0.17146405228758155</v>
      </c>
      <c r="AR111" s="937">
        <f t="shared" si="363"/>
        <v>-0.13760300533204062</v>
      </c>
      <c r="AS111" s="262">
        <f t="shared" si="363"/>
        <v>0.55314674424780885</v>
      </c>
      <c r="AT111" s="931">
        <f t="shared" si="363"/>
        <v>0.50174789244224249</v>
      </c>
      <c r="AU111" s="937">
        <f t="shared" si="363"/>
        <v>0.52567975830815694</v>
      </c>
      <c r="AV111" s="262">
        <f t="shared" si="363"/>
        <v>0.24404879015218239</v>
      </c>
      <c r="AW111" s="1133">
        <f t="shared" si="363"/>
        <v>0.21734040127910537</v>
      </c>
      <c r="AX111" s="765">
        <f t="shared" ref="AX111:BJ111" si="364">AX112+AX113+AX114</f>
        <v>0.22999999999999998</v>
      </c>
      <c r="AY111" s="324">
        <f t="shared" si="364"/>
        <v>0.22999999999999998</v>
      </c>
      <c r="AZ111" s="752">
        <f t="shared" si="364"/>
        <v>0.2299999999999997</v>
      </c>
      <c r="BA111" s="765">
        <f t="shared" si="364"/>
        <v>0.22999999999999998</v>
      </c>
      <c r="BB111" s="324">
        <f t="shared" si="364"/>
        <v>0.18</v>
      </c>
      <c r="BC111" s="752">
        <f t="shared" si="364"/>
        <v>0.18000000000000033</v>
      </c>
      <c r="BD111" s="765">
        <f t="shared" si="364"/>
        <v>0.18</v>
      </c>
      <c r="BE111" s="324">
        <f t="shared" si="364"/>
        <v>0.13</v>
      </c>
      <c r="BF111" s="752">
        <f t="shared" si="364"/>
        <v>0.13000000000000006</v>
      </c>
      <c r="BG111" s="765">
        <f t="shared" si="364"/>
        <v>0.13</v>
      </c>
      <c r="BH111" s="324">
        <f t="shared" si="364"/>
        <v>0.13</v>
      </c>
      <c r="BI111" s="752">
        <f t="shared" si="364"/>
        <v>0.13000000000000006</v>
      </c>
      <c r="BJ111" s="765">
        <f t="shared" si="364"/>
        <v>0.13</v>
      </c>
      <c r="BK111" s="325"/>
      <c r="BL111" s="1025"/>
      <c r="BM111" s="1025"/>
    </row>
    <row r="112" spans="1:65" s="33" customFormat="1" ht="11.4">
      <c r="A112" s="1026" t="s">
        <v>1006</v>
      </c>
      <c r="Q112" s="103"/>
      <c r="R112" s="103"/>
      <c r="S112" s="637"/>
      <c r="T112" s="660"/>
      <c r="U112" s="262"/>
      <c r="V112" s="931"/>
      <c r="W112" s="660"/>
      <c r="X112" s="262"/>
      <c r="Y112" s="931"/>
      <c r="Z112" s="660"/>
      <c r="AA112" s="262"/>
      <c r="AB112" s="931"/>
      <c r="AC112" s="937"/>
      <c r="AD112" s="262"/>
      <c r="AE112" s="931"/>
      <c r="AF112" s="937">
        <f>AF222</f>
        <v>-0.11111111111111116</v>
      </c>
      <c r="AG112" s="262">
        <f t="shared" ref="AG112:BJ112" si="365">AG222</f>
        <v>-0.4285714285714286</v>
      </c>
      <c r="AH112" s="931">
        <f t="shared" si="365"/>
        <v>4.5045045045045029E-2</v>
      </c>
      <c r="AI112" s="937">
        <f t="shared" si="365"/>
        <v>-0.23529411764705888</v>
      </c>
      <c r="AJ112" s="262">
        <f t="shared" si="365"/>
        <v>0.22826086956521729</v>
      </c>
      <c r="AK112" s="931">
        <f t="shared" si="365"/>
        <v>0.1637931034482758</v>
      </c>
      <c r="AL112" s="937">
        <f t="shared" si="365"/>
        <v>0.19230769230769229</v>
      </c>
      <c r="AM112" s="262">
        <f t="shared" si="365"/>
        <v>0.27433628318584069</v>
      </c>
      <c r="AN112" s="931">
        <f t="shared" si="365"/>
        <v>0.65925925925925921</v>
      </c>
      <c r="AO112" s="937">
        <f t="shared" si="365"/>
        <v>0.4838709677419355</v>
      </c>
      <c r="AP112" s="262">
        <f t="shared" si="365"/>
        <v>0.35416666666666674</v>
      </c>
      <c r="AQ112" s="931">
        <f t="shared" si="365"/>
        <v>4.9107142857142794E-2</v>
      </c>
      <c r="AR112" s="937">
        <f t="shared" si="365"/>
        <v>0.16847826086956519</v>
      </c>
      <c r="AS112" s="262">
        <f t="shared" si="365"/>
        <v>0.11282051282051286</v>
      </c>
      <c r="AT112" s="931">
        <f t="shared" si="365"/>
        <v>0.27659574468085113</v>
      </c>
      <c r="AU112" s="937">
        <f t="shared" si="365"/>
        <v>0.20232558139534884</v>
      </c>
      <c r="AV112" s="262">
        <f t="shared" si="365"/>
        <v>0.35483870967741926</v>
      </c>
      <c r="AW112" s="1133">
        <f t="shared" ref="AW112" si="366">AW222</f>
        <v>1.8333333333331314E-3</v>
      </c>
      <c r="AX112" s="765">
        <f t="shared" si="365"/>
        <v>0.15</v>
      </c>
      <c r="AY112" s="324">
        <f t="shared" si="365"/>
        <v>0.15</v>
      </c>
      <c r="AZ112" s="752">
        <f t="shared" si="365"/>
        <v>0.14999999999999969</v>
      </c>
      <c r="BA112" s="765">
        <f t="shared" si="365"/>
        <v>0.15</v>
      </c>
      <c r="BB112" s="324">
        <f t="shared" si="365"/>
        <v>0.1</v>
      </c>
      <c r="BC112" s="752">
        <f t="shared" si="365"/>
        <v>0.10000000000000031</v>
      </c>
      <c r="BD112" s="765">
        <f t="shared" si="365"/>
        <v>0.1</v>
      </c>
      <c r="BE112" s="324">
        <f t="shared" si="365"/>
        <v>0.05</v>
      </c>
      <c r="BF112" s="752">
        <f t="shared" si="365"/>
        <v>5.0000000000000044E-2</v>
      </c>
      <c r="BG112" s="765">
        <f t="shared" si="365"/>
        <v>0.05</v>
      </c>
      <c r="BH112" s="324">
        <f t="shared" si="365"/>
        <v>0.05</v>
      </c>
      <c r="BI112" s="752">
        <f t="shared" si="365"/>
        <v>5.0000000000000044E-2</v>
      </c>
      <c r="BJ112" s="765">
        <f t="shared" si="365"/>
        <v>0.05</v>
      </c>
      <c r="BK112" s="325"/>
      <c r="BL112" s="1025"/>
      <c r="BM112" s="1025"/>
    </row>
    <row r="113" spans="1:69" s="33" customFormat="1" ht="11.4">
      <c r="A113" s="1026" t="s">
        <v>1007</v>
      </c>
      <c r="Q113" s="103"/>
      <c r="R113" s="103"/>
      <c r="S113" s="637"/>
      <c r="T113" s="660"/>
      <c r="U113" s="262"/>
      <c r="V113" s="931"/>
      <c r="W113" s="660"/>
      <c r="X113" s="262"/>
      <c r="Y113" s="931"/>
      <c r="Z113" s="660"/>
      <c r="AA113" s="262"/>
      <c r="AB113" s="931"/>
      <c r="AC113" s="937"/>
      <c r="AD113" s="262"/>
      <c r="AE113" s="931"/>
      <c r="AF113" s="937">
        <v>0</v>
      </c>
      <c r="AG113" s="262">
        <v>0</v>
      </c>
      <c r="AH113" s="931">
        <f>(AI113*2)-AG113</f>
        <v>0</v>
      </c>
      <c r="AI113" s="937">
        <v>0</v>
      </c>
      <c r="AJ113" s="262">
        <v>0.05</v>
      </c>
      <c r="AK113" s="931">
        <f>(AL113*2)-AJ113</f>
        <v>0.05</v>
      </c>
      <c r="AL113" s="937">
        <v>0.05</v>
      </c>
      <c r="AM113" s="262">
        <v>0.12</v>
      </c>
      <c r="AN113" s="931">
        <f>(AO113*2)-AM113</f>
        <v>0.12</v>
      </c>
      <c r="AO113" s="937">
        <v>0.12</v>
      </c>
      <c r="AP113" s="262">
        <v>0.11</v>
      </c>
      <c r="AQ113" s="931">
        <f>(AR113*2)-AP113</f>
        <v>0.11</v>
      </c>
      <c r="AR113" s="937">
        <v>0.11</v>
      </c>
      <c r="AS113" s="262">
        <v>0.08</v>
      </c>
      <c r="AT113" s="931">
        <f>(AU113*2)-AS113</f>
        <v>0.08</v>
      </c>
      <c r="AU113" s="937">
        <v>0.08</v>
      </c>
      <c r="AV113" s="262">
        <v>0.08</v>
      </c>
      <c r="AW113" s="1133">
        <f>(AX113*2)-AV113</f>
        <v>0.08</v>
      </c>
      <c r="AX113" s="610">
        <v>0.08</v>
      </c>
      <c r="AY113" s="324">
        <f>BA113</f>
        <v>0.08</v>
      </c>
      <c r="AZ113" s="752">
        <f>(BA113*2)-AY113</f>
        <v>0.08</v>
      </c>
      <c r="BA113" s="765">
        <f>AX113</f>
        <v>0.08</v>
      </c>
      <c r="BB113" s="324">
        <f>BD113</f>
        <v>0.08</v>
      </c>
      <c r="BC113" s="752">
        <f>(BD113*2)-BB113</f>
        <v>0.08</v>
      </c>
      <c r="BD113" s="765">
        <f>BA113</f>
        <v>0.08</v>
      </c>
      <c r="BE113" s="324">
        <f>BG113</f>
        <v>0.08</v>
      </c>
      <c r="BF113" s="752">
        <f>(BG113*2)-BE113</f>
        <v>0.08</v>
      </c>
      <c r="BG113" s="765">
        <f>BD113</f>
        <v>0.08</v>
      </c>
      <c r="BH113" s="324">
        <f>BJ113</f>
        <v>0.08</v>
      </c>
      <c r="BI113" s="752">
        <f>(BJ113*2)-BH113</f>
        <v>0.08</v>
      </c>
      <c r="BJ113" s="765">
        <f>BG113</f>
        <v>0.08</v>
      </c>
      <c r="BK113" s="325"/>
      <c r="BL113" s="1025"/>
      <c r="BM113" s="1025"/>
    </row>
    <row r="114" spans="1:69" s="33" customFormat="1" ht="11.4">
      <c r="A114" s="1026" t="s">
        <v>1040</v>
      </c>
      <c r="Q114" s="103"/>
      <c r="R114" s="103"/>
      <c r="S114" s="637"/>
      <c r="T114" s="660"/>
      <c r="U114" s="262"/>
      <c r="V114" s="931"/>
      <c r="W114" s="660"/>
      <c r="X114" s="262"/>
      <c r="Y114" s="931"/>
      <c r="Z114" s="660"/>
      <c r="AA114" s="262"/>
      <c r="AB114" s="931"/>
      <c r="AC114" s="937"/>
      <c r="AD114" s="262"/>
      <c r="AE114" s="931"/>
      <c r="AF114" s="937">
        <f>AF111-AF112-AF113</f>
        <v>0.31012831012831055</v>
      </c>
      <c r="AG114" s="262">
        <f>AG111-AG112-AG113</f>
        <v>-0.28538842544316989</v>
      </c>
      <c r="AH114" s="931">
        <f t="shared" ref="AH114:AV114" si="367">AH111-AH112-AH113</f>
        <v>-0.40322686322686341</v>
      </c>
      <c r="AI114" s="937">
        <f t="shared" si="367"/>
        <v>-0.30045269473909786</v>
      </c>
      <c r="AJ114" s="262">
        <f t="shared" si="367"/>
        <v>0.82062270300256546</v>
      </c>
      <c r="AK114" s="931">
        <f t="shared" si="367"/>
        <v>-0.44608772101201505</v>
      </c>
      <c r="AL114" s="937">
        <f t="shared" si="367"/>
        <v>-6.5260119968310007E-2</v>
      </c>
      <c r="AM114" s="262">
        <f t="shared" si="367"/>
        <v>-2.998897167603487E-3</v>
      </c>
      <c r="AN114" s="931">
        <f t="shared" si="367"/>
        <v>0.33789941232745668</v>
      </c>
      <c r="AO114" s="937">
        <f t="shared" si="367"/>
        <v>0.11529569892473124</v>
      </c>
      <c r="AP114" s="262">
        <f t="shared" si="367"/>
        <v>-0.55932778081194257</v>
      </c>
      <c r="AQ114" s="931">
        <f t="shared" si="367"/>
        <v>-0.33057119514472433</v>
      </c>
      <c r="AR114" s="937">
        <f t="shared" si="367"/>
        <v>-0.41608126620160579</v>
      </c>
      <c r="AS114" s="262">
        <f t="shared" si="367"/>
        <v>0.36032623142729597</v>
      </c>
      <c r="AT114" s="931">
        <f>(AU114*2)-AS114</f>
        <v>0.1263821223983202</v>
      </c>
      <c r="AU114" s="937">
        <f t="shared" si="367"/>
        <v>0.24335417691280808</v>
      </c>
      <c r="AV114" s="262">
        <f t="shared" si="367"/>
        <v>-0.19078991952523688</v>
      </c>
      <c r="AW114" s="1133">
        <f>(AX114*2)-AV114</f>
        <v>0.19078991952523688</v>
      </c>
      <c r="AX114" s="610">
        <v>0</v>
      </c>
      <c r="AY114" s="324">
        <f>BA114</f>
        <v>0</v>
      </c>
      <c r="AZ114" s="752">
        <f>(BA114*2)-AY114</f>
        <v>0</v>
      </c>
      <c r="BA114" s="765">
        <f>AX114</f>
        <v>0</v>
      </c>
      <c r="BB114" s="324">
        <f>BD114</f>
        <v>0</v>
      </c>
      <c r="BC114" s="752">
        <f>(BD114*2)-BB114</f>
        <v>0</v>
      </c>
      <c r="BD114" s="765">
        <f>BA114</f>
        <v>0</v>
      </c>
      <c r="BE114" s="324">
        <f>BG114</f>
        <v>0</v>
      </c>
      <c r="BF114" s="752">
        <f>(BG114*2)-BE114</f>
        <v>0</v>
      </c>
      <c r="BG114" s="765">
        <f>BD114</f>
        <v>0</v>
      </c>
      <c r="BH114" s="324">
        <f>BJ114</f>
        <v>0</v>
      </c>
      <c r="BI114" s="752">
        <f>(BJ114*2)-BH114</f>
        <v>0</v>
      </c>
      <c r="BJ114" s="765">
        <f>BG114</f>
        <v>0</v>
      </c>
      <c r="BK114" s="325"/>
      <c r="BL114" s="1025"/>
      <c r="BM114" s="1025"/>
    </row>
    <row r="115" spans="1:69" ht="11.4">
      <c r="A115" s="65"/>
      <c r="Q115" s="40"/>
      <c r="R115" s="121"/>
      <c r="S115" s="776"/>
      <c r="T115" s="783"/>
      <c r="U115" s="121"/>
      <c r="V115" s="776"/>
      <c r="W115" s="783"/>
      <c r="X115" s="121"/>
      <c r="Y115" s="776"/>
      <c r="Z115" s="783"/>
      <c r="AA115" s="505"/>
      <c r="AB115" s="750"/>
      <c r="AC115" s="762"/>
      <c r="AD115" s="505"/>
      <c r="AE115" s="750"/>
      <c r="AF115" s="762"/>
      <c r="AG115" s="505"/>
      <c r="AH115" s="750"/>
      <c r="AI115" s="1005"/>
      <c r="AJ115" s="505"/>
      <c r="AK115" s="750"/>
      <c r="AL115" s="762"/>
      <c r="AM115" s="505"/>
      <c r="AN115" s="750"/>
      <c r="AO115" s="609"/>
      <c r="AP115" s="505"/>
      <c r="AQ115" s="750"/>
      <c r="AR115" s="762"/>
      <c r="AS115" s="505"/>
      <c r="AT115" s="750"/>
      <c r="AU115" s="762"/>
      <c r="AV115" s="505"/>
      <c r="AW115" s="750"/>
      <c r="AX115" s="762"/>
      <c r="AY115" s="505"/>
      <c r="AZ115" s="750"/>
      <c r="BA115" s="762"/>
      <c r="BB115" s="505"/>
      <c r="BC115" s="750"/>
      <c r="BD115" s="762"/>
      <c r="BE115" s="505"/>
      <c r="BF115" s="750"/>
      <c r="BG115" s="762"/>
      <c r="BH115" s="505"/>
      <c r="BI115" s="750"/>
      <c r="BJ115" s="762"/>
      <c r="BL115" s="38"/>
      <c r="BM115" s="38"/>
    </row>
    <row r="116" spans="1:69" ht="11.4">
      <c r="A116" s="65" t="s">
        <v>772</v>
      </c>
      <c r="Q116" s="40"/>
      <c r="R116" s="51"/>
      <c r="S116" s="629"/>
      <c r="T116" s="652">
        <f>+T107*T374</f>
        <v>2340.6749999999997</v>
      </c>
      <c r="U116" s="51">
        <f>U117*U119/10^3</f>
        <v>1479</v>
      </c>
      <c r="V116" s="629">
        <f>W116-U116</f>
        <v>1296.08</v>
      </c>
      <c r="W116" s="652">
        <f>+W107*W374</f>
        <v>2775.08</v>
      </c>
      <c r="X116" s="51">
        <f>X117*X119/10^3</f>
        <v>1873.8</v>
      </c>
      <c r="Y116" s="629">
        <f>Z116-X116</f>
        <v>1423.34</v>
      </c>
      <c r="Z116" s="652">
        <f>+Z107*Z374</f>
        <v>3297.14</v>
      </c>
      <c r="AA116" s="51">
        <f>AA117*AA119/10^3</f>
        <v>2062.5</v>
      </c>
      <c r="AB116" s="629">
        <f>AC116-AA116</f>
        <v>2527.5</v>
      </c>
      <c r="AC116" s="652">
        <f>+AC107*AC374</f>
        <v>4590</v>
      </c>
      <c r="AD116" s="51">
        <f>AD117*AD119/10^3</f>
        <v>1170</v>
      </c>
      <c r="AE116" s="629">
        <f>AF116-AD116</f>
        <v>424.13040000000001</v>
      </c>
      <c r="AF116" s="652">
        <f>+AF107*AF374</f>
        <v>1594.1304</v>
      </c>
      <c r="AG116" s="51">
        <f>AG117*AG119/10^3</f>
        <v>960</v>
      </c>
      <c r="AH116" s="629">
        <f>AI116-AG116</f>
        <v>1033.9248</v>
      </c>
      <c r="AI116" s="652">
        <f>+AI107*AI374</f>
        <v>1993.9248</v>
      </c>
      <c r="AJ116" s="51">
        <f>AJ117*AJ119/10^3</f>
        <v>1379.82</v>
      </c>
      <c r="AK116" s="629">
        <f>AL116-AJ116</f>
        <v>2325.1800000000003</v>
      </c>
      <c r="AL116" s="652">
        <f>+AL107*AL374</f>
        <v>3705</v>
      </c>
      <c r="AM116" s="51">
        <f>AM117*AM119/10^3</f>
        <v>2364.2666666666669</v>
      </c>
      <c r="AN116" s="629">
        <f>AO116-AM116</f>
        <v>2783.7333333333331</v>
      </c>
      <c r="AO116" s="652">
        <f>+AO107*AO374</f>
        <v>5148</v>
      </c>
      <c r="AP116" s="51">
        <f>AP117*AP119/10^3</f>
        <v>3006.3483544303799</v>
      </c>
      <c r="AQ116" s="629">
        <f>AR116-AP116</f>
        <v>3243.6916455696201</v>
      </c>
      <c r="AR116" s="652">
        <f>+AR107*AR374</f>
        <v>6250.04</v>
      </c>
      <c r="AS116" s="51">
        <f>AS117*AS119/10^3</f>
        <v>3276.8978823529405</v>
      </c>
      <c r="AT116" s="629">
        <f>AU116-AS116</f>
        <v>3600.5421176470591</v>
      </c>
      <c r="AU116" s="652">
        <f>+AU107*AU374</f>
        <v>6877.44</v>
      </c>
      <c r="AV116" s="51">
        <f>+AV107*AV374</f>
        <v>3725.9999999999995</v>
      </c>
      <c r="AW116" s="236">
        <f>+AW124</f>
        <v>4352.0942573939938</v>
      </c>
      <c r="AX116" s="605">
        <f>+AX124</f>
        <v>8078.0942573939928</v>
      </c>
      <c r="AY116" s="56">
        <f>+AY124</f>
        <v>4437.4183090438983</v>
      </c>
      <c r="AZ116" s="236">
        <f>+AZ124</f>
        <v>4437.4183090438983</v>
      </c>
      <c r="BA116" s="605">
        <f t="shared" ref="BA116:BG116" si="368">+BA124</f>
        <v>8874.8366180877965</v>
      </c>
      <c r="BB116" s="56">
        <f>+BB124</f>
        <v>4726.1230327642224</v>
      </c>
      <c r="BC116" s="236">
        <f>+BC124</f>
        <v>4726.1230327642224</v>
      </c>
      <c r="BD116" s="605">
        <f t="shared" si="368"/>
        <v>9452.2460655284449</v>
      </c>
      <c r="BE116" s="56">
        <f>+BE124</f>
        <v>5193.9903634176271</v>
      </c>
      <c r="BF116" s="236">
        <f>+BF124</f>
        <v>5193.9903634176271</v>
      </c>
      <c r="BG116" s="605">
        <f t="shared" si="368"/>
        <v>10387.980726835254</v>
      </c>
      <c r="BH116" s="56">
        <f>+BH124</f>
        <v>5782.469407343131</v>
      </c>
      <c r="BI116" s="236">
        <f>+BI124</f>
        <v>5782.469407343131</v>
      </c>
      <c r="BJ116" s="605">
        <f>+BJ124</f>
        <v>11564.938814686262</v>
      </c>
      <c r="BK116" s="264">
        <f>+(AU116/AL116)^(1/3)-1</f>
        <v>0.22898391625535552</v>
      </c>
      <c r="BL116" s="433">
        <f>+(BA116/AL116)^(1/5)-1</f>
        <v>0.19089762969582247</v>
      </c>
      <c r="BM116" s="115"/>
    </row>
    <row r="117" spans="1:69">
      <c r="A117" s="101" t="s">
        <v>558</v>
      </c>
      <c r="R117" s="40"/>
      <c r="S117" s="630"/>
      <c r="T117" s="653">
        <v>11200</v>
      </c>
      <c r="U117" s="10">
        <v>5800</v>
      </c>
      <c r="V117" s="216">
        <f>W117-U117</f>
        <v>6800</v>
      </c>
      <c r="W117" s="653">
        <v>12600</v>
      </c>
      <c r="X117" s="206">
        <v>6940</v>
      </c>
      <c r="Y117" s="216">
        <f>Z117-X117</f>
        <v>7360</v>
      </c>
      <c r="Z117" s="653">
        <v>14300</v>
      </c>
      <c r="AA117" s="10">
        <v>7500</v>
      </c>
      <c r="AB117" s="216">
        <f>AC117-AA117</f>
        <v>7800</v>
      </c>
      <c r="AC117" s="653">
        <v>15300</v>
      </c>
      <c r="AD117" s="10">
        <v>3900</v>
      </c>
      <c r="AE117" s="216">
        <f>AF117-AD117</f>
        <v>2700</v>
      </c>
      <c r="AF117" s="556">
        <v>6600</v>
      </c>
      <c r="AG117" s="10">
        <v>3200</v>
      </c>
      <c r="AH117" s="216">
        <f>AI117-AG117</f>
        <v>4200</v>
      </c>
      <c r="AI117" s="556">
        <v>7400</v>
      </c>
      <c r="AJ117" s="10">
        <v>4524</v>
      </c>
      <c r="AK117" s="216">
        <f>AL117-AJ117</f>
        <v>5476</v>
      </c>
      <c r="AL117" s="556">
        <v>10000</v>
      </c>
      <c r="AM117" s="10">
        <v>6200</v>
      </c>
      <c r="AN117" s="216">
        <f>AO117-AM117</f>
        <v>7300</v>
      </c>
      <c r="AO117" s="556">
        <v>13500</v>
      </c>
      <c r="AP117" s="10">
        <v>7600</v>
      </c>
      <c r="AQ117" s="216">
        <f>AR117-AP117</f>
        <v>8200</v>
      </c>
      <c r="AR117" s="556">
        <v>15800</v>
      </c>
      <c r="AS117" s="10">
        <v>8100</v>
      </c>
      <c r="AT117" s="216">
        <f>AU117-AS117</f>
        <v>8900</v>
      </c>
      <c r="AU117" s="556">
        <v>17000</v>
      </c>
      <c r="AV117" s="10">
        <v>8400</v>
      </c>
      <c r="AW117" s="236">
        <f>AW150</f>
        <v>9169.0553941693979</v>
      </c>
      <c r="AX117" s="605">
        <f>+SUMPRODUCT(AX163:AX171,AX151:AX159)/10^3</f>
        <v>17569.055394169398</v>
      </c>
      <c r="AY117" s="56">
        <f>AY150</f>
        <v>9336.509256376592</v>
      </c>
      <c r="AZ117" s="236">
        <f>AZ150</f>
        <v>9336.509256376592</v>
      </c>
      <c r="BA117" s="605">
        <f>+SUMPRODUCT(BA163:BA171,BA151:BA159)/10^3</f>
        <v>18673.018512753184</v>
      </c>
      <c r="BB117" s="56">
        <f>BB150</f>
        <v>9900.4315095310776</v>
      </c>
      <c r="BC117" s="236">
        <f>BC150</f>
        <v>9900.4315095310776</v>
      </c>
      <c r="BD117" s="605">
        <f>+SUMPRODUCT(BD163:BD171,BD151:BD159)/10^3</f>
        <v>19800.863019062155</v>
      </c>
      <c r="BE117" s="56">
        <f>BE150</f>
        <v>10516.696958346967</v>
      </c>
      <c r="BF117" s="236">
        <f>BF150</f>
        <v>10516.696958346967</v>
      </c>
      <c r="BG117" s="605">
        <f>+SUMPRODUCT(BG163:BG171,BG151:BG159)/10^3</f>
        <v>21033.393916693934</v>
      </c>
      <c r="BH117" s="56">
        <f>BH150</f>
        <v>11381.675225153689</v>
      </c>
      <c r="BI117" s="236">
        <f>BI150</f>
        <v>11381.675225153689</v>
      </c>
      <c r="BJ117" s="605">
        <f>+SUMPRODUCT(BJ163:BJ171,BJ151:BJ159)/10^3</f>
        <v>22763.350450307378</v>
      </c>
      <c r="BK117" s="437"/>
      <c r="BL117" s="131"/>
      <c r="BM117" s="131"/>
    </row>
    <row r="118" spans="1:69" ht="11.4">
      <c r="A118" s="101" t="s">
        <v>510</v>
      </c>
      <c r="R118" s="58"/>
      <c r="S118" s="644"/>
      <c r="T118" s="668"/>
      <c r="U118" s="58"/>
      <c r="V118" s="644"/>
      <c r="W118" s="668">
        <f t="shared" ref="W118" si="369">+W117/T117-1</f>
        <v>0.125</v>
      </c>
      <c r="X118" s="58"/>
      <c r="Y118" s="644"/>
      <c r="Z118" s="668">
        <f>+Z117/W117-1</f>
        <v>0.13492063492063489</v>
      </c>
      <c r="AA118" s="87">
        <f t="shared" ref="AA118" si="370">+AA117/X117-1</f>
        <v>8.0691642651296913E-2</v>
      </c>
      <c r="AB118" s="644">
        <f t="shared" ref="AB118" si="371">+AB117/Y117-1</f>
        <v>5.9782608695652106E-2</v>
      </c>
      <c r="AC118" s="668">
        <f t="shared" ref="AC118:BJ118" si="372">+AC117/Z117-1</f>
        <v>6.9930069930070005E-2</v>
      </c>
      <c r="AD118" s="87">
        <f t="shared" si="372"/>
        <v>-0.48</v>
      </c>
      <c r="AE118" s="644">
        <f t="shared" si="372"/>
        <v>-0.65384615384615385</v>
      </c>
      <c r="AF118" s="668">
        <f t="shared" si="372"/>
        <v>-0.56862745098039214</v>
      </c>
      <c r="AG118" s="87">
        <f t="shared" si="372"/>
        <v>-0.17948717948717952</v>
      </c>
      <c r="AH118" s="644">
        <f t="shared" si="372"/>
        <v>0.55555555555555558</v>
      </c>
      <c r="AI118" s="668">
        <f t="shared" si="372"/>
        <v>0.1212121212121211</v>
      </c>
      <c r="AJ118" s="87">
        <f t="shared" si="372"/>
        <v>0.41375000000000006</v>
      </c>
      <c r="AK118" s="644">
        <f t="shared" si="372"/>
        <v>0.30380952380952375</v>
      </c>
      <c r="AL118" s="668">
        <f t="shared" si="372"/>
        <v>0.35135135135135132</v>
      </c>
      <c r="AM118" s="87">
        <f t="shared" si="372"/>
        <v>0.37046861184792212</v>
      </c>
      <c r="AN118" s="644">
        <f t="shared" ref="AN118" si="373">+AN117/AK117-1</f>
        <v>0.33308984660336005</v>
      </c>
      <c r="AO118" s="668">
        <f t="shared" ref="AO118" si="374">+AO117/AL117-1</f>
        <v>0.35000000000000009</v>
      </c>
      <c r="AP118" s="87">
        <f t="shared" si="372"/>
        <v>0.22580645161290325</v>
      </c>
      <c r="AQ118" s="644">
        <f t="shared" si="372"/>
        <v>0.12328767123287676</v>
      </c>
      <c r="AR118" s="668">
        <f t="shared" ref="AR118" si="375">+AR117/AO117-1</f>
        <v>0.17037037037037028</v>
      </c>
      <c r="AS118" s="87">
        <f t="shared" si="372"/>
        <v>6.578947368421062E-2</v>
      </c>
      <c r="AT118" s="229">
        <f t="shared" si="372"/>
        <v>8.5365853658536661E-2</v>
      </c>
      <c r="AU118" s="559">
        <f t="shared" si="372"/>
        <v>7.5949367088607556E-2</v>
      </c>
      <c r="AV118" s="165">
        <f t="shared" si="372"/>
        <v>3.7037037037036979E-2</v>
      </c>
      <c r="AW118" s="247">
        <f t="shared" si="372"/>
        <v>3.0230943165100888E-2</v>
      </c>
      <c r="AX118" s="583">
        <f t="shared" si="372"/>
        <v>3.3473846715846856E-2</v>
      </c>
      <c r="AY118" s="183">
        <f t="shared" si="372"/>
        <v>0.11148919718768946</v>
      </c>
      <c r="AZ118" s="247">
        <f t="shared" si="372"/>
        <v>1.8262934948967358E-2</v>
      </c>
      <c r="BA118" s="583">
        <f t="shared" si="372"/>
        <v>6.2835655862873319E-2</v>
      </c>
      <c r="BB118" s="183">
        <f t="shared" si="372"/>
        <v>6.0399688756195724E-2</v>
      </c>
      <c r="BC118" s="247">
        <f t="shared" si="372"/>
        <v>6.0399688756195724E-2</v>
      </c>
      <c r="BD118" s="583">
        <f t="shared" si="372"/>
        <v>6.0399688756195724E-2</v>
      </c>
      <c r="BE118" s="183">
        <f t="shared" si="372"/>
        <v>6.2246322114608343E-2</v>
      </c>
      <c r="BF118" s="247">
        <f t="shared" si="372"/>
        <v>6.2246322114608343E-2</v>
      </c>
      <c r="BG118" s="583">
        <f t="shared" si="372"/>
        <v>6.2246322114608343E-2</v>
      </c>
      <c r="BH118" s="183">
        <f t="shared" si="372"/>
        <v>8.2248092745526913E-2</v>
      </c>
      <c r="BI118" s="247">
        <f t="shared" si="372"/>
        <v>8.2248092745526913E-2</v>
      </c>
      <c r="BJ118" s="583">
        <f t="shared" si="372"/>
        <v>8.2248092745526913E-2</v>
      </c>
      <c r="BL118" s="108"/>
      <c r="BM118" s="108"/>
      <c r="BN118" s="32"/>
    </row>
    <row r="119" spans="1:69" ht="11.4">
      <c r="A119" s="101" t="s">
        <v>557</v>
      </c>
      <c r="R119" s="40"/>
      <c r="S119" s="630"/>
      <c r="T119" s="653">
        <f t="shared" ref="T119:BJ119" si="376">+T116/T117*1000</f>
        <v>208.98883928571428</v>
      </c>
      <c r="U119" s="10">
        <v>255</v>
      </c>
      <c r="V119" s="630">
        <f t="shared" ref="V119" si="377">+V116/V117*1000</f>
        <v>190.6</v>
      </c>
      <c r="W119" s="653">
        <f>+W116/W117*1000</f>
        <v>220.24444444444444</v>
      </c>
      <c r="X119" s="206">
        <v>270</v>
      </c>
      <c r="Y119" s="630">
        <f t="shared" ref="Y119:AB119" si="378">+Y116/Y117*1000</f>
        <v>193.38858695652172</v>
      </c>
      <c r="Z119" s="653">
        <f>+Z116/Z117*1000</f>
        <v>230.56923076923076</v>
      </c>
      <c r="AA119" s="206">
        <v>275</v>
      </c>
      <c r="AB119" s="630">
        <f t="shared" si="378"/>
        <v>324.03846153846155</v>
      </c>
      <c r="AC119" s="653">
        <f>+AC116/AC117*1000</f>
        <v>300</v>
      </c>
      <c r="AD119" s="206">
        <v>300</v>
      </c>
      <c r="AE119" s="630">
        <f t="shared" ref="AE119" si="379">+AE116/AE117*1000</f>
        <v>157.08533333333332</v>
      </c>
      <c r="AF119" s="653">
        <f>+AF116/AF117*1000</f>
        <v>241.53490909090911</v>
      </c>
      <c r="AG119" s="206">
        <v>300</v>
      </c>
      <c r="AH119" s="630">
        <f t="shared" ref="AH119" si="380">+AH116/AH117*1000</f>
        <v>246.17257142857144</v>
      </c>
      <c r="AI119" s="653">
        <f t="shared" si="376"/>
        <v>269.44929729729728</v>
      </c>
      <c r="AJ119" s="40">
        <v>305</v>
      </c>
      <c r="AK119" s="630">
        <f t="shared" si="376"/>
        <v>424.61285609934265</v>
      </c>
      <c r="AL119" s="653">
        <f t="shared" si="376"/>
        <v>370.5</v>
      </c>
      <c r="AM119" s="40">
        <f>AO119</f>
        <v>381.33333333333337</v>
      </c>
      <c r="AN119" s="630">
        <f t="shared" ref="AN119:AO119" si="381">+AN116/AN117*1000</f>
        <v>381.33333333333331</v>
      </c>
      <c r="AO119" s="653">
        <f t="shared" si="381"/>
        <v>381.33333333333337</v>
      </c>
      <c r="AP119" s="40">
        <f>AR119</f>
        <v>395.57215189873421</v>
      </c>
      <c r="AQ119" s="630">
        <f t="shared" ref="AQ119" si="382">+AQ116/AQ117*1000</f>
        <v>395.57215189873415</v>
      </c>
      <c r="AR119" s="653">
        <f t="shared" ref="AR119" si="383">+AR116/AR117*1000</f>
        <v>395.57215189873421</v>
      </c>
      <c r="AS119" s="40">
        <f>AU119</f>
        <v>404.55529411764701</v>
      </c>
      <c r="AT119" s="216">
        <f t="shared" si="376"/>
        <v>404.55529411764707</v>
      </c>
      <c r="AU119" s="556">
        <f>+AU116/AU117*1000</f>
        <v>404.55529411764701</v>
      </c>
      <c r="AV119" s="40">
        <f>+AV116/AV117*1000</f>
        <v>443.5714285714285</v>
      </c>
      <c r="AW119" s="236">
        <f t="shared" si="376"/>
        <v>474.6502306182478</v>
      </c>
      <c r="AX119" s="605">
        <f t="shared" si="376"/>
        <v>459.79104033531888</v>
      </c>
      <c r="AY119" s="56">
        <f t="shared" si="376"/>
        <v>475.27595027159185</v>
      </c>
      <c r="AZ119" s="236">
        <f t="shared" si="376"/>
        <v>475.27595027159185</v>
      </c>
      <c r="BA119" s="605">
        <f t="shared" si="376"/>
        <v>475.27595027159185</v>
      </c>
      <c r="BB119" s="56">
        <f t="shared" si="376"/>
        <v>477.3653580871113</v>
      </c>
      <c r="BC119" s="236">
        <f t="shared" si="376"/>
        <v>477.3653580871113</v>
      </c>
      <c r="BD119" s="605">
        <f t="shared" si="376"/>
        <v>477.3653580871113</v>
      </c>
      <c r="BE119" s="56">
        <f t="shared" si="376"/>
        <v>493.88038696838402</v>
      </c>
      <c r="BF119" s="236">
        <f t="shared" si="376"/>
        <v>493.88038696838402</v>
      </c>
      <c r="BG119" s="605">
        <f t="shared" si="376"/>
        <v>493.88038696838402</v>
      </c>
      <c r="BH119" s="56">
        <f t="shared" si="376"/>
        <v>508.05081791156539</v>
      </c>
      <c r="BI119" s="236">
        <f t="shared" si="376"/>
        <v>508.05081791156539</v>
      </c>
      <c r="BJ119" s="605">
        <f t="shared" si="376"/>
        <v>508.05081791156539</v>
      </c>
      <c r="BK119" s="202"/>
      <c r="BL119" s="108"/>
      <c r="BM119" s="132"/>
    </row>
    <row r="120" spans="1:69" ht="11.4">
      <c r="A120" s="101" t="s">
        <v>510</v>
      </c>
      <c r="R120" s="58"/>
      <c r="S120" s="644"/>
      <c r="T120" s="668"/>
      <c r="U120" s="58"/>
      <c r="V120" s="644"/>
      <c r="W120" s="668">
        <f t="shared" ref="W120" si="384">+W119/T119-1</f>
        <v>5.3857446154540023E-2</v>
      </c>
      <c r="X120" s="58"/>
      <c r="Y120" s="644"/>
      <c r="Z120" s="668">
        <f>+Z119/W119-1</f>
        <v>4.687875942037989E-2</v>
      </c>
      <c r="AA120" s="87">
        <f t="shared" ref="AA120" si="385">+AA119/X119-1</f>
        <v>1.8518518518518601E-2</v>
      </c>
      <c r="AB120" s="644">
        <f t="shared" ref="AB120" si="386">+AB119/Y119-1</f>
        <v>0.67558213562681946</v>
      </c>
      <c r="AC120" s="668">
        <f t="shared" ref="AC120:BJ120" si="387">+AC119/Z119-1</f>
        <v>0.30112764395809699</v>
      </c>
      <c r="AD120" s="87">
        <f t="shared" si="387"/>
        <v>9.0909090909090828E-2</v>
      </c>
      <c r="AE120" s="644">
        <f t="shared" si="387"/>
        <v>-0.51522627101879337</v>
      </c>
      <c r="AF120" s="668">
        <f t="shared" si="387"/>
        <v>-0.19488363636363626</v>
      </c>
      <c r="AG120" s="87">
        <f t="shared" si="387"/>
        <v>0</v>
      </c>
      <c r="AH120" s="644">
        <f t="shared" si="387"/>
        <v>0.5671263905090107</v>
      </c>
      <c r="AI120" s="668">
        <f t="shared" si="387"/>
        <v>0.1155708229152157</v>
      </c>
      <c r="AJ120" s="87">
        <f t="shared" si="387"/>
        <v>1.6666666666666607E-2</v>
      </c>
      <c r="AK120" s="644">
        <f t="shared" si="387"/>
        <v>0.72485851545222535</v>
      </c>
      <c r="AL120" s="668">
        <f t="shared" si="387"/>
        <v>0.37502678135103196</v>
      </c>
      <c r="AM120" s="87">
        <f t="shared" si="387"/>
        <v>0.25027322404371599</v>
      </c>
      <c r="AN120" s="644">
        <f t="shared" ref="AN120" si="388">+AN119/AK119-1</f>
        <v>-0.10192701927019288</v>
      </c>
      <c r="AO120" s="668">
        <f t="shared" ref="AO120" si="389">+AO119/AL119-1</f>
        <v>2.923976608187151E-2</v>
      </c>
      <c r="AP120" s="87">
        <f t="shared" si="387"/>
        <v>3.7339559175002091E-2</v>
      </c>
      <c r="AQ120" s="644">
        <f t="shared" si="387"/>
        <v>3.7339559175002091E-2</v>
      </c>
      <c r="AR120" s="668">
        <f t="shared" ref="AR120" si="390">+AR119/AO119-1</f>
        <v>3.7339559175002091E-2</v>
      </c>
      <c r="AS120" s="87">
        <f t="shared" si="387"/>
        <v>2.270923819028714E-2</v>
      </c>
      <c r="AT120" s="229">
        <f t="shared" si="387"/>
        <v>2.2709238190287362E-2</v>
      </c>
      <c r="AU120" s="559">
        <f t="shared" si="387"/>
        <v>2.270923819028714E-2</v>
      </c>
      <c r="AV120" s="199">
        <f t="shared" si="387"/>
        <v>9.6442031586503996E-2</v>
      </c>
      <c r="AW120" s="247">
        <f t="shared" si="387"/>
        <v>0.1732641681367213</v>
      </c>
      <c r="AX120" s="583">
        <f t="shared" si="387"/>
        <v>0.13653447877414004</v>
      </c>
      <c r="AY120" s="245">
        <f t="shared" si="387"/>
        <v>7.1475572270899734E-2</v>
      </c>
      <c r="AZ120" s="247">
        <f t="shared" si="387"/>
        <v>1.3182752540308318E-3</v>
      </c>
      <c r="BA120" s="583">
        <f t="shared" si="387"/>
        <v>3.3678146327035918E-2</v>
      </c>
      <c r="BB120" s="245">
        <f t="shared" si="387"/>
        <v>4.3961993328833771E-3</v>
      </c>
      <c r="BC120" s="247">
        <f t="shared" si="387"/>
        <v>4.3961993328833771E-3</v>
      </c>
      <c r="BD120" s="583">
        <f t="shared" si="387"/>
        <v>4.3961993328833771E-3</v>
      </c>
      <c r="BE120" s="245">
        <f t="shared" si="387"/>
        <v>3.4596203099972245E-2</v>
      </c>
      <c r="BF120" s="247">
        <f t="shared" si="387"/>
        <v>3.4596203099972245E-2</v>
      </c>
      <c r="BG120" s="583">
        <f t="shared" si="387"/>
        <v>3.4596203099972245E-2</v>
      </c>
      <c r="BH120" s="245">
        <f t="shared" si="387"/>
        <v>2.8692030129328749E-2</v>
      </c>
      <c r="BI120" s="247">
        <f t="shared" si="387"/>
        <v>2.8692030129328749E-2</v>
      </c>
      <c r="BJ120" s="583">
        <f t="shared" si="387"/>
        <v>2.8692030129328749E-2</v>
      </c>
      <c r="BL120" s="108"/>
      <c r="BM120" s="108"/>
    </row>
    <row r="121" spans="1:69" ht="11.4">
      <c r="A121" s="101" t="s">
        <v>803</v>
      </c>
      <c r="Q121" s="40"/>
      <c r="R121" s="103"/>
      <c r="S121" s="637"/>
      <c r="T121" s="660"/>
      <c r="U121" s="103"/>
      <c r="V121" s="637"/>
      <c r="W121" s="660"/>
      <c r="X121" s="103"/>
      <c r="Y121" s="637"/>
      <c r="Z121" s="660"/>
      <c r="AA121" s="103"/>
      <c r="AB121" s="637"/>
      <c r="AC121" s="660"/>
      <c r="AD121" s="103">
        <f>+AD117/$AA$117</f>
        <v>0.52</v>
      </c>
      <c r="AE121" s="637">
        <f>+AE117/$AB$117</f>
        <v>0.34615384615384615</v>
      </c>
      <c r="AF121" s="660">
        <f>+AF117/$AC$117</f>
        <v>0.43137254901960786</v>
      </c>
      <c r="AG121" s="103">
        <f>+AG117/$AA$117</f>
        <v>0.42666666666666669</v>
      </c>
      <c r="AH121" s="637">
        <f>+AH117/$AB$117</f>
        <v>0.53846153846153844</v>
      </c>
      <c r="AI121" s="660">
        <f>+AI117/$AC$117</f>
        <v>0.48366013071895425</v>
      </c>
      <c r="AJ121" s="103">
        <f>+AJ117/$AA$117</f>
        <v>0.60319999999999996</v>
      </c>
      <c r="AK121" s="637">
        <f>+AK117/$AB$117</f>
        <v>0.70205128205128209</v>
      </c>
      <c r="AL121" s="660">
        <f t="shared" ref="AL121:BJ121" si="391">+AL117/$AC$117</f>
        <v>0.65359477124183007</v>
      </c>
      <c r="AM121" s="103">
        <f>+AM117/$AA$117</f>
        <v>0.82666666666666666</v>
      </c>
      <c r="AN121" s="637">
        <f>+AN117/$AB$117</f>
        <v>0.9358974358974359</v>
      </c>
      <c r="AO121" s="660">
        <f t="shared" ref="AO121" si="392">+AO117/$AC$117</f>
        <v>0.88235294117647056</v>
      </c>
      <c r="AP121" s="103">
        <f>+AP117/$AA$117</f>
        <v>1.0133333333333334</v>
      </c>
      <c r="AQ121" s="637">
        <f>+AQ117/$AB$117</f>
        <v>1.0512820512820513</v>
      </c>
      <c r="AR121" s="660">
        <f t="shared" ref="AR121" si="393">+AR117/$AC$117</f>
        <v>1.0326797385620916</v>
      </c>
      <c r="AS121" s="103">
        <f>+AS117/$AA$117</f>
        <v>1.08</v>
      </c>
      <c r="AT121" s="217">
        <f>+AT117/$AB$117</f>
        <v>1.141025641025641</v>
      </c>
      <c r="AU121" s="554">
        <f t="shared" si="391"/>
        <v>1.1111111111111112</v>
      </c>
      <c r="AV121" s="211">
        <f>+AV117/$AA$117</f>
        <v>1.1200000000000001</v>
      </c>
      <c r="AW121" s="252">
        <f>+AW117/$AB$117</f>
        <v>1.1755199223294099</v>
      </c>
      <c r="AX121" s="577">
        <f t="shared" si="391"/>
        <v>1.1483042741287188</v>
      </c>
      <c r="AY121" s="251">
        <f>+AY117/$AA$117</f>
        <v>1.2448679008502124</v>
      </c>
      <c r="AZ121" s="252">
        <f>+AZ117/$AB$117</f>
        <v>1.1969883662021272</v>
      </c>
      <c r="BA121" s="577">
        <f t="shared" si="391"/>
        <v>1.2204587263237374</v>
      </c>
      <c r="BB121" s="251">
        <f>+BB117/$AA$117</f>
        <v>1.3200575346041437</v>
      </c>
      <c r="BC121" s="252">
        <f>+BC117/$AB$117</f>
        <v>1.2692860909655228</v>
      </c>
      <c r="BD121" s="577">
        <f t="shared" si="391"/>
        <v>1.2941740535334743</v>
      </c>
      <c r="BE121" s="251">
        <f>+BE117/$AA$117</f>
        <v>1.402226261112929</v>
      </c>
      <c r="BF121" s="252">
        <f>+BF117/$AB$117</f>
        <v>1.3482944818393547</v>
      </c>
      <c r="BG121" s="577">
        <f t="shared" si="391"/>
        <v>1.3747316285420872</v>
      </c>
      <c r="BH121" s="251">
        <f>+BH117/$AA$117</f>
        <v>1.5175566966871585</v>
      </c>
      <c r="BI121" s="252">
        <f>+BI117/$AB$117</f>
        <v>1.4591891314299601</v>
      </c>
      <c r="BJ121" s="577">
        <f t="shared" si="391"/>
        <v>1.4878006830266259</v>
      </c>
      <c r="BL121" s="38"/>
      <c r="BM121" s="38"/>
      <c r="BQ121" s="32"/>
    </row>
    <row r="122" spans="1:69" ht="11.4">
      <c r="A122" s="65"/>
      <c r="Q122" s="40"/>
      <c r="R122" s="33"/>
      <c r="S122" s="866"/>
      <c r="T122" s="890"/>
      <c r="U122" s="33"/>
      <c r="V122" s="866"/>
      <c r="W122" s="890"/>
      <c r="X122" s="33"/>
      <c r="Y122" s="866"/>
      <c r="Z122" s="890"/>
      <c r="AA122" s="162"/>
      <c r="AB122" s="867"/>
      <c r="AC122" s="890"/>
      <c r="AD122" s="162"/>
      <c r="AE122" s="867"/>
      <c r="AF122" s="891"/>
      <c r="AG122" s="162"/>
      <c r="AH122" s="867"/>
      <c r="AI122" s="891"/>
      <c r="AJ122" s="162"/>
      <c r="AK122" s="867"/>
      <c r="AL122" s="891"/>
      <c r="AM122" s="162"/>
      <c r="AN122" s="801"/>
      <c r="AO122" s="832">
        <f t="shared" ref="AO122:BI122" si="394">AO121-AL121</f>
        <v>0.22875816993464049</v>
      </c>
      <c r="AP122" s="974">
        <f t="shared" si="394"/>
        <v>0.18666666666666676</v>
      </c>
      <c r="AQ122" s="801">
        <f t="shared" si="394"/>
        <v>0.11538461538461542</v>
      </c>
      <c r="AR122" s="832">
        <f t="shared" si="394"/>
        <v>0.15032679738562105</v>
      </c>
      <c r="AS122" s="974">
        <f t="shared" si="394"/>
        <v>6.6666666666666652E-2</v>
      </c>
      <c r="AT122" s="801">
        <f t="shared" si="394"/>
        <v>8.9743589743589647E-2</v>
      </c>
      <c r="AU122" s="832">
        <f t="shared" si="394"/>
        <v>7.8431372549019551E-2</v>
      </c>
      <c r="AV122" s="974">
        <f t="shared" si="394"/>
        <v>4.0000000000000036E-2</v>
      </c>
      <c r="AW122" s="801">
        <f t="shared" si="394"/>
        <v>3.449428130376897E-2</v>
      </c>
      <c r="AX122" s="832">
        <f t="shared" si="394"/>
        <v>3.7193163017607667E-2</v>
      </c>
      <c r="AY122" s="974">
        <f t="shared" si="394"/>
        <v>0.12486790085021227</v>
      </c>
      <c r="AZ122" s="801">
        <f t="shared" si="394"/>
        <v>2.1468443872717291E-2</v>
      </c>
      <c r="BA122" s="832">
        <f t="shared" si="394"/>
        <v>7.2154452195018592E-2</v>
      </c>
      <c r="BB122" s="974">
        <f t="shared" si="394"/>
        <v>7.5189633753931284E-2</v>
      </c>
      <c r="BC122" s="801">
        <f t="shared" si="394"/>
        <v>7.2297724763395577E-2</v>
      </c>
      <c r="BD122" s="832">
        <f t="shared" si="394"/>
        <v>7.3715327209736836E-2</v>
      </c>
      <c r="BE122" s="974">
        <f t="shared" si="394"/>
        <v>8.2168726508785372E-2</v>
      </c>
      <c r="BF122" s="801">
        <f t="shared" si="394"/>
        <v>7.9008390873831935E-2</v>
      </c>
      <c r="BG122" s="832">
        <f t="shared" si="394"/>
        <v>8.0557575008612936E-2</v>
      </c>
      <c r="BH122" s="974">
        <f t="shared" si="394"/>
        <v>0.11533043557422951</v>
      </c>
      <c r="BI122" s="801">
        <f t="shared" si="394"/>
        <v>0.11089464959060535</v>
      </c>
      <c r="BJ122" s="832">
        <f t="shared" ref="BJ122" si="395">BJ121-BG121</f>
        <v>0.11306905448453874</v>
      </c>
      <c r="BL122" s="38"/>
      <c r="BM122" s="38"/>
      <c r="BQ122" s="32"/>
    </row>
    <row r="123" spans="1:69" ht="11.4">
      <c r="A123" s="65"/>
      <c r="Q123" s="40"/>
      <c r="R123" s="33"/>
      <c r="S123" s="866"/>
      <c r="T123" s="890"/>
      <c r="U123" s="33"/>
      <c r="V123" s="866"/>
      <c r="W123" s="890"/>
      <c r="X123" s="33"/>
      <c r="Y123" s="866"/>
      <c r="Z123" s="890"/>
      <c r="AA123" s="162"/>
      <c r="AB123" s="867"/>
      <c r="AC123" s="890"/>
      <c r="AD123" s="162"/>
      <c r="AE123" s="867"/>
      <c r="AF123" s="891"/>
      <c r="AG123" s="162"/>
      <c r="AH123" s="867"/>
      <c r="AI123" s="891"/>
      <c r="AJ123" s="162"/>
      <c r="AK123" s="867"/>
      <c r="AL123" s="891"/>
      <c r="AM123" s="162"/>
      <c r="AN123" s="801"/>
      <c r="AO123" s="832"/>
      <c r="AP123" s="974"/>
      <c r="AQ123" s="801"/>
      <c r="AR123" s="832"/>
      <c r="AS123" s="974"/>
      <c r="AT123" s="801"/>
      <c r="AU123" s="832"/>
      <c r="AV123" s="974"/>
      <c r="AW123" s="801"/>
      <c r="AX123" s="832"/>
      <c r="AY123" s="974"/>
      <c r="AZ123" s="801"/>
      <c r="BA123" s="832"/>
      <c r="BB123" s="974"/>
      <c r="BC123" s="801"/>
      <c r="BD123" s="832"/>
      <c r="BE123" s="974"/>
      <c r="BF123" s="801"/>
      <c r="BG123" s="832"/>
      <c r="BH123" s="974"/>
      <c r="BI123" s="801"/>
      <c r="BJ123" s="832"/>
      <c r="BL123" s="38"/>
      <c r="BM123" s="38"/>
      <c r="BQ123" s="32"/>
    </row>
    <row r="124" spans="1:69" ht="11.4">
      <c r="A124" s="72" t="s">
        <v>726</v>
      </c>
      <c r="R124" s="51"/>
      <c r="S124" s="629"/>
      <c r="T124" s="652">
        <f t="shared" ref="T124:Z124" si="396">+SUM(T128:T135)</f>
        <v>2202.0759114285711</v>
      </c>
      <c r="U124" s="51"/>
      <c r="V124" s="629"/>
      <c r="W124" s="652">
        <f t="shared" si="396"/>
        <v>1673.8295497499998</v>
      </c>
      <c r="X124" s="51"/>
      <c r="Y124" s="629"/>
      <c r="Z124" s="652">
        <f t="shared" si="396"/>
        <v>3073.8542115187497</v>
      </c>
      <c r="AA124" s="51">
        <f>AA116</f>
        <v>2062.5</v>
      </c>
      <c r="AB124" s="629">
        <f>AC124-AA124</f>
        <v>2717.8621497888589</v>
      </c>
      <c r="AC124" s="652">
        <f>+SUM(AC127:AC135)</f>
        <v>4780.3621497888589</v>
      </c>
      <c r="AD124" s="51">
        <f>AD116</f>
        <v>1170</v>
      </c>
      <c r="AE124" s="629">
        <f>AF124-AD124</f>
        <v>482.39070892393534</v>
      </c>
      <c r="AF124" s="652">
        <f>+SUM(AF127:AF135)</f>
        <v>1652.3907089239353</v>
      </c>
      <c r="AG124" s="51">
        <f>AG116</f>
        <v>960</v>
      </c>
      <c r="AH124" s="629">
        <f>AI124-AG124</f>
        <v>1099.4070854452484</v>
      </c>
      <c r="AI124" s="652">
        <f>+SUM(AI127:AI135)</f>
        <v>2059.4070854452484</v>
      </c>
      <c r="AJ124" s="51">
        <f>AJ116</f>
        <v>1379.82</v>
      </c>
      <c r="AK124" s="629">
        <f>AL124-AJ124</f>
        <v>2325.1799999999994</v>
      </c>
      <c r="AL124" s="652">
        <f>+SUM(AL127:AL135)</f>
        <v>3704.9999999999995</v>
      </c>
      <c r="AM124" s="51">
        <f>AM116</f>
        <v>2364.2666666666669</v>
      </c>
      <c r="AN124" s="629">
        <f>AO124-AM124</f>
        <v>2783.7333333333331</v>
      </c>
      <c r="AO124" s="652">
        <f>+SUM(AO127:AO135)</f>
        <v>5148</v>
      </c>
      <c r="AP124" s="51">
        <f>AP116</f>
        <v>3006.3483544303799</v>
      </c>
      <c r="AQ124" s="629">
        <f>AR124-AP124</f>
        <v>3243.6916455696201</v>
      </c>
      <c r="AR124" s="652">
        <f>+SUM(AR127:AR135)</f>
        <v>6250.04</v>
      </c>
      <c r="AS124" s="51">
        <f>AS116</f>
        <v>3276.8978823529405</v>
      </c>
      <c r="AT124" s="218">
        <f>AU124-AS124</f>
        <v>3600.54211764706</v>
      </c>
      <c r="AU124" s="553">
        <f>+SUM(AU127:AU135)</f>
        <v>6877.4400000000005</v>
      </c>
      <c r="AV124" s="51">
        <f>AV116</f>
        <v>3725.9999999999995</v>
      </c>
      <c r="AW124" s="236">
        <f>AX124-AV124</f>
        <v>4352.0942573939938</v>
      </c>
      <c r="AX124" s="605">
        <f>+SUM(AX127:AX135)</f>
        <v>8078.0942573939928</v>
      </c>
      <c r="AY124" s="56">
        <f>(AY150/BA150)*BA124</f>
        <v>4437.4183090438983</v>
      </c>
      <c r="AZ124" s="236">
        <f>BA124-AY124</f>
        <v>4437.4183090438983</v>
      </c>
      <c r="BA124" s="605">
        <f>+SUM(BA127:BA135)</f>
        <v>8874.8366180877965</v>
      </c>
      <c r="BB124" s="56">
        <f>(BB150/BD150)*BD124</f>
        <v>4726.1230327642224</v>
      </c>
      <c r="BC124" s="236">
        <f>BD124-BB124</f>
        <v>4726.1230327642224</v>
      </c>
      <c r="BD124" s="605">
        <f>+SUM(BD127:BD135)</f>
        <v>9452.2460655284449</v>
      </c>
      <c r="BE124" s="56">
        <f>(BE150/BG150)*BG124</f>
        <v>5193.9903634176271</v>
      </c>
      <c r="BF124" s="236">
        <f>BG124-BE124</f>
        <v>5193.9903634176271</v>
      </c>
      <c r="BG124" s="605">
        <f>+SUM(BG127:BG135)</f>
        <v>10387.980726835254</v>
      </c>
      <c r="BH124" s="56">
        <f>(BH150/BJ150)*BJ124</f>
        <v>5782.469407343131</v>
      </c>
      <c r="BI124" s="236">
        <f>BJ124-BH124</f>
        <v>5782.469407343131</v>
      </c>
      <c r="BJ124" s="605">
        <f>+SUM(BJ127:BJ135)</f>
        <v>11564.938814686262</v>
      </c>
      <c r="BL124" s="38"/>
      <c r="BM124" s="38"/>
    </row>
    <row r="125" spans="1:69" ht="11.4">
      <c r="A125" s="80" t="s">
        <v>510</v>
      </c>
      <c r="R125" s="58"/>
      <c r="S125" s="644"/>
      <c r="T125" s="668"/>
      <c r="U125" s="58"/>
      <c r="V125" s="644"/>
      <c r="W125" s="668">
        <f t="shared" ref="W125" si="397">+W124/T124-1</f>
        <v>-0.23988562743773789</v>
      </c>
      <c r="X125" s="58"/>
      <c r="Y125" s="644"/>
      <c r="Z125" s="668">
        <f>+Z124/W124-1</f>
        <v>0.83642008947557112</v>
      </c>
      <c r="AA125" s="87"/>
      <c r="AB125" s="644"/>
      <c r="AC125" s="668">
        <f t="shared" ref="AC125:BJ125" si="398">+AC124/Z124-1</f>
        <v>0.55516879488794846</v>
      </c>
      <c r="AD125" s="87">
        <f t="shared" si="398"/>
        <v>-0.43272727272727274</v>
      </c>
      <c r="AE125" s="644">
        <f t="shared" si="398"/>
        <v>-0.82251097283892394</v>
      </c>
      <c r="AF125" s="668">
        <f t="shared" si="398"/>
        <v>-0.65433775577088471</v>
      </c>
      <c r="AG125" s="87">
        <f t="shared" si="398"/>
        <v>-0.17948717948717952</v>
      </c>
      <c r="AH125" s="644">
        <f t="shared" si="398"/>
        <v>1.2790801421065634</v>
      </c>
      <c r="AI125" s="668">
        <f t="shared" si="398"/>
        <v>0.24631969565259104</v>
      </c>
      <c r="AJ125" s="87">
        <f t="shared" si="398"/>
        <v>0.43731249999999999</v>
      </c>
      <c r="AK125" s="644">
        <f t="shared" si="398"/>
        <v>1.1149399806335847</v>
      </c>
      <c r="AL125" s="668">
        <f t="shared" si="398"/>
        <v>0.79906149987775255</v>
      </c>
      <c r="AM125" s="87">
        <f t="shared" si="398"/>
        <v>0.71346020978581781</v>
      </c>
      <c r="AN125" s="644">
        <f t="shared" si="398"/>
        <v>0.19721197211972141</v>
      </c>
      <c r="AO125" s="668">
        <f t="shared" si="398"/>
        <v>0.38947368421052642</v>
      </c>
      <c r="AP125" s="87">
        <f t="shared" si="398"/>
        <v>0.27157752415000269</v>
      </c>
      <c r="AQ125" s="644">
        <f t="shared" ref="AQ125" si="399">+AQ124/AN124-1</f>
        <v>0.16523073770342722</v>
      </c>
      <c r="AR125" s="668">
        <f t="shared" ref="AR125" si="400">+AR124/AO124-1</f>
        <v>0.21407148407148413</v>
      </c>
      <c r="AS125" s="87">
        <f t="shared" si="398"/>
        <v>8.9992740702806051E-2</v>
      </c>
      <c r="AT125" s="229">
        <f t="shared" si="398"/>
        <v>0.11001368535287326</v>
      </c>
      <c r="AU125" s="559">
        <f t="shared" si="398"/>
        <v>0.10038335754651184</v>
      </c>
      <c r="AV125" s="87">
        <f t="shared" si="398"/>
        <v>0.13705099571933754</v>
      </c>
      <c r="AW125" s="247">
        <f t="shared" si="398"/>
        <v>0.20873305052131164</v>
      </c>
      <c r="AX125" s="583">
        <f t="shared" si="398"/>
        <v>0.1745786597039003</v>
      </c>
      <c r="AY125" s="183">
        <f t="shared" si="398"/>
        <v>0.19093352362960236</v>
      </c>
      <c r="AZ125" s="247">
        <f t="shared" si="398"/>
        <v>1.9605285778207415E-2</v>
      </c>
      <c r="BA125" s="583">
        <f t="shared" si="398"/>
        <v>9.8629990602614459E-2</v>
      </c>
      <c r="BB125" s="183">
        <f t="shared" si="398"/>
        <v>6.5061417160495072E-2</v>
      </c>
      <c r="BC125" s="247">
        <f t="shared" si="398"/>
        <v>6.5061417160495072E-2</v>
      </c>
      <c r="BD125" s="583">
        <f t="shared" si="398"/>
        <v>6.5061417160495072E-2</v>
      </c>
      <c r="BE125" s="183">
        <f t="shared" si="398"/>
        <v>9.8996011616683921E-2</v>
      </c>
      <c r="BF125" s="247">
        <f t="shared" si="398"/>
        <v>9.8996011616683921E-2</v>
      </c>
      <c r="BG125" s="583">
        <f t="shared" si="398"/>
        <v>9.8996011616683921E-2</v>
      </c>
      <c r="BH125" s="183">
        <f t="shared" si="398"/>
        <v>0.11329998762998983</v>
      </c>
      <c r="BI125" s="247">
        <f t="shared" si="398"/>
        <v>0.11329998762998983</v>
      </c>
      <c r="BJ125" s="583">
        <f t="shared" si="398"/>
        <v>0.11329998762998983</v>
      </c>
      <c r="BL125" s="108"/>
      <c r="BM125" s="108"/>
    </row>
    <row r="126" spans="1:69" ht="11.4">
      <c r="A126" s="80" t="s">
        <v>121</v>
      </c>
      <c r="R126" s="58"/>
      <c r="S126" s="644"/>
      <c r="T126" s="668"/>
      <c r="U126" s="58"/>
      <c r="V126" s="644"/>
      <c r="W126" s="668"/>
      <c r="X126" s="58"/>
      <c r="Y126" s="644"/>
      <c r="Z126" s="668"/>
      <c r="AA126" s="27"/>
      <c r="AB126" s="218"/>
      <c r="AC126" s="553">
        <f>AC124-AC116</f>
        <v>190.36214978885891</v>
      </c>
      <c r="AD126" s="27"/>
      <c r="AE126" s="218"/>
      <c r="AF126" s="553">
        <f>AF124-AF116</f>
        <v>58.260308923935327</v>
      </c>
      <c r="AG126" s="27"/>
      <c r="AH126" s="218"/>
      <c r="AI126" s="553">
        <f>AI124-AI116</f>
        <v>65.482285445248408</v>
      </c>
      <c r="AJ126" s="27"/>
      <c r="AK126" s="218"/>
      <c r="AL126" s="553">
        <f>AL124-AL116</f>
        <v>0</v>
      </c>
      <c r="AM126" s="27"/>
      <c r="AN126" s="237"/>
      <c r="AO126" s="553">
        <f>AO124-AO116</f>
        <v>0</v>
      </c>
      <c r="AP126" s="52"/>
      <c r="AQ126" s="600"/>
      <c r="AR126" s="553">
        <f>AR124-AR116</f>
        <v>0</v>
      </c>
      <c r="AS126" s="52"/>
      <c r="AT126" s="600"/>
      <c r="AU126" s="556">
        <f>AU124-AU116</f>
        <v>0</v>
      </c>
      <c r="AV126" s="52"/>
      <c r="AW126" s="600"/>
      <c r="AX126" s="624">
        <f>AX124-AX116</f>
        <v>0</v>
      </c>
      <c r="AY126" s="52"/>
      <c r="AZ126" s="600"/>
      <c r="BA126" s="624">
        <f>BA124-BA116</f>
        <v>0</v>
      </c>
      <c r="BB126" s="52"/>
      <c r="BC126" s="600"/>
      <c r="BD126" s="624">
        <f>BD124-BD116</f>
        <v>0</v>
      </c>
      <c r="BE126" s="52"/>
      <c r="BF126" s="600"/>
      <c r="BG126" s="624">
        <f>BG124-BG116</f>
        <v>0</v>
      </c>
      <c r="BH126" s="52"/>
      <c r="BI126" s="600"/>
      <c r="BJ126" s="624">
        <f>BJ124-BJ116</f>
        <v>0</v>
      </c>
      <c r="BK126" s="521"/>
      <c r="BL126" s="108"/>
      <c r="BM126" s="108"/>
    </row>
    <row r="127" spans="1:69">
      <c r="A127" s="122" t="s">
        <v>267</v>
      </c>
      <c r="Q127" s="69"/>
      <c r="R127" s="69"/>
      <c r="S127" s="868"/>
      <c r="T127" s="892"/>
      <c r="U127" s="69"/>
      <c r="V127" s="868"/>
      <c r="W127" s="892"/>
      <c r="X127" s="69"/>
      <c r="Y127" s="868"/>
      <c r="Z127" s="892"/>
      <c r="AA127" s="69"/>
      <c r="AB127" s="868"/>
      <c r="AC127" s="892">
        <f>+AC139*AC163*AC151/10^6</f>
        <v>200.38121030406097</v>
      </c>
      <c r="AD127" s="69"/>
      <c r="AE127" s="868"/>
      <c r="AF127" s="892">
        <f>+AF139*AF163*AF151/10^6</f>
        <v>61.32664097256378</v>
      </c>
      <c r="AG127" s="69"/>
      <c r="AH127" s="868"/>
      <c r="AI127" s="892">
        <f>+AI139*AI163*AI151/10^6</f>
        <v>68.928721521313761</v>
      </c>
      <c r="AJ127" s="69"/>
      <c r="AK127" s="868"/>
      <c r="AL127" s="892">
        <f>+AL139*AL163*AL151/10^6</f>
        <v>109.79882730006449</v>
      </c>
      <c r="AM127" s="69"/>
      <c r="AN127" s="236"/>
      <c r="AO127" s="892">
        <f t="shared" ref="AO127:AO128" si="401">+AO139*AO163*AO151/10^6</f>
        <v>113.14316611803558</v>
      </c>
      <c r="AP127" s="56"/>
      <c r="AQ127" s="236"/>
      <c r="AR127" s="892">
        <f>+AR139*AR163*AR151/10^6</f>
        <v>116.73342784429077</v>
      </c>
      <c r="AS127" s="56"/>
      <c r="AT127" s="236"/>
      <c r="AU127" s="892">
        <f>+AU139*AU163*AU151/10^6</f>
        <v>109.10567517391343</v>
      </c>
      <c r="AV127" s="56"/>
      <c r="AW127" s="236"/>
      <c r="AX127" s="605">
        <f>+AX139*AX163*AX151/10^6</f>
        <v>112.86636174817043</v>
      </c>
      <c r="AY127" s="56"/>
      <c r="AZ127" s="236"/>
      <c r="BA127" s="605">
        <f>+BA139*BA163*BA151/10^6</f>
        <v>109.21329856127666</v>
      </c>
      <c r="BB127" s="56"/>
      <c r="BC127" s="236"/>
      <c r="BD127" s="605">
        <f>+BD139*BD163*BD151/10^6</f>
        <v>102.7356414698605</v>
      </c>
      <c r="BE127" s="56"/>
      <c r="BF127" s="236"/>
      <c r="BG127" s="605">
        <f>+BG139*BG163*BG151/10^6</f>
        <v>99.145723909797653</v>
      </c>
      <c r="BH127" s="56"/>
      <c r="BI127" s="236"/>
      <c r="BJ127" s="605">
        <f>+BJ139*BJ163*BJ151/10^6</f>
        <v>257.16946289078203</v>
      </c>
      <c r="BL127" s="105"/>
      <c r="BM127" s="105"/>
      <c r="BN127" s="105"/>
    </row>
    <row r="128" spans="1:69">
      <c r="A128" s="122" t="s">
        <v>254</v>
      </c>
      <c r="Q128" s="69"/>
      <c r="R128" s="69"/>
      <c r="S128" s="868"/>
      <c r="T128" s="892">
        <f>+T140*T164*T152/10^6</f>
        <v>126.49224</v>
      </c>
      <c r="U128" s="69"/>
      <c r="V128" s="868"/>
      <c r="W128" s="892">
        <f>+W140*W164*W152/10^6</f>
        <v>118.91741399999999</v>
      </c>
      <c r="X128" s="69"/>
      <c r="Y128" s="868"/>
      <c r="Z128" s="892">
        <f>+Z140*Z164*Z152/10^6</f>
        <v>167.80090634999999</v>
      </c>
      <c r="AA128" s="69"/>
      <c r="AB128" s="868"/>
      <c r="AC128" s="892">
        <f>+AC140*AC164*AC152/10^6</f>
        <v>197.29370061796951</v>
      </c>
      <c r="AD128" s="69"/>
      <c r="AE128" s="868"/>
      <c r="AF128" s="892">
        <f>+AF140*AF164*AF152/10^6</f>
        <v>27.000382165107311</v>
      </c>
      <c r="AG128" s="69"/>
      <c r="AH128" s="868"/>
      <c r="AI128" s="892">
        <f>+AI140*AI164*AI152/10^6</f>
        <v>23.325434092988402</v>
      </c>
      <c r="AJ128" s="69"/>
      <c r="AK128" s="868"/>
      <c r="AL128" s="892">
        <f>+AL140*AL164*AL152/10^6</f>
        <v>23.009879877406981</v>
      </c>
      <c r="AM128" s="69"/>
      <c r="AN128" s="236"/>
      <c r="AO128" s="892">
        <f t="shared" si="401"/>
        <v>42.500622937585796</v>
      </c>
      <c r="AP128" s="56"/>
      <c r="AQ128" s="236"/>
      <c r="AR128" s="892">
        <f>+AR140*AR164*AR152/10^6</f>
        <v>55.398188495440806</v>
      </c>
      <c r="AS128" s="56"/>
      <c r="AT128" s="236"/>
      <c r="AU128" s="892">
        <f>+AU140*AU164*AU152/10^6</f>
        <v>46.515551679381851</v>
      </c>
      <c r="AV128" s="56"/>
      <c r="AW128" s="236"/>
      <c r="AX128" s="605">
        <f>+AX140*AX164*AX152/10^6</f>
        <v>38.8414154973742</v>
      </c>
      <c r="AY128" s="56"/>
      <c r="AZ128" s="236"/>
      <c r="BA128" s="605">
        <f>+BA140*BA164*BA152/10^6</f>
        <v>30.756563635753128</v>
      </c>
      <c r="BB128" s="56"/>
      <c r="BC128" s="236"/>
      <c r="BD128" s="605">
        <f>+BD140*BD164*BD152/10^6</f>
        <v>28.444040054117558</v>
      </c>
      <c r="BE128" s="56"/>
      <c r="BF128" s="236"/>
      <c r="BG128" s="605">
        <f>+BG140*BG164*BG152/10^6</f>
        <v>26.915461966656441</v>
      </c>
      <c r="BH128" s="56"/>
      <c r="BI128" s="236"/>
      <c r="BJ128" s="605">
        <f>+BJ140*BJ164*BJ152/10^6</f>
        <v>25.269569557898954</v>
      </c>
      <c r="BL128" s="105"/>
      <c r="BM128" s="105"/>
      <c r="BN128" s="105"/>
    </row>
    <row r="129" spans="1:82" ht="11.4">
      <c r="A129" s="122" t="s">
        <v>255</v>
      </c>
      <c r="Q129" s="69"/>
      <c r="R129" s="69"/>
      <c r="S129" s="868"/>
      <c r="T129" s="892">
        <f t="shared" ref="T129:BJ129" si="402">+T141*T165*T153/10^6</f>
        <v>1447.2925714285711</v>
      </c>
      <c r="U129" s="69"/>
      <c r="V129" s="868"/>
      <c r="W129" s="892">
        <f t="shared" si="402"/>
        <v>788.17184999999995</v>
      </c>
      <c r="X129" s="69"/>
      <c r="Y129" s="868"/>
      <c r="Z129" s="892">
        <f t="shared" si="402"/>
        <v>1395.3382193024997</v>
      </c>
      <c r="AA129" s="69"/>
      <c r="AB129" s="868"/>
      <c r="AC129" s="892">
        <f t="shared" si="402"/>
        <v>1758.9547169877767</v>
      </c>
      <c r="AD129" s="69"/>
      <c r="AE129" s="868"/>
      <c r="AF129" s="892">
        <f t="shared" si="402"/>
        <v>489.9763362583742</v>
      </c>
      <c r="AG129" s="69"/>
      <c r="AH129" s="868"/>
      <c r="AI129" s="892">
        <f t="shared" si="402"/>
        <v>540.00357336337993</v>
      </c>
      <c r="AJ129" s="69"/>
      <c r="AK129" s="868"/>
      <c r="AL129" s="892">
        <f t="shared" si="402"/>
        <v>813.6563872773869</v>
      </c>
      <c r="AM129" s="69"/>
      <c r="AN129" s="236"/>
      <c r="AO129" s="892">
        <f t="shared" ref="AO129" si="403">+AO141*AO165*AO153/10^6</f>
        <v>1212.8874348425102</v>
      </c>
      <c r="AP129" s="56"/>
      <c r="AQ129" s="236"/>
      <c r="AR129" s="892">
        <f t="shared" si="402"/>
        <v>1422.9705886657409</v>
      </c>
      <c r="AS129" s="56"/>
      <c r="AT129" s="236"/>
      <c r="AU129" s="892">
        <f t="shared" si="402"/>
        <v>1498.2176432692124</v>
      </c>
      <c r="AV129" s="56"/>
      <c r="AW129" s="236"/>
      <c r="AX129" s="605">
        <f>+AX141*AX165*AX153/10^6</f>
        <v>1678.0068823915153</v>
      </c>
      <c r="AY129" s="56"/>
      <c r="AZ129" s="236"/>
      <c r="BA129" s="605">
        <f t="shared" si="402"/>
        <v>1701.8852118791169</v>
      </c>
      <c r="BB129" s="56"/>
      <c r="BC129" s="236"/>
      <c r="BD129" s="605">
        <f t="shared" si="402"/>
        <v>1669.7741701455486</v>
      </c>
      <c r="BE129" s="56"/>
      <c r="BF129" s="236"/>
      <c r="BG129" s="605">
        <f t="shared" si="402"/>
        <v>1686.7930222643397</v>
      </c>
      <c r="BH129" s="56"/>
      <c r="BI129" s="236"/>
      <c r="BJ129" s="605">
        <f t="shared" si="402"/>
        <v>1703.3302087571274</v>
      </c>
      <c r="BK129" s="164"/>
      <c r="BL129" s="133"/>
      <c r="BM129" s="133"/>
      <c r="BN129" s="133"/>
      <c r="BO129" s="133"/>
    </row>
    <row r="130" spans="1:82">
      <c r="A130" s="122" t="s">
        <v>256</v>
      </c>
      <c r="Q130" s="69"/>
      <c r="R130" s="69"/>
      <c r="S130" s="868"/>
      <c r="T130" s="892">
        <f t="shared" ref="T130:BJ130" si="404">+T142*T166*T154/10^6</f>
        <v>204.99348000000001</v>
      </c>
      <c r="U130" s="69"/>
      <c r="V130" s="868"/>
      <c r="W130" s="892">
        <f t="shared" si="404"/>
        <v>205.59640200000001</v>
      </c>
      <c r="X130" s="69"/>
      <c r="Y130" s="868"/>
      <c r="Z130" s="892">
        <f t="shared" si="404"/>
        <v>333.30074777999999</v>
      </c>
      <c r="AA130" s="69"/>
      <c r="AB130" s="868"/>
      <c r="AC130" s="892">
        <f t="shared" si="404"/>
        <v>436.978745758824</v>
      </c>
      <c r="AD130" s="69"/>
      <c r="AE130" s="868"/>
      <c r="AF130" s="892">
        <f t="shared" si="404"/>
        <v>88.041727121434775</v>
      </c>
      <c r="AG130" s="69"/>
      <c r="AH130" s="868"/>
      <c r="AI130" s="892">
        <f t="shared" si="404"/>
        <v>109.61212098243514</v>
      </c>
      <c r="AJ130" s="69"/>
      <c r="AK130" s="868"/>
      <c r="AL130" s="892">
        <f t="shared" si="404"/>
        <v>219.00794181714613</v>
      </c>
      <c r="AM130" s="69"/>
      <c r="AN130" s="236"/>
      <c r="AO130" s="892">
        <f t="shared" ref="AO130" si="405">+AO142*AO166*AO154/10^6</f>
        <v>256.82066472703718</v>
      </c>
      <c r="AP130" s="56"/>
      <c r="AQ130" s="236"/>
      <c r="AR130" s="892">
        <f t="shared" si="404"/>
        <v>313.33800889503226</v>
      </c>
      <c r="AS130" s="56"/>
      <c r="AT130" s="236"/>
      <c r="AU130" s="892">
        <f t="shared" si="404"/>
        <v>323.86910116505607</v>
      </c>
      <c r="AV130" s="56"/>
      <c r="AW130" s="236"/>
      <c r="AX130" s="605">
        <f t="shared" si="404"/>
        <v>366.09504157095671</v>
      </c>
      <c r="AY130" s="56"/>
      <c r="AZ130" s="236"/>
      <c r="BA130" s="605">
        <f t="shared" si="404"/>
        <v>353.16860138738463</v>
      </c>
      <c r="BB130" s="56"/>
      <c r="BC130" s="236"/>
      <c r="BD130" s="605">
        <f t="shared" si="404"/>
        <v>322.77543431446003</v>
      </c>
      <c r="BE130" s="56"/>
      <c r="BF130" s="236"/>
      <c r="BG130" s="605">
        <f t="shared" si="404"/>
        <v>301.15373525878135</v>
      </c>
      <c r="BH130" s="56"/>
      <c r="BI130" s="236"/>
      <c r="BJ130" s="605">
        <f t="shared" si="404"/>
        <v>277.9442363688791</v>
      </c>
      <c r="BK130" s="1131"/>
      <c r="BL130" s="135"/>
      <c r="BM130" s="135"/>
      <c r="BN130" s="135"/>
      <c r="BO130" s="135"/>
      <c r="BP130" s="134"/>
      <c r="BQ130" s="134"/>
      <c r="BR130" s="134"/>
      <c r="BS130" s="134"/>
      <c r="BT130" s="134"/>
      <c r="BU130" s="134"/>
      <c r="BV130" s="134"/>
      <c r="BW130" s="134"/>
      <c r="BX130" s="134"/>
      <c r="BY130" s="134"/>
      <c r="BZ130" s="134"/>
      <c r="CA130" s="134"/>
      <c r="CB130" s="134"/>
      <c r="CC130" s="134"/>
      <c r="CD130" s="134"/>
    </row>
    <row r="131" spans="1:82" ht="11.4">
      <c r="A131" s="122" t="s">
        <v>257</v>
      </c>
      <c r="Q131" s="69"/>
      <c r="R131" s="69"/>
      <c r="S131" s="868"/>
      <c r="T131" s="892">
        <f t="shared" ref="T131:BJ131" si="406">+T143*T167*T155/10^6</f>
        <v>178.33042499999996</v>
      </c>
      <c r="U131" s="69"/>
      <c r="V131" s="868"/>
      <c r="W131" s="892">
        <f t="shared" si="406"/>
        <v>203.73409874999999</v>
      </c>
      <c r="X131" s="69"/>
      <c r="Y131" s="868"/>
      <c r="Z131" s="892">
        <f t="shared" si="406"/>
        <v>349.44998549999997</v>
      </c>
      <c r="AA131" s="69"/>
      <c r="AB131" s="868"/>
      <c r="AC131" s="892">
        <f t="shared" si="406"/>
        <v>495.14629662170012</v>
      </c>
      <c r="AD131" s="69"/>
      <c r="AE131" s="868"/>
      <c r="AF131" s="892">
        <f t="shared" si="406"/>
        <v>63.279649284616077</v>
      </c>
      <c r="AG131" s="69"/>
      <c r="AH131" s="868"/>
      <c r="AI131" s="892">
        <f t="shared" si="406"/>
        <v>25.245059332597808</v>
      </c>
      <c r="AJ131" s="69"/>
      <c r="AK131" s="868"/>
      <c r="AL131" s="892">
        <f t="shared" si="406"/>
        <v>187.31570352282802</v>
      </c>
      <c r="AM131" s="69"/>
      <c r="AN131" s="236"/>
      <c r="AO131" s="892">
        <f t="shared" ref="AO131" si="407">+AO143*AO167*AO155/10^6</f>
        <v>367.29096454141109</v>
      </c>
      <c r="AP131" s="56"/>
      <c r="AQ131" s="236"/>
      <c r="AR131" s="892">
        <f t="shared" si="406"/>
        <v>423.4216389301402</v>
      </c>
      <c r="AS131" s="56"/>
      <c r="AT131" s="236"/>
      <c r="AU131" s="892">
        <f t="shared" si="406"/>
        <v>437.4195540440175</v>
      </c>
      <c r="AV131" s="56"/>
      <c r="AW131" s="236"/>
      <c r="AX131" s="605">
        <f t="shared" si="406"/>
        <v>490.34480604777593</v>
      </c>
      <c r="AY131" s="56"/>
      <c r="AZ131" s="236"/>
      <c r="BA131" s="605">
        <f t="shared" si="406"/>
        <v>496.73006533532106</v>
      </c>
      <c r="BB131" s="56"/>
      <c r="BC131" s="236"/>
      <c r="BD131" s="605">
        <f t="shared" si="406"/>
        <v>468.97978235569417</v>
      </c>
      <c r="BE131" s="56"/>
      <c r="BF131" s="236"/>
      <c r="BG131" s="605">
        <f t="shared" si="406"/>
        <v>454.46638435734934</v>
      </c>
      <c r="BH131" s="56"/>
      <c r="BI131" s="236"/>
      <c r="BJ131" s="605">
        <f t="shared" si="406"/>
        <v>438.66010067498365</v>
      </c>
      <c r="BL131" s="133"/>
      <c r="BM131" s="133"/>
      <c r="BN131" s="133"/>
      <c r="BO131" s="133"/>
    </row>
    <row r="132" spans="1:82" ht="11.4">
      <c r="A132" s="122" t="s">
        <v>258</v>
      </c>
      <c r="Q132" s="69"/>
      <c r="R132" s="69"/>
      <c r="S132" s="868"/>
      <c r="T132" s="892">
        <f t="shared" ref="T132:BJ132" si="408">+T144*T168*T156/10^6</f>
        <v>166.42719500000001</v>
      </c>
      <c r="U132" s="69"/>
      <c r="V132" s="868"/>
      <c r="W132" s="892">
        <f t="shared" si="408"/>
        <v>233.35987125</v>
      </c>
      <c r="X132" s="69"/>
      <c r="Y132" s="868"/>
      <c r="Z132" s="892">
        <f t="shared" si="408"/>
        <v>430.95018509812496</v>
      </c>
      <c r="AA132" s="69"/>
      <c r="AB132" s="868"/>
      <c r="AC132" s="892">
        <f t="shared" si="408"/>
        <v>741.23734435269591</v>
      </c>
      <c r="AD132" s="69"/>
      <c r="AE132" s="868"/>
      <c r="AF132" s="892">
        <f t="shared" si="408"/>
        <v>336.66211921643975</v>
      </c>
      <c r="AG132" s="69"/>
      <c r="AH132" s="868"/>
      <c r="AI132" s="892">
        <f t="shared" si="408"/>
        <v>435.77594031179268</v>
      </c>
      <c r="AJ132" s="69"/>
      <c r="AK132" s="868"/>
      <c r="AL132" s="892">
        <f t="shared" si="408"/>
        <v>843.13222884187189</v>
      </c>
      <c r="AM132" s="69"/>
      <c r="AN132" s="236"/>
      <c r="AO132" s="892">
        <f t="shared" ref="AO132" si="409">+AO144*AO168*AO156/10^6</f>
        <v>1056.0539571868576</v>
      </c>
      <c r="AP132" s="56"/>
      <c r="AQ132" s="236"/>
      <c r="AR132" s="892">
        <f t="shared" si="408"/>
        <v>1116.9608386000775</v>
      </c>
      <c r="AS132" s="56"/>
      <c r="AT132" s="236"/>
      <c r="AU132" s="892">
        <f t="shared" si="408"/>
        <v>1149.6367125053741</v>
      </c>
      <c r="AV132" s="56"/>
      <c r="AW132" s="236"/>
      <c r="AX132" s="605">
        <f t="shared" si="408"/>
        <v>1349.994510308032</v>
      </c>
      <c r="AY132" s="56"/>
      <c r="AZ132" s="236"/>
      <c r="BA132" s="605">
        <f t="shared" si="408"/>
        <v>1500.0635182349265</v>
      </c>
      <c r="BB132" s="56"/>
      <c r="BC132" s="236"/>
      <c r="BD132" s="605">
        <f t="shared" si="408"/>
        <v>1570.225262381799</v>
      </c>
      <c r="BE132" s="56"/>
      <c r="BF132" s="236"/>
      <c r="BG132" s="605">
        <f t="shared" si="408"/>
        <v>1689.5986167245319</v>
      </c>
      <c r="BH132" s="56"/>
      <c r="BI132" s="236"/>
      <c r="BJ132" s="605">
        <f t="shared" si="408"/>
        <v>1814.7211695916851</v>
      </c>
      <c r="BL132" s="133"/>
      <c r="BM132" s="133"/>
      <c r="BN132" s="133"/>
      <c r="BO132" s="133"/>
    </row>
    <row r="133" spans="1:82" ht="11.4">
      <c r="A133" s="122" t="s">
        <v>486</v>
      </c>
      <c r="Q133" s="69"/>
      <c r="R133" s="69"/>
      <c r="S133" s="868"/>
      <c r="T133" s="892">
        <f t="shared" ref="T133:BJ133" si="410">+T145*T169*T157/10^6</f>
        <v>78.539999999999992</v>
      </c>
      <c r="U133" s="69"/>
      <c r="V133" s="868"/>
      <c r="W133" s="892">
        <f t="shared" si="410"/>
        <v>124.04991375</v>
      </c>
      <c r="X133" s="69"/>
      <c r="Y133" s="868"/>
      <c r="Z133" s="892">
        <f t="shared" si="410"/>
        <v>387.38136937500002</v>
      </c>
      <c r="AA133" s="69"/>
      <c r="AB133" s="868"/>
      <c r="AC133" s="892">
        <f t="shared" si="410"/>
        <v>848.89147673826005</v>
      </c>
      <c r="AD133" s="69"/>
      <c r="AE133" s="868"/>
      <c r="AF133" s="892">
        <f t="shared" si="410"/>
        <v>441.3703507060801</v>
      </c>
      <c r="AG133" s="69"/>
      <c r="AH133" s="868"/>
      <c r="AI133" s="892">
        <f t="shared" si="410"/>
        <v>633.82939047327466</v>
      </c>
      <c r="AJ133" s="69"/>
      <c r="AK133" s="868"/>
      <c r="AL133" s="892">
        <f t="shared" si="410"/>
        <v>1091.227651228673</v>
      </c>
      <c r="AM133" s="69"/>
      <c r="AN133" s="236"/>
      <c r="AO133" s="892">
        <f t="shared" ref="AO133" si="411">+AO145*AO169*AO157/10^6</f>
        <v>1492.3237518969679</v>
      </c>
      <c r="AP133" s="56"/>
      <c r="AQ133" s="236"/>
      <c r="AR133" s="892">
        <f t="shared" si="410"/>
        <v>2008.1051926904502</v>
      </c>
      <c r="AS133" s="56"/>
      <c r="AT133" s="236"/>
      <c r="AU133" s="892">
        <f t="shared" si="410"/>
        <v>2343.1078353014723</v>
      </c>
      <c r="AV133" s="56"/>
      <c r="AW133" s="236"/>
      <c r="AX133" s="605">
        <f t="shared" si="410"/>
        <v>2795.3228605199693</v>
      </c>
      <c r="AY133" s="56"/>
      <c r="AZ133" s="236"/>
      <c r="BA133" s="605">
        <f t="shared" si="410"/>
        <v>3189.8948176076465</v>
      </c>
      <c r="BB133" s="56"/>
      <c r="BC133" s="236"/>
      <c r="BD133" s="605">
        <f t="shared" si="410"/>
        <v>3551.2610718031806</v>
      </c>
      <c r="BE133" s="56"/>
      <c r="BF133" s="236"/>
      <c r="BG133" s="605">
        <f t="shared" si="410"/>
        <v>4070.117013275395</v>
      </c>
      <c r="BH133" s="56"/>
      <c r="BI133" s="236"/>
      <c r="BJ133" s="605">
        <f t="shared" si="410"/>
        <v>4636.3481040310708</v>
      </c>
      <c r="BL133" s="133"/>
      <c r="BM133" s="133"/>
      <c r="BN133" s="133"/>
      <c r="BO133" s="133"/>
    </row>
    <row r="134" spans="1:82" ht="11.4">
      <c r="A134" s="122" t="s">
        <v>487</v>
      </c>
      <c r="Q134" s="69"/>
      <c r="R134" s="69"/>
      <c r="S134" s="868"/>
      <c r="T134" s="892">
        <f t="shared" ref="T134:BJ134" si="412">+T146*T170*T158/10^6</f>
        <v>0</v>
      </c>
      <c r="U134" s="69"/>
      <c r="V134" s="868"/>
      <c r="W134" s="892">
        <f t="shared" si="412"/>
        <v>0</v>
      </c>
      <c r="X134" s="69"/>
      <c r="Y134" s="868"/>
      <c r="Z134" s="892">
        <f t="shared" si="412"/>
        <v>9.4183923281249999</v>
      </c>
      <c r="AA134" s="69"/>
      <c r="AB134" s="868"/>
      <c r="AC134" s="892">
        <f t="shared" si="412"/>
        <v>74.823273879737286</v>
      </c>
      <c r="AD134" s="69"/>
      <c r="AE134" s="868"/>
      <c r="AF134" s="892">
        <f t="shared" si="412"/>
        <v>109.17404445544797</v>
      </c>
      <c r="AG134" s="69"/>
      <c r="AH134" s="868"/>
      <c r="AI134" s="892">
        <f t="shared" si="412"/>
        <v>151.55349039492029</v>
      </c>
      <c r="AJ134" s="69"/>
      <c r="AK134" s="868"/>
      <c r="AL134" s="892">
        <f t="shared" si="412"/>
        <v>237.64192346000678</v>
      </c>
      <c r="AM134" s="69"/>
      <c r="AN134" s="236"/>
      <c r="AO134" s="892">
        <f t="shared" ref="AO134" si="413">+AO146*AO170*AO158/10^6</f>
        <v>347.76032096628734</v>
      </c>
      <c r="AP134" s="56"/>
      <c r="AQ134" s="236"/>
      <c r="AR134" s="892">
        <f t="shared" si="412"/>
        <v>420.16036668551942</v>
      </c>
      <c r="AS134" s="56"/>
      <c r="AT134" s="236"/>
      <c r="AU134" s="892">
        <f t="shared" si="412"/>
        <v>495.54012212680408</v>
      </c>
      <c r="AV134" s="56"/>
      <c r="AW134" s="236"/>
      <c r="AX134" s="605">
        <f t="shared" si="412"/>
        <v>624.32883032801954</v>
      </c>
      <c r="AY134" s="56"/>
      <c r="AZ134" s="236"/>
      <c r="BA134" s="605">
        <f t="shared" si="412"/>
        <v>742.62746608857594</v>
      </c>
      <c r="BB134" s="56"/>
      <c r="BC134" s="236"/>
      <c r="BD134" s="605">
        <f t="shared" si="412"/>
        <v>872.03493767192663</v>
      </c>
      <c r="BE134" s="56"/>
      <c r="BF134" s="236"/>
      <c r="BG134" s="605">
        <f t="shared" si="412"/>
        <v>1047.8194009075146</v>
      </c>
      <c r="BH134" s="56"/>
      <c r="BI134" s="236"/>
      <c r="BJ134" s="605">
        <f t="shared" si="412"/>
        <v>1244.570336932406</v>
      </c>
      <c r="BL134" s="107"/>
      <c r="BM134" s="107"/>
    </row>
    <row r="135" spans="1:82" ht="11.4">
      <c r="A135" s="122" t="s">
        <v>277</v>
      </c>
      <c r="Q135" s="69"/>
      <c r="R135" s="69"/>
      <c r="S135" s="868"/>
      <c r="T135" s="892">
        <f t="shared" ref="T135:BJ135" si="414">+T147*T171*T159/10^6</f>
        <v>0</v>
      </c>
      <c r="U135" s="69"/>
      <c r="V135" s="868"/>
      <c r="W135" s="892">
        <f t="shared" si="414"/>
        <v>0</v>
      </c>
      <c r="X135" s="69"/>
      <c r="Y135" s="868"/>
      <c r="Z135" s="892">
        <f t="shared" si="414"/>
        <v>0.21440578499999999</v>
      </c>
      <c r="AA135" s="69"/>
      <c r="AB135" s="868"/>
      <c r="AC135" s="892">
        <f t="shared" si="414"/>
        <v>26.655384527834617</v>
      </c>
      <c r="AD135" s="69"/>
      <c r="AE135" s="868"/>
      <c r="AF135" s="892">
        <f t="shared" si="414"/>
        <v>35.559458743871659</v>
      </c>
      <c r="AG135" s="69"/>
      <c r="AH135" s="868"/>
      <c r="AI135" s="892">
        <f t="shared" si="414"/>
        <v>71.133354972545689</v>
      </c>
      <c r="AJ135" s="69"/>
      <c r="AK135" s="868"/>
      <c r="AL135" s="892">
        <f t="shared" si="414"/>
        <v>180.20945667461558</v>
      </c>
      <c r="AM135" s="69"/>
      <c r="AN135" s="236"/>
      <c r="AO135" s="892">
        <f t="shared" ref="AO135" si="415">+AO147*AO171*AO159/10^6</f>
        <v>259.21911678330673</v>
      </c>
      <c r="AP135" s="56"/>
      <c r="AQ135" s="236"/>
      <c r="AR135" s="892">
        <f t="shared" si="414"/>
        <v>372.95174919330805</v>
      </c>
      <c r="AS135" s="56"/>
      <c r="AT135" s="236"/>
      <c r="AU135" s="892">
        <f t="shared" si="414"/>
        <v>474.02780473476895</v>
      </c>
      <c r="AV135" s="56"/>
      <c r="AW135" s="236"/>
      <c r="AX135" s="605">
        <f t="shared" si="414"/>
        <v>622.293548982179</v>
      </c>
      <c r="AY135" s="56"/>
      <c r="AZ135" s="236"/>
      <c r="BA135" s="605">
        <f t="shared" si="414"/>
        <v>750.49707535779714</v>
      </c>
      <c r="BB135" s="56"/>
      <c r="BC135" s="236"/>
      <c r="BD135" s="605">
        <f t="shared" si="414"/>
        <v>866.01572533185799</v>
      </c>
      <c r="BE135" s="56"/>
      <c r="BF135" s="236"/>
      <c r="BG135" s="605">
        <f t="shared" si="414"/>
        <v>1011.9713681708895</v>
      </c>
      <c r="BH135" s="56"/>
      <c r="BI135" s="236"/>
      <c r="BJ135" s="605">
        <f t="shared" si="414"/>
        <v>1166.9256258814303</v>
      </c>
      <c r="BL135" s="107"/>
      <c r="BM135" s="107"/>
    </row>
    <row r="136" spans="1:82" ht="11.4">
      <c r="A136" s="66"/>
      <c r="R136" s="39"/>
      <c r="S136" s="859"/>
      <c r="T136" s="884"/>
      <c r="U136" s="39"/>
      <c r="V136" s="859"/>
      <c r="W136" s="884"/>
      <c r="X136" s="39"/>
      <c r="Y136" s="859"/>
      <c r="Z136" s="884"/>
      <c r="AA136" s="96"/>
      <c r="AB136" s="859"/>
      <c r="AC136" s="884"/>
      <c r="AD136" s="96"/>
      <c r="AE136" s="859"/>
      <c r="AF136" s="884"/>
      <c r="AG136" s="96"/>
      <c r="AH136" s="859"/>
      <c r="AI136" s="884"/>
      <c r="AJ136" s="96"/>
      <c r="AK136" s="859"/>
      <c r="AL136" s="884"/>
      <c r="AM136" s="96"/>
      <c r="AN136" s="214"/>
      <c r="AO136" s="560"/>
      <c r="AP136" s="177"/>
      <c r="AQ136" s="214"/>
      <c r="AR136" s="560"/>
      <c r="AS136" s="177"/>
      <c r="AT136" s="214"/>
      <c r="AU136" s="560"/>
      <c r="AV136" s="177"/>
      <c r="AW136" s="214"/>
      <c r="AX136" s="560"/>
      <c r="AY136" s="177"/>
      <c r="AZ136" s="214"/>
      <c r="BA136" s="560"/>
      <c r="BB136" s="177"/>
      <c r="BC136" s="214"/>
      <c r="BD136" s="560"/>
      <c r="BE136" s="177"/>
      <c r="BF136" s="214"/>
      <c r="BG136" s="560"/>
      <c r="BH136" s="177"/>
      <c r="BI136" s="214"/>
      <c r="BJ136" s="560"/>
      <c r="BL136" s="115"/>
      <c r="BM136" s="38"/>
    </row>
    <row r="137" spans="1:82" ht="11.4">
      <c r="A137" s="72" t="s">
        <v>725</v>
      </c>
      <c r="Q137" s="40"/>
      <c r="R137" s="31"/>
      <c r="S137" s="793"/>
      <c r="T137" s="824">
        <f t="shared" ref="T137:BJ137" si="416">+T124/T150*1000</f>
        <v>244.21056393512384</v>
      </c>
      <c r="U137" s="31"/>
      <c r="V137" s="793"/>
      <c r="W137" s="824">
        <f t="shared" si="416"/>
        <v>257.97957437543278</v>
      </c>
      <c r="X137" s="31"/>
      <c r="Y137" s="793"/>
      <c r="Z137" s="824">
        <f t="shared" si="416"/>
        <v>272.34271137033892</v>
      </c>
      <c r="AA137" s="2">
        <f t="shared" ref="AA137:AB137" si="417">+AA124/AA150*1000</f>
        <v>275</v>
      </c>
      <c r="AB137" s="541">
        <f t="shared" si="417"/>
        <v>321.90233437358603</v>
      </c>
      <c r="AC137" s="578">
        <f>+AC124/AC150*1000</f>
        <v>299.83843703016504</v>
      </c>
      <c r="AD137" s="2">
        <f t="shared" ref="AD137:AE137" si="418">+AD124/AD150*1000</f>
        <v>300</v>
      </c>
      <c r="AE137" s="541">
        <f t="shared" si="418"/>
        <v>164.20617833563338</v>
      </c>
      <c r="AF137" s="578">
        <f t="shared" si="416"/>
        <v>241.65837102065194</v>
      </c>
      <c r="AG137" s="2">
        <f t="shared" si="416"/>
        <v>300</v>
      </c>
      <c r="AH137" s="541">
        <f t="shared" si="416"/>
        <v>249.33421949841983</v>
      </c>
      <c r="AI137" s="578">
        <f t="shared" si="416"/>
        <v>270.64090790449217</v>
      </c>
      <c r="AJ137" s="2">
        <f t="shared" ref="AJ137:AK137" si="419">+AJ124/AJ150*1000</f>
        <v>305</v>
      </c>
      <c r="AK137" s="541">
        <f t="shared" si="419"/>
        <v>425.2147569771239</v>
      </c>
      <c r="AL137" s="578">
        <f t="shared" si="416"/>
        <v>370.78741211447061</v>
      </c>
      <c r="AM137" s="2">
        <f t="shared" si="416"/>
        <v>381.33333333333337</v>
      </c>
      <c r="AN137" s="541">
        <f t="shared" si="416"/>
        <v>381.4559622331343</v>
      </c>
      <c r="AO137" s="578">
        <f>+AO124/AO150*1000</f>
        <v>381.39963398362011</v>
      </c>
      <c r="AP137" s="2">
        <f t="shared" si="416"/>
        <v>395.57215189873421</v>
      </c>
      <c r="AQ137" s="541">
        <f t="shared" ref="AQ137" si="420">+AQ124/AQ150*1000</f>
        <v>394.8833766288065</v>
      </c>
      <c r="AR137" s="578">
        <f>+AR124/AR150*1000</f>
        <v>395.21438660765369</v>
      </c>
      <c r="AS137" s="2">
        <f t="shared" si="416"/>
        <v>404.55529411764695</v>
      </c>
      <c r="AT137" s="218">
        <f t="shared" ref="AT137" si="421">+AT124/AT150*1000</f>
        <v>413.63076246687132</v>
      </c>
      <c r="AU137" s="553">
        <f t="shared" si="416"/>
        <v>409.25632058847071</v>
      </c>
      <c r="AV137" s="2">
        <f t="shared" si="416"/>
        <v>443.5714285714285</v>
      </c>
      <c r="AW137" s="237">
        <f t="shared" ref="AW137" si="422">+AW124/AW150*1000</f>
        <v>474.6502306182478</v>
      </c>
      <c r="AX137" s="576">
        <f t="shared" si="416"/>
        <v>459.79104033531888</v>
      </c>
      <c r="AY137" s="48">
        <f t="shared" ref="AY137:AZ137" si="423">+AY124/AY150*1000</f>
        <v>475.27595027159185</v>
      </c>
      <c r="AZ137" s="237">
        <f t="shared" si="423"/>
        <v>475.27595027159185</v>
      </c>
      <c r="BA137" s="576">
        <f t="shared" si="416"/>
        <v>475.27595027159185</v>
      </c>
      <c r="BB137" s="48">
        <f t="shared" ref="BB137:BC137" si="424">+BB124/BB150*1000</f>
        <v>477.3653580871113</v>
      </c>
      <c r="BC137" s="237">
        <f t="shared" si="424"/>
        <v>477.3653580871113</v>
      </c>
      <c r="BD137" s="576">
        <f t="shared" si="416"/>
        <v>477.3653580871113</v>
      </c>
      <c r="BE137" s="48">
        <f t="shared" ref="BE137:BF137" si="425">+BE124/BE150*1000</f>
        <v>493.88038696838402</v>
      </c>
      <c r="BF137" s="237">
        <f t="shared" si="425"/>
        <v>493.88038696838402</v>
      </c>
      <c r="BG137" s="576">
        <f t="shared" si="416"/>
        <v>493.88038696838402</v>
      </c>
      <c r="BH137" s="48">
        <f t="shared" ref="BH137:BI137" si="426">+BH124/BH150*1000</f>
        <v>508.05081791156539</v>
      </c>
      <c r="BI137" s="237">
        <f t="shared" si="426"/>
        <v>508.05081791156539</v>
      </c>
      <c r="BJ137" s="576">
        <f t="shared" si="416"/>
        <v>508.05081791156539</v>
      </c>
      <c r="BL137" s="38"/>
      <c r="BM137" s="38"/>
    </row>
    <row r="138" spans="1:82" ht="11.4">
      <c r="A138" s="101" t="s">
        <v>510</v>
      </c>
      <c r="R138" s="58"/>
      <c r="S138" s="644"/>
      <c r="T138" s="668"/>
      <c r="U138" s="58"/>
      <c r="V138" s="644"/>
      <c r="W138" s="668">
        <f>+W137/T137-1</f>
        <v>5.6381715100443985E-2</v>
      </c>
      <c r="X138" s="58"/>
      <c r="Y138" s="644"/>
      <c r="Z138" s="668">
        <f t="shared" ref="Z138" si="427">+Z137/W137-1</f>
        <v>5.5675481400724092E-2</v>
      </c>
      <c r="AA138" s="58"/>
      <c r="AB138" s="644"/>
      <c r="AC138" s="668">
        <f>+AC137/Z137-1</f>
        <v>0.10096002026812712</v>
      </c>
      <c r="AD138" s="58"/>
      <c r="AE138" s="644"/>
      <c r="AF138" s="668">
        <f>+AF137/AC137-1</f>
        <v>-0.19403805124444384</v>
      </c>
      <c r="AG138" s="58"/>
      <c r="AH138" s="644"/>
      <c r="AI138" s="668">
        <f>+AI137/AF137-1</f>
        <v>0.11993185570783882</v>
      </c>
      <c r="AJ138" s="58"/>
      <c r="AK138" s="644"/>
      <c r="AL138" s="668">
        <f>+AL137/AI137-1</f>
        <v>0.37003461518581537</v>
      </c>
      <c r="AM138" s="87"/>
      <c r="AN138" s="247"/>
      <c r="AO138" s="668">
        <f>+AO137/AL137-1</f>
        <v>2.8620771694032765E-2</v>
      </c>
      <c r="AP138" s="183"/>
      <c r="AQ138" s="247"/>
      <c r="AR138" s="668">
        <f>+AR137/AO137-1</f>
        <v>3.6221200528542941E-2</v>
      </c>
      <c r="AS138" s="183"/>
      <c r="AT138" s="247"/>
      <c r="AU138" s="559">
        <f>+AU137/AR137-1</f>
        <v>3.5529916057324806E-2</v>
      </c>
      <c r="AV138" s="183"/>
      <c r="AW138" s="247"/>
      <c r="AX138" s="583">
        <f>+AX137/AU137-1</f>
        <v>0.12347938737802311</v>
      </c>
      <c r="AY138" s="183"/>
      <c r="AZ138" s="247"/>
      <c r="BA138" s="583">
        <f>+BA137/AX137-1</f>
        <v>3.3678146327035918E-2</v>
      </c>
      <c r="BB138" s="183"/>
      <c r="BC138" s="247"/>
      <c r="BD138" s="583">
        <f>+BD137/BA137-1</f>
        <v>4.3961993328833771E-3</v>
      </c>
      <c r="BE138" s="183"/>
      <c r="BF138" s="247"/>
      <c r="BG138" s="583">
        <f>+BG137/BD137-1</f>
        <v>3.4596203099972245E-2</v>
      </c>
      <c r="BH138" s="183"/>
      <c r="BI138" s="247"/>
      <c r="BJ138" s="583">
        <f>+BJ137/BG137-1</f>
        <v>2.8692030129328749E-2</v>
      </c>
      <c r="BL138" s="108"/>
      <c r="BM138" s="108"/>
    </row>
    <row r="139" spans="1:82" ht="11.4">
      <c r="A139" s="122" t="str">
        <f t="shared" ref="A139:A147" si="428">A127</f>
        <v>RB211</v>
      </c>
      <c r="Q139" s="40"/>
      <c r="R139" s="69"/>
      <c r="S139" s="868"/>
      <c r="T139" s="892">
        <f t="shared" ref="T139:T147" si="429">+W139/(1+W$148)</f>
        <v>190.47619047619048</v>
      </c>
      <c r="U139" s="69"/>
      <c r="V139" s="868"/>
      <c r="W139" s="892">
        <v>200</v>
      </c>
      <c r="X139" s="69"/>
      <c r="Y139" s="868"/>
      <c r="Z139" s="892">
        <f t="shared" ref="Z139" si="430">+W139*(1+Z$148)</f>
        <v>209</v>
      </c>
      <c r="AA139" s="69"/>
      <c r="AB139" s="868"/>
      <c r="AC139" s="892">
        <f t="shared" ref="AC139" si="431">+Z139*(1+AC$148)</f>
        <v>230.27311823655467</v>
      </c>
      <c r="AD139" s="69"/>
      <c r="AE139" s="868"/>
      <c r="AF139" s="892">
        <f t="shared" ref="AF139" si="432">+AC139*(1+AF$148)</f>
        <v>180.45128438377006</v>
      </c>
      <c r="AG139" s="69"/>
      <c r="AH139" s="868"/>
      <c r="AI139" s="892">
        <f t="shared" ref="AI139" si="433">+AF139*(1+AI$148)</f>
        <v>199.80007115870131</v>
      </c>
      <c r="AJ139" s="69"/>
      <c r="AK139" s="868"/>
      <c r="AL139" s="892">
        <f t="shared" ref="AL139" si="434">+AI139*(1+AL$148)</f>
        <v>274.27125764756295</v>
      </c>
      <c r="AM139" s="69"/>
      <c r="AN139" s="236"/>
      <c r="AO139" s="892">
        <f t="shared" ref="AO139" si="435">+AL139*(1+AO$148)</f>
        <v>282.28446949330265</v>
      </c>
      <c r="AP139" s="56"/>
      <c r="AQ139" s="236"/>
      <c r="AR139" s="892">
        <f t="shared" ref="AR139" si="436">+AO139*(1+AR$148)</f>
        <v>290.75300357810175</v>
      </c>
      <c r="AS139" s="56"/>
      <c r="AT139" s="236"/>
      <c r="AU139" s="892">
        <f t="shared" ref="AU139" si="437">+AR139*(1+AU$148)</f>
        <v>299.47559368544484</v>
      </c>
      <c r="AV139" s="56"/>
      <c r="AW139" s="236"/>
      <c r="AX139" s="605">
        <f t="shared" ref="AX139" si="438">+AU139*(1+AX$148)</f>
        <v>335.41266492769824</v>
      </c>
      <c r="AY139" s="56"/>
      <c r="AZ139" s="236"/>
      <c r="BA139" s="605">
        <f t="shared" ref="BA139" si="439">+AX139*(1+BA$148)</f>
        <v>345.47504487552919</v>
      </c>
      <c r="BB139" s="56"/>
      <c r="BC139" s="236"/>
      <c r="BD139" s="605">
        <f t="shared" ref="BD139" si="440">+BA139*(1+BD$148)</f>
        <v>345.47504487552919</v>
      </c>
      <c r="BE139" s="56"/>
      <c r="BF139" s="236"/>
      <c r="BG139" s="605">
        <f t="shared" ref="BG139" si="441">+BD139*(1+BG$148)</f>
        <v>355.83929622179505</v>
      </c>
      <c r="BH139" s="56"/>
      <c r="BI139" s="236"/>
      <c r="BJ139" s="605">
        <f t="shared" ref="BJ139" si="442">+BG139*(1+BJ$148)</f>
        <v>366.51447510844889</v>
      </c>
      <c r="BL139" s="38"/>
      <c r="BM139" s="38"/>
    </row>
    <row r="140" spans="1:82" ht="11.4">
      <c r="A140" s="122" t="str">
        <f t="shared" si="428"/>
        <v>Trent 500</v>
      </c>
      <c r="Q140" s="40"/>
      <c r="R140" s="69"/>
      <c r="S140" s="868"/>
      <c r="T140" s="892">
        <f t="shared" si="429"/>
        <v>188.88888888888889</v>
      </c>
      <c r="U140" s="69"/>
      <c r="V140" s="868"/>
      <c r="W140" s="892">
        <v>198.33333333333334</v>
      </c>
      <c r="X140" s="69"/>
      <c r="Y140" s="868"/>
      <c r="Z140" s="892">
        <f t="shared" ref="Z140" si="443">+W140*(1+Z$148)</f>
        <v>207.25833333333333</v>
      </c>
      <c r="AA140" s="69"/>
      <c r="AB140" s="868"/>
      <c r="AC140" s="892">
        <f t="shared" ref="AC140:AC147" si="444">+Z140*(1+AC$148)</f>
        <v>228.35417558458337</v>
      </c>
      <c r="AD140" s="69"/>
      <c r="AE140" s="868"/>
      <c r="AF140" s="892">
        <f t="shared" ref="AF140:AF147" si="445">+AC140*(1+AF$148)</f>
        <v>178.94752368057198</v>
      </c>
      <c r="AG140" s="69"/>
      <c r="AH140" s="868"/>
      <c r="AI140" s="892">
        <f t="shared" ref="AI140:AI147" si="446">+AF140*(1+AI$148)</f>
        <v>198.13507056571211</v>
      </c>
      <c r="AJ140" s="69"/>
      <c r="AK140" s="868"/>
      <c r="AL140" s="892">
        <f t="shared" ref="AL140:AL147" si="447">+AI140*(1+AL$148)</f>
        <v>271.98566383383326</v>
      </c>
      <c r="AM140" s="69"/>
      <c r="AN140" s="236"/>
      <c r="AO140" s="892">
        <f t="shared" ref="AO140:AO147" si="448">+AL140*(1+AO$148)</f>
        <v>279.93209891419178</v>
      </c>
      <c r="AP140" s="56"/>
      <c r="AQ140" s="236"/>
      <c r="AR140" s="892">
        <f t="shared" ref="AR140:AR147" si="449">+AO140*(1+AR$148)</f>
        <v>288.33006188161755</v>
      </c>
      <c r="AS140" s="56"/>
      <c r="AT140" s="236"/>
      <c r="AU140" s="892">
        <f t="shared" ref="AU140:AU147" si="450">+AR140*(1+AU$148)</f>
        <v>296.97996373806609</v>
      </c>
      <c r="AV140" s="56"/>
      <c r="AW140" s="236"/>
      <c r="AX140" s="605">
        <f t="shared" ref="AX140:AX147" si="451">+AU140*(1+AX$148)</f>
        <v>332.61755938663407</v>
      </c>
      <c r="AY140" s="56"/>
      <c r="AZ140" s="236"/>
      <c r="BA140" s="605">
        <f t="shared" ref="BA140:BA147" si="452">+AX140*(1+BA$148)</f>
        <v>342.59608616823311</v>
      </c>
      <c r="BB140" s="56"/>
      <c r="BC140" s="236"/>
      <c r="BD140" s="605">
        <f t="shared" ref="BD140:BD147" si="453">+BA140*(1+BD$148)</f>
        <v>342.59608616823311</v>
      </c>
      <c r="BE140" s="56"/>
      <c r="BF140" s="236"/>
      <c r="BG140" s="605">
        <f t="shared" ref="BG140:BG147" si="454">+BD140*(1+BG$148)</f>
        <v>352.87396875328011</v>
      </c>
      <c r="BH140" s="56"/>
      <c r="BI140" s="236"/>
      <c r="BJ140" s="605">
        <f t="shared" ref="BJ140:BJ147" si="455">+BG140*(1+BJ$148)</f>
        <v>363.4601878158785</v>
      </c>
      <c r="BL140" s="38"/>
      <c r="BM140" s="38"/>
    </row>
    <row r="141" spans="1:82" ht="11.4">
      <c r="A141" s="122" t="str">
        <f t="shared" si="428"/>
        <v>Trent 700</v>
      </c>
      <c r="Q141" s="40"/>
      <c r="R141" s="69"/>
      <c r="S141" s="868"/>
      <c r="T141" s="892">
        <f t="shared" si="429"/>
        <v>242.85714285714283</v>
      </c>
      <c r="U141" s="69"/>
      <c r="V141" s="868"/>
      <c r="W141" s="892">
        <v>255</v>
      </c>
      <c r="X141" s="69"/>
      <c r="Y141" s="868"/>
      <c r="Z141" s="892">
        <f t="shared" ref="Z141" si="456">+W141*(1+Z$148)</f>
        <v>266.47499999999997</v>
      </c>
      <c r="AA141" s="69"/>
      <c r="AB141" s="868"/>
      <c r="AC141" s="892">
        <f t="shared" si="444"/>
        <v>293.59822575160717</v>
      </c>
      <c r="AD141" s="69"/>
      <c r="AE141" s="868"/>
      <c r="AF141" s="892">
        <f t="shared" si="445"/>
        <v>230.07538758930679</v>
      </c>
      <c r="AG141" s="69"/>
      <c r="AH141" s="868"/>
      <c r="AI141" s="892">
        <f t="shared" si="446"/>
        <v>254.74509072734412</v>
      </c>
      <c r="AJ141" s="69"/>
      <c r="AK141" s="868"/>
      <c r="AL141" s="892">
        <f t="shared" si="447"/>
        <v>349.69585350064273</v>
      </c>
      <c r="AM141" s="69"/>
      <c r="AN141" s="236"/>
      <c r="AO141" s="892">
        <f t="shared" si="448"/>
        <v>359.91269860396085</v>
      </c>
      <c r="AP141" s="56"/>
      <c r="AQ141" s="236"/>
      <c r="AR141" s="892">
        <f t="shared" si="449"/>
        <v>370.71007956207967</v>
      </c>
      <c r="AS141" s="56"/>
      <c r="AT141" s="236"/>
      <c r="AU141" s="892">
        <f t="shared" si="450"/>
        <v>381.83138194894207</v>
      </c>
      <c r="AV141" s="56"/>
      <c r="AW141" s="236"/>
      <c r="AX141" s="605">
        <f t="shared" si="451"/>
        <v>427.65114778281514</v>
      </c>
      <c r="AY141" s="56"/>
      <c r="AZ141" s="236"/>
      <c r="BA141" s="605">
        <f t="shared" si="452"/>
        <v>440.48068221629961</v>
      </c>
      <c r="BB141" s="56"/>
      <c r="BC141" s="236"/>
      <c r="BD141" s="605">
        <f t="shared" si="453"/>
        <v>440.48068221629961</v>
      </c>
      <c r="BE141" s="56"/>
      <c r="BF141" s="236"/>
      <c r="BG141" s="605">
        <f t="shared" si="454"/>
        <v>453.69510268278862</v>
      </c>
      <c r="BH141" s="56"/>
      <c r="BI141" s="236"/>
      <c r="BJ141" s="605">
        <f t="shared" si="455"/>
        <v>467.30595576327227</v>
      </c>
      <c r="BL141" s="38"/>
      <c r="BM141" s="38"/>
    </row>
    <row r="142" spans="1:82" ht="11.4">
      <c r="A142" s="122" t="str">
        <f t="shared" si="428"/>
        <v>Trent 800</v>
      </c>
      <c r="Q142" s="40"/>
      <c r="R142" s="69"/>
      <c r="S142" s="868"/>
      <c r="T142" s="892">
        <f t="shared" si="429"/>
        <v>310.3174603174603</v>
      </c>
      <c r="U142" s="69"/>
      <c r="V142" s="868"/>
      <c r="W142" s="892">
        <v>325.83333333333331</v>
      </c>
      <c r="X142" s="69"/>
      <c r="Y142" s="868"/>
      <c r="Z142" s="892">
        <f t="shared" ref="Z142" si="457">+W142*(1+Z$148)</f>
        <v>340.49583333333328</v>
      </c>
      <c r="AA142" s="69"/>
      <c r="AB142" s="868"/>
      <c r="AC142" s="892">
        <f t="shared" si="444"/>
        <v>375.15328846038693</v>
      </c>
      <c r="AD142" s="69"/>
      <c r="AE142" s="868"/>
      <c r="AF142" s="892">
        <f t="shared" si="445"/>
        <v>293.98521747522534</v>
      </c>
      <c r="AG142" s="69"/>
      <c r="AH142" s="868"/>
      <c r="AI142" s="892">
        <f t="shared" si="446"/>
        <v>325.50761592938414</v>
      </c>
      <c r="AJ142" s="69"/>
      <c r="AK142" s="868"/>
      <c r="AL142" s="892">
        <f t="shared" si="447"/>
        <v>446.83359058415454</v>
      </c>
      <c r="AM142" s="69"/>
      <c r="AN142" s="236"/>
      <c r="AO142" s="892">
        <f t="shared" si="448"/>
        <v>459.88844821617215</v>
      </c>
      <c r="AP142" s="56"/>
      <c r="AQ142" s="236"/>
      <c r="AR142" s="892">
        <f t="shared" si="449"/>
        <v>473.6851016626573</v>
      </c>
      <c r="AS142" s="56"/>
      <c r="AT142" s="236"/>
      <c r="AU142" s="892">
        <f t="shared" si="450"/>
        <v>487.89565471253701</v>
      </c>
      <c r="AV142" s="56"/>
      <c r="AW142" s="236"/>
      <c r="AX142" s="605">
        <f t="shared" si="451"/>
        <v>546.4431332780415</v>
      </c>
      <c r="AY142" s="56"/>
      <c r="AZ142" s="236"/>
      <c r="BA142" s="605">
        <f t="shared" si="452"/>
        <v>562.83642727638278</v>
      </c>
      <c r="BB142" s="56"/>
      <c r="BC142" s="236"/>
      <c r="BD142" s="605">
        <f t="shared" si="453"/>
        <v>562.83642727638278</v>
      </c>
      <c r="BE142" s="56"/>
      <c r="BF142" s="236"/>
      <c r="BG142" s="605">
        <f t="shared" si="454"/>
        <v>579.72152009467425</v>
      </c>
      <c r="BH142" s="56"/>
      <c r="BI142" s="236"/>
      <c r="BJ142" s="605">
        <f t="shared" si="455"/>
        <v>597.11316569751455</v>
      </c>
      <c r="BL142" s="38"/>
      <c r="BM142" s="38"/>
    </row>
    <row r="143" spans="1:82" ht="11.4">
      <c r="A143" s="122" t="str">
        <f t="shared" si="428"/>
        <v>Trent 900</v>
      </c>
      <c r="Q143" s="40"/>
      <c r="R143" s="69"/>
      <c r="S143" s="868"/>
      <c r="T143" s="892">
        <f t="shared" si="429"/>
        <v>236.11111111111109</v>
      </c>
      <c r="U143" s="69"/>
      <c r="V143" s="868"/>
      <c r="W143" s="892">
        <v>247.91666666666666</v>
      </c>
      <c r="X143" s="69"/>
      <c r="Y143" s="868"/>
      <c r="Z143" s="892">
        <f t="shared" ref="Z143" si="458">+W143*(1+Z$148)</f>
        <v>259.07291666666663</v>
      </c>
      <c r="AA143" s="69"/>
      <c r="AB143" s="868"/>
      <c r="AC143" s="892">
        <f t="shared" si="444"/>
        <v>285.44271948072918</v>
      </c>
      <c r="AD143" s="69"/>
      <c r="AE143" s="868"/>
      <c r="AF143" s="892">
        <f t="shared" si="445"/>
        <v>223.68440460071494</v>
      </c>
      <c r="AG143" s="69"/>
      <c r="AH143" s="868"/>
      <c r="AI143" s="892">
        <f t="shared" si="446"/>
        <v>247.66883820714014</v>
      </c>
      <c r="AJ143" s="69"/>
      <c r="AK143" s="868"/>
      <c r="AL143" s="892">
        <f t="shared" si="447"/>
        <v>339.98207979229153</v>
      </c>
      <c r="AM143" s="69"/>
      <c r="AN143" s="236"/>
      <c r="AO143" s="892">
        <f t="shared" si="448"/>
        <v>349.91512364273973</v>
      </c>
      <c r="AP143" s="56"/>
      <c r="AQ143" s="236"/>
      <c r="AR143" s="892">
        <f t="shared" si="449"/>
        <v>360.41257735202191</v>
      </c>
      <c r="AS143" s="56"/>
      <c r="AT143" s="236"/>
      <c r="AU143" s="892">
        <f t="shared" si="450"/>
        <v>371.22495467258256</v>
      </c>
      <c r="AV143" s="56"/>
      <c r="AW143" s="236"/>
      <c r="AX143" s="605">
        <f t="shared" si="451"/>
        <v>415.7719492332925</v>
      </c>
      <c r="AY143" s="56"/>
      <c r="AZ143" s="236"/>
      <c r="BA143" s="605">
        <f t="shared" si="452"/>
        <v>428.24510771029128</v>
      </c>
      <c r="BB143" s="56"/>
      <c r="BC143" s="236"/>
      <c r="BD143" s="605">
        <f t="shared" si="453"/>
        <v>428.24510771029128</v>
      </c>
      <c r="BE143" s="56"/>
      <c r="BF143" s="236"/>
      <c r="BG143" s="605">
        <f t="shared" si="454"/>
        <v>441.09246094160005</v>
      </c>
      <c r="BH143" s="56"/>
      <c r="BI143" s="236"/>
      <c r="BJ143" s="605">
        <f t="shared" si="455"/>
        <v>454.32523476984807</v>
      </c>
      <c r="BL143" s="38"/>
      <c r="BM143" s="38"/>
    </row>
    <row r="144" spans="1:82" ht="11.4">
      <c r="A144" s="122" t="str">
        <f t="shared" si="428"/>
        <v>Trent 1000</v>
      </c>
      <c r="Q144" s="40"/>
      <c r="R144" s="69"/>
      <c r="S144" s="868"/>
      <c r="T144" s="892">
        <f t="shared" si="429"/>
        <v>239.48412698412699</v>
      </c>
      <c r="U144" s="69"/>
      <c r="V144" s="868"/>
      <c r="W144" s="892">
        <v>251.45833333333334</v>
      </c>
      <c r="X144" s="69"/>
      <c r="Y144" s="868"/>
      <c r="Z144" s="892">
        <f t="shared" ref="Z144" si="459">+W144*(1+Z$148)</f>
        <v>262.77395833333333</v>
      </c>
      <c r="AA144" s="69"/>
      <c r="AB144" s="868"/>
      <c r="AC144" s="892">
        <f t="shared" si="444"/>
        <v>289.52047261616821</v>
      </c>
      <c r="AD144" s="69"/>
      <c r="AE144" s="868"/>
      <c r="AF144" s="892">
        <f t="shared" si="445"/>
        <v>226.87989609501088</v>
      </c>
      <c r="AG144" s="69"/>
      <c r="AH144" s="868"/>
      <c r="AI144" s="892">
        <f t="shared" si="446"/>
        <v>251.20696446724213</v>
      </c>
      <c r="AJ144" s="69"/>
      <c r="AK144" s="868"/>
      <c r="AL144" s="892">
        <f t="shared" si="447"/>
        <v>344.8389666464671</v>
      </c>
      <c r="AM144" s="69"/>
      <c r="AN144" s="236"/>
      <c r="AO144" s="892">
        <f t="shared" si="448"/>
        <v>354.91391112335026</v>
      </c>
      <c r="AP144" s="56"/>
      <c r="AQ144" s="236"/>
      <c r="AR144" s="892">
        <f t="shared" si="449"/>
        <v>365.56132845705076</v>
      </c>
      <c r="AS144" s="56"/>
      <c r="AT144" s="236"/>
      <c r="AU144" s="892">
        <f t="shared" si="450"/>
        <v>376.52816831076228</v>
      </c>
      <c r="AV144" s="56"/>
      <c r="AW144" s="236"/>
      <c r="AX144" s="605">
        <f t="shared" si="451"/>
        <v>421.7115485080538</v>
      </c>
      <c r="AY144" s="56"/>
      <c r="AZ144" s="236"/>
      <c r="BA144" s="605">
        <f t="shared" si="452"/>
        <v>434.36289496329545</v>
      </c>
      <c r="BB144" s="56"/>
      <c r="BC144" s="236"/>
      <c r="BD144" s="605">
        <f t="shared" si="453"/>
        <v>434.36289496329545</v>
      </c>
      <c r="BE144" s="56"/>
      <c r="BF144" s="236"/>
      <c r="BG144" s="605">
        <f t="shared" si="454"/>
        <v>447.39378181219433</v>
      </c>
      <c r="BH144" s="56"/>
      <c r="BI144" s="236"/>
      <c r="BJ144" s="605">
        <f t="shared" si="455"/>
        <v>460.81559526656019</v>
      </c>
      <c r="BL144" s="38"/>
      <c r="BM144" s="38"/>
    </row>
    <row r="145" spans="1:65" ht="11.4">
      <c r="A145" s="122" t="str">
        <f t="shared" si="428"/>
        <v>Trent XWB-84</v>
      </c>
      <c r="Q145" s="40"/>
      <c r="R145" s="69"/>
      <c r="S145" s="868"/>
      <c r="T145" s="892">
        <f t="shared" si="429"/>
        <v>283.33333333333331</v>
      </c>
      <c r="U145" s="69"/>
      <c r="V145" s="868"/>
      <c r="W145" s="892">
        <v>297.5</v>
      </c>
      <c r="X145" s="69"/>
      <c r="Y145" s="868"/>
      <c r="Z145" s="892">
        <f t="shared" ref="Z145" si="460">+W145*(1+Z$148)</f>
        <v>310.88749999999999</v>
      </c>
      <c r="AA145" s="69"/>
      <c r="AB145" s="868"/>
      <c r="AC145" s="892">
        <f t="shared" si="444"/>
        <v>342.53126337687507</v>
      </c>
      <c r="AD145" s="69"/>
      <c r="AE145" s="868"/>
      <c r="AF145" s="892">
        <f t="shared" si="445"/>
        <v>268.42128552085796</v>
      </c>
      <c r="AG145" s="69"/>
      <c r="AH145" s="868"/>
      <c r="AI145" s="892">
        <f t="shared" si="446"/>
        <v>297.20260584856817</v>
      </c>
      <c r="AJ145" s="69"/>
      <c r="AK145" s="868"/>
      <c r="AL145" s="892">
        <f t="shared" si="447"/>
        <v>407.97849575074986</v>
      </c>
      <c r="AM145" s="69"/>
      <c r="AN145" s="236"/>
      <c r="AO145" s="892">
        <f t="shared" si="448"/>
        <v>419.89814837128768</v>
      </c>
      <c r="AP145" s="56"/>
      <c r="AQ145" s="236"/>
      <c r="AR145" s="892">
        <f t="shared" si="449"/>
        <v>432.49509282242633</v>
      </c>
      <c r="AS145" s="56"/>
      <c r="AT145" s="236"/>
      <c r="AU145" s="892">
        <f t="shared" si="450"/>
        <v>445.46994560709913</v>
      </c>
      <c r="AV145" s="56"/>
      <c r="AW145" s="236"/>
      <c r="AX145" s="605">
        <f t="shared" si="451"/>
        <v>498.92633907995111</v>
      </c>
      <c r="AY145" s="56"/>
      <c r="AZ145" s="236"/>
      <c r="BA145" s="605">
        <f t="shared" si="452"/>
        <v>513.89412925234967</v>
      </c>
      <c r="BB145" s="56"/>
      <c r="BC145" s="236"/>
      <c r="BD145" s="605">
        <f t="shared" si="453"/>
        <v>513.89412925234967</v>
      </c>
      <c r="BE145" s="56"/>
      <c r="BF145" s="236"/>
      <c r="BG145" s="605">
        <f t="shared" si="454"/>
        <v>529.31095312992022</v>
      </c>
      <c r="BH145" s="56"/>
      <c r="BI145" s="236"/>
      <c r="BJ145" s="605">
        <f t="shared" si="455"/>
        <v>545.19028172381786</v>
      </c>
      <c r="BL145" s="38"/>
      <c r="BM145" s="38"/>
    </row>
    <row r="146" spans="1:65" ht="11.4">
      <c r="A146" s="122" t="str">
        <f t="shared" si="428"/>
        <v>Trent XWB-97</v>
      </c>
      <c r="Q146" s="40"/>
      <c r="R146" s="69"/>
      <c r="S146" s="868"/>
      <c r="T146" s="892">
        <f t="shared" si="429"/>
        <v>327.1825396825397</v>
      </c>
      <c r="U146" s="69"/>
      <c r="V146" s="868"/>
      <c r="W146" s="892">
        <v>343.54166666666669</v>
      </c>
      <c r="X146" s="69"/>
      <c r="Y146" s="868"/>
      <c r="Z146" s="892">
        <f t="shared" ref="Z146" si="461">+W146*(1+Z$148)</f>
        <v>359.00104166666665</v>
      </c>
      <c r="AA146" s="69"/>
      <c r="AB146" s="868"/>
      <c r="AC146" s="892">
        <f t="shared" si="444"/>
        <v>395.54205413758189</v>
      </c>
      <c r="AD146" s="69"/>
      <c r="AE146" s="868"/>
      <c r="AF146" s="892">
        <f t="shared" si="445"/>
        <v>309.96267494670496</v>
      </c>
      <c r="AG146" s="69"/>
      <c r="AH146" s="868"/>
      <c r="AI146" s="892">
        <f t="shared" si="446"/>
        <v>343.19824722989415</v>
      </c>
      <c r="AJ146" s="69"/>
      <c r="AK146" s="868"/>
      <c r="AL146" s="892">
        <f t="shared" si="447"/>
        <v>471.1180248550325</v>
      </c>
      <c r="AM146" s="69"/>
      <c r="AN146" s="236"/>
      <c r="AO146" s="892">
        <f t="shared" si="448"/>
        <v>484.88238561922498</v>
      </c>
      <c r="AP146" s="56"/>
      <c r="AQ146" s="236"/>
      <c r="AR146" s="892">
        <f t="shared" si="449"/>
        <v>499.42885718780173</v>
      </c>
      <c r="AS146" s="56"/>
      <c r="AT146" s="236"/>
      <c r="AU146" s="892">
        <f t="shared" si="450"/>
        <v>514.41172290343582</v>
      </c>
      <c r="AV146" s="56"/>
      <c r="AW146" s="236"/>
      <c r="AX146" s="605">
        <f t="shared" si="451"/>
        <v>576.14112965184813</v>
      </c>
      <c r="AY146" s="56"/>
      <c r="AZ146" s="236"/>
      <c r="BA146" s="605">
        <f t="shared" si="452"/>
        <v>593.42536354140361</v>
      </c>
      <c r="BB146" s="56"/>
      <c r="BC146" s="236"/>
      <c r="BD146" s="605">
        <f t="shared" si="453"/>
        <v>593.42536354140361</v>
      </c>
      <c r="BE146" s="56"/>
      <c r="BF146" s="236"/>
      <c r="BG146" s="605">
        <f t="shared" si="454"/>
        <v>611.22812444764577</v>
      </c>
      <c r="BH146" s="56"/>
      <c r="BI146" s="236"/>
      <c r="BJ146" s="605">
        <f t="shared" si="455"/>
        <v>629.56496818107519</v>
      </c>
      <c r="BL146" s="38"/>
      <c r="BM146" s="38"/>
    </row>
    <row r="147" spans="1:65" ht="11.4">
      <c r="A147" s="122" t="str">
        <f t="shared" si="428"/>
        <v>Trent 7000</v>
      </c>
      <c r="Q147" s="40"/>
      <c r="R147" s="69"/>
      <c r="S147" s="868"/>
      <c r="T147" s="892">
        <f t="shared" si="429"/>
        <v>242.85714285714283</v>
      </c>
      <c r="U147" s="69"/>
      <c r="V147" s="868"/>
      <c r="W147" s="892">
        <v>255</v>
      </c>
      <c r="X147" s="69"/>
      <c r="Y147" s="868"/>
      <c r="Z147" s="892">
        <f t="shared" ref="Z147" si="462">+W147*(1+Z$148)</f>
        <v>266.47499999999997</v>
      </c>
      <c r="AA147" s="69"/>
      <c r="AB147" s="868"/>
      <c r="AC147" s="892">
        <f t="shared" si="444"/>
        <v>293.59822575160717</v>
      </c>
      <c r="AD147" s="69"/>
      <c r="AE147" s="868"/>
      <c r="AF147" s="892">
        <f t="shared" si="445"/>
        <v>230.07538758930679</v>
      </c>
      <c r="AG147" s="69"/>
      <c r="AH147" s="868"/>
      <c r="AI147" s="892">
        <f t="shared" si="446"/>
        <v>254.74509072734412</v>
      </c>
      <c r="AJ147" s="69"/>
      <c r="AK147" s="868"/>
      <c r="AL147" s="892">
        <f t="shared" si="447"/>
        <v>349.69585350064273</v>
      </c>
      <c r="AM147" s="69"/>
      <c r="AN147" s="236"/>
      <c r="AO147" s="892">
        <f t="shared" si="448"/>
        <v>359.91269860396085</v>
      </c>
      <c r="AP147" s="56"/>
      <c r="AQ147" s="236"/>
      <c r="AR147" s="892">
        <f t="shared" si="449"/>
        <v>370.71007956207967</v>
      </c>
      <c r="AS147" s="56"/>
      <c r="AT147" s="236"/>
      <c r="AU147" s="892">
        <f t="shared" si="450"/>
        <v>381.83138194894207</v>
      </c>
      <c r="AV147" s="56"/>
      <c r="AW147" s="236"/>
      <c r="AX147" s="605">
        <f t="shared" si="451"/>
        <v>427.65114778281514</v>
      </c>
      <c r="AY147" s="56"/>
      <c r="AZ147" s="236"/>
      <c r="BA147" s="605">
        <f t="shared" si="452"/>
        <v>440.48068221629961</v>
      </c>
      <c r="BB147" s="56"/>
      <c r="BC147" s="236"/>
      <c r="BD147" s="605">
        <f t="shared" si="453"/>
        <v>440.48068221629961</v>
      </c>
      <c r="BE147" s="56"/>
      <c r="BF147" s="236"/>
      <c r="BG147" s="605">
        <f t="shared" si="454"/>
        <v>453.69510268278862</v>
      </c>
      <c r="BH147" s="56"/>
      <c r="BI147" s="236"/>
      <c r="BJ147" s="605">
        <f t="shared" si="455"/>
        <v>467.30595576327227</v>
      </c>
      <c r="BL147" s="38"/>
      <c r="BM147" s="38"/>
    </row>
    <row r="148" spans="1:65" ht="11.4">
      <c r="A148" s="101" t="s">
        <v>941</v>
      </c>
      <c r="Q148" s="123"/>
      <c r="R148" s="124"/>
      <c r="S148" s="907"/>
      <c r="T148" s="920"/>
      <c r="U148" s="124"/>
      <c r="V148" s="907"/>
      <c r="W148" s="920">
        <v>0.05</v>
      </c>
      <c r="X148" s="124"/>
      <c r="Y148" s="907"/>
      <c r="Z148" s="920">
        <v>4.4999999999999998E-2</v>
      </c>
      <c r="AA148" s="325"/>
      <c r="AB148" s="591"/>
      <c r="AC148" s="610">
        <v>0.10178525472035715</v>
      </c>
      <c r="AD148" s="325"/>
      <c r="AE148" s="591"/>
      <c r="AF148" s="610">
        <v>-0.21635974808663383</v>
      </c>
      <c r="AG148" s="325"/>
      <c r="AH148" s="591"/>
      <c r="AI148" s="610">
        <v>0.10722443368029309</v>
      </c>
      <c r="AJ148" s="325"/>
      <c r="AK148" s="591"/>
      <c r="AL148" s="610">
        <v>0.37272852835827647</v>
      </c>
      <c r="AM148" s="325"/>
      <c r="AN148" s="591"/>
      <c r="AO148" s="610">
        <v>2.9216374746918083E-2</v>
      </c>
      <c r="AP148" s="325"/>
      <c r="AQ148" s="591"/>
      <c r="AR148" s="610">
        <v>0.03</v>
      </c>
      <c r="AS148" s="325"/>
      <c r="AT148" s="591"/>
      <c r="AU148" s="610">
        <v>0.03</v>
      </c>
      <c r="AV148" s="325"/>
      <c r="AW148" s="591"/>
      <c r="AX148" s="610">
        <v>0.12</v>
      </c>
      <c r="AY148" s="325"/>
      <c r="AZ148" s="591"/>
      <c r="BA148" s="610">
        <v>0.03</v>
      </c>
      <c r="BB148" s="325"/>
      <c r="BC148" s="591"/>
      <c r="BD148" s="610">
        <v>0</v>
      </c>
      <c r="BE148" s="325"/>
      <c r="BF148" s="591"/>
      <c r="BG148" s="610">
        <v>0.03</v>
      </c>
      <c r="BH148" s="325"/>
      <c r="BI148" s="591"/>
      <c r="BJ148" s="610">
        <v>0.03</v>
      </c>
      <c r="BL148" s="136"/>
      <c r="BM148" s="136"/>
    </row>
    <row r="149" spans="1:65" ht="11.4">
      <c r="A149" s="65"/>
      <c r="Q149" s="40"/>
      <c r="R149" s="33"/>
      <c r="S149" s="866"/>
      <c r="T149" s="890"/>
      <c r="U149" s="33"/>
      <c r="V149" s="866"/>
      <c r="W149" s="890"/>
      <c r="X149" s="33"/>
      <c r="Y149" s="866"/>
      <c r="Z149" s="890"/>
      <c r="AA149" s="33"/>
      <c r="AB149" s="866"/>
      <c r="AC149" s="890"/>
      <c r="AD149" s="33"/>
      <c r="AE149" s="866"/>
      <c r="AF149" s="890"/>
      <c r="AG149" s="33"/>
      <c r="AH149" s="866"/>
      <c r="AI149" s="890"/>
      <c r="AJ149" s="33"/>
      <c r="AK149" s="866"/>
      <c r="AL149" s="890"/>
      <c r="AM149" s="33"/>
      <c r="AN149" s="802"/>
      <c r="AO149" s="762"/>
      <c r="AP149" s="169"/>
      <c r="AQ149" s="802"/>
      <c r="AR149" s="762"/>
      <c r="AS149" s="169"/>
      <c r="AT149" s="802"/>
      <c r="AU149" s="762"/>
      <c r="AV149" s="169"/>
      <c r="AW149" s="802"/>
      <c r="AX149" s="762"/>
      <c r="AY149" s="169"/>
      <c r="AZ149" s="802"/>
      <c r="BA149" s="762"/>
      <c r="BB149" s="169"/>
      <c r="BC149" s="802"/>
      <c r="BD149" s="762"/>
      <c r="BE149" s="169"/>
      <c r="BF149" s="802"/>
      <c r="BG149" s="762"/>
      <c r="BH149" s="169"/>
      <c r="BI149" s="802"/>
      <c r="BJ149" s="762"/>
      <c r="BL149" s="38"/>
      <c r="BM149" s="38"/>
    </row>
    <row r="150" spans="1:65">
      <c r="A150" s="72" t="s">
        <v>996</v>
      </c>
      <c r="Q150" s="31"/>
      <c r="R150" s="31"/>
      <c r="S150" s="793"/>
      <c r="T150" s="824">
        <f>+SUMPRODUCT(T152:T159,T164:T171)/10^3</f>
        <v>9017.1198000000004</v>
      </c>
      <c r="U150" s="31"/>
      <c r="V150" s="793"/>
      <c r="W150" s="824">
        <f>+SUMPRODUCT(W152:W159,W164:W171)/10^3</f>
        <v>6488.2250999999997</v>
      </c>
      <c r="X150" s="31"/>
      <c r="Y150" s="793"/>
      <c r="Z150" s="824">
        <f>+SUMPRODUCT(Z152:Z159,Z164:Z171)/10^3</f>
        <v>11286.713699999998</v>
      </c>
      <c r="AA150" s="31">
        <f>AA117</f>
        <v>7500</v>
      </c>
      <c r="AB150" s="793">
        <f>AC150-AA150</f>
        <v>8443.1265622156843</v>
      </c>
      <c r="AC150" s="824">
        <f>(+SUMPRODUCT(AC151:AC159,AC163:AC171)/10^3)</f>
        <v>15943.126562215684</v>
      </c>
      <c r="AD150" s="31">
        <f>AD117</f>
        <v>3900</v>
      </c>
      <c r="AE150" s="793">
        <f>AF150-AD150</f>
        <v>2937.7135124473853</v>
      </c>
      <c r="AF150" s="824">
        <f>(+SUMPRODUCT(AF151:AF159,AF163:AF171)/10^3)</f>
        <v>6837.7135124473853</v>
      </c>
      <c r="AG150" s="31">
        <f>AG117</f>
        <v>3200</v>
      </c>
      <c r="AH150" s="793">
        <f>AI150-AG150</f>
        <v>4409.3710348178502</v>
      </c>
      <c r="AI150" s="824">
        <f>(+SUMPRODUCT(AI151:AI159,AI163:AI171)/10^3)</f>
        <v>7609.3710348178502</v>
      </c>
      <c r="AJ150" s="31">
        <f>AJ117</f>
        <v>4524</v>
      </c>
      <c r="AK150" s="793">
        <f>AL150-AJ150</f>
        <v>5468.2486010829853</v>
      </c>
      <c r="AL150" s="824">
        <f>(+SUMPRODUCT(AL151:AL159,AL163:AL171)/10^3)</f>
        <v>9992.2486010829853</v>
      </c>
      <c r="AM150" s="31">
        <f>AM117</f>
        <v>6200</v>
      </c>
      <c r="AN150" s="793">
        <f>AO150-AM150</f>
        <v>7297.6532259102551</v>
      </c>
      <c r="AO150" s="553">
        <f>(+SUMPRODUCT(AO151:AO159,AO163:AO171)/10^3)</f>
        <v>13497.653225910255</v>
      </c>
      <c r="AP150" s="31">
        <f>AP117</f>
        <v>7600</v>
      </c>
      <c r="AQ150" s="793">
        <f>AR150-AP150</f>
        <v>8214.3028487591055</v>
      </c>
      <c r="AR150" s="553">
        <f>(+SUMPRODUCT(AR151:AR159,AR163:AR171)/10^3)</f>
        <v>15814.302848759105</v>
      </c>
      <c r="AS150" s="31">
        <f>AS117</f>
        <v>8100</v>
      </c>
      <c r="AT150" s="218">
        <f>AU150-AS150</f>
        <v>8704.7251905869452</v>
      </c>
      <c r="AU150" s="553">
        <f>(+SUMPRODUCT(AU151:AU159,AU163:AU171)/10^3)</f>
        <v>16804.725190586945</v>
      </c>
      <c r="AV150" s="31">
        <f>AV117</f>
        <v>8400</v>
      </c>
      <c r="AW150" s="237">
        <f>AX150-AV150</f>
        <v>9169.0553941693979</v>
      </c>
      <c r="AX150" s="576">
        <f>(+SUMPRODUCT(AX151:AX159,AX163:AX171)/10^3)</f>
        <v>17569.055394169398</v>
      </c>
      <c r="AY150" s="48">
        <f>BA150/2</f>
        <v>9336.509256376592</v>
      </c>
      <c r="AZ150" s="237">
        <f>BA150-AY150</f>
        <v>9336.509256376592</v>
      </c>
      <c r="BA150" s="576">
        <f>(+SUMPRODUCT(BA151:BA159,BA163:BA171)/10^3)</f>
        <v>18673.018512753184</v>
      </c>
      <c r="BB150" s="48">
        <f>BD150/2</f>
        <v>9900.4315095310776</v>
      </c>
      <c r="BC150" s="237">
        <f>BD150-BB150</f>
        <v>9900.4315095310776</v>
      </c>
      <c r="BD150" s="576">
        <f>(+SUMPRODUCT(BD151:BD159,BD163:BD171)/10^3)</f>
        <v>19800.863019062155</v>
      </c>
      <c r="BE150" s="48">
        <f>BG150/2</f>
        <v>10516.696958346967</v>
      </c>
      <c r="BF150" s="237">
        <f>BG150-BE150</f>
        <v>10516.696958346967</v>
      </c>
      <c r="BG150" s="576">
        <f>(+SUMPRODUCT(BG151:BG159,BG163:BG171)/10^3)</f>
        <v>21033.393916693934</v>
      </c>
      <c r="BH150" s="48">
        <f>BJ150/2</f>
        <v>11381.675225153689</v>
      </c>
      <c r="BI150" s="237">
        <f>BJ150-BH150</f>
        <v>11381.675225153689</v>
      </c>
      <c r="BJ150" s="576">
        <f>(+SUMPRODUCT(BJ151:BJ159,BJ163:BJ171)/10^3)</f>
        <v>22763.350450307378</v>
      </c>
      <c r="BL150" s="88"/>
      <c r="BM150" s="88"/>
    </row>
    <row r="151" spans="1:65" ht="11.4">
      <c r="A151" s="122" t="str">
        <f t="shared" ref="A151:A159" si="463">A139</f>
        <v>RB211</v>
      </c>
      <c r="Q151" s="40"/>
      <c r="R151" s="69"/>
      <c r="S151" s="868"/>
      <c r="T151" s="892">
        <f>+W151</f>
        <v>1406</v>
      </c>
      <c r="U151" s="69"/>
      <c r="V151" s="868"/>
      <c r="W151" s="892">
        <v>1406</v>
      </c>
      <c r="X151" s="69"/>
      <c r="Y151" s="868"/>
      <c r="Z151" s="892">
        <v>1898</v>
      </c>
      <c r="AA151" s="69"/>
      <c r="AB151" s="868"/>
      <c r="AC151" s="726">
        <f>2092*(1+AC160)</f>
        <v>2448.9380748305625</v>
      </c>
      <c r="AD151" s="69"/>
      <c r="AE151" s="868"/>
      <c r="AF151" s="892">
        <f>920*(1+AF160)</f>
        <v>1200.8887179930759</v>
      </c>
      <c r="AG151" s="69"/>
      <c r="AH151" s="868"/>
      <c r="AI151" s="892">
        <f>1126*(1+AI160)</f>
        <v>1476.4128673405653</v>
      </c>
      <c r="AJ151" s="69"/>
      <c r="AK151" s="868"/>
      <c r="AL151" s="892">
        <f>1313*(1+AL160)</f>
        <v>1592.822245966822</v>
      </c>
      <c r="AM151" s="69"/>
      <c r="AN151" s="542"/>
      <c r="AO151" s="726">
        <f>1351*(1+AO160)</f>
        <v>1539.6129779999758</v>
      </c>
      <c r="AP151" s="21"/>
      <c r="AQ151" s="542"/>
      <c r="AR151" s="726">
        <f>1438*(1+AR160)</f>
        <v>1566.2675263360177</v>
      </c>
      <c r="AS151" s="21"/>
      <c r="AT151" s="542"/>
      <c r="AU151" s="726">
        <f>1442*(1+AU160)</f>
        <v>1520.1213929800124</v>
      </c>
      <c r="AV151" s="21"/>
      <c r="AW151" s="542"/>
      <c r="AX151" s="580">
        <v>1500</v>
      </c>
      <c r="AY151" s="21"/>
      <c r="AZ151" s="542"/>
      <c r="BA151" s="605">
        <f t="shared" ref="BA151" si="464">+AX151</f>
        <v>1500</v>
      </c>
      <c r="BB151" s="21"/>
      <c r="BC151" s="542"/>
      <c r="BD151" s="605">
        <f t="shared" ref="BD151" si="465">+BA151</f>
        <v>1500</v>
      </c>
      <c r="BE151" s="21"/>
      <c r="BF151" s="542"/>
      <c r="BG151" s="605">
        <f t="shared" ref="BG151" si="466">+BD151</f>
        <v>1500</v>
      </c>
      <c r="BH151" s="21"/>
      <c r="BI151" s="542"/>
      <c r="BJ151" s="605">
        <f t="shared" ref="BJ151" si="467">+BG151</f>
        <v>1500</v>
      </c>
      <c r="BL151" s="38"/>
      <c r="BM151" s="38"/>
    </row>
    <row r="152" spans="1:65" ht="11.4">
      <c r="A152" s="122" t="str">
        <f t="shared" si="463"/>
        <v>Trent 500</v>
      </c>
      <c r="Q152" s="40"/>
      <c r="R152" s="69"/>
      <c r="S152" s="868"/>
      <c r="T152" s="892">
        <f>+W152</f>
        <v>2163</v>
      </c>
      <c r="U152" s="69"/>
      <c r="V152" s="868"/>
      <c r="W152" s="892">
        <v>2163</v>
      </c>
      <c r="X152" s="69"/>
      <c r="Y152" s="868"/>
      <c r="Z152" s="892">
        <v>3190</v>
      </c>
      <c r="AA152" s="69"/>
      <c r="AB152" s="868"/>
      <c r="AC152" s="726">
        <f>3130*(1+AC160)</f>
        <v>3664.0421482885567</v>
      </c>
      <c r="AD152" s="69"/>
      <c r="AE152" s="868"/>
      <c r="AF152" s="892">
        <f>834*(1+AF160)</f>
        <v>1088.6317291372015</v>
      </c>
      <c r="AG152" s="69"/>
      <c r="AH152" s="868"/>
      <c r="AI152" s="892">
        <f>1247*(1+AI160)</f>
        <v>1635.0682465130417</v>
      </c>
      <c r="AJ152" s="69"/>
      <c r="AK152" s="868"/>
      <c r="AL152" s="892">
        <f>901*(1+AL160)</f>
        <v>1093.0181596466921</v>
      </c>
      <c r="AM152" s="69"/>
      <c r="AN152" s="542"/>
      <c r="AO152" s="726">
        <f>1609*(1+AO160)</f>
        <v>1833.6323327919772</v>
      </c>
      <c r="AP152" s="21"/>
      <c r="AQ152" s="542"/>
      <c r="AR152" s="726">
        <f>1750*(1+AR160)</f>
        <v>1906.0974764172677</v>
      </c>
      <c r="AS152" s="21"/>
      <c r="AT152" s="542"/>
      <c r="AU152" s="726">
        <f>1474*(1+AU160)</f>
        <v>1553.8550161251999</v>
      </c>
      <c r="AV152" s="21"/>
      <c r="AW152" s="542"/>
      <c r="AX152" s="580">
        <v>1500</v>
      </c>
      <c r="AY152" s="21"/>
      <c r="AZ152" s="542"/>
      <c r="BA152" s="605">
        <f t="shared" ref="BA152:BA160" si="468">+AX152</f>
        <v>1500</v>
      </c>
      <c r="BB152" s="21"/>
      <c r="BC152" s="542"/>
      <c r="BD152" s="605">
        <f t="shared" ref="BD152:BD160" si="469">+BA152</f>
        <v>1500</v>
      </c>
      <c r="BE152" s="21"/>
      <c r="BF152" s="542"/>
      <c r="BG152" s="605">
        <f t="shared" ref="BG152:BG160" si="470">+BD152</f>
        <v>1500</v>
      </c>
      <c r="BH152" s="21"/>
      <c r="BI152" s="542"/>
      <c r="BJ152" s="605">
        <f t="shared" ref="BJ152:BJ160" si="471">+BG152</f>
        <v>1500</v>
      </c>
      <c r="BL152" s="38"/>
      <c r="BM152" s="38"/>
    </row>
    <row r="153" spans="1:65" ht="11.4">
      <c r="A153" s="122" t="str">
        <f t="shared" si="463"/>
        <v>Trent 700</v>
      </c>
      <c r="Q153" s="40"/>
      <c r="R153" s="69"/>
      <c r="S153" s="868"/>
      <c r="T153" s="892">
        <v>4650</v>
      </c>
      <c r="U153" s="69"/>
      <c r="V153" s="868"/>
      <c r="W153" s="892">
        <v>2252</v>
      </c>
      <c r="X153" s="69"/>
      <c r="Y153" s="868"/>
      <c r="Z153" s="892">
        <v>3607</v>
      </c>
      <c r="AA153" s="69"/>
      <c r="AB153" s="868"/>
      <c r="AC153" s="726">
        <f>3508*(1+AC160)</f>
        <v>4106.5366952703698</v>
      </c>
      <c r="AD153" s="69"/>
      <c r="AE153" s="868"/>
      <c r="AF153" s="892">
        <f>1363*(1+AF160)</f>
        <v>1779.14274198322</v>
      </c>
      <c r="AG153" s="69"/>
      <c r="AH153" s="868"/>
      <c r="AI153" s="892">
        <f>1633*(1+AI160)</f>
        <v>2141.1920180880488</v>
      </c>
      <c r="AJ153" s="69"/>
      <c r="AK153" s="868"/>
      <c r="AL153" s="892">
        <f>1834*(1+AL160)</f>
        <v>2224.8560541532001</v>
      </c>
      <c r="AM153" s="69"/>
      <c r="AN153" s="542"/>
      <c r="AO153" s="726">
        <f>2577*(1+AO160)</f>
        <v>2936.7747182131293</v>
      </c>
      <c r="AP153" s="21"/>
      <c r="AQ153" s="542"/>
      <c r="AR153" s="726">
        <f>2811*(1+AR160)</f>
        <v>3061.737146405108</v>
      </c>
      <c r="AS153" s="21"/>
      <c r="AT153" s="542"/>
      <c r="AU153" s="726">
        <f>2876*(1+AU160)</f>
        <v>3031.8093801737277</v>
      </c>
      <c r="AV153" s="21"/>
      <c r="AW153" s="542"/>
      <c r="AX153" s="580">
        <v>3000</v>
      </c>
      <c r="AY153" s="21"/>
      <c r="AZ153" s="542"/>
      <c r="BA153" s="605">
        <f t="shared" si="468"/>
        <v>3000</v>
      </c>
      <c r="BB153" s="21"/>
      <c r="BC153" s="542"/>
      <c r="BD153" s="605">
        <f t="shared" si="469"/>
        <v>3000</v>
      </c>
      <c r="BE153" s="21"/>
      <c r="BF153" s="542"/>
      <c r="BG153" s="605">
        <f t="shared" si="470"/>
        <v>3000</v>
      </c>
      <c r="BH153" s="21"/>
      <c r="BI153" s="542"/>
      <c r="BJ153" s="605">
        <f t="shared" si="471"/>
        <v>3000</v>
      </c>
      <c r="BL153" s="38"/>
      <c r="BM153" s="38"/>
    </row>
    <row r="154" spans="1:65" ht="11.4">
      <c r="A154" s="122" t="str">
        <f t="shared" si="463"/>
        <v>Trent 800</v>
      </c>
      <c r="Q154" s="40"/>
      <c r="R154" s="69"/>
      <c r="S154" s="868"/>
      <c r="T154" s="892">
        <f t="shared" ref="T154:T159" si="472">+W154</f>
        <v>2056</v>
      </c>
      <c r="U154" s="69"/>
      <c r="V154" s="868"/>
      <c r="W154" s="892">
        <v>2056</v>
      </c>
      <c r="X154" s="69"/>
      <c r="Y154" s="868"/>
      <c r="Z154" s="892">
        <v>3276</v>
      </c>
      <c r="AA154" s="69"/>
      <c r="AB154" s="868"/>
      <c r="AC154" s="726">
        <f>3381*(1+AC160)</f>
        <v>3957.8678924484375</v>
      </c>
      <c r="AD154" s="69"/>
      <c r="AE154" s="868"/>
      <c r="AF154" s="892">
        <f>1123*(1+AF160)</f>
        <v>1465.867424245896</v>
      </c>
      <c r="AG154" s="69"/>
      <c r="AH154" s="868"/>
      <c r="AI154" s="892">
        <f>1841*(1+AI160)</f>
        <v>2413.9219260870168</v>
      </c>
      <c r="AJ154" s="69"/>
      <c r="AK154" s="868"/>
      <c r="AL154" s="892">
        <f>2494*(1+AL160)</f>
        <v>3025.5130856369037</v>
      </c>
      <c r="AM154" s="69"/>
      <c r="AN154" s="542"/>
      <c r="AO154" s="726">
        <f>2669*(1+AO160)</f>
        <v>3041.6188292242305</v>
      </c>
      <c r="AP154" s="21"/>
      <c r="AQ154" s="542"/>
      <c r="AR154" s="726">
        <f>3026*(1+AR160)</f>
        <v>3295.9148363649438</v>
      </c>
      <c r="AS154" s="21"/>
      <c r="AT154" s="542"/>
      <c r="AU154" s="726">
        <f>3042*(1+AU160)</f>
        <v>3206.802550239388</v>
      </c>
      <c r="AV154" s="21"/>
      <c r="AW154" s="542"/>
      <c r="AX154" s="580">
        <v>3200</v>
      </c>
      <c r="AY154" s="21"/>
      <c r="AZ154" s="542"/>
      <c r="BA154" s="605">
        <f t="shared" si="468"/>
        <v>3200</v>
      </c>
      <c r="BB154" s="21"/>
      <c r="BC154" s="542"/>
      <c r="BD154" s="605">
        <f t="shared" si="469"/>
        <v>3200</v>
      </c>
      <c r="BE154" s="21"/>
      <c r="BF154" s="542"/>
      <c r="BG154" s="605">
        <f t="shared" si="470"/>
        <v>3200</v>
      </c>
      <c r="BH154" s="21"/>
      <c r="BI154" s="542"/>
      <c r="BJ154" s="605">
        <f t="shared" si="471"/>
        <v>3200</v>
      </c>
      <c r="BL154" s="38"/>
      <c r="BM154" s="38"/>
    </row>
    <row r="155" spans="1:65" ht="11.4">
      <c r="A155" s="122" t="str">
        <f t="shared" si="463"/>
        <v>Trent 900</v>
      </c>
      <c r="Q155" s="40"/>
      <c r="R155" s="69"/>
      <c r="S155" s="868"/>
      <c r="T155" s="892">
        <f t="shared" si="472"/>
        <v>2639</v>
      </c>
      <c r="U155" s="69"/>
      <c r="V155" s="868"/>
      <c r="W155" s="892">
        <v>2639</v>
      </c>
      <c r="X155" s="69"/>
      <c r="Y155" s="868"/>
      <c r="Z155" s="892">
        <v>3944</v>
      </c>
      <c r="AA155" s="69"/>
      <c r="AB155" s="868"/>
      <c r="AC155" s="726">
        <f>3977*(1+AC160)</f>
        <v>4655.5577072663227</v>
      </c>
      <c r="AD155" s="69"/>
      <c r="AE155" s="868"/>
      <c r="AF155" s="892">
        <f>971*(1+AF160)</f>
        <v>1267.4597230122572</v>
      </c>
      <c r="AG155" s="69"/>
      <c r="AH155" s="868"/>
      <c r="AI155" s="892">
        <f>732*(1+AI160)</f>
        <v>959.7994839194439</v>
      </c>
      <c r="AJ155" s="69"/>
      <c r="AK155" s="868"/>
      <c r="AL155" s="892">
        <f>2403*(1+AL160)</f>
        <v>2915.119464629302</v>
      </c>
      <c r="AM155" s="69"/>
      <c r="AN155" s="542"/>
      <c r="AO155" s="726">
        <f>3708*(1+AO160)</f>
        <v>4225.6735177082983</v>
      </c>
      <c r="AP155" s="21"/>
      <c r="AQ155" s="542"/>
      <c r="AR155" s="726">
        <f>3866*(1+AR160)</f>
        <v>4210.8416250452319</v>
      </c>
      <c r="AS155" s="21"/>
      <c r="AT155" s="542"/>
      <c r="AU155" s="726">
        <f>3857*(1+AU160)</f>
        <v>4065.9557647183829</v>
      </c>
      <c r="AV155" s="21"/>
      <c r="AW155" s="542"/>
      <c r="AX155" s="580">
        <v>4000</v>
      </c>
      <c r="AY155" s="21"/>
      <c r="AZ155" s="542"/>
      <c r="BA155" s="605">
        <f t="shared" si="468"/>
        <v>4000</v>
      </c>
      <c r="BB155" s="21"/>
      <c r="BC155" s="542"/>
      <c r="BD155" s="605">
        <f t="shared" si="469"/>
        <v>4000</v>
      </c>
      <c r="BE155" s="21"/>
      <c r="BF155" s="542"/>
      <c r="BG155" s="605">
        <f t="shared" si="470"/>
        <v>4000</v>
      </c>
      <c r="BH155" s="21"/>
      <c r="BI155" s="542"/>
      <c r="BJ155" s="605">
        <f t="shared" si="471"/>
        <v>4000</v>
      </c>
      <c r="BL155" s="38"/>
      <c r="BM155" s="38"/>
    </row>
    <row r="156" spans="1:65" ht="11.4">
      <c r="A156" s="122" t="str">
        <f t="shared" si="463"/>
        <v>Trent 1000</v>
      </c>
      <c r="Q156" s="40"/>
      <c r="R156" s="69"/>
      <c r="S156" s="868"/>
      <c r="T156" s="892">
        <f t="shared" si="472"/>
        <v>2398</v>
      </c>
      <c r="U156" s="69"/>
      <c r="V156" s="868"/>
      <c r="W156" s="892">
        <v>2398</v>
      </c>
      <c r="X156" s="69"/>
      <c r="Y156" s="868"/>
      <c r="Z156" s="892">
        <v>3566</v>
      </c>
      <c r="AA156" s="69"/>
      <c r="AB156" s="868"/>
      <c r="AC156" s="726">
        <f>3633*(1+AC160)</f>
        <v>4252.8642571029795</v>
      </c>
      <c r="AD156" s="69"/>
      <c r="AE156" s="868"/>
      <c r="AF156" s="892">
        <f>1901*(1+AF160)</f>
        <v>2481.4015792443884</v>
      </c>
      <c r="AG156" s="69"/>
      <c r="AH156" s="868"/>
      <c r="AI156" s="892">
        <f>2317*(1+AI160)</f>
        <v>3038.0538309308081</v>
      </c>
      <c r="AJ156" s="69"/>
      <c r="AK156" s="868"/>
      <c r="AL156" s="892">
        <f>3184*(1+AL160)</f>
        <v>3862.5636185516846</v>
      </c>
      <c r="AM156" s="69"/>
      <c r="AN156" s="542"/>
      <c r="AO156" s="726">
        <f>3730*(1+AO160)</f>
        <v>4250.7449355587787</v>
      </c>
      <c r="AP156" s="21"/>
      <c r="AQ156" s="542"/>
      <c r="AR156" s="726">
        <f>3796*(1+AR160)</f>
        <v>4134.5977259885412</v>
      </c>
      <c r="AS156" s="21"/>
      <c r="AT156" s="542"/>
      <c r="AU156" s="726">
        <f>3816*(1+AU160)</f>
        <v>4022.7345600636113</v>
      </c>
      <c r="AV156" s="21"/>
      <c r="AW156" s="542"/>
      <c r="AX156" s="580">
        <v>4000</v>
      </c>
      <c r="AY156" s="21"/>
      <c r="AZ156" s="542"/>
      <c r="BA156" s="580">
        <v>4100</v>
      </c>
      <c r="BB156" s="21"/>
      <c r="BC156" s="542"/>
      <c r="BD156" s="605">
        <f t="shared" si="469"/>
        <v>4100</v>
      </c>
      <c r="BE156" s="21"/>
      <c r="BF156" s="542"/>
      <c r="BG156" s="605">
        <f t="shared" si="470"/>
        <v>4100</v>
      </c>
      <c r="BH156" s="21"/>
      <c r="BI156" s="542"/>
      <c r="BJ156" s="605">
        <f t="shared" si="471"/>
        <v>4100</v>
      </c>
      <c r="BL156" s="38"/>
      <c r="BM156" s="38"/>
    </row>
    <row r="157" spans="1:65" ht="11.4">
      <c r="A157" s="122" t="str">
        <f t="shared" si="463"/>
        <v>Trent XWB-84</v>
      </c>
      <c r="Q157" s="40"/>
      <c r="R157" s="69"/>
      <c r="S157" s="868"/>
      <c r="T157" s="892">
        <v>4000</v>
      </c>
      <c r="U157" s="69"/>
      <c r="V157" s="868"/>
      <c r="W157" s="892">
        <v>2305</v>
      </c>
      <c r="X157" s="69"/>
      <c r="Y157" s="868"/>
      <c r="Z157" s="892">
        <v>3900</v>
      </c>
      <c r="AA157" s="69"/>
      <c r="AB157" s="868"/>
      <c r="AC157" s="726">
        <f>4143*(1+AC160)</f>
        <v>4849.8807093800287</v>
      </c>
      <c r="AD157" s="69"/>
      <c r="AE157" s="868"/>
      <c r="AF157" s="892">
        <f>2187*(1+AF160)</f>
        <v>2854.7213328813664</v>
      </c>
      <c r="AG157" s="69"/>
      <c r="AH157" s="868"/>
      <c r="AI157" s="892">
        <f>2649*(1+AI160)</f>
        <v>3473.372722544545</v>
      </c>
      <c r="AJ157" s="69"/>
      <c r="AK157" s="868"/>
      <c r="AL157" s="892">
        <f>3088*(1+AL160)</f>
        <v>3746.1044139722367</v>
      </c>
      <c r="AM157" s="69"/>
      <c r="AN157" s="542"/>
      <c r="AO157" s="726">
        <f>3639*(1+AO160)</f>
        <v>4147.0404344499721</v>
      </c>
      <c r="AP157" s="21"/>
      <c r="AQ157" s="542"/>
      <c r="AR157" s="726">
        <f>4229*(1+AR160)</f>
        <v>4606.2207015820713</v>
      </c>
      <c r="AS157" s="21"/>
      <c r="AT157" s="542"/>
      <c r="AU157" s="726">
        <f>4487*(1+AU160)</f>
        <v>4730.0864703892621</v>
      </c>
      <c r="AV157" s="21"/>
      <c r="AW157" s="542"/>
      <c r="AX157" s="580">
        <v>4700</v>
      </c>
      <c r="AY157" s="21"/>
      <c r="AZ157" s="542"/>
      <c r="BA157" s="580">
        <v>4800</v>
      </c>
      <c r="BB157" s="21"/>
      <c r="BC157" s="542"/>
      <c r="BD157" s="605">
        <f t="shared" si="469"/>
        <v>4800</v>
      </c>
      <c r="BE157" s="21"/>
      <c r="BF157" s="542"/>
      <c r="BG157" s="605">
        <f t="shared" si="470"/>
        <v>4800</v>
      </c>
      <c r="BH157" s="21"/>
      <c r="BI157" s="542"/>
      <c r="BJ157" s="605">
        <f t="shared" si="471"/>
        <v>4800</v>
      </c>
      <c r="BL157" s="38"/>
      <c r="BM157" s="104"/>
    </row>
    <row r="158" spans="1:65" ht="11.4">
      <c r="A158" s="122" t="str">
        <f t="shared" si="463"/>
        <v>Trent XWB-97</v>
      </c>
      <c r="Q158" s="40"/>
      <c r="R158" s="69"/>
      <c r="S158" s="868"/>
      <c r="T158" s="892">
        <f>+W158</f>
        <v>0</v>
      </c>
      <c r="U158" s="69"/>
      <c r="V158" s="868"/>
      <c r="W158" s="892">
        <v>0</v>
      </c>
      <c r="X158" s="69"/>
      <c r="Y158" s="868"/>
      <c r="Z158" s="892">
        <v>1166</v>
      </c>
      <c r="AA158" s="69"/>
      <c r="AB158" s="868"/>
      <c r="AC158" s="726">
        <f>2835*(1+AC160)</f>
        <v>3318.7091023635967</v>
      </c>
      <c r="AD158" s="69"/>
      <c r="AE158" s="868"/>
      <c r="AF158" s="892">
        <f>3251*(1+AF160)</f>
        <v>4243.5752415168372</v>
      </c>
      <c r="AG158" s="69"/>
      <c r="AH158" s="868"/>
      <c r="AI158" s="892">
        <f>3472*(1+AI160)</f>
        <v>4552.4915412135369</v>
      </c>
      <c r="AJ158" s="69"/>
      <c r="AK158" s="868"/>
      <c r="AL158" s="892">
        <f>3746*(1+AL160)</f>
        <v>4544.3352120272011</v>
      </c>
      <c r="AM158" s="69"/>
      <c r="AN158" s="542"/>
      <c r="AO158" s="726">
        <f>4401*(1+AO160)</f>
        <v>5015.4231799984409</v>
      </c>
      <c r="AP158" s="21"/>
      <c r="AQ158" s="542"/>
      <c r="AR158" s="726">
        <f>4439*(1+AR160)</f>
        <v>4834.9523987521434</v>
      </c>
      <c r="AS158" s="21"/>
      <c r="AT158" s="542"/>
      <c r="AU158" s="726">
        <f>4592*(1+AU160)</f>
        <v>4840.7749213344086</v>
      </c>
      <c r="AV158" s="21"/>
      <c r="AW158" s="542"/>
      <c r="AX158" s="580">
        <v>4800</v>
      </c>
      <c r="AY158" s="21"/>
      <c r="AZ158" s="542"/>
      <c r="BA158" s="605">
        <f t="shared" ref="BA158" si="473">+AX158</f>
        <v>4800</v>
      </c>
      <c r="BB158" s="21"/>
      <c r="BC158" s="542"/>
      <c r="BD158" s="605">
        <f t="shared" si="469"/>
        <v>4800</v>
      </c>
      <c r="BE158" s="21"/>
      <c r="BF158" s="542"/>
      <c r="BG158" s="605">
        <f t="shared" si="470"/>
        <v>4800</v>
      </c>
      <c r="BH158" s="21"/>
      <c r="BI158" s="542"/>
      <c r="BJ158" s="605">
        <f t="shared" si="471"/>
        <v>4800</v>
      </c>
      <c r="BL158" s="38"/>
      <c r="BM158" s="38"/>
    </row>
    <row r="159" spans="1:65" ht="11.4">
      <c r="A159" s="122" t="str">
        <f t="shared" si="463"/>
        <v>Trent 7000</v>
      </c>
      <c r="Q159" s="40"/>
      <c r="R159" s="69"/>
      <c r="S159" s="868"/>
      <c r="T159" s="892">
        <f t="shared" si="472"/>
        <v>2536</v>
      </c>
      <c r="U159" s="69"/>
      <c r="V159" s="868"/>
      <c r="W159" s="892">
        <v>2536</v>
      </c>
      <c r="X159" s="69"/>
      <c r="Y159" s="868"/>
      <c r="Z159" s="892">
        <v>149</v>
      </c>
      <c r="AA159" s="69"/>
      <c r="AB159" s="868"/>
      <c r="AC159" s="726">
        <f>1686*(1+AC160)</f>
        <v>1973.6661539982449</v>
      </c>
      <c r="AD159" s="69"/>
      <c r="AE159" s="868"/>
      <c r="AF159" s="892">
        <f>1393*(1+AF160)</f>
        <v>1818.3021567003857</v>
      </c>
      <c r="AG159" s="69"/>
      <c r="AH159" s="868"/>
      <c r="AI159" s="892">
        <f>1936*(1+AI160)</f>
        <v>2538.4860667596222</v>
      </c>
      <c r="AJ159" s="69"/>
      <c r="AK159" s="868"/>
      <c r="AL159" s="892">
        <f>2832*(1+AL160)</f>
        <v>3435.5465350937093</v>
      </c>
      <c r="AM159" s="69"/>
      <c r="AN159" s="542"/>
      <c r="AO159" s="726">
        <f>3241*(1+AO160)</f>
        <v>3693.4756933367294</v>
      </c>
      <c r="AP159" s="21"/>
      <c r="AQ159" s="542"/>
      <c r="AR159" s="726">
        <f>3594*(1+AR160)</f>
        <v>3914.5796172820915</v>
      </c>
      <c r="AS159" s="21"/>
      <c r="AT159" s="542"/>
      <c r="AU159" s="726">
        <f>3646*(1+AU160)</f>
        <v>3843.5246871048025</v>
      </c>
      <c r="AV159" s="21"/>
      <c r="AW159" s="542"/>
      <c r="AX159" s="580">
        <v>3800</v>
      </c>
      <c r="AY159" s="21"/>
      <c r="AZ159" s="542"/>
      <c r="BA159" s="605">
        <f t="shared" si="468"/>
        <v>3800</v>
      </c>
      <c r="BB159" s="21"/>
      <c r="BC159" s="542"/>
      <c r="BD159" s="605">
        <f t="shared" si="469"/>
        <v>3800</v>
      </c>
      <c r="BE159" s="21"/>
      <c r="BF159" s="542"/>
      <c r="BG159" s="605">
        <f t="shared" si="470"/>
        <v>3800</v>
      </c>
      <c r="BH159" s="21"/>
      <c r="BI159" s="542"/>
      <c r="BJ159" s="605">
        <f t="shared" si="471"/>
        <v>3800</v>
      </c>
      <c r="BL159" s="38"/>
      <c r="BM159" s="38"/>
    </row>
    <row r="160" spans="1:65" s="53" customFormat="1" ht="11.4">
      <c r="A160" s="1034" t="s">
        <v>1000</v>
      </c>
      <c r="B160" s="121"/>
      <c r="C160" s="121"/>
      <c r="D160" s="121"/>
      <c r="E160" s="121"/>
      <c r="F160" s="121"/>
      <c r="G160" s="121"/>
      <c r="H160" s="121"/>
      <c r="I160" s="121"/>
      <c r="J160" s="121"/>
      <c r="K160" s="121"/>
      <c r="L160" s="121"/>
      <c r="M160" s="121"/>
      <c r="N160" s="121"/>
      <c r="O160" s="121"/>
      <c r="P160" s="121"/>
      <c r="Q160" s="121"/>
      <c r="R160" s="121"/>
      <c r="S160" s="776"/>
      <c r="T160" s="783"/>
      <c r="U160" s="121"/>
      <c r="V160" s="776"/>
      <c r="W160" s="783"/>
      <c r="X160" s="121"/>
      <c r="Y160" s="776"/>
      <c r="Z160" s="783"/>
      <c r="AA160" s="121"/>
      <c r="AB160" s="776"/>
      <c r="AC160" s="738">
        <v>0.17062049466088072</v>
      </c>
      <c r="AD160" s="261"/>
      <c r="AE160" s="734"/>
      <c r="AF160" s="738">
        <v>0.30531382390551731</v>
      </c>
      <c r="AG160" s="261"/>
      <c r="AH160" s="734"/>
      <c r="AI160" s="738">
        <v>0.31120148076426757</v>
      </c>
      <c r="AJ160" s="261"/>
      <c r="AK160" s="734"/>
      <c r="AL160" s="738">
        <v>0.21311671436924759</v>
      </c>
      <c r="AM160" s="121"/>
      <c r="AN160" s="734"/>
      <c r="AO160" s="783">
        <v>0.13960990229457881</v>
      </c>
      <c r="AP160" s="1009"/>
      <c r="AQ160" s="757"/>
      <c r="AR160" s="783">
        <v>8.9198557952724272E-2</v>
      </c>
      <c r="AS160" s="1009"/>
      <c r="AT160" s="757"/>
      <c r="AU160" s="738">
        <v>5.4175723287109775E-2</v>
      </c>
      <c r="AV160" s="1009"/>
      <c r="AW160" s="757"/>
      <c r="AX160" s="771">
        <v>0</v>
      </c>
      <c r="AY160" s="1009"/>
      <c r="AZ160" s="757"/>
      <c r="BA160" s="729">
        <f t="shared" si="468"/>
        <v>0</v>
      </c>
      <c r="BB160" s="1009"/>
      <c r="BC160" s="757"/>
      <c r="BD160" s="729">
        <f t="shared" si="469"/>
        <v>0</v>
      </c>
      <c r="BE160" s="1009"/>
      <c r="BF160" s="757"/>
      <c r="BG160" s="729">
        <f t="shared" si="470"/>
        <v>0</v>
      </c>
      <c r="BH160" s="1009"/>
      <c r="BI160" s="757"/>
      <c r="BJ160" s="729">
        <f t="shared" si="471"/>
        <v>0</v>
      </c>
      <c r="BK160" s="257"/>
      <c r="BL160" s="1023"/>
      <c r="BM160" s="1023"/>
    </row>
    <row r="161" spans="1:65" ht="11.4">
      <c r="A161" s="65"/>
      <c r="Q161" s="40"/>
      <c r="R161" s="33"/>
      <c r="S161" s="866"/>
      <c r="T161" s="890"/>
      <c r="U161" s="33"/>
      <c r="V161" s="866"/>
      <c r="W161" s="890"/>
      <c r="X161" s="33"/>
      <c r="Y161" s="866"/>
      <c r="Z161" s="890"/>
      <c r="AA161" s="33"/>
      <c r="AB161" s="866"/>
      <c r="AC161" s="890"/>
      <c r="AD161" s="33"/>
      <c r="AE161" s="866"/>
      <c r="AF161" s="890"/>
      <c r="AG161" s="33"/>
      <c r="AH161" s="866"/>
      <c r="AI161" s="890"/>
      <c r="AJ161" s="33"/>
      <c r="AK161" s="866"/>
      <c r="AL161" s="890"/>
      <c r="AM161" s="33"/>
      <c r="AN161" s="802"/>
      <c r="AO161" s="833"/>
      <c r="AP161" s="169"/>
      <c r="AQ161" s="802"/>
      <c r="AR161" s="833"/>
      <c r="AS161" s="169"/>
      <c r="AT161" s="802"/>
      <c r="AU161" s="937"/>
      <c r="AV161" s="169"/>
      <c r="AW161" s="802"/>
      <c r="AX161" s="833"/>
      <c r="AY161" s="169"/>
      <c r="AZ161" s="802"/>
      <c r="BA161" s="833"/>
      <c r="BB161" s="169"/>
      <c r="BC161" s="802"/>
      <c r="BD161" s="833"/>
      <c r="BE161" s="169"/>
      <c r="BF161" s="802"/>
      <c r="BG161" s="833"/>
      <c r="BH161" s="169"/>
      <c r="BI161" s="802"/>
      <c r="BJ161" s="833"/>
      <c r="BL161" s="38"/>
      <c r="BM161" s="38"/>
    </row>
    <row r="162" spans="1:65" ht="12">
      <c r="A162" s="72" t="s">
        <v>999</v>
      </c>
      <c r="F162" s="125"/>
      <c r="O162" s="63"/>
      <c r="Q162" s="31">
        <f t="shared" ref="Q162:Z162" si="474">+SUM(Q164:Q171)</f>
        <v>2358.0000000000005</v>
      </c>
      <c r="R162" s="31"/>
      <c r="S162" s="793"/>
      <c r="T162" s="824">
        <f t="shared" si="474"/>
        <v>2557.8000000000006</v>
      </c>
      <c r="U162" s="31"/>
      <c r="V162" s="793"/>
      <c r="W162" s="824">
        <f t="shared" si="474"/>
        <v>2838.6</v>
      </c>
      <c r="X162" s="31"/>
      <c r="Y162" s="793"/>
      <c r="Z162" s="824">
        <f t="shared" si="474"/>
        <v>3153.6000000000004</v>
      </c>
      <c r="AA162" s="31"/>
      <c r="AB162" s="793"/>
      <c r="AC162" s="824">
        <f>+SUM(AC163:AC171)</f>
        <v>3932.9333333333334</v>
      </c>
      <c r="AD162" s="31"/>
      <c r="AE162" s="793"/>
      <c r="AF162" s="824">
        <f>+SUM(AF163:AF171)</f>
        <v>3388.1</v>
      </c>
      <c r="AG162" s="31"/>
      <c r="AH162" s="793"/>
      <c r="AI162" s="824">
        <f>+SUM(AI163:AI171)</f>
        <v>2933.3666666666668</v>
      </c>
      <c r="AJ162" s="31"/>
      <c r="AK162" s="793"/>
      <c r="AL162" s="824">
        <f>+SUM(AL163:AL171)</f>
        <v>3333.5333333333333</v>
      </c>
      <c r="AM162" s="31"/>
      <c r="AN162" s="237"/>
      <c r="AO162" s="824">
        <f>+SUM(AO163:AO171)</f>
        <v>3817.6333333333332</v>
      </c>
      <c r="AP162" s="48"/>
      <c r="AQ162" s="237"/>
      <c r="AR162" s="824">
        <f>+SUM(AR163:AR171)</f>
        <v>4268.5333333333338</v>
      </c>
      <c r="AS162" s="48"/>
      <c r="AT162" s="237"/>
      <c r="AU162" s="652">
        <f>+SUM(AU163:AU171)</f>
        <v>4524.4666666666672</v>
      </c>
      <c r="AV162" s="48"/>
      <c r="AW162" s="237"/>
      <c r="AX162" s="624">
        <f>+SUM(AX163:AX171)</f>
        <v>4715.3668925018692</v>
      </c>
      <c r="AY162" s="48"/>
      <c r="AZ162" s="237"/>
      <c r="BA162" s="624">
        <f>+SUM(BA163:BA171)</f>
        <v>4889.1527265873956</v>
      </c>
      <c r="BB162" s="48"/>
      <c r="BC162" s="237"/>
      <c r="BD162" s="624">
        <f>+SUM(BD163:BD171)</f>
        <v>5115.1188002056851</v>
      </c>
      <c r="BE162" s="48"/>
      <c r="BF162" s="237"/>
      <c r="BG162" s="624">
        <f>+SUM(BG163:BG171)</f>
        <v>5363.0142865820535</v>
      </c>
      <c r="BH162" s="48"/>
      <c r="BI162" s="237"/>
      <c r="BJ162" s="624">
        <f>+SUM(BJ163:BJ171)</f>
        <v>5917.1457991870966</v>
      </c>
      <c r="BL162" s="130"/>
      <c r="BM162" s="129"/>
    </row>
    <row r="163" spans="1:65" ht="11.4">
      <c r="A163" s="122" t="str">
        <f t="shared" ref="A163:A171" si="475">A151</f>
        <v>RB211</v>
      </c>
      <c r="N163" s="109"/>
      <c r="Q163" s="69"/>
      <c r="R163" s="69"/>
      <c r="S163" s="868"/>
      <c r="T163" s="892"/>
      <c r="U163" s="69"/>
      <c r="V163" s="868"/>
      <c r="W163" s="892"/>
      <c r="X163" s="69"/>
      <c r="Y163" s="868"/>
      <c r="Z163" s="892"/>
      <c r="AA163" s="69"/>
      <c r="AB163" s="868"/>
      <c r="AC163" s="726">
        <f t="shared" ref="AC163:AC171" si="476">AVERAGE(Z470,AC470)*AC174</f>
        <v>355.33333333333331</v>
      </c>
      <c r="AD163" s="207"/>
      <c r="AE163" s="717"/>
      <c r="AF163" s="726">
        <f t="shared" ref="AF163:AF171" si="477">AVERAGE(AC470,AF470)*AF174</f>
        <v>283</v>
      </c>
      <c r="AG163" s="207"/>
      <c r="AH163" s="717"/>
      <c r="AI163" s="726">
        <f t="shared" ref="AI163:AI171" si="478">AVERAGE(AF470,AI470)*AI174</f>
        <v>233.66666666666666</v>
      </c>
      <c r="AJ163" s="207"/>
      <c r="AK163" s="717"/>
      <c r="AL163" s="726">
        <f t="shared" ref="AL163:AL171" si="479">AVERAGE(AI470,AL470)*AL174</f>
        <v>251.33333333333331</v>
      </c>
      <c r="AM163" s="69"/>
      <c r="AN163" s="236"/>
      <c r="AO163" s="726">
        <f t="shared" ref="AO163:AO171" si="480">AVERAGE(AL470,AO470)*AO174</f>
        <v>260.33333333333331</v>
      </c>
      <c r="AP163" s="56"/>
      <c r="AQ163" s="236"/>
      <c r="AR163" s="726">
        <f t="shared" ref="AR163:AR171" si="481">AVERAGE(AO470,AR470)*AR174</f>
        <v>256.33333333333331</v>
      </c>
      <c r="AS163" s="56"/>
      <c r="AT163" s="236"/>
      <c r="AU163" s="726">
        <f t="shared" ref="AU163:AU171" si="482">AVERAGE(AR470,AU470)*AU174</f>
        <v>239.66666666666666</v>
      </c>
      <c r="AV163" s="56"/>
      <c r="AW163" s="236"/>
      <c r="AX163" s="605">
        <f t="shared" ref="AX163:AX171" si="483">AVERAGE(AU470,AX470)*AX174</f>
        <v>224.33333333333331</v>
      </c>
      <c r="AY163" s="56"/>
      <c r="AZ163" s="236"/>
      <c r="BA163" s="605">
        <f t="shared" ref="BA163:BA171" si="484">AVERAGE(AX470,BA470)*BA174</f>
        <v>210.75</v>
      </c>
      <c r="BB163" s="56"/>
      <c r="BC163" s="236"/>
      <c r="BD163" s="605">
        <f t="shared" ref="BD163:BD171" si="485">AVERAGE(BA470,BD470)*BD174</f>
        <v>198.25</v>
      </c>
      <c r="BE163" s="56"/>
      <c r="BF163" s="236"/>
      <c r="BG163" s="605">
        <f t="shared" ref="BG163:BG171" si="486">AVERAGE(BD470,BG470)*BG174</f>
        <v>185.75</v>
      </c>
      <c r="BH163" s="56"/>
      <c r="BI163" s="236"/>
      <c r="BJ163" s="605">
        <f t="shared" ref="BJ163:BJ171" si="487">AVERAGE(BG470,BJ470)*BJ174</f>
        <v>467.77500000000003</v>
      </c>
      <c r="BL163" s="107"/>
      <c r="BM163" s="107"/>
    </row>
    <row r="164" spans="1:65" ht="11.4">
      <c r="A164" s="122" t="str">
        <f t="shared" si="475"/>
        <v>Trent 500</v>
      </c>
      <c r="N164" s="109"/>
      <c r="Q164" s="69">
        <f t="shared" ref="Q164:Q169" si="488">AVERAGE(P471:Q471)*0.9</f>
        <v>333</v>
      </c>
      <c r="R164" s="69"/>
      <c r="S164" s="868"/>
      <c r="T164" s="892">
        <f t="shared" ref="T164:T171" si="489">AVERAGE(Q471,T471)*0.9</f>
        <v>309.60000000000002</v>
      </c>
      <c r="U164" s="69"/>
      <c r="V164" s="868"/>
      <c r="W164" s="892">
        <f t="shared" ref="W164:W171" si="490">AVERAGE(T471,W471)*0.9</f>
        <v>277.2</v>
      </c>
      <c r="X164" s="69"/>
      <c r="Y164" s="868"/>
      <c r="Z164" s="892">
        <f t="shared" ref="Z164:Z171" si="491">AVERAGE(W471,Z471)*0.9</f>
        <v>253.8</v>
      </c>
      <c r="AA164" s="69"/>
      <c r="AB164" s="868"/>
      <c r="AC164" s="726">
        <f t="shared" si="476"/>
        <v>235.8</v>
      </c>
      <c r="AD164" s="207"/>
      <c r="AE164" s="717"/>
      <c r="AF164" s="726">
        <f t="shared" si="477"/>
        <v>138.6</v>
      </c>
      <c r="AG164" s="207"/>
      <c r="AH164" s="717"/>
      <c r="AI164" s="726">
        <f t="shared" si="478"/>
        <v>72</v>
      </c>
      <c r="AJ164" s="207"/>
      <c r="AK164" s="717"/>
      <c r="AL164" s="726">
        <f t="shared" si="479"/>
        <v>77.400000000000006</v>
      </c>
      <c r="AM164" s="69"/>
      <c r="AN164" s="236"/>
      <c r="AO164" s="726">
        <f t="shared" si="480"/>
        <v>82.8</v>
      </c>
      <c r="AP164" s="56"/>
      <c r="AQ164" s="236"/>
      <c r="AR164" s="726">
        <f t="shared" si="481"/>
        <v>100.79999999999998</v>
      </c>
      <c r="AS164" s="56"/>
      <c r="AT164" s="236"/>
      <c r="AU164" s="726">
        <f t="shared" si="482"/>
        <v>100.79999999999998</v>
      </c>
      <c r="AV164" s="56"/>
      <c r="AW164" s="236"/>
      <c r="AX164" s="605">
        <f t="shared" si="483"/>
        <v>77.850000000000009</v>
      </c>
      <c r="AY164" s="56"/>
      <c r="AZ164" s="236"/>
      <c r="BA164" s="605">
        <f t="shared" si="484"/>
        <v>59.85</v>
      </c>
      <c r="BB164" s="56"/>
      <c r="BC164" s="236"/>
      <c r="BD164" s="605">
        <f t="shared" si="485"/>
        <v>55.35</v>
      </c>
      <c r="BE164" s="56"/>
      <c r="BF164" s="236"/>
      <c r="BG164" s="605">
        <f t="shared" si="486"/>
        <v>50.85</v>
      </c>
      <c r="BH164" s="56"/>
      <c r="BI164" s="236"/>
      <c r="BJ164" s="605">
        <f t="shared" si="487"/>
        <v>46.35</v>
      </c>
      <c r="BL164" s="107"/>
      <c r="BM164" s="107"/>
    </row>
    <row r="165" spans="1:65" ht="11.4">
      <c r="A165" s="122" t="str">
        <f t="shared" si="475"/>
        <v>Trent 700</v>
      </c>
      <c r="N165" s="109"/>
      <c r="Q165" s="69">
        <f t="shared" si="488"/>
        <v>1204.2</v>
      </c>
      <c r="R165" s="69"/>
      <c r="S165" s="868"/>
      <c r="T165" s="892">
        <f t="shared" si="489"/>
        <v>1281.6000000000001</v>
      </c>
      <c r="U165" s="69"/>
      <c r="V165" s="868"/>
      <c r="W165" s="892">
        <f t="shared" si="490"/>
        <v>1372.5</v>
      </c>
      <c r="X165" s="69"/>
      <c r="Y165" s="868"/>
      <c r="Z165" s="892">
        <f t="shared" si="491"/>
        <v>1451.7</v>
      </c>
      <c r="AA165" s="69"/>
      <c r="AB165" s="868"/>
      <c r="AC165" s="726">
        <f t="shared" si="476"/>
        <v>1458.9</v>
      </c>
      <c r="AD165" s="207"/>
      <c r="AE165" s="717"/>
      <c r="AF165" s="726">
        <f t="shared" si="477"/>
        <v>1197</v>
      </c>
      <c r="AG165" s="207"/>
      <c r="AH165" s="717"/>
      <c r="AI165" s="726">
        <f t="shared" si="478"/>
        <v>990</v>
      </c>
      <c r="AJ165" s="207"/>
      <c r="AK165" s="717"/>
      <c r="AL165" s="726">
        <f t="shared" si="479"/>
        <v>1045.8</v>
      </c>
      <c r="AM165" s="69"/>
      <c r="AN165" s="236"/>
      <c r="AO165" s="726">
        <f t="shared" si="480"/>
        <v>1147.5</v>
      </c>
      <c r="AP165" s="56"/>
      <c r="AQ165" s="236"/>
      <c r="AR165" s="726">
        <f>AVERAGE(AO472,AR472)*AR176</f>
        <v>1253.7</v>
      </c>
      <c r="AS165" s="56"/>
      <c r="AT165" s="236"/>
      <c r="AU165" s="726">
        <f>AVERAGE(AR472,AU472)*AU176</f>
        <v>1294.2</v>
      </c>
      <c r="AV165" s="56"/>
      <c r="AW165" s="236"/>
      <c r="AX165" s="605">
        <f t="shared" si="483"/>
        <v>1307.925</v>
      </c>
      <c r="AY165" s="56"/>
      <c r="AZ165" s="236"/>
      <c r="BA165" s="605">
        <f t="shared" si="484"/>
        <v>1287.9000000000001</v>
      </c>
      <c r="BB165" s="56"/>
      <c r="BC165" s="236"/>
      <c r="BD165" s="605">
        <f t="shared" si="485"/>
        <v>1263.6000000000001</v>
      </c>
      <c r="BE165" s="56"/>
      <c r="BF165" s="236"/>
      <c r="BG165" s="605">
        <f t="shared" si="486"/>
        <v>1239.3</v>
      </c>
      <c r="BH165" s="56"/>
      <c r="BI165" s="236"/>
      <c r="BJ165" s="605">
        <f t="shared" si="487"/>
        <v>1215</v>
      </c>
      <c r="BL165" s="107"/>
      <c r="BM165" s="133"/>
    </row>
    <row r="166" spans="1:65" ht="11.4">
      <c r="A166" s="122" t="str">
        <f t="shared" si="475"/>
        <v>Trent 800</v>
      </c>
      <c r="N166" s="109"/>
      <c r="Q166" s="69">
        <f t="shared" si="488"/>
        <v>352.8</v>
      </c>
      <c r="R166" s="69"/>
      <c r="S166" s="868"/>
      <c r="T166" s="892">
        <f t="shared" si="489"/>
        <v>321.3</v>
      </c>
      <c r="U166" s="69"/>
      <c r="V166" s="868"/>
      <c r="W166" s="892">
        <f t="shared" si="490"/>
        <v>306.90000000000003</v>
      </c>
      <c r="X166" s="69"/>
      <c r="Y166" s="868"/>
      <c r="Z166" s="892">
        <f t="shared" si="491"/>
        <v>298.8</v>
      </c>
      <c r="AA166" s="69"/>
      <c r="AB166" s="868"/>
      <c r="AC166" s="726">
        <f t="shared" si="476"/>
        <v>294.3</v>
      </c>
      <c r="AD166" s="207"/>
      <c r="AE166" s="717"/>
      <c r="AF166" s="726">
        <f t="shared" si="477"/>
        <v>204.3</v>
      </c>
      <c r="AG166" s="207"/>
      <c r="AH166" s="717"/>
      <c r="AI166" s="726">
        <f t="shared" si="478"/>
        <v>139.5</v>
      </c>
      <c r="AJ166" s="207"/>
      <c r="AK166" s="717"/>
      <c r="AL166" s="726">
        <f t="shared" si="479"/>
        <v>162</v>
      </c>
      <c r="AM166" s="69"/>
      <c r="AN166" s="236"/>
      <c r="AO166" s="726">
        <f t="shared" si="480"/>
        <v>183.6</v>
      </c>
      <c r="AP166" s="56"/>
      <c r="AQ166" s="236"/>
      <c r="AR166" s="726">
        <f t="shared" si="481"/>
        <v>200.70000000000002</v>
      </c>
      <c r="AS166" s="56"/>
      <c r="AT166" s="236"/>
      <c r="AU166" s="726">
        <f t="shared" si="482"/>
        <v>207</v>
      </c>
      <c r="AV166" s="56"/>
      <c r="AW166" s="236"/>
      <c r="AX166" s="605">
        <f t="shared" si="483"/>
        <v>209.36250000000001</v>
      </c>
      <c r="AY166" s="56"/>
      <c r="AZ166" s="236"/>
      <c r="BA166" s="605">
        <f t="shared" si="484"/>
        <v>196.08750000000001</v>
      </c>
      <c r="BB166" s="56"/>
      <c r="BC166" s="236"/>
      <c r="BD166" s="605">
        <f t="shared" si="485"/>
        <v>179.21250000000001</v>
      </c>
      <c r="BE166" s="56"/>
      <c r="BF166" s="236"/>
      <c r="BG166" s="605">
        <f t="shared" si="486"/>
        <v>162.33750000000001</v>
      </c>
      <c r="BH166" s="56"/>
      <c r="BI166" s="236"/>
      <c r="BJ166" s="605">
        <f t="shared" si="487"/>
        <v>145.46250000000001</v>
      </c>
      <c r="BL166" s="107"/>
      <c r="BM166" s="133"/>
    </row>
    <row r="167" spans="1:65" ht="11.4">
      <c r="A167" s="122" t="str">
        <f t="shared" si="475"/>
        <v>Trent 900</v>
      </c>
      <c r="N167" s="109"/>
      <c r="Q167" s="69">
        <f t="shared" si="488"/>
        <v>262.8</v>
      </c>
      <c r="R167" s="69"/>
      <c r="S167" s="868"/>
      <c r="T167" s="892">
        <f t="shared" si="489"/>
        <v>286.2</v>
      </c>
      <c r="U167" s="69"/>
      <c r="V167" s="868"/>
      <c r="W167" s="892">
        <f t="shared" si="490"/>
        <v>311.40000000000003</v>
      </c>
      <c r="X167" s="69"/>
      <c r="Y167" s="868"/>
      <c r="Z167" s="892">
        <f t="shared" si="491"/>
        <v>342</v>
      </c>
      <c r="AA167" s="69"/>
      <c r="AB167" s="868"/>
      <c r="AC167" s="726">
        <f t="shared" si="476"/>
        <v>372.6</v>
      </c>
      <c r="AD167" s="207"/>
      <c r="AE167" s="717"/>
      <c r="AF167" s="726">
        <f t="shared" si="477"/>
        <v>223.20000000000002</v>
      </c>
      <c r="AG167" s="207"/>
      <c r="AH167" s="717"/>
      <c r="AI167" s="726">
        <f t="shared" si="478"/>
        <v>106.19999999999999</v>
      </c>
      <c r="AJ167" s="207"/>
      <c r="AK167" s="717"/>
      <c r="AL167" s="726">
        <f t="shared" si="479"/>
        <v>189</v>
      </c>
      <c r="AM167" s="69"/>
      <c r="AN167" s="236"/>
      <c r="AO167" s="726">
        <f t="shared" si="480"/>
        <v>248.4</v>
      </c>
      <c r="AP167" s="56"/>
      <c r="AQ167" s="236"/>
      <c r="AR167" s="726">
        <f t="shared" si="481"/>
        <v>279</v>
      </c>
      <c r="AS167" s="56"/>
      <c r="AT167" s="236"/>
      <c r="AU167" s="726">
        <f t="shared" si="482"/>
        <v>289.8</v>
      </c>
      <c r="AV167" s="56"/>
      <c r="AW167" s="236"/>
      <c r="AX167" s="605">
        <f t="shared" si="483"/>
        <v>294.84000000000003</v>
      </c>
      <c r="AY167" s="56"/>
      <c r="AZ167" s="236"/>
      <c r="BA167" s="605">
        <f t="shared" si="484"/>
        <v>289.98</v>
      </c>
      <c r="BB167" s="56"/>
      <c r="BC167" s="236"/>
      <c r="BD167" s="605">
        <f t="shared" si="485"/>
        <v>273.77999999999997</v>
      </c>
      <c r="BE167" s="56"/>
      <c r="BF167" s="236"/>
      <c r="BG167" s="605">
        <f t="shared" si="486"/>
        <v>257.58</v>
      </c>
      <c r="BH167" s="56"/>
      <c r="BI167" s="236"/>
      <c r="BJ167" s="605">
        <f t="shared" si="487"/>
        <v>241.38</v>
      </c>
      <c r="BL167" s="107"/>
      <c r="BM167" s="107"/>
    </row>
    <row r="168" spans="1:65" ht="11.4">
      <c r="A168" s="122" t="str">
        <f t="shared" si="475"/>
        <v>Trent 1000</v>
      </c>
      <c r="N168" s="109"/>
      <c r="Q168" s="69">
        <f t="shared" si="488"/>
        <v>190.8</v>
      </c>
      <c r="R168" s="69"/>
      <c r="S168" s="868"/>
      <c r="T168" s="892">
        <f t="shared" si="489"/>
        <v>289.8</v>
      </c>
      <c r="U168" s="69"/>
      <c r="V168" s="868"/>
      <c r="W168" s="892">
        <f t="shared" si="490"/>
        <v>387</v>
      </c>
      <c r="X168" s="69"/>
      <c r="Y168" s="868"/>
      <c r="Z168" s="892">
        <f t="shared" si="491"/>
        <v>459.90000000000003</v>
      </c>
      <c r="AA168" s="69"/>
      <c r="AB168" s="868"/>
      <c r="AC168" s="726">
        <f t="shared" si="476"/>
        <v>602</v>
      </c>
      <c r="AD168" s="207"/>
      <c r="AE168" s="717"/>
      <c r="AF168" s="726">
        <f t="shared" si="477"/>
        <v>598</v>
      </c>
      <c r="AG168" s="207"/>
      <c r="AH168" s="717"/>
      <c r="AI168" s="726">
        <f t="shared" si="478"/>
        <v>571</v>
      </c>
      <c r="AJ168" s="207"/>
      <c r="AK168" s="717"/>
      <c r="AL168" s="726">
        <f t="shared" si="479"/>
        <v>633</v>
      </c>
      <c r="AM168" s="69"/>
      <c r="AN168" s="236"/>
      <c r="AO168" s="726">
        <f t="shared" si="480"/>
        <v>700</v>
      </c>
      <c r="AP168" s="56"/>
      <c r="AQ168" s="236"/>
      <c r="AR168" s="726">
        <f t="shared" si="481"/>
        <v>739</v>
      </c>
      <c r="AS168" s="56"/>
      <c r="AT168" s="236"/>
      <c r="AU168" s="726">
        <f t="shared" si="482"/>
        <v>759</v>
      </c>
      <c r="AV168" s="56"/>
      <c r="AW168" s="236"/>
      <c r="AX168" s="605">
        <f t="shared" si="483"/>
        <v>800.30681818181813</v>
      </c>
      <c r="AY168" s="56"/>
      <c r="AZ168" s="236"/>
      <c r="BA168" s="605">
        <f t="shared" si="484"/>
        <v>842.31216577540101</v>
      </c>
      <c r="BB168" s="56"/>
      <c r="BC168" s="236"/>
      <c r="BD168" s="605">
        <f t="shared" si="485"/>
        <v>881.7092245989304</v>
      </c>
      <c r="BE168" s="56"/>
      <c r="BF168" s="236"/>
      <c r="BG168" s="605">
        <f t="shared" si="486"/>
        <v>921.10628342245991</v>
      </c>
      <c r="BH168" s="56"/>
      <c r="BI168" s="236"/>
      <c r="BJ168" s="605">
        <f t="shared" si="487"/>
        <v>960.50334224598919</v>
      </c>
      <c r="BL168" s="107"/>
      <c r="BM168" s="107"/>
    </row>
    <row r="169" spans="1:65" ht="11.4">
      <c r="A169" s="122" t="str">
        <f t="shared" si="475"/>
        <v>Trent XWB-84</v>
      </c>
      <c r="N169" s="109"/>
      <c r="Q169" s="69">
        <f t="shared" si="488"/>
        <v>14.4</v>
      </c>
      <c r="R169" s="69"/>
      <c r="S169" s="868"/>
      <c r="T169" s="892">
        <f t="shared" si="489"/>
        <v>69.3</v>
      </c>
      <c r="U169" s="69"/>
      <c r="V169" s="868"/>
      <c r="W169" s="892">
        <f t="shared" si="490"/>
        <v>180.9</v>
      </c>
      <c r="X169" s="69"/>
      <c r="Y169" s="868"/>
      <c r="Z169" s="892">
        <f t="shared" si="491"/>
        <v>319.5</v>
      </c>
      <c r="AA169" s="69"/>
      <c r="AB169" s="868"/>
      <c r="AC169" s="726">
        <f t="shared" si="476"/>
        <v>511</v>
      </c>
      <c r="AD169" s="207"/>
      <c r="AE169" s="717"/>
      <c r="AF169" s="726">
        <f t="shared" si="477"/>
        <v>576</v>
      </c>
      <c r="AG169" s="207"/>
      <c r="AH169" s="717"/>
      <c r="AI169" s="726">
        <f t="shared" si="478"/>
        <v>614</v>
      </c>
      <c r="AJ169" s="207"/>
      <c r="AK169" s="717"/>
      <c r="AL169" s="726">
        <f t="shared" si="479"/>
        <v>714</v>
      </c>
      <c r="AM169" s="69"/>
      <c r="AN169" s="236"/>
      <c r="AO169" s="726">
        <f t="shared" si="480"/>
        <v>857</v>
      </c>
      <c r="AP169" s="56"/>
      <c r="AQ169" s="236"/>
      <c r="AR169" s="726">
        <f t="shared" si="481"/>
        <v>1008</v>
      </c>
      <c r="AS169" s="56"/>
      <c r="AT169" s="236"/>
      <c r="AU169" s="726">
        <f t="shared" si="482"/>
        <v>1112</v>
      </c>
      <c r="AV169" s="56"/>
      <c r="AW169" s="236"/>
      <c r="AX169" s="605">
        <f t="shared" si="483"/>
        <v>1192.0588235294117</v>
      </c>
      <c r="AY169" s="56"/>
      <c r="AZ169" s="236"/>
      <c r="BA169" s="605">
        <f t="shared" si="484"/>
        <v>1293.1874145006839</v>
      </c>
      <c r="BB169" s="56"/>
      <c r="BC169" s="236"/>
      <c r="BD169" s="605">
        <f t="shared" si="485"/>
        <v>1439.6857533711159</v>
      </c>
      <c r="BE169" s="56"/>
      <c r="BF169" s="236"/>
      <c r="BG169" s="605">
        <f t="shared" si="486"/>
        <v>1601.9714676568301</v>
      </c>
      <c r="BH169" s="56"/>
      <c r="BI169" s="236"/>
      <c r="BJ169" s="605">
        <f t="shared" si="487"/>
        <v>1771.6857533711159</v>
      </c>
      <c r="BL169" s="107"/>
      <c r="BM169" s="107"/>
    </row>
    <row r="170" spans="1:65" ht="11.4">
      <c r="A170" s="122" t="str">
        <f t="shared" si="475"/>
        <v>Trent XWB-97</v>
      </c>
      <c r="N170" s="109"/>
      <c r="Q170" s="69">
        <f t="shared" ref="Q170:Q171" si="492">AVERAGE(P477:Q477)*0.9</f>
        <v>0</v>
      </c>
      <c r="R170" s="69"/>
      <c r="S170" s="868"/>
      <c r="T170" s="892">
        <f t="shared" si="489"/>
        <v>0</v>
      </c>
      <c r="U170" s="69"/>
      <c r="V170" s="868"/>
      <c r="W170" s="892">
        <f t="shared" si="490"/>
        <v>2.7</v>
      </c>
      <c r="X170" s="69"/>
      <c r="Y170" s="868"/>
      <c r="Z170" s="892">
        <f t="shared" si="491"/>
        <v>22.5</v>
      </c>
      <c r="AA170" s="69"/>
      <c r="AB170" s="868"/>
      <c r="AC170" s="726">
        <f t="shared" si="476"/>
        <v>57</v>
      </c>
      <c r="AD170" s="207"/>
      <c r="AE170" s="717"/>
      <c r="AF170" s="726">
        <f t="shared" si="477"/>
        <v>83</v>
      </c>
      <c r="AG170" s="207"/>
      <c r="AH170" s="717"/>
      <c r="AI170" s="726">
        <f t="shared" si="478"/>
        <v>97</v>
      </c>
      <c r="AJ170" s="207"/>
      <c r="AK170" s="717"/>
      <c r="AL170" s="726">
        <f t="shared" si="479"/>
        <v>111</v>
      </c>
      <c r="AM170" s="69"/>
      <c r="AN170" s="236"/>
      <c r="AO170" s="726">
        <f t="shared" si="480"/>
        <v>143</v>
      </c>
      <c r="AP170" s="56"/>
      <c r="AQ170" s="236"/>
      <c r="AR170" s="726">
        <f t="shared" si="481"/>
        <v>174</v>
      </c>
      <c r="AS170" s="56"/>
      <c r="AT170" s="236"/>
      <c r="AU170" s="726">
        <f t="shared" si="482"/>
        <v>199</v>
      </c>
      <c r="AV170" s="56"/>
      <c r="AW170" s="236"/>
      <c r="AX170" s="605">
        <f t="shared" si="483"/>
        <v>225.75806451612902</v>
      </c>
      <c r="AY170" s="56"/>
      <c r="AZ170" s="236"/>
      <c r="BA170" s="605">
        <f t="shared" si="484"/>
        <v>260.71358748778101</v>
      </c>
      <c r="BB170" s="56"/>
      <c r="BC170" s="236"/>
      <c r="BD170" s="605">
        <f t="shared" si="485"/>
        <v>306.14455752975675</v>
      </c>
      <c r="BE170" s="56"/>
      <c r="BF170" s="236"/>
      <c r="BG170" s="605">
        <f t="shared" si="486"/>
        <v>357.14277499856246</v>
      </c>
      <c r="BH170" s="56"/>
      <c r="BI170" s="236"/>
      <c r="BJ170" s="605">
        <f t="shared" si="487"/>
        <v>411.84865735150362</v>
      </c>
      <c r="BL170" s="107"/>
      <c r="BM170" s="107"/>
    </row>
    <row r="171" spans="1:65" ht="11.4">
      <c r="A171" s="122" t="str">
        <f t="shared" si="475"/>
        <v>Trent 7000</v>
      </c>
      <c r="N171" s="109"/>
      <c r="Q171" s="69">
        <f t="shared" si="492"/>
        <v>0</v>
      </c>
      <c r="R171" s="69"/>
      <c r="S171" s="868"/>
      <c r="T171" s="892">
        <f t="shared" si="489"/>
        <v>0</v>
      </c>
      <c r="U171" s="69"/>
      <c r="V171" s="868"/>
      <c r="W171" s="892">
        <f t="shared" si="490"/>
        <v>0</v>
      </c>
      <c r="X171" s="69"/>
      <c r="Y171" s="868"/>
      <c r="Z171" s="892">
        <f t="shared" si="491"/>
        <v>5.4</v>
      </c>
      <c r="AA171" s="69"/>
      <c r="AB171" s="868"/>
      <c r="AC171" s="726">
        <f t="shared" si="476"/>
        <v>46</v>
      </c>
      <c r="AD171" s="207"/>
      <c r="AE171" s="717"/>
      <c r="AF171" s="726">
        <f t="shared" si="477"/>
        <v>85</v>
      </c>
      <c r="AG171" s="207"/>
      <c r="AH171" s="717"/>
      <c r="AI171" s="726">
        <f t="shared" si="478"/>
        <v>110</v>
      </c>
      <c r="AJ171" s="207"/>
      <c r="AK171" s="717"/>
      <c r="AL171" s="726">
        <f t="shared" si="479"/>
        <v>150</v>
      </c>
      <c r="AM171" s="69"/>
      <c r="AN171" s="236"/>
      <c r="AO171" s="726">
        <f t="shared" si="480"/>
        <v>195</v>
      </c>
      <c r="AP171" s="56"/>
      <c r="AQ171" s="236"/>
      <c r="AR171" s="726">
        <f t="shared" si="481"/>
        <v>257</v>
      </c>
      <c r="AS171" s="56"/>
      <c r="AT171" s="236"/>
      <c r="AU171" s="726">
        <f t="shared" si="482"/>
        <v>323</v>
      </c>
      <c r="AV171" s="56"/>
      <c r="AW171" s="236"/>
      <c r="AX171" s="605">
        <f t="shared" si="483"/>
        <v>382.93235294117642</v>
      </c>
      <c r="AY171" s="56"/>
      <c r="AZ171" s="236"/>
      <c r="BA171" s="605">
        <f t="shared" si="484"/>
        <v>448.37205882352936</v>
      </c>
      <c r="BB171" s="56"/>
      <c r="BC171" s="236"/>
      <c r="BD171" s="605">
        <f t="shared" si="485"/>
        <v>517.38676470588223</v>
      </c>
      <c r="BE171" s="56"/>
      <c r="BF171" s="236"/>
      <c r="BG171" s="605">
        <f t="shared" si="486"/>
        <v>586.9762605042016</v>
      </c>
      <c r="BH171" s="56"/>
      <c r="BI171" s="236"/>
      <c r="BJ171" s="605">
        <f t="shared" si="487"/>
        <v>657.14054621848732</v>
      </c>
      <c r="BL171" s="107"/>
      <c r="BM171" s="107"/>
    </row>
    <row r="172" spans="1:65">
      <c r="A172" s="93"/>
      <c r="S172" s="595"/>
      <c r="T172" s="619"/>
      <c r="V172" s="595"/>
      <c r="W172" s="619"/>
      <c r="Y172" s="595"/>
      <c r="Z172" s="619"/>
      <c r="AB172" s="595"/>
      <c r="AC172" s="619"/>
      <c r="AE172" s="595"/>
      <c r="AF172" s="619"/>
      <c r="AH172" s="595"/>
      <c r="AI172" s="619"/>
      <c r="AK172" s="595"/>
      <c r="AL172" s="619"/>
      <c r="AN172" s="539"/>
      <c r="AO172" s="550"/>
      <c r="AP172"/>
      <c r="AQ172" s="539"/>
      <c r="AR172" s="550"/>
      <c r="AS172"/>
      <c r="AT172" s="539"/>
      <c r="AU172" s="550"/>
      <c r="AV172"/>
      <c r="AW172" s="539"/>
      <c r="AX172" s="550"/>
      <c r="AY172"/>
      <c r="AZ172" s="539"/>
      <c r="BA172" s="550"/>
      <c r="BB172"/>
      <c r="BC172" s="539"/>
      <c r="BD172" s="550"/>
      <c r="BE172"/>
      <c r="BF172" s="539"/>
      <c r="BG172" s="550"/>
      <c r="BH172"/>
      <c r="BI172" s="539"/>
      <c r="BJ172" s="550"/>
    </row>
    <row r="173" spans="1:65">
      <c r="A173" s="72" t="s">
        <v>998</v>
      </c>
      <c r="S173" s="595"/>
      <c r="T173" s="619"/>
      <c r="V173" s="595"/>
      <c r="W173" s="619"/>
      <c r="Y173" s="595"/>
      <c r="Z173" s="619"/>
      <c r="AB173" s="595"/>
      <c r="AC173" s="619"/>
      <c r="AE173" s="595"/>
      <c r="AF173" s="619"/>
      <c r="AH173" s="595"/>
      <c r="AI173" s="619"/>
      <c r="AK173" s="595"/>
      <c r="AL173" s="619"/>
      <c r="AN173" s="539"/>
      <c r="AO173" s="550"/>
      <c r="AP173"/>
      <c r="AQ173" s="539"/>
      <c r="AR173" s="550"/>
      <c r="AS173"/>
      <c r="AT173" s="539"/>
      <c r="AU173" s="550"/>
      <c r="AV173"/>
      <c r="AW173" s="539"/>
      <c r="AX173" s="550"/>
      <c r="AY173"/>
      <c r="AZ173" s="539"/>
      <c r="BA173" s="550"/>
      <c r="BB173"/>
      <c r="BC173" s="539"/>
      <c r="BD173" s="550"/>
      <c r="BE173"/>
      <c r="BF173" s="539"/>
      <c r="BG173" s="550"/>
      <c r="BH173"/>
      <c r="BI173" s="539"/>
      <c r="BJ173" s="550"/>
    </row>
    <row r="174" spans="1:65" s="1018" customFormat="1">
      <c r="A174" s="1017" t="str">
        <f>A163</f>
        <v>RB211</v>
      </c>
      <c r="S174" s="1019"/>
      <c r="T174" s="1020"/>
      <c r="V174" s="1019"/>
      <c r="W174" s="1020"/>
      <c r="Y174" s="1019"/>
      <c r="Z174" s="1020"/>
      <c r="AB174" s="1019"/>
      <c r="AC174" s="1020">
        <f>1/3</f>
        <v>0.33333333333333331</v>
      </c>
      <c r="AE174" s="1019"/>
      <c r="AF174" s="1020">
        <f>1/3</f>
        <v>0.33333333333333331</v>
      </c>
      <c r="AH174" s="1019"/>
      <c r="AI174" s="1020">
        <f>1/3</f>
        <v>0.33333333333333331</v>
      </c>
      <c r="AK174" s="1019"/>
      <c r="AL174" s="1020">
        <f>1/3</f>
        <v>0.33333333333333331</v>
      </c>
      <c r="AN174" s="1021"/>
      <c r="AO174" s="1020">
        <f>1/3</f>
        <v>0.33333333333333331</v>
      </c>
      <c r="AP174" s="1022"/>
      <c r="AQ174" s="1021"/>
      <c r="AR174" s="1020">
        <f>1/3</f>
        <v>0.33333333333333331</v>
      </c>
      <c r="AS174" s="1022"/>
      <c r="AT174" s="1021"/>
      <c r="AU174" s="1020">
        <f>1/3</f>
        <v>0.33333333333333331</v>
      </c>
      <c r="AV174" s="1022"/>
      <c r="AW174" s="1021"/>
      <c r="AX174" s="765">
        <f>AU174</f>
        <v>0.33333333333333331</v>
      </c>
      <c r="AY174" s="1022"/>
      <c r="AZ174" s="1021"/>
      <c r="BA174" s="765">
        <f>AX174</f>
        <v>0.33333333333333331</v>
      </c>
      <c r="BB174" s="1022"/>
      <c r="BC174" s="1021"/>
      <c r="BD174" s="765">
        <f>BA174</f>
        <v>0.33333333333333331</v>
      </c>
      <c r="BE174" s="1022"/>
      <c r="BF174" s="1021"/>
      <c r="BG174" s="765">
        <f>BD174</f>
        <v>0.33333333333333331</v>
      </c>
      <c r="BH174" s="1022"/>
      <c r="BI174" s="1021"/>
      <c r="BJ174" s="765">
        <v>0.9</v>
      </c>
      <c r="BK174" s="1022"/>
    </row>
    <row r="175" spans="1:65" s="1018" customFormat="1">
      <c r="A175" s="1017" t="str">
        <f t="shared" ref="A175:A181" si="493">A164</f>
        <v>Trent 500</v>
      </c>
      <c r="S175" s="1019"/>
      <c r="T175" s="1020"/>
      <c r="V175" s="1019"/>
      <c r="W175" s="1020"/>
      <c r="Y175" s="1019"/>
      <c r="Z175" s="1020"/>
      <c r="AB175" s="1019"/>
      <c r="AC175" s="1020">
        <v>0.9</v>
      </c>
      <c r="AE175" s="1019"/>
      <c r="AF175" s="1020">
        <v>0.9</v>
      </c>
      <c r="AH175" s="1019"/>
      <c r="AI175" s="1020">
        <v>0.9</v>
      </c>
      <c r="AK175" s="1019"/>
      <c r="AL175" s="1020">
        <v>0.9</v>
      </c>
      <c r="AN175" s="1021"/>
      <c r="AO175" s="1020">
        <v>0.9</v>
      </c>
      <c r="AP175" s="1022"/>
      <c r="AQ175" s="1021"/>
      <c r="AR175" s="1020">
        <v>0.9</v>
      </c>
      <c r="AS175" s="1022"/>
      <c r="AT175" s="1021"/>
      <c r="AU175" s="1020">
        <v>0.9</v>
      </c>
      <c r="AV175" s="1022"/>
      <c r="AW175" s="1021"/>
      <c r="AX175" s="765">
        <f t="shared" ref="AX175:AX182" si="494">AU175</f>
        <v>0.9</v>
      </c>
      <c r="AY175" s="1022"/>
      <c r="AZ175" s="1021"/>
      <c r="BA175" s="765">
        <f t="shared" ref="BA175:BA182" si="495">AX175</f>
        <v>0.9</v>
      </c>
      <c r="BB175" s="1022"/>
      <c r="BC175" s="1021"/>
      <c r="BD175" s="765">
        <f t="shared" ref="BD175:BD182" si="496">BA175</f>
        <v>0.9</v>
      </c>
      <c r="BE175" s="1022"/>
      <c r="BF175" s="1021"/>
      <c r="BG175" s="765">
        <f t="shared" ref="BG175:BG182" si="497">BD175</f>
        <v>0.9</v>
      </c>
      <c r="BH175" s="1022"/>
      <c r="BI175" s="1021"/>
      <c r="BJ175" s="765">
        <v>0.9</v>
      </c>
      <c r="BK175" s="1022"/>
    </row>
    <row r="176" spans="1:65" s="1018" customFormat="1">
      <c r="A176" s="1017" t="str">
        <f t="shared" si="493"/>
        <v>Trent 700</v>
      </c>
      <c r="S176" s="1019"/>
      <c r="T176" s="1020"/>
      <c r="V176" s="1019"/>
      <c r="W176" s="1020"/>
      <c r="Y176" s="1019"/>
      <c r="Z176" s="1020"/>
      <c r="AB176" s="1019"/>
      <c r="AC176" s="1020">
        <v>0.9</v>
      </c>
      <c r="AE176" s="1019"/>
      <c r="AF176" s="1020">
        <v>0.9</v>
      </c>
      <c r="AH176" s="1019"/>
      <c r="AI176" s="1020">
        <v>0.9</v>
      </c>
      <c r="AK176" s="1019"/>
      <c r="AL176" s="1020">
        <v>0.9</v>
      </c>
      <c r="AN176" s="1021"/>
      <c r="AO176" s="1020">
        <v>0.9</v>
      </c>
      <c r="AP176" s="1022"/>
      <c r="AQ176" s="1021"/>
      <c r="AR176" s="1020">
        <v>0.9</v>
      </c>
      <c r="AS176" s="1022"/>
      <c r="AT176" s="1021"/>
      <c r="AU176" s="1020">
        <v>0.9</v>
      </c>
      <c r="AV176" s="1022"/>
      <c r="AW176" s="1021"/>
      <c r="AX176" s="765">
        <f t="shared" si="494"/>
        <v>0.9</v>
      </c>
      <c r="AY176" s="1022"/>
      <c r="AZ176" s="1021"/>
      <c r="BA176" s="765">
        <f t="shared" si="495"/>
        <v>0.9</v>
      </c>
      <c r="BB176" s="1022"/>
      <c r="BC176" s="1021"/>
      <c r="BD176" s="765">
        <f t="shared" si="496"/>
        <v>0.9</v>
      </c>
      <c r="BE176" s="1022"/>
      <c r="BF176" s="1021"/>
      <c r="BG176" s="765">
        <f t="shared" si="497"/>
        <v>0.9</v>
      </c>
      <c r="BH176" s="1022"/>
      <c r="BI176" s="1021"/>
      <c r="BJ176" s="765">
        <v>0.9</v>
      </c>
      <c r="BK176" s="1022"/>
    </row>
    <row r="177" spans="1:65" s="1018" customFormat="1">
      <c r="A177" s="1017" t="str">
        <f t="shared" si="493"/>
        <v>Trent 800</v>
      </c>
      <c r="S177" s="1019"/>
      <c r="T177" s="1020"/>
      <c r="V177" s="1019"/>
      <c r="W177" s="1020"/>
      <c r="Y177" s="1019"/>
      <c r="Z177" s="1020"/>
      <c r="AB177" s="1019"/>
      <c r="AC177" s="1020">
        <v>0.9</v>
      </c>
      <c r="AE177" s="1019"/>
      <c r="AF177" s="1020">
        <v>0.9</v>
      </c>
      <c r="AH177" s="1019"/>
      <c r="AI177" s="1020">
        <v>0.9</v>
      </c>
      <c r="AK177" s="1019"/>
      <c r="AL177" s="1020">
        <v>0.9</v>
      </c>
      <c r="AN177" s="1021"/>
      <c r="AO177" s="1020">
        <v>0.9</v>
      </c>
      <c r="AP177" s="1022"/>
      <c r="AQ177" s="1021"/>
      <c r="AR177" s="1020">
        <v>0.9</v>
      </c>
      <c r="AS177" s="1022"/>
      <c r="AT177" s="1021"/>
      <c r="AU177" s="1020">
        <v>0.9</v>
      </c>
      <c r="AV177" s="1022"/>
      <c r="AW177" s="1021"/>
      <c r="AX177" s="765">
        <f t="shared" si="494"/>
        <v>0.9</v>
      </c>
      <c r="AY177" s="1022"/>
      <c r="AZ177" s="1021"/>
      <c r="BA177" s="765">
        <f t="shared" si="495"/>
        <v>0.9</v>
      </c>
      <c r="BB177" s="1022"/>
      <c r="BC177" s="1021"/>
      <c r="BD177" s="765">
        <f t="shared" si="496"/>
        <v>0.9</v>
      </c>
      <c r="BE177" s="1022"/>
      <c r="BF177" s="1021"/>
      <c r="BG177" s="765">
        <f t="shared" si="497"/>
        <v>0.9</v>
      </c>
      <c r="BH177" s="1022"/>
      <c r="BI177" s="1021"/>
      <c r="BJ177" s="765">
        <v>0.9</v>
      </c>
      <c r="BK177" s="1022"/>
    </row>
    <row r="178" spans="1:65" s="1018" customFormat="1">
      <c r="A178" s="1017" t="str">
        <f t="shared" si="493"/>
        <v>Trent 900</v>
      </c>
      <c r="S178" s="1019"/>
      <c r="T178" s="1020"/>
      <c r="V178" s="1019"/>
      <c r="W178" s="1020"/>
      <c r="Y178" s="1019"/>
      <c r="Z178" s="1020"/>
      <c r="AB178" s="1019"/>
      <c r="AC178" s="1020">
        <v>0.9</v>
      </c>
      <c r="AE178" s="1019"/>
      <c r="AF178" s="1020">
        <v>0.9</v>
      </c>
      <c r="AH178" s="1019"/>
      <c r="AI178" s="1020">
        <v>0.9</v>
      </c>
      <c r="AK178" s="1019"/>
      <c r="AL178" s="1020">
        <v>0.9</v>
      </c>
      <c r="AN178" s="1021"/>
      <c r="AO178" s="1020">
        <v>0.9</v>
      </c>
      <c r="AP178" s="1022"/>
      <c r="AQ178" s="1021"/>
      <c r="AR178" s="1020">
        <v>0.9</v>
      </c>
      <c r="AS178" s="1022"/>
      <c r="AT178" s="1021"/>
      <c r="AU178" s="1020">
        <v>0.9</v>
      </c>
      <c r="AV178" s="1022"/>
      <c r="AW178" s="1021"/>
      <c r="AX178" s="765">
        <f t="shared" si="494"/>
        <v>0.9</v>
      </c>
      <c r="AY178" s="1022"/>
      <c r="AZ178" s="1021"/>
      <c r="BA178" s="765">
        <f t="shared" si="495"/>
        <v>0.9</v>
      </c>
      <c r="BB178" s="1022"/>
      <c r="BC178" s="1021"/>
      <c r="BD178" s="765">
        <f t="shared" si="496"/>
        <v>0.9</v>
      </c>
      <c r="BE178" s="1022"/>
      <c r="BF178" s="1021"/>
      <c r="BG178" s="765">
        <f t="shared" si="497"/>
        <v>0.9</v>
      </c>
      <c r="BH178" s="1022"/>
      <c r="BI178" s="1021"/>
      <c r="BJ178" s="765">
        <v>0.9</v>
      </c>
      <c r="BK178" s="1022"/>
    </row>
    <row r="179" spans="1:65" s="1018" customFormat="1">
      <c r="A179" s="1017" t="str">
        <f t="shared" si="493"/>
        <v>Trent 1000</v>
      </c>
      <c r="S179" s="1019"/>
      <c r="T179" s="1020"/>
      <c r="V179" s="1019"/>
      <c r="W179" s="1020"/>
      <c r="Y179" s="1019"/>
      <c r="Z179" s="1020"/>
      <c r="AB179" s="1019"/>
      <c r="AC179" s="1020">
        <v>1</v>
      </c>
      <c r="AE179" s="1019"/>
      <c r="AF179" s="1020">
        <v>1</v>
      </c>
      <c r="AH179" s="1019"/>
      <c r="AI179" s="1020">
        <v>1</v>
      </c>
      <c r="AK179" s="1019"/>
      <c r="AL179" s="1020">
        <v>1</v>
      </c>
      <c r="AN179" s="1021"/>
      <c r="AO179" s="1020">
        <v>1</v>
      </c>
      <c r="AP179" s="1022"/>
      <c r="AQ179" s="1021"/>
      <c r="AR179" s="1020">
        <v>1</v>
      </c>
      <c r="AS179" s="1022"/>
      <c r="AT179" s="1021"/>
      <c r="AU179" s="1020">
        <v>1</v>
      </c>
      <c r="AV179" s="1022"/>
      <c r="AW179" s="1021"/>
      <c r="AX179" s="765">
        <f t="shared" si="494"/>
        <v>1</v>
      </c>
      <c r="AY179" s="1022"/>
      <c r="AZ179" s="1021"/>
      <c r="BA179" s="765">
        <f t="shared" si="495"/>
        <v>1</v>
      </c>
      <c r="BB179" s="1022"/>
      <c r="BC179" s="1021"/>
      <c r="BD179" s="765">
        <f t="shared" si="496"/>
        <v>1</v>
      </c>
      <c r="BE179" s="1022"/>
      <c r="BF179" s="1021"/>
      <c r="BG179" s="765">
        <f t="shared" si="497"/>
        <v>1</v>
      </c>
      <c r="BH179" s="1022"/>
      <c r="BI179" s="1021"/>
      <c r="BJ179" s="765">
        <v>1</v>
      </c>
      <c r="BK179" s="1022"/>
    </row>
    <row r="180" spans="1:65" s="1018" customFormat="1">
      <c r="A180" s="1017" t="str">
        <f t="shared" si="493"/>
        <v>Trent XWB-84</v>
      </c>
      <c r="S180" s="1019"/>
      <c r="T180" s="1020"/>
      <c r="V180" s="1019"/>
      <c r="W180" s="1020"/>
      <c r="Y180" s="1019"/>
      <c r="Z180" s="1020"/>
      <c r="AB180" s="1019"/>
      <c r="AC180" s="1020">
        <v>1</v>
      </c>
      <c r="AE180" s="1019"/>
      <c r="AF180" s="1020">
        <v>1</v>
      </c>
      <c r="AH180" s="1019"/>
      <c r="AI180" s="1020">
        <v>1</v>
      </c>
      <c r="AK180" s="1019"/>
      <c r="AL180" s="1020">
        <v>1</v>
      </c>
      <c r="AN180" s="1021"/>
      <c r="AO180" s="1020">
        <v>1</v>
      </c>
      <c r="AP180" s="1022"/>
      <c r="AQ180" s="1021"/>
      <c r="AR180" s="1020">
        <v>1</v>
      </c>
      <c r="AS180" s="1022"/>
      <c r="AT180" s="1021"/>
      <c r="AU180" s="1020">
        <v>1</v>
      </c>
      <c r="AV180" s="1022"/>
      <c r="AW180" s="1021"/>
      <c r="AX180" s="765">
        <f t="shared" si="494"/>
        <v>1</v>
      </c>
      <c r="AY180" s="1022"/>
      <c r="AZ180" s="1021"/>
      <c r="BA180" s="765">
        <f t="shared" si="495"/>
        <v>1</v>
      </c>
      <c r="BB180" s="1022"/>
      <c r="BC180" s="1021"/>
      <c r="BD180" s="765">
        <f t="shared" si="496"/>
        <v>1</v>
      </c>
      <c r="BE180" s="1022"/>
      <c r="BF180" s="1021"/>
      <c r="BG180" s="765">
        <f t="shared" si="497"/>
        <v>1</v>
      </c>
      <c r="BH180" s="1022"/>
      <c r="BI180" s="1021"/>
      <c r="BJ180" s="765">
        <v>1</v>
      </c>
      <c r="BK180" s="1022"/>
    </row>
    <row r="181" spans="1:65" s="1018" customFormat="1">
      <c r="A181" s="1017" t="str">
        <f t="shared" si="493"/>
        <v>Trent XWB-97</v>
      </c>
      <c r="S181" s="1019"/>
      <c r="T181" s="1020"/>
      <c r="V181" s="1019"/>
      <c r="W181" s="1020"/>
      <c r="Y181" s="1019"/>
      <c r="Z181" s="1020"/>
      <c r="AB181" s="1019"/>
      <c r="AC181" s="1020">
        <v>1</v>
      </c>
      <c r="AE181" s="1019"/>
      <c r="AF181" s="1020">
        <v>1</v>
      </c>
      <c r="AH181" s="1019"/>
      <c r="AI181" s="1020">
        <v>1</v>
      </c>
      <c r="AK181" s="1019"/>
      <c r="AL181" s="1020">
        <v>1</v>
      </c>
      <c r="AN181" s="1021"/>
      <c r="AO181" s="1020">
        <v>1</v>
      </c>
      <c r="AP181" s="1022"/>
      <c r="AQ181" s="1021"/>
      <c r="AR181" s="1020">
        <v>1</v>
      </c>
      <c r="AS181" s="1022"/>
      <c r="AT181" s="1021"/>
      <c r="AU181" s="1020">
        <v>1</v>
      </c>
      <c r="AV181" s="1022"/>
      <c r="AW181" s="1021"/>
      <c r="AX181" s="765">
        <f t="shared" si="494"/>
        <v>1</v>
      </c>
      <c r="AY181" s="1022"/>
      <c r="AZ181" s="1021"/>
      <c r="BA181" s="765">
        <f t="shared" si="495"/>
        <v>1</v>
      </c>
      <c r="BB181" s="1022"/>
      <c r="BC181" s="1021"/>
      <c r="BD181" s="765">
        <f t="shared" si="496"/>
        <v>1</v>
      </c>
      <c r="BE181" s="1022"/>
      <c r="BF181" s="1021"/>
      <c r="BG181" s="765">
        <f t="shared" si="497"/>
        <v>1</v>
      </c>
      <c r="BH181" s="1022"/>
      <c r="BI181" s="1021"/>
      <c r="BJ181" s="765">
        <v>1</v>
      </c>
      <c r="BK181" s="1022"/>
    </row>
    <row r="182" spans="1:65" s="1018" customFormat="1">
      <c r="A182" s="1017" t="str">
        <f>A171</f>
        <v>Trent 7000</v>
      </c>
      <c r="S182" s="1019"/>
      <c r="T182" s="1020"/>
      <c r="V182" s="1019"/>
      <c r="W182" s="1020"/>
      <c r="Y182" s="1019"/>
      <c r="Z182" s="1020"/>
      <c r="AB182" s="1019"/>
      <c r="AC182" s="1020">
        <v>1</v>
      </c>
      <c r="AE182" s="1019"/>
      <c r="AF182" s="1020">
        <v>1</v>
      </c>
      <c r="AH182" s="1019"/>
      <c r="AI182" s="1020">
        <v>1</v>
      </c>
      <c r="AK182" s="1019"/>
      <c r="AL182" s="1020">
        <v>1</v>
      </c>
      <c r="AN182" s="1021"/>
      <c r="AO182" s="1020">
        <v>1</v>
      </c>
      <c r="AP182" s="1022"/>
      <c r="AQ182" s="1021"/>
      <c r="AR182" s="1020">
        <v>1</v>
      </c>
      <c r="AS182" s="1022"/>
      <c r="AT182" s="1021"/>
      <c r="AU182" s="1020">
        <v>1</v>
      </c>
      <c r="AV182" s="1022"/>
      <c r="AW182" s="1021"/>
      <c r="AX182" s="765">
        <f t="shared" si="494"/>
        <v>1</v>
      </c>
      <c r="AY182" s="1022"/>
      <c r="AZ182" s="1021"/>
      <c r="BA182" s="765">
        <f t="shared" si="495"/>
        <v>1</v>
      </c>
      <c r="BB182" s="1022"/>
      <c r="BC182" s="1021"/>
      <c r="BD182" s="765">
        <f t="shared" si="496"/>
        <v>1</v>
      </c>
      <c r="BE182" s="1022"/>
      <c r="BF182" s="1021"/>
      <c r="BG182" s="765">
        <f t="shared" si="497"/>
        <v>1</v>
      </c>
      <c r="BH182" s="1022"/>
      <c r="BI182" s="1021"/>
      <c r="BJ182" s="765">
        <v>1</v>
      </c>
      <c r="BK182" s="1022"/>
    </row>
    <row r="183" spans="1:65">
      <c r="A183" s="93"/>
      <c r="S183" s="595"/>
      <c r="T183" s="619"/>
      <c r="V183" s="595"/>
      <c r="W183" s="619"/>
      <c r="Y183" s="595"/>
      <c r="Z183" s="619"/>
      <c r="AB183" s="595"/>
      <c r="AC183" s="619"/>
      <c r="AE183" s="595"/>
      <c r="AF183" s="619"/>
      <c r="AH183" s="595"/>
      <c r="AI183" s="619"/>
      <c r="AK183" s="595"/>
      <c r="AL183" s="619"/>
      <c r="AN183" s="539"/>
      <c r="AO183" s="550"/>
      <c r="AP183"/>
      <c r="AQ183" s="539"/>
      <c r="AR183" s="550"/>
      <c r="AS183"/>
      <c r="AT183" s="539"/>
      <c r="AU183" s="550"/>
      <c r="AV183"/>
      <c r="AW183" s="539"/>
      <c r="AX183" s="550"/>
      <c r="AY183"/>
      <c r="AZ183" s="539"/>
      <c r="BA183" s="550"/>
      <c r="BB183"/>
      <c r="BC183" s="539"/>
      <c r="BD183" s="550"/>
      <c r="BE183"/>
      <c r="BF183" s="539"/>
      <c r="BG183" s="550"/>
      <c r="BH183"/>
      <c r="BI183" s="539"/>
      <c r="BJ183" s="550"/>
    </row>
    <row r="184" spans="1:65" ht="12">
      <c r="A184" s="72" t="s">
        <v>658</v>
      </c>
      <c r="F184" s="125"/>
      <c r="P184" s="63"/>
      <c r="Q184" s="63"/>
      <c r="R184" s="63"/>
      <c r="S184" s="792"/>
      <c r="T184" s="823">
        <f>-T195/T107</f>
        <v>0.13187383790664778</v>
      </c>
      <c r="U184" s="63"/>
      <c r="V184" s="792"/>
      <c r="W184" s="823">
        <f>-W195/W107</f>
        <v>0.10637771099686245</v>
      </c>
      <c r="X184" s="63"/>
      <c r="Y184" s="792"/>
      <c r="Z184" s="823">
        <f t="shared" ref="Z184:BJ184" si="498">-Z195/Z107</f>
        <v>0.1704862436014459</v>
      </c>
      <c r="AA184" s="116">
        <f t="shared" si="498"/>
        <v>0.13996111597312694</v>
      </c>
      <c r="AB184" s="792">
        <f t="shared" si="498"/>
        <v>0.11421159315314511</v>
      </c>
      <c r="AC184" s="823">
        <f t="shared" si="498"/>
        <v>0.12578204866865983</v>
      </c>
      <c r="AD184" s="116">
        <f t="shared" si="498"/>
        <v>9.3143889250871623E-2</v>
      </c>
      <c r="AE184" s="792">
        <f t="shared" si="498"/>
        <v>0.83524443358809342</v>
      </c>
      <c r="AF184" s="823">
        <f t="shared" si="498"/>
        <v>0.1675977887822506</v>
      </c>
      <c r="AG184" s="116">
        <f t="shared" si="498"/>
        <v>0.1732843603093436</v>
      </c>
      <c r="AH184" s="792">
        <f t="shared" si="498"/>
        <v>0.19001624035368755</v>
      </c>
      <c r="AI184" s="823">
        <f t="shared" si="498"/>
        <v>0.18126500533157974</v>
      </c>
      <c r="AJ184" s="116">
        <f t="shared" si="498"/>
        <v>0.23760064792546617</v>
      </c>
      <c r="AK184" s="792">
        <f t="shared" si="498"/>
        <v>0.14099817047304586</v>
      </c>
      <c r="AL184" s="823">
        <f t="shared" si="498"/>
        <v>0.17697496681269459</v>
      </c>
      <c r="AM184" s="116">
        <f t="shared" si="498"/>
        <v>0.18789577374943969</v>
      </c>
      <c r="AN184" s="792">
        <f t="shared" si="498"/>
        <v>0.15958271195157894</v>
      </c>
      <c r="AO184" s="823">
        <f t="shared" si="498"/>
        <v>0.17258574774022609</v>
      </c>
      <c r="AP184" s="116">
        <f t="shared" si="498"/>
        <v>0.17522227942598334</v>
      </c>
      <c r="AQ184" s="792">
        <f t="shared" si="498"/>
        <v>0.17552791086035605</v>
      </c>
      <c r="AR184" s="823">
        <f t="shared" si="498"/>
        <v>0.17538089827167044</v>
      </c>
      <c r="AS184" s="116">
        <f t="shared" si="498"/>
        <v>0.18185560163212769</v>
      </c>
      <c r="AT184" s="228">
        <f t="shared" si="498"/>
        <v>0.17786550972769949</v>
      </c>
      <c r="AU184" s="745">
        <f t="shared" si="498"/>
        <v>0.17976667116451528</v>
      </c>
      <c r="AV184" s="222">
        <f t="shared" si="498"/>
        <v>0.19020502323486391</v>
      </c>
      <c r="AW184" s="803">
        <f t="shared" si="498"/>
        <v>0.17775091727619352</v>
      </c>
      <c r="AX184" s="834">
        <f t="shared" si="498"/>
        <v>0.18349534131030673</v>
      </c>
      <c r="AY184" s="957">
        <f t="shared" si="498"/>
        <v>0.18933964406031345</v>
      </c>
      <c r="AZ184" s="803">
        <f t="shared" si="498"/>
        <v>0.18933964406031345</v>
      </c>
      <c r="BA184" s="834">
        <f t="shared" si="498"/>
        <v>0.18933964406031345</v>
      </c>
      <c r="BB184" s="957">
        <f t="shared" si="498"/>
        <v>0.19514088925816109</v>
      </c>
      <c r="BC184" s="803">
        <f t="shared" si="498"/>
        <v>0.19514088925816109</v>
      </c>
      <c r="BD184" s="834">
        <f t="shared" si="498"/>
        <v>0.19514088925816109</v>
      </c>
      <c r="BE184" s="957">
        <f t="shared" si="498"/>
        <v>0.20054911256964914</v>
      </c>
      <c r="BF184" s="803">
        <f t="shared" si="498"/>
        <v>0.20054911256964914</v>
      </c>
      <c r="BG184" s="834">
        <f t="shared" si="498"/>
        <v>0.20054911256964914</v>
      </c>
      <c r="BH184" s="957">
        <f t="shared" si="498"/>
        <v>0.20326609813416502</v>
      </c>
      <c r="BI184" s="803">
        <f t="shared" si="498"/>
        <v>0.20326609813416502</v>
      </c>
      <c r="BJ184" s="834">
        <f t="shared" si="498"/>
        <v>0.20326609813416502</v>
      </c>
      <c r="BL184" s="129"/>
      <c r="BM184" s="129"/>
    </row>
    <row r="185" spans="1:65" ht="11.4">
      <c r="A185" s="122" t="str">
        <f>A174</f>
        <v>RB211</v>
      </c>
      <c r="P185" s="109"/>
      <c r="Q185" s="109"/>
      <c r="R185" s="109"/>
      <c r="S185" s="869"/>
      <c r="T185" s="913"/>
      <c r="U185" s="109"/>
      <c r="V185" s="869"/>
      <c r="W185" s="913"/>
      <c r="X185" s="109"/>
      <c r="Y185" s="869"/>
      <c r="Z185" s="913"/>
      <c r="AA185" s="109"/>
      <c r="AB185" s="869"/>
      <c r="AC185" s="913">
        <v>0.05</v>
      </c>
      <c r="AD185" s="109"/>
      <c r="AE185" s="869"/>
      <c r="AF185" s="854">
        <f t="shared" ref="AF185" si="499">+AC185</f>
        <v>0.05</v>
      </c>
      <c r="AG185" s="109"/>
      <c r="AH185" s="869"/>
      <c r="AI185" s="854">
        <f t="shared" ref="AI185" si="500">+AF185</f>
        <v>0.05</v>
      </c>
      <c r="AJ185" s="109"/>
      <c r="AK185" s="869"/>
      <c r="AL185" s="854">
        <f t="shared" ref="AL185" si="501">+AI185</f>
        <v>0.05</v>
      </c>
      <c r="AM185" s="164"/>
      <c r="AN185" s="869"/>
      <c r="AO185" s="854">
        <f>AL185</f>
        <v>0.05</v>
      </c>
      <c r="AP185" s="182"/>
      <c r="AQ185" s="252"/>
      <c r="AR185" s="854">
        <f t="shared" ref="AR185" si="502">+AO185</f>
        <v>0.05</v>
      </c>
      <c r="AS185" s="182"/>
      <c r="AT185" s="217"/>
      <c r="AU185" s="854">
        <f t="shared" ref="AU185:AU193" si="503">+AR185</f>
        <v>0.05</v>
      </c>
      <c r="AV185" s="182"/>
      <c r="AW185" s="252"/>
      <c r="AX185" s="577">
        <f t="shared" ref="AX185" si="504">+AU185</f>
        <v>0.05</v>
      </c>
      <c r="AY185" s="182"/>
      <c r="AZ185" s="252"/>
      <c r="BA185" s="577">
        <f t="shared" ref="BA185" si="505">+AX185</f>
        <v>0.05</v>
      </c>
      <c r="BB185" s="182"/>
      <c r="BC185" s="252"/>
      <c r="BD185" s="577">
        <f t="shared" ref="BD185" si="506">+BA185</f>
        <v>0.05</v>
      </c>
      <c r="BE185" s="182"/>
      <c r="BF185" s="252"/>
      <c r="BG185" s="577">
        <f t="shared" ref="BG185" si="507">+BD185</f>
        <v>0.05</v>
      </c>
      <c r="BH185" s="182"/>
      <c r="BI185" s="252"/>
      <c r="BJ185" s="577">
        <f t="shared" ref="BJ185" si="508">+BG185</f>
        <v>0.05</v>
      </c>
      <c r="BL185" s="107"/>
      <c r="BM185" s="107"/>
    </row>
    <row r="186" spans="1:65" ht="11.4">
      <c r="A186" s="122" t="str">
        <f t="shared" ref="A186:A193" si="509">A175</f>
        <v>Trent 500</v>
      </c>
      <c r="P186" s="109"/>
      <c r="Q186" s="109">
        <v>0.2</v>
      </c>
      <c r="R186" s="109"/>
      <c r="S186" s="869"/>
      <c r="T186" s="913">
        <f t="shared" ref="T186" si="510">+Q186</f>
        <v>0.2</v>
      </c>
      <c r="U186" s="109"/>
      <c r="V186" s="869"/>
      <c r="W186" s="913">
        <f>+T186</f>
        <v>0.2</v>
      </c>
      <c r="X186" s="109"/>
      <c r="Y186" s="869"/>
      <c r="Z186" s="913">
        <f t="shared" ref="Z186:Z193" si="511">+W186</f>
        <v>0.2</v>
      </c>
      <c r="AA186" s="109"/>
      <c r="AB186" s="869"/>
      <c r="AC186" s="913">
        <v>0.05</v>
      </c>
      <c r="AD186" s="109"/>
      <c r="AE186" s="869"/>
      <c r="AF186" s="854">
        <f t="shared" ref="AF186:AF193" si="512">+AC186</f>
        <v>0.05</v>
      </c>
      <c r="AG186" s="109"/>
      <c r="AH186" s="869"/>
      <c r="AI186" s="854">
        <f t="shared" ref="AI186:AI193" si="513">+AF186</f>
        <v>0.05</v>
      </c>
      <c r="AJ186" s="109"/>
      <c r="AK186" s="869"/>
      <c r="AL186" s="854">
        <f t="shared" ref="AL186:AL193" si="514">+AI186</f>
        <v>0.05</v>
      </c>
      <c r="AM186" s="164"/>
      <c r="AN186" s="869"/>
      <c r="AO186" s="854">
        <f>AL186</f>
        <v>0.05</v>
      </c>
      <c r="AP186" s="182"/>
      <c r="AQ186" s="252"/>
      <c r="AR186" s="854">
        <f t="shared" ref="AR186:AR193" si="515">+AO186</f>
        <v>0.05</v>
      </c>
      <c r="AS186" s="182"/>
      <c r="AT186" s="217"/>
      <c r="AU186" s="854">
        <f t="shared" si="503"/>
        <v>0.05</v>
      </c>
      <c r="AV186" s="182"/>
      <c r="AW186" s="252"/>
      <c r="AX186" s="577">
        <f t="shared" ref="AX186:AX193" si="516">+AU186</f>
        <v>0.05</v>
      </c>
      <c r="AY186" s="182"/>
      <c r="AZ186" s="252"/>
      <c r="BA186" s="577">
        <f t="shared" ref="BA186:BA193" si="517">+AX186</f>
        <v>0.05</v>
      </c>
      <c r="BB186" s="182"/>
      <c r="BC186" s="252"/>
      <c r="BD186" s="577">
        <f t="shared" ref="BD186:BD193" si="518">+BA186</f>
        <v>0.05</v>
      </c>
      <c r="BE186" s="182"/>
      <c r="BF186" s="252"/>
      <c r="BG186" s="577">
        <f t="shared" ref="BG186:BG193" si="519">+BD186</f>
        <v>0.05</v>
      </c>
      <c r="BH186" s="182"/>
      <c r="BI186" s="252"/>
      <c r="BJ186" s="577">
        <f t="shared" ref="BJ186:BJ191" si="520">+BG186</f>
        <v>0.05</v>
      </c>
      <c r="BL186" s="107"/>
      <c r="BM186" s="107"/>
    </row>
    <row r="187" spans="1:65" ht="11.4">
      <c r="A187" s="122" t="str">
        <f t="shared" si="509"/>
        <v>Trent 700</v>
      </c>
      <c r="P187" s="109"/>
      <c r="Q187" s="109">
        <f>+T187</f>
        <v>0.1</v>
      </c>
      <c r="R187" s="109"/>
      <c r="S187" s="869"/>
      <c r="T187" s="913">
        <f>+W187</f>
        <v>0.1</v>
      </c>
      <c r="U187" s="109"/>
      <c r="V187" s="869"/>
      <c r="W187" s="913">
        <v>0.1</v>
      </c>
      <c r="X187" s="109"/>
      <c r="Y187" s="869"/>
      <c r="Z187" s="913">
        <f t="shared" si="511"/>
        <v>0.1</v>
      </c>
      <c r="AA187" s="109"/>
      <c r="AB187" s="869"/>
      <c r="AC187" s="913">
        <v>0.05</v>
      </c>
      <c r="AD187" s="109"/>
      <c r="AE187" s="869"/>
      <c r="AF187" s="854">
        <f t="shared" si="512"/>
        <v>0.05</v>
      </c>
      <c r="AG187" s="109"/>
      <c r="AH187" s="869"/>
      <c r="AI187" s="854">
        <f t="shared" si="513"/>
        <v>0.05</v>
      </c>
      <c r="AJ187" s="109"/>
      <c r="AK187" s="869"/>
      <c r="AL187" s="854">
        <f t="shared" si="514"/>
        <v>0.05</v>
      </c>
      <c r="AM187" s="164"/>
      <c r="AN187" s="869"/>
      <c r="AO187" s="854">
        <f t="shared" ref="AO187:AO193" si="521">AL187</f>
        <v>0.05</v>
      </c>
      <c r="AP187" s="182"/>
      <c r="AQ187" s="252"/>
      <c r="AR187" s="854">
        <f t="shared" si="515"/>
        <v>0.05</v>
      </c>
      <c r="AS187" s="182"/>
      <c r="AT187" s="217"/>
      <c r="AU187" s="854">
        <f t="shared" si="503"/>
        <v>0.05</v>
      </c>
      <c r="AV187" s="182"/>
      <c r="AW187" s="252"/>
      <c r="AX187" s="577">
        <f t="shared" si="516"/>
        <v>0.05</v>
      </c>
      <c r="AY187" s="182"/>
      <c r="AZ187" s="252"/>
      <c r="BA187" s="577">
        <f t="shared" si="517"/>
        <v>0.05</v>
      </c>
      <c r="BB187" s="182"/>
      <c r="BC187" s="252"/>
      <c r="BD187" s="577">
        <f t="shared" si="518"/>
        <v>0.05</v>
      </c>
      <c r="BE187" s="182"/>
      <c r="BF187" s="252"/>
      <c r="BG187" s="577">
        <f t="shared" si="519"/>
        <v>0.05</v>
      </c>
      <c r="BH187" s="182"/>
      <c r="BI187" s="252"/>
      <c r="BJ187" s="577">
        <f t="shared" si="520"/>
        <v>0.05</v>
      </c>
      <c r="BL187" s="107"/>
      <c r="BM187" s="107"/>
    </row>
    <row r="188" spans="1:65" ht="11.4">
      <c r="A188" s="122" t="str">
        <f t="shared" si="509"/>
        <v>Trent 800</v>
      </c>
      <c r="P188" s="109"/>
      <c r="Q188" s="109">
        <v>0.1</v>
      </c>
      <c r="R188" s="109"/>
      <c r="S188" s="869"/>
      <c r="T188" s="913">
        <f t="shared" ref="T188:T193" si="522">+Q188</f>
        <v>0.1</v>
      </c>
      <c r="U188" s="109"/>
      <c r="V188" s="869"/>
      <c r="W188" s="913">
        <f t="shared" ref="W188:W193" si="523">+T188</f>
        <v>0.1</v>
      </c>
      <c r="X188" s="109"/>
      <c r="Y188" s="869"/>
      <c r="Z188" s="913">
        <f t="shared" si="511"/>
        <v>0.1</v>
      </c>
      <c r="AA188" s="109"/>
      <c r="AB188" s="869"/>
      <c r="AC188" s="913">
        <v>0.05</v>
      </c>
      <c r="AD188" s="109"/>
      <c r="AE188" s="869"/>
      <c r="AF188" s="854">
        <f t="shared" si="512"/>
        <v>0.05</v>
      </c>
      <c r="AG188" s="109"/>
      <c r="AH188" s="869"/>
      <c r="AI188" s="854">
        <f t="shared" si="513"/>
        <v>0.05</v>
      </c>
      <c r="AJ188" s="109"/>
      <c r="AK188" s="869"/>
      <c r="AL188" s="854">
        <f t="shared" si="514"/>
        <v>0.05</v>
      </c>
      <c r="AM188" s="164"/>
      <c r="AN188" s="869"/>
      <c r="AO188" s="854">
        <f t="shared" si="521"/>
        <v>0.05</v>
      </c>
      <c r="AP188" s="182"/>
      <c r="AQ188" s="252"/>
      <c r="AR188" s="854">
        <f t="shared" si="515"/>
        <v>0.05</v>
      </c>
      <c r="AS188" s="182"/>
      <c r="AT188" s="217"/>
      <c r="AU188" s="854">
        <f t="shared" si="503"/>
        <v>0.05</v>
      </c>
      <c r="AV188" s="182"/>
      <c r="AW188" s="252"/>
      <c r="AX188" s="577">
        <f t="shared" si="516"/>
        <v>0.05</v>
      </c>
      <c r="AY188" s="182"/>
      <c r="AZ188" s="252"/>
      <c r="BA188" s="577">
        <f t="shared" si="517"/>
        <v>0.05</v>
      </c>
      <c r="BB188" s="182"/>
      <c r="BC188" s="252"/>
      <c r="BD188" s="577">
        <f t="shared" si="518"/>
        <v>0.05</v>
      </c>
      <c r="BE188" s="182"/>
      <c r="BF188" s="252"/>
      <c r="BG188" s="577">
        <f t="shared" si="519"/>
        <v>0.05</v>
      </c>
      <c r="BH188" s="182"/>
      <c r="BI188" s="252"/>
      <c r="BJ188" s="577">
        <f t="shared" si="520"/>
        <v>0.05</v>
      </c>
      <c r="BL188" s="107"/>
      <c r="BM188" s="107"/>
    </row>
    <row r="189" spans="1:65" ht="11.4">
      <c r="A189" s="122" t="str">
        <f t="shared" si="509"/>
        <v>Trent 900</v>
      </c>
      <c r="P189" s="109"/>
      <c r="Q189" s="109">
        <v>0.2</v>
      </c>
      <c r="R189" s="109"/>
      <c r="S189" s="869"/>
      <c r="T189" s="913">
        <f t="shared" si="522"/>
        <v>0.2</v>
      </c>
      <c r="U189" s="109"/>
      <c r="V189" s="869"/>
      <c r="W189" s="913">
        <f t="shared" si="523"/>
        <v>0.2</v>
      </c>
      <c r="X189" s="109"/>
      <c r="Y189" s="869"/>
      <c r="Z189" s="913">
        <f t="shared" si="511"/>
        <v>0.2</v>
      </c>
      <c r="AA189" s="109"/>
      <c r="AB189" s="869"/>
      <c r="AC189" s="913">
        <v>0.05</v>
      </c>
      <c r="AD189" s="109"/>
      <c r="AE189" s="869"/>
      <c r="AF189" s="854">
        <f t="shared" si="512"/>
        <v>0.05</v>
      </c>
      <c r="AG189" s="109"/>
      <c r="AH189" s="869"/>
      <c r="AI189" s="854">
        <f t="shared" si="513"/>
        <v>0.05</v>
      </c>
      <c r="AJ189" s="109"/>
      <c r="AK189" s="869"/>
      <c r="AL189" s="854">
        <f t="shared" si="514"/>
        <v>0.05</v>
      </c>
      <c r="AM189" s="164"/>
      <c r="AN189" s="869"/>
      <c r="AO189" s="854">
        <f t="shared" si="521"/>
        <v>0.05</v>
      </c>
      <c r="AP189" s="182"/>
      <c r="AQ189" s="252"/>
      <c r="AR189" s="854">
        <f t="shared" si="515"/>
        <v>0.05</v>
      </c>
      <c r="AS189" s="182"/>
      <c r="AT189" s="217"/>
      <c r="AU189" s="854">
        <f t="shared" si="503"/>
        <v>0.05</v>
      </c>
      <c r="AV189" s="182"/>
      <c r="AW189" s="252"/>
      <c r="AX189" s="577">
        <f t="shared" si="516"/>
        <v>0.05</v>
      </c>
      <c r="AY189" s="182"/>
      <c r="AZ189" s="252"/>
      <c r="BA189" s="577">
        <f t="shared" si="517"/>
        <v>0.05</v>
      </c>
      <c r="BB189" s="182"/>
      <c r="BC189" s="252"/>
      <c r="BD189" s="577">
        <f t="shared" si="518"/>
        <v>0.05</v>
      </c>
      <c r="BE189" s="182"/>
      <c r="BF189" s="252"/>
      <c r="BG189" s="577">
        <f t="shared" si="519"/>
        <v>0.05</v>
      </c>
      <c r="BH189" s="182"/>
      <c r="BI189" s="252"/>
      <c r="BJ189" s="577">
        <f t="shared" si="520"/>
        <v>0.05</v>
      </c>
      <c r="BL189" s="107"/>
      <c r="BM189" s="107"/>
    </row>
    <row r="190" spans="1:65" ht="11.4">
      <c r="A190" s="122" t="str">
        <f t="shared" si="509"/>
        <v>Trent 1000</v>
      </c>
      <c r="P190" s="109"/>
      <c r="Q190" s="109">
        <v>0.3</v>
      </c>
      <c r="R190" s="109"/>
      <c r="S190" s="869"/>
      <c r="T190" s="913">
        <f t="shared" si="522"/>
        <v>0.3</v>
      </c>
      <c r="U190" s="109"/>
      <c r="V190" s="869"/>
      <c r="W190" s="913">
        <f t="shared" si="523"/>
        <v>0.3</v>
      </c>
      <c r="X190" s="109"/>
      <c r="Y190" s="869"/>
      <c r="Z190" s="913">
        <f t="shared" si="511"/>
        <v>0.3</v>
      </c>
      <c r="AA190" s="109"/>
      <c r="AB190" s="869"/>
      <c r="AC190" s="913">
        <v>0.25</v>
      </c>
      <c r="AD190" s="109"/>
      <c r="AE190" s="869"/>
      <c r="AF190" s="854">
        <f t="shared" si="512"/>
        <v>0.25</v>
      </c>
      <c r="AG190" s="109"/>
      <c r="AH190" s="869"/>
      <c r="AI190" s="854">
        <f t="shared" si="513"/>
        <v>0.25</v>
      </c>
      <c r="AJ190" s="109"/>
      <c r="AK190" s="869"/>
      <c r="AL190" s="854">
        <f t="shared" si="514"/>
        <v>0.25</v>
      </c>
      <c r="AM190" s="164"/>
      <c r="AN190" s="869"/>
      <c r="AO190" s="854">
        <f t="shared" si="521"/>
        <v>0.25</v>
      </c>
      <c r="AP190" s="182"/>
      <c r="AQ190" s="252"/>
      <c r="AR190" s="854">
        <f t="shared" si="515"/>
        <v>0.25</v>
      </c>
      <c r="AS190" s="182"/>
      <c r="AT190" s="217"/>
      <c r="AU190" s="854">
        <f t="shared" si="503"/>
        <v>0.25</v>
      </c>
      <c r="AV190" s="182"/>
      <c r="AW190" s="252"/>
      <c r="AX190" s="577">
        <f t="shared" si="516"/>
        <v>0.25</v>
      </c>
      <c r="AY190" s="182"/>
      <c r="AZ190" s="252"/>
      <c r="BA190" s="577">
        <f t="shared" si="517"/>
        <v>0.25</v>
      </c>
      <c r="BB190" s="182"/>
      <c r="BC190" s="252"/>
      <c r="BD190" s="577">
        <f t="shared" si="518"/>
        <v>0.25</v>
      </c>
      <c r="BE190" s="182"/>
      <c r="BF190" s="252"/>
      <c r="BG190" s="577">
        <f t="shared" si="519"/>
        <v>0.25</v>
      </c>
      <c r="BH190" s="182"/>
      <c r="BI190" s="252"/>
      <c r="BJ190" s="577">
        <f t="shared" si="520"/>
        <v>0.25</v>
      </c>
      <c r="BL190" s="107"/>
      <c r="BM190" s="107"/>
    </row>
    <row r="191" spans="1:65" ht="11.4">
      <c r="A191" s="122" t="str">
        <f t="shared" si="509"/>
        <v>Trent XWB-84</v>
      </c>
      <c r="P191" s="109"/>
      <c r="Q191" s="109">
        <v>0.3</v>
      </c>
      <c r="R191" s="109"/>
      <c r="S191" s="869"/>
      <c r="T191" s="913">
        <f t="shared" si="522"/>
        <v>0.3</v>
      </c>
      <c r="U191" s="109"/>
      <c r="V191" s="869"/>
      <c r="W191" s="913">
        <f t="shared" si="523"/>
        <v>0.3</v>
      </c>
      <c r="X191" s="109"/>
      <c r="Y191" s="869"/>
      <c r="Z191" s="913">
        <f t="shared" si="511"/>
        <v>0.3</v>
      </c>
      <c r="AA191" s="109"/>
      <c r="AB191" s="869"/>
      <c r="AC191" s="913">
        <v>0.25</v>
      </c>
      <c r="AD191" s="109"/>
      <c r="AE191" s="869"/>
      <c r="AF191" s="854">
        <f t="shared" si="512"/>
        <v>0.25</v>
      </c>
      <c r="AG191" s="109"/>
      <c r="AH191" s="869"/>
      <c r="AI191" s="854">
        <f t="shared" si="513"/>
        <v>0.25</v>
      </c>
      <c r="AJ191" s="109"/>
      <c r="AK191" s="869"/>
      <c r="AL191" s="854">
        <f t="shared" si="514"/>
        <v>0.25</v>
      </c>
      <c r="AM191" s="164"/>
      <c r="AN191" s="869"/>
      <c r="AO191" s="854">
        <f t="shared" si="521"/>
        <v>0.25</v>
      </c>
      <c r="AP191" s="182"/>
      <c r="AQ191" s="252"/>
      <c r="AR191" s="854">
        <f t="shared" si="515"/>
        <v>0.25</v>
      </c>
      <c r="AS191" s="182"/>
      <c r="AT191" s="217"/>
      <c r="AU191" s="854">
        <f t="shared" si="503"/>
        <v>0.25</v>
      </c>
      <c r="AV191" s="182"/>
      <c r="AW191" s="252"/>
      <c r="AX191" s="577">
        <f t="shared" si="516"/>
        <v>0.25</v>
      </c>
      <c r="AY191" s="182"/>
      <c r="AZ191" s="252"/>
      <c r="BA191" s="577">
        <f t="shared" si="517"/>
        <v>0.25</v>
      </c>
      <c r="BB191" s="182"/>
      <c r="BC191" s="252"/>
      <c r="BD191" s="577">
        <f t="shared" si="518"/>
        <v>0.25</v>
      </c>
      <c r="BE191" s="182"/>
      <c r="BF191" s="252"/>
      <c r="BG191" s="577">
        <f t="shared" si="519"/>
        <v>0.25</v>
      </c>
      <c r="BH191" s="182"/>
      <c r="BI191" s="252"/>
      <c r="BJ191" s="577">
        <f t="shared" si="520"/>
        <v>0.25</v>
      </c>
      <c r="BL191" s="107"/>
      <c r="BM191" s="107"/>
    </row>
    <row r="192" spans="1:65" ht="11.4">
      <c r="A192" s="122" t="str">
        <f t="shared" si="509"/>
        <v>Trent XWB-97</v>
      </c>
      <c r="P192" s="109"/>
      <c r="Q192" s="109">
        <v>0.3</v>
      </c>
      <c r="R192" s="109"/>
      <c r="S192" s="869"/>
      <c r="T192" s="913">
        <f t="shared" ref="T192" si="524">+Q192</f>
        <v>0.3</v>
      </c>
      <c r="U192" s="109"/>
      <c r="V192" s="869"/>
      <c r="W192" s="913">
        <f t="shared" si="523"/>
        <v>0.3</v>
      </c>
      <c r="X192" s="109"/>
      <c r="Y192" s="869"/>
      <c r="Z192" s="913">
        <f t="shared" si="511"/>
        <v>0.3</v>
      </c>
      <c r="AA192" s="109"/>
      <c r="AB192" s="869"/>
      <c r="AC192" s="913">
        <v>0.25</v>
      </c>
      <c r="AD192" s="109"/>
      <c r="AE192" s="869"/>
      <c r="AF192" s="854">
        <f t="shared" si="512"/>
        <v>0.25</v>
      </c>
      <c r="AG192" s="109"/>
      <c r="AH192" s="869"/>
      <c r="AI192" s="854">
        <f t="shared" si="513"/>
        <v>0.25</v>
      </c>
      <c r="AJ192" s="109"/>
      <c r="AK192" s="869"/>
      <c r="AL192" s="854">
        <f t="shared" si="514"/>
        <v>0.25</v>
      </c>
      <c r="AM192" s="164"/>
      <c r="AN192" s="869"/>
      <c r="AO192" s="854">
        <f t="shared" si="521"/>
        <v>0.25</v>
      </c>
      <c r="AP192" s="182"/>
      <c r="AQ192" s="252"/>
      <c r="AR192" s="854">
        <f t="shared" si="515"/>
        <v>0.25</v>
      </c>
      <c r="AS192" s="182"/>
      <c r="AT192" s="217"/>
      <c r="AU192" s="854">
        <f t="shared" si="503"/>
        <v>0.25</v>
      </c>
      <c r="AV192" s="182"/>
      <c r="AW192" s="252"/>
      <c r="AX192" s="577">
        <f t="shared" si="516"/>
        <v>0.25</v>
      </c>
      <c r="AY192" s="182"/>
      <c r="AZ192" s="252"/>
      <c r="BA192" s="577">
        <f t="shared" si="517"/>
        <v>0.25</v>
      </c>
      <c r="BB192" s="182"/>
      <c r="BC192" s="252"/>
      <c r="BD192" s="577">
        <f t="shared" si="518"/>
        <v>0.25</v>
      </c>
      <c r="BE192" s="182"/>
      <c r="BF192" s="252"/>
      <c r="BG192" s="577">
        <f t="shared" si="519"/>
        <v>0.25</v>
      </c>
      <c r="BH192" s="182"/>
      <c r="BI192" s="252"/>
      <c r="BJ192" s="577">
        <f t="shared" ref="BJ192" si="525">+BG192</f>
        <v>0.25</v>
      </c>
      <c r="BL192" s="107"/>
      <c r="BM192" s="107"/>
    </row>
    <row r="193" spans="1:65" ht="11.4">
      <c r="A193" s="122" t="str">
        <f t="shared" si="509"/>
        <v>Trent 7000</v>
      </c>
      <c r="P193" s="109"/>
      <c r="Q193" s="109">
        <v>0.3</v>
      </c>
      <c r="R193" s="109"/>
      <c r="S193" s="869"/>
      <c r="T193" s="913">
        <f t="shared" si="522"/>
        <v>0.3</v>
      </c>
      <c r="U193" s="109"/>
      <c r="V193" s="869"/>
      <c r="W193" s="913">
        <f t="shared" si="523"/>
        <v>0.3</v>
      </c>
      <c r="X193" s="109"/>
      <c r="Y193" s="869"/>
      <c r="Z193" s="913">
        <f t="shared" si="511"/>
        <v>0.3</v>
      </c>
      <c r="AA193" s="109"/>
      <c r="AB193" s="869"/>
      <c r="AC193" s="913">
        <v>0.25</v>
      </c>
      <c r="AD193" s="109"/>
      <c r="AE193" s="869"/>
      <c r="AF193" s="854">
        <f t="shared" si="512"/>
        <v>0.25</v>
      </c>
      <c r="AG193" s="109"/>
      <c r="AH193" s="869"/>
      <c r="AI193" s="854">
        <f t="shared" si="513"/>
        <v>0.25</v>
      </c>
      <c r="AJ193" s="109"/>
      <c r="AK193" s="869"/>
      <c r="AL193" s="854">
        <f t="shared" si="514"/>
        <v>0.25</v>
      </c>
      <c r="AM193" s="164"/>
      <c r="AN193" s="869"/>
      <c r="AO193" s="854">
        <f t="shared" si="521"/>
        <v>0.25</v>
      </c>
      <c r="AP193" s="182"/>
      <c r="AQ193" s="252"/>
      <c r="AR193" s="854">
        <f t="shared" si="515"/>
        <v>0.25</v>
      </c>
      <c r="AS193" s="182"/>
      <c r="AT193" s="217"/>
      <c r="AU193" s="854">
        <f t="shared" si="503"/>
        <v>0.25</v>
      </c>
      <c r="AV193" s="182"/>
      <c r="AW193" s="252"/>
      <c r="AX193" s="577">
        <f t="shared" si="516"/>
        <v>0.25</v>
      </c>
      <c r="AY193" s="182"/>
      <c r="AZ193" s="252"/>
      <c r="BA193" s="577">
        <f t="shared" si="517"/>
        <v>0.25</v>
      </c>
      <c r="BB193" s="182"/>
      <c r="BC193" s="252"/>
      <c r="BD193" s="577">
        <f t="shared" si="518"/>
        <v>0.25</v>
      </c>
      <c r="BE193" s="182"/>
      <c r="BF193" s="252"/>
      <c r="BG193" s="577">
        <f t="shared" si="519"/>
        <v>0.25</v>
      </c>
      <c r="BH193" s="182"/>
      <c r="BI193" s="252"/>
      <c r="BJ193" s="577">
        <f>+BG193</f>
        <v>0.25</v>
      </c>
      <c r="BL193" s="107"/>
      <c r="BM193" s="107"/>
    </row>
    <row r="194" spans="1:65">
      <c r="A194" s="93"/>
      <c r="R194" s="69"/>
      <c r="S194" s="868"/>
      <c r="T194" s="892"/>
      <c r="U194" s="69"/>
      <c r="V194" s="868"/>
      <c r="W194" s="892"/>
      <c r="X194" s="69"/>
      <c r="Y194" s="868"/>
      <c r="Z194" s="892"/>
      <c r="AA194" s="69"/>
      <c r="AB194" s="868"/>
      <c r="AC194" s="892"/>
      <c r="AD194" s="69"/>
      <c r="AE194" s="868"/>
      <c r="AF194" s="892"/>
      <c r="AG194" s="69"/>
      <c r="AH194" s="868"/>
      <c r="AI194" s="892"/>
      <c r="AJ194" s="69"/>
      <c r="AK194" s="868"/>
      <c r="AL194" s="892"/>
      <c r="AM194" s="69"/>
      <c r="AN194" s="717"/>
      <c r="AO194" s="726"/>
      <c r="AP194" s="207"/>
      <c r="AQ194" s="717"/>
      <c r="AR194" s="726"/>
      <c r="AS194" s="207"/>
      <c r="AT194" s="717"/>
      <c r="AU194" s="726"/>
      <c r="AV194" s="207"/>
      <c r="AW194" s="717"/>
      <c r="AX194" s="726"/>
      <c r="AY194" s="207"/>
      <c r="AZ194" s="717"/>
      <c r="BA194" s="726"/>
      <c r="BB194" s="207"/>
      <c r="BC194" s="717"/>
      <c r="BD194" s="726"/>
      <c r="BE194" s="207"/>
      <c r="BF194" s="717"/>
      <c r="BG194" s="726"/>
      <c r="BH194" s="207"/>
      <c r="BI194" s="717"/>
      <c r="BJ194" s="726"/>
    </row>
    <row r="195" spans="1:65" ht="12">
      <c r="A195" s="72" t="s">
        <v>728</v>
      </c>
      <c r="F195" s="125"/>
      <c r="P195" s="63"/>
      <c r="Q195" s="63"/>
      <c r="R195" s="126"/>
      <c r="S195" s="870"/>
      <c r="T195" s="893">
        <f t="shared" ref="T195:Z195" si="526">+SUM(T197:T204)</f>
        <v>-199.7888644285714</v>
      </c>
      <c r="U195" s="126"/>
      <c r="V195" s="870"/>
      <c r="W195" s="893">
        <f t="shared" si="526"/>
        <v>-191.69263521634613</v>
      </c>
      <c r="X195" s="126"/>
      <c r="Y195" s="870"/>
      <c r="Z195" s="893">
        <f t="shared" si="526"/>
        <v>-365.01104755069565</v>
      </c>
      <c r="AA195" s="126">
        <f>AC195/2</f>
        <v>-188.67307300298972</v>
      </c>
      <c r="AB195" s="870">
        <f>AC195-AA195</f>
        <v>-188.67307300298972</v>
      </c>
      <c r="AC195" s="893">
        <f>+SUM(AC196:AC204)</f>
        <v>-377.34614600597945</v>
      </c>
      <c r="AD195" s="126">
        <f>AF195/2</f>
        <v>-87.885766470580478</v>
      </c>
      <c r="AE195" s="870">
        <f>AF195-AD195</f>
        <v>-87.885766470580478</v>
      </c>
      <c r="AF195" s="893">
        <f>+SUM(AF196:AF204)</f>
        <v>-175.77153294116096</v>
      </c>
      <c r="AG195" s="126">
        <f>AI195/2</f>
        <v>-119.6784071201222</v>
      </c>
      <c r="AH195" s="870">
        <f>AI195-AG195</f>
        <v>-119.6784071201222</v>
      </c>
      <c r="AI195" s="893">
        <f>+SUM(AI196:AI204)</f>
        <v>-239.3568142402444</v>
      </c>
      <c r="AJ195" s="126">
        <f>AL195/2</f>
        <v>-218.56408401367781</v>
      </c>
      <c r="AK195" s="870">
        <f>AL195-AJ195</f>
        <v>-218.56408401367781</v>
      </c>
      <c r="AL195" s="893">
        <f>+SUM(AL196:AL204)</f>
        <v>-437.12816802735563</v>
      </c>
      <c r="AM195" s="126">
        <f>AO195/2</f>
        <v>-296.15714312222798</v>
      </c>
      <c r="AN195" s="870">
        <f>AO195-AM195</f>
        <v>-296.15714312222798</v>
      </c>
      <c r="AO195" s="893">
        <f>+SUM(AO196:AO204)</f>
        <v>-592.31428624445596</v>
      </c>
      <c r="AP195" s="1056">
        <f>(AP150/AR150)*AR195</f>
        <v>-355.93189960259815</v>
      </c>
      <c r="AQ195" s="870">
        <f>AR195-AP195</f>
        <v>-384.70163379866608</v>
      </c>
      <c r="AR195" s="893">
        <f>+SUM(AR196:AR204)</f>
        <v>-740.63353340126423</v>
      </c>
      <c r="AS195" s="1056">
        <f>(AS150/AU150)*AU195</f>
        <v>-413.83488602940218</v>
      </c>
      <c r="AT195" s="1114">
        <f>AU195-AS195</f>
        <v>-444.73073545232279</v>
      </c>
      <c r="AU195" s="1115">
        <f>+SUM(AU196:AU204)</f>
        <v>-858.56562148172497</v>
      </c>
      <c r="AV195" s="1056">
        <f>(AV150/AX150)*AX195</f>
        <v>-513.55356273413258</v>
      </c>
      <c r="AW195" s="804">
        <f>AX195-AV195</f>
        <v>-560.57155530741784</v>
      </c>
      <c r="AX195" s="835">
        <f>+SUM(AX196:AX204)</f>
        <v>-1074.1251180415504</v>
      </c>
      <c r="AY195" s="353">
        <f>(AY150/BA150)*BA195</f>
        <v>-622.35496531932563</v>
      </c>
      <c r="AZ195" s="804">
        <f>BA195-AY195</f>
        <v>-622.35496531932563</v>
      </c>
      <c r="BA195" s="835">
        <f>+SUM(BA196:BA204)</f>
        <v>-1244.7099306386513</v>
      </c>
      <c r="BB195" s="353">
        <f>(BB150/BD150)*BD195</f>
        <v>-698.6817055735512</v>
      </c>
      <c r="BC195" s="804">
        <f>BD195-BB195</f>
        <v>-698.6817055735512</v>
      </c>
      <c r="BD195" s="835">
        <f>+SUM(BD196:BD204)</f>
        <v>-1397.3634111471024</v>
      </c>
      <c r="BE195" s="353">
        <f>(BE150/BG150)*BG195</f>
        <v>-789.12890763538974</v>
      </c>
      <c r="BF195" s="804">
        <f>BG195-BE195</f>
        <v>-789.12890763538974</v>
      </c>
      <c r="BG195" s="835">
        <f>+SUM(BG196:BG204)</f>
        <v>-1578.2578152707795</v>
      </c>
      <c r="BH195" s="353">
        <f>(BH150/BJ150)*BJ195</f>
        <v>-890.4393894021332</v>
      </c>
      <c r="BI195" s="804">
        <f>BJ195-BH195</f>
        <v>-890.4393894021332</v>
      </c>
      <c r="BJ195" s="835">
        <f>+SUM(BJ196:BJ204)</f>
        <v>-1780.8787788042664</v>
      </c>
      <c r="BL195" s="129"/>
      <c r="BM195" s="129"/>
    </row>
    <row r="196" spans="1:65" ht="11.4">
      <c r="A196" s="122" t="str">
        <f t="shared" ref="A196:A204" si="527">A185</f>
        <v>RB211</v>
      </c>
      <c r="N196" s="109"/>
      <c r="R196" s="69"/>
      <c r="S196" s="868"/>
      <c r="T196" s="892"/>
      <c r="U196" s="69"/>
      <c r="V196" s="868"/>
      <c r="W196" s="892"/>
      <c r="X196" s="69"/>
      <c r="Y196" s="868"/>
      <c r="Z196" s="892"/>
      <c r="AA196" s="69"/>
      <c r="AB196" s="868"/>
      <c r="AC196" s="892">
        <f t="shared" ref="AC196:AC204" si="528">-AC127*AC185/AC$374</f>
        <v>-6.5484055654921889</v>
      </c>
      <c r="AD196" s="69"/>
      <c r="AE196" s="868"/>
      <c r="AF196" s="892">
        <f t="shared" ref="AF196:AF204" si="529">-AF127*AF185/AF$374</f>
        <v>-2.017323716202756</v>
      </c>
      <c r="AG196" s="69"/>
      <c r="AH196" s="868"/>
      <c r="AI196" s="892">
        <f t="shared" ref="AI196:AI204" si="530">-AI127*AI185/AI$374</f>
        <v>-2.2824079973944955</v>
      </c>
      <c r="AJ196" s="69"/>
      <c r="AK196" s="868"/>
      <c r="AL196" s="892">
        <f t="shared" ref="AL196:AL204" si="531">-AL127*AL185/AL$374</f>
        <v>-3.65996091000215</v>
      </c>
      <c r="AM196" s="69"/>
      <c r="AN196" s="236"/>
      <c r="AO196" s="892">
        <f t="shared" ref="AO196:AO204" si="532">-AO127*AO185/AO$374</f>
        <v>-3.7714388706011861</v>
      </c>
      <c r="AP196" s="56"/>
      <c r="AQ196" s="236"/>
      <c r="AR196" s="892">
        <f t="shared" ref="AR196:AR204" si="533">-AR127*AR185/AR$374</f>
        <v>-3.9436968866314452</v>
      </c>
      <c r="AS196" s="56"/>
      <c r="AT196" s="216"/>
      <c r="AU196" s="892">
        <f t="shared" ref="AU196:AU204" si="534">-AU127*AU185/AU$374</f>
        <v>-3.7883914990942165</v>
      </c>
      <c r="AV196" s="56"/>
      <c r="AW196" s="236"/>
      <c r="AX196" s="605">
        <f t="shared" ref="AX196:AX204" si="535">-AX127*AX185/AX$374</f>
        <v>-4.089360932904726</v>
      </c>
      <c r="AY196" s="56"/>
      <c r="AZ196" s="236"/>
      <c r="BA196" s="605">
        <f t="shared" ref="BA196:BA204" si="536">-BA127*BA185/BA$374</f>
        <v>-4.0449369837509872</v>
      </c>
      <c r="BB196" s="56"/>
      <c r="BC196" s="236"/>
      <c r="BD196" s="605">
        <f t="shared" ref="BD196:BD204" si="537">-BD127*BD185/BD$374</f>
        <v>-3.8915015708280492</v>
      </c>
      <c r="BE196" s="56"/>
      <c r="BF196" s="236"/>
      <c r="BG196" s="605">
        <f t="shared" ref="BG196:BG204" si="538">-BG127*BG185/BG$374</f>
        <v>-3.7555198450680929</v>
      </c>
      <c r="BH196" s="56"/>
      <c r="BI196" s="236"/>
      <c r="BJ196" s="605">
        <f t="shared" ref="BJ196:BJ204" si="539">-BJ127*BJ185/BJ$374</f>
        <v>-9.7412675337417447</v>
      </c>
      <c r="BL196" s="107"/>
      <c r="BM196" s="107"/>
    </row>
    <row r="197" spans="1:65" ht="11.4">
      <c r="A197" s="122" t="str">
        <f t="shared" si="527"/>
        <v>Trent 500</v>
      </c>
      <c r="N197" s="109"/>
      <c r="R197" s="69"/>
      <c r="S197" s="868"/>
      <c r="T197" s="892">
        <f t="shared" ref="T197:T204" si="540">-T128*T186/T$375</f>
        <v>-16.865632000000002</v>
      </c>
      <c r="U197" s="69"/>
      <c r="V197" s="868"/>
      <c r="W197" s="892">
        <f t="shared" ref="W197:W204" si="541">-W128*W186/W$375</f>
        <v>-16.815245192307692</v>
      </c>
      <c r="X197" s="69"/>
      <c r="Y197" s="868"/>
      <c r="Z197" s="892">
        <f t="shared" ref="Z197:Z204" si="542">-Z128*Z186/Z$375</f>
        <v>-23.346213057391306</v>
      </c>
      <c r="AA197" s="69"/>
      <c r="AB197" s="868"/>
      <c r="AC197" s="892">
        <f t="shared" si="528"/>
        <v>-6.4475065561427947</v>
      </c>
      <c r="AD197" s="69"/>
      <c r="AE197" s="868"/>
      <c r="AF197" s="892">
        <f t="shared" si="529"/>
        <v>-0.8881704659574774</v>
      </c>
      <c r="AG197" s="69"/>
      <c r="AH197" s="868"/>
      <c r="AI197" s="892">
        <f t="shared" si="530"/>
        <v>-0.77236536731749683</v>
      </c>
      <c r="AJ197" s="69"/>
      <c r="AK197" s="868"/>
      <c r="AL197" s="892">
        <f t="shared" si="531"/>
        <v>-0.76699599591356604</v>
      </c>
      <c r="AM197" s="69"/>
      <c r="AN197" s="236"/>
      <c r="AO197" s="892">
        <f t="shared" si="532"/>
        <v>-1.4166874312528599</v>
      </c>
      <c r="AP197" s="56"/>
      <c r="AQ197" s="236"/>
      <c r="AR197" s="892">
        <f t="shared" si="533"/>
        <v>-1.8715604221432705</v>
      </c>
      <c r="AS197" s="56"/>
      <c r="AT197" s="216"/>
      <c r="AU197" s="892">
        <f t="shared" si="534"/>
        <v>-1.6151233222007588</v>
      </c>
      <c r="AV197" s="56"/>
      <c r="AW197" s="236"/>
      <c r="AX197" s="605">
        <f t="shared" si="535"/>
        <v>-1.4072976629483407</v>
      </c>
      <c r="AY197" s="56"/>
      <c r="AZ197" s="236"/>
      <c r="BA197" s="605">
        <f t="shared" si="536"/>
        <v>-1.139131986509375</v>
      </c>
      <c r="BB197" s="56"/>
      <c r="BC197" s="236"/>
      <c r="BD197" s="605">
        <f t="shared" si="537"/>
        <v>-1.0774257596256651</v>
      </c>
      <c r="BE197" s="56"/>
      <c r="BF197" s="236"/>
      <c r="BG197" s="605">
        <f t="shared" si="538"/>
        <v>-1.0195250744945623</v>
      </c>
      <c r="BH197" s="56"/>
      <c r="BI197" s="236"/>
      <c r="BJ197" s="605">
        <f t="shared" si="539"/>
        <v>-0.95718066507193</v>
      </c>
      <c r="BL197" s="107"/>
      <c r="BM197" s="107"/>
    </row>
    <row r="198" spans="1:65" ht="11.4">
      <c r="A198" s="122" t="str">
        <f t="shared" si="527"/>
        <v>Trent 700</v>
      </c>
      <c r="N198" s="109"/>
      <c r="R198" s="69"/>
      <c r="S198" s="868"/>
      <c r="T198" s="892">
        <f t="shared" si="540"/>
        <v>-96.48617142857141</v>
      </c>
      <c r="U198" s="69"/>
      <c r="V198" s="868"/>
      <c r="W198" s="892">
        <f t="shared" si="541"/>
        <v>-55.724819711538451</v>
      </c>
      <c r="X198" s="69"/>
      <c r="Y198" s="868"/>
      <c r="Z198" s="892">
        <f t="shared" si="542"/>
        <v>-97.067006560173908</v>
      </c>
      <c r="AA198" s="69"/>
      <c r="AB198" s="868"/>
      <c r="AC198" s="892">
        <f t="shared" si="528"/>
        <v>-57.482180293718194</v>
      </c>
      <c r="AD198" s="69"/>
      <c r="AE198" s="868"/>
      <c r="AF198" s="892">
        <f t="shared" si="529"/>
        <v>-16.117642640078099</v>
      </c>
      <c r="AG198" s="69"/>
      <c r="AH198" s="868"/>
      <c r="AI198" s="892">
        <f t="shared" si="530"/>
        <v>-17.880913025277483</v>
      </c>
      <c r="AJ198" s="69"/>
      <c r="AK198" s="868"/>
      <c r="AL198" s="892">
        <f t="shared" si="531"/>
        <v>-27.121879575912899</v>
      </c>
      <c r="AM198" s="69"/>
      <c r="AN198" s="236"/>
      <c r="AO198" s="892">
        <f t="shared" si="532"/>
        <v>-40.429581161417012</v>
      </c>
      <c r="AP198" s="56"/>
      <c r="AQ198" s="236"/>
      <c r="AR198" s="892">
        <f t="shared" si="533"/>
        <v>-48.073330698166927</v>
      </c>
      <c r="AS198" s="56"/>
      <c r="AT198" s="216"/>
      <c r="AU198" s="892">
        <f t="shared" si="534"/>
        <v>-52.021445946847656</v>
      </c>
      <c r="AV198" s="56"/>
      <c r="AW198" s="236"/>
      <c r="AX198" s="605">
        <f t="shared" si="535"/>
        <v>-60.797350811286798</v>
      </c>
      <c r="AY198" s="56"/>
      <c r="AZ198" s="236"/>
      <c r="BA198" s="605">
        <f t="shared" si="536"/>
        <v>-63.032785625152478</v>
      </c>
      <c r="BB198" s="56"/>
      <c r="BC198" s="236"/>
      <c r="BD198" s="605">
        <f t="shared" si="537"/>
        <v>-63.249021596422295</v>
      </c>
      <c r="BE198" s="56"/>
      <c r="BF198" s="236"/>
      <c r="BG198" s="605">
        <f t="shared" si="538"/>
        <v>-63.89367508577044</v>
      </c>
      <c r="BH198" s="56"/>
      <c r="BI198" s="236"/>
      <c r="BJ198" s="605">
        <f t="shared" si="539"/>
        <v>-64.520083665042705</v>
      </c>
      <c r="BL198" s="107"/>
      <c r="BM198" s="107"/>
    </row>
    <row r="199" spans="1:65" ht="11.4">
      <c r="A199" s="122" t="str">
        <f t="shared" si="527"/>
        <v>Trent 800</v>
      </c>
      <c r="N199" s="109"/>
      <c r="R199" s="69"/>
      <c r="S199" s="868"/>
      <c r="T199" s="892">
        <f t="shared" si="540"/>
        <v>-13.666232000000001</v>
      </c>
      <c r="U199" s="69"/>
      <c r="V199" s="868"/>
      <c r="W199" s="892">
        <f t="shared" si="541"/>
        <v>-14.535944711538463</v>
      </c>
      <c r="X199" s="69"/>
      <c r="Y199" s="868"/>
      <c r="Z199" s="892">
        <f t="shared" si="542"/>
        <v>-23.186138976000002</v>
      </c>
      <c r="AA199" s="69"/>
      <c r="AB199" s="868"/>
      <c r="AC199" s="892">
        <f t="shared" si="528"/>
        <v>-14.28035116858902</v>
      </c>
      <c r="AD199" s="69"/>
      <c r="AE199" s="868"/>
      <c r="AF199" s="892">
        <f t="shared" si="529"/>
        <v>-2.8961094447840385</v>
      </c>
      <c r="AG199" s="69"/>
      <c r="AH199" s="868"/>
      <c r="AI199" s="892">
        <f t="shared" si="530"/>
        <v>-3.6295404298819585</v>
      </c>
      <c r="AJ199" s="69"/>
      <c r="AK199" s="868"/>
      <c r="AL199" s="892">
        <f t="shared" si="531"/>
        <v>-7.3002647272382051</v>
      </c>
      <c r="AM199" s="69"/>
      <c r="AN199" s="236"/>
      <c r="AO199" s="892">
        <f t="shared" si="532"/>
        <v>-8.5606888242345729</v>
      </c>
      <c r="AP199" s="56"/>
      <c r="AQ199" s="236"/>
      <c r="AR199" s="892">
        <f t="shared" si="533"/>
        <v>-10.585743543751089</v>
      </c>
      <c r="AS199" s="56"/>
      <c r="AT199" s="216"/>
      <c r="AU199" s="892">
        <f t="shared" si="534"/>
        <v>-11.245454901564448</v>
      </c>
      <c r="AV199" s="56"/>
      <c r="AW199" s="236"/>
      <c r="AX199" s="605">
        <f t="shared" si="535"/>
        <v>-13.264313100396983</v>
      </c>
      <c r="AY199" s="56"/>
      <c r="AZ199" s="236"/>
      <c r="BA199" s="605">
        <f t="shared" si="536"/>
        <v>-13.080318569903133</v>
      </c>
      <c r="BB199" s="56"/>
      <c r="BC199" s="236"/>
      <c r="BD199" s="605">
        <f t="shared" si="537"/>
        <v>-12.226342208881062</v>
      </c>
      <c r="BE199" s="56"/>
      <c r="BF199" s="236"/>
      <c r="BG199" s="605">
        <f t="shared" si="538"/>
        <v>-11.40733845677202</v>
      </c>
      <c r="BH199" s="56"/>
      <c r="BI199" s="236"/>
      <c r="BJ199" s="605">
        <f t="shared" si="539"/>
        <v>-10.528190771548452</v>
      </c>
      <c r="BL199" s="107"/>
      <c r="BM199" s="107"/>
    </row>
    <row r="200" spans="1:65" ht="11.4">
      <c r="A200" s="122" t="str">
        <f t="shared" si="527"/>
        <v>Trent 900</v>
      </c>
      <c r="N200" s="109"/>
      <c r="R200" s="69"/>
      <c r="S200" s="868"/>
      <c r="T200" s="892">
        <f t="shared" si="540"/>
        <v>-23.777389999999997</v>
      </c>
      <c r="U200" s="69"/>
      <c r="V200" s="868"/>
      <c r="W200" s="892">
        <f t="shared" si="541"/>
        <v>-28.808554687499999</v>
      </c>
      <c r="X200" s="69"/>
      <c r="Y200" s="868"/>
      <c r="Z200" s="892">
        <f t="shared" si="542"/>
        <v>-48.619128417391309</v>
      </c>
      <c r="AA200" s="69"/>
      <c r="AB200" s="868"/>
      <c r="AC200" s="892">
        <f t="shared" si="528"/>
        <v>-16.181251523584972</v>
      </c>
      <c r="AD200" s="69"/>
      <c r="AE200" s="868"/>
      <c r="AF200" s="892">
        <f t="shared" si="529"/>
        <v>-2.0815674106781605</v>
      </c>
      <c r="AG200" s="69"/>
      <c r="AH200" s="868"/>
      <c r="AI200" s="892">
        <f t="shared" si="530"/>
        <v>-0.83592911697343741</v>
      </c>
      <c r="AJ200" s="69"/>
      <c r="AK200" s="868"/>
      <c r="AL200" s="892">
        <f t="shared" si="531"/>
        <v>-6.2438567840942669</v>
      </c>
      <c r="AM200" s="69"/>
      <c r="AN200" s="236"/>
      <c r="AO200" s="892">
        <f t="shared" si="532"/>
        <v>-12.243032151380369</v>
      </c>
      <c r="AP200" s="56"/>
      <c r="AQ200" s="236"/>
      <c r="AR200" s="892">
        <f t="shared" si="533"/>
        <v>-14.304785098991225</v>
      </c>
      <c r="AS200" s="56"/>
      <c r="AT200" s="216"/>
      <c r="AU200" s="892">
        <f t="shared" si="534"/>
        <v>-15.18817895986172</v>
      </c>
      <c r="AV200" s="56"/>
      <c r="AW200" s="236"/>
      <c r="AX200" s="605">
        <f t="shared" si="535"/>
        <v>-17.766116161151306</v>
      </c>
      <c r="AY200" s="56"/>
      <c r="AZ200" s="236"/>
      <c r="BA200" s="605">
        <f t="shared" si="536"/>
        <v>-18.397409827234114</v>
      </c>
      <c r="BB200" s="56"/>
      <c r="BC200" s="236"/>
      <c r="BD200" s="605">
        <f t="shared" si="537"/>
        <v>-17.764385695291445</v>
      </c>
      <c r="BE200" s="56"/>
      <c r="BF200" s="236"/>
      <c r="BG200" s="605">
        <f t="shared" si="538"/>
        <v>-17.21463577111172</v>
      </c>
      <c r="BH200" s="56"/>
      <c r="BI200" s="236"/>
      <c r="BJ200" s="605">
        <f t="shared" si="539"/>
        <v>-16.61591290435544</v>
      </c>
      <c r="BL200" s="107"/>
      <c r="BM200" s="107"/>
    </row>
    <row r="201" spans="1:65" ht="11.4">
      <c r="A201" s="122" t="str">
        <f t="shared" si="527"/>
        <v>Trent 1000</v>
      </c>
      <c r="N201" s="109"/>
      <c r="R201" s="69"/>
      <c r="S201" s="868"/>
      <c r="T201" s="892">
        <f t="shared" si="540"/>
        <v>-33.285439000000004</v>
      </c>
      <c r="U201" s="69"/>
      <c r="V201" s="868"/>
      <c r="W201" s="892">
        <f t="shared" si="541"/>
        <v>-49.496579026442298</v>
      </c>
      <c r="X201" s="69"/>
      <c r="Y201" s="868"/>
      <c r="Z201" s="892">
        <f t="shared" si="542"/>
        <v>-89.937429933521713</v>
      </c>
      <c r="AA201" s="69"/>
      <c r="AB201" s="868"/>
      <c r="AC201" s="892">
        <f t="shared" si="528"/>
        <v>-121.11721312952547</v>
      </c>
      <c r="AD201" s="69"/>
      <c r="AE201" s="868"/>
      <c r="AF201" s="892">
        <f t="shared" si="529"/>
        <v>-55.372059081651273</v>
      </c>
      <c r="AG201" s="69"/>
      <c r="AH201" s="868"/>
      <c r="AI201" s="892">
        <f t="shared" si="530"/>
        <v>-72.148334488707391</v>
      </c>
      <c r="AJ201" s="69"/>
      <c r="AK201" s="868"/>
      <c r="AL201" s="892">
        <f t="shared" si="531"/>
        <v>-140.52203814031199</v>
      </c>
      <c r="AM201" s="69"/>
      <c r="AN201" s="236"/>
      <c r="AO201" s="892">
        <f t="shared" si="532"/>
        <v>-176.00899286447626</v>
      </c>
      <c r="AP201" s="56"/>
      <c r="AQ201" s="236"/>
      <c r="AR201" s="892">
        <f t="shared" si="533"/>
        <v>-188.67581733109418</v>
      </c>
      <c r="AS201" s="56"/>
      <c r="AT201" s="216"/>
      <c r="AU201" s="892">
        <f t="shared" si="534"/>
        <v>-199.58970703218301</v>
      </c>
      <c r="AV201" s="56"/>
      <c r="AW201" s="236"/>
      <c r="AX201" s="605">
        <f t="shared" si="535"/>
        <v>-244.56422288188986</v>
      </c>
      <c r="AY201" s="56"/>
      <c r="AZ201" s="236"/>
      <c r="BA201" s="605">
        <f t="shared" si="536"/>
        <v>-277.78954041387527</v>
      </c>
      <c r="BB201" s="56"/>
      <c r="BC201" s="236"/>
      <c r="BD201" s="605">
        <f t="shared" si="537"/>
        <v>-297.391148178371</v>
      </c>
      <c r="BE201" s="56"/>
      <c r="BF201" s="236"/>
      <c r="BG201" s="605">
        <f t="shared" si="538"/>
        <v>-319.99973801600981</v>
      </c>
      <c r="BH201" s="56"/>
      <c r="BI201" s="236"/>
      <c r="BJ201" s="605">
        <f t="shared" si="539"/>
        <v>-343.69719121054641</v>
      </c>
      <c r="BL201" s="107"/>
      <c r="BM201" s="107"/>
    </row>
    <row r="202" spans="1:65" ht="11.4">
      <c r="A202" s="122" t="str">
        <f t="shared" si="527"/>
        <v>Trent XWB-84</v>
      </c>
      <c r="N202" s="109"/>
      <c r="R202" s="69"/>
      <c r="S202" s="868"/>
      <c r="T202" s="892">
        <f t="shared" si="540"/>
        <v>-15.707999999999998</v>
      </c>
      <c r="U202" s="69"/>
      <c r="V202" s="868"/>
      <c r="W202" s="892">
        <f t="shared" si="541"/>
        <v>-26.311491887019226</v>
      </c>
      <c r="X202" s="69"/>
      <c r="Y202" s="868"/>
      <c r="Z202" s="892">
        <f t="shared" si="542"/>
        <v>-80.844807521739128</v>
      </c>
      <c r="AA202" s="69"/>
      <c r="AB202" s="868"/>
      <c r="AC202" s="892">
        <f t="shared" si="528"/>
        <v>-138.7077576369706</v>
      </c>
      <c r="AD202" s="69"/>
      <c r="AE202" s="868"/>
      <c r="AF202" s="892">
        <f t="shared" si="529"/>
        <v>-72.593807681921064</v>
      </c>
      <c r="AG202" s="69"/>
      <c r="AH202" s="868"/>
      <c r="AI202" s="892">
        <f t="shared" si="530"/>
        <v>-104.93864080683355</v>
      </c>
      <c r="AJ202" s="69"/>
      <c r="AK202" s="868"/>
      <c r="AL202" s="892">
        <f t="shared" si="531"/>
        <v>-181.87127520477884</v>
      </c>
      <c r="AM202" s="69"/>
      <c r="AN202" s="236"/>
      <c r="AO202" s="892">
        <f t="shared" si="532"/>
        <v>-248.72062531616132</v>
      </c>
      <c r="AP202" s="56"/>
      <c r="AQ202" s="236"/>
      <c r="AR202" s="892">
        <f t="shared" si="533"/>
        <v>-339.20695822473823</v>
      </c>
      <c r="AS202" s="56"/>
      <c r="AT202" s="216"/>
      <c r="AU202" s="892">
        <f t="shared" si="534"/>
        <v>-406.78955473983893</v>
      </c>
      <c r="AV202" s="56"/>
      <c r="AW202" s="236"/>
      <c r="AX202" s="605">
        <f t="shared" si="535"/>
        <v>-506.39906893477706</v>
      </c>
      <c r="AY202" s="56"/>
      <c r="AZ202" s="236"/>
      <c r="BA202" s="605">
        <f t="shared" si="536"/>
        <v>-590.7212625199345</v>
      </c>
      <c r="BB202" s="56"/>
      <c r="BC202" s="236"/>
      <c r="BD202" s="605">
        <f t="shared" si="537"/>
        <v>-672.58732420514775</v>
      </c>
      <c r="BE202" s="56"/>
      <c r="BF202" s="236"/>
      <c r="BG202" s="605">
        <f t="shared" si="538"/>
        <v>-770.8554949385217</v>
      </c>
      <c r="BH202" s="56"/>
      <c r="BI202" s="236"/>
      <c r="BJ202" s="605">
        <f t="shared" si="539"/>
        <v>-878.09623182406642</v>
      </c>
      <c r="BL202" s="107"/>
      <c r="BM202" s="107"/>
    </row>
    <row r="203" spans="1:65" ht="11.4">
      <c r="A203" s="122" t="str">
        <f t="shared" si="527"/>
        <v>Trent XWB-97</v>
      </c>
      <c r="N203" s="109"/>
      <c r="R203" s="69"/>
      <c r="S203" s="868"/>
      <c r="T203" s="892">
        <f t="shared" si="540"/>
        <v>0</v>
      </c>
      <c r="U203" s="69"/>
      <c r="V203" s="868"/>
      <c r="W203" s="892">
        <f t="shared" si="541"/>
        <v>0</v>
      </c>
      <c r="X203" s="69"/>
      <c r="Y203" s="868"/>
      <c r="Z203" s="892">
        <f t="shared" si="542"/>
        <v>-1.9655775293478259</v>
      </c>
      <c r="AA203" s="69"/>
      <c r="AB203" s="868"/>
      <c r="AC203" s="892">
        <f t="shared" si="528"/>
        <v>-12.226025143747922</v>
      </c>
      <c r="AD203" s="69"/>
      <c r="AE203" s="868"/>
      <c r="AF203" s="892">
        <f t="shared" si="529"/>
        <v>-17.956257311751312</v>
      </c>
      <c r="AG203" s="69"/>
      <c r="AH203" s="868"/>
      <c r="AI203" s="892">
        <f t="shared" si="530"/>
        <v>-25.091637482602696</v>
      </c>
      <c r="AJ203" s="69"/>
      <c r="AK203" s="868"/>
      <c r="AL203" s="892">
        <f t="shared" si="531"/>
        <v>-39.606987243334466</v>
      </c>
      <c r="AM203" s="69"/>
      <c r="AN203" s="236"/>
      <c r="AO203" s="892">
        <f t="shared" si="532"/>
        <v>-57.960053494381221</v>
      </c>
      <c r="AP203" s="56"/>
      <c r="AQ203" s="236"/>
      <c r="AR203" s="892">
        <f t="shared" si="533"/>
        <v>-70.973034913094494</v>
      </c>
      <c r="AS203" s="56"/>
      <c r="AT203" s="216"/>
      <c r="AU203" s="892">
        <f t="shared" si="534"/>
        <v>-86.031271202570153</v>
      </c>
      <c r="AV203" s="56"/>
      <c r="AW203" s="236"/>
      <c r="AX203" s="605">
        <f t="shared" si="535"/>
        <v>-113.10304897246732</v>
      </c>
      <c r="AY203" s="56"/>
      <c r="AZ203" s="236"/>
      <c r="BA203" s="605">
        <f t="shared" si="536"/>
        <v>-137.52360483121777</v>
      </c>
      <c r="BB203" s="56"/>
      <c r="BC203" s="236"/>
      <c r="BD203" s="605">
        <f t="shared" si="537"/>
        <v>-165.15813213483457</v>
      </c>
      <c r="BE203" s="56"/>
      <c r="BF203" s="236"/>
      <c r="BG203" s="605">
        <f t="shared" si="538"/>
        <v>-198.45064411127169</v>
      </c>
      <c r="BH203" s="56"/>
      <c r="BI203" s="236"/>
      <c r="BJ203" s="605">
        <f t="shared" si="539"/>
        <v>-235.71407896447081</v>
      </c>
      <c r="BL203" s="107"/>
      <c r="BM203" s="107"/>
    </row>
    <row r="204" spans="1:65" ht="11.4">
      <c r="A204" s="122" t="str">
        <f t="shared" si="527"/>
        <v>Trent 7000</v>
      </c>
      <c r="N204" s="109"/>
      <c r="R204" s="69"/>
      <c r="S204" s="868"/>
      <c r="T204" s="892">
        <f t="shared" si="540"/>
        <v>0</v>
      </c>
      <c r="U204" s="69"/>
      <c r="V204" s="868"/>
      <c r="W204" s="892">
        <f t="shared" si="541"/>
        <v>0</v>
      </c>
      <c r="X204" s="69"/>
      <c r="Y204" s="868"/>
      <c r="Z204" s="892">
        <f t="shared" si="542"/>
        <v>-4.4745555130434773E-2</v>
      </c>
      <c r="AA204" s="69"/>
      <c r="AB204" s="868"/>
      <c r="AC204" s="892">
        <f t="shared" si="528"/>
        <v>-4.3554549882082707</v>
      </c>
      <c r="AD204" s="69"/>
      <c r="AE204" s="868"/>
      <c r="AF204" s="892">
        <f t="shared" si="529"/>
        <v>-5.8485951881367857</v>
      </c>
      <c r="AG204" s="69"/>
      <c r="AH204" s="868"/>
      <c r="AI204" s="892">
        <f t="shared" si="530"/>
        <v>-11.777045525255909</v>
      </c>
      <c r="AJ204" s="69"/>
      <c r="AK204" s="868"/>
      <c r="AL204" s="892">
        <f t="shared" si="531"/>
        <v>-30.034909445769262</v>
      </c>
      <c r="AM204" s="69"/>
      <c r="AN204" s="236"/>
      <c r="AO204" s="892">
        <f t="shared" si="532"/>
        <v>-43.203186130551124</v>
      </c>
      <c r="AP204" s="56"/>
      <c r="AQ204" s="236"/>
      <c r="AR204" s="892">
        <f t="shared" si="533"/>
        <v>-62.998606282653384</v>
      </c>
      <c r="AS204" s="56"/>
      <c r="AT204" s="216"/>
      <c r="AU204" s="892">
        <f t="shared" si="534"/>
        <v>-82.29649387756406</v>
      </c>
      <c r="AV204" s="56"/>
      <c r="AW204" s="236"/>
      <c r="AX204" s="605">
        <f t="shared" si="535"/>
        <v>-112.73433858372809</v>
      </c>
      <c r="AY204" s="56"/>
      <c r="AZ204" s="236"/>
      <c r="BA204" s="605">
        <f t="shared" si="536"/>
        <v>-138.98093988107354</v>
      </c>
      <c r="BB204" s="56"/>
      <c r="BC204" s="236"/>
      <c r="BD204" s="605">
        <f t="shared" si="537"/>
        <v>-164.01812979770037</v>
      </c>
      <c r="BE204" s="56"/>
      <c r="BF204" s="236"/>
      <c r="BG204" s="605">
        <f t="shared" si="538"/>
        <v>-191.66124397175938</v>
      </c>
      <c r="BH204" s="56"/>
      <c r="BI204" s="236"/>
      <c r="BJ204" s="605">
        <f t="shared" si="539"/>
        <v>-221.0086412654224</v>
      </c>
      <c r="BL204" s="107"/>
      <c r="BM204" s="107"/>
    </row>
    <row r="205" spans="1:65">
      <c r="A205" s="93"/>
      <c r="S205" s="595"/>
      <c r="T205" s="619"/>
      <c r="V205" s="595"/>
      <c r="W205" s="619"/>
      <c r="Y205" s="595"/>
      <c r="Z205" s="619"/>
      <c r="AB205" s="595"/>
      <c r="AC205" s="619"/>
      <c r="AE205" s="595"/>
      <c r="AF205" s="619"/>
      <c r="AH205" s="595"/>
      <c r="AI205" s="619"/>
      <c r="AK205" s="595"/>
      <c r="AL205" s="619"/>
      <c r="AN205" s="805"/>
      <c r="AO205" s="836"/>
      <c r="AP205" s="24"/>
      <c r="AQ205" s="805"/>
      <c r="AR205" s="609"/>
      <c r="AS205" s="24"/>
      <c r="AT205" s="805"/>
      <c r="AU205" s="609"/>
      <c r="AV205" s="24"/>
      <c r="AW205" s="805"/>
      <c r="AX205" s="609"/>
      <c r="AY205" s="24"/>
      <c r="AZ205" s="805"/>
      <c r="BA205" s="609"/>
      <c r="BB205" s="24"/>
      <c r="BC205" s="805"/>
      <c r="BD205" s="609"/>
      <c r="BE205" s="24"/>
      <c r="BF205" s="805"/>
      <c r="BG205" s="609"/>
      <c r="BH205" s="24"/>
      <c r="BI205" s="805"/>
      <c r="BJ205" s="609"/>
    </row>
    <row r="206" spans="1:65" ht="12">
      <c r="A206" s="72" t="s">
        <v>753</v>
      </c>
      <c r="F206" s="125"/>
      <c r="P206" s="63"/>
      <c r="Q206" s="63"/>
      <c r="R206" s="126"/>
      <c r="S206" s="870"/>
      <c r="T206" s="893">
        <f t="shared" ref="T206:Z206" si="543">+SUM(T208:T215)</f>
        <v>1268.261743190476</v>
      </c>
      <c r="U206" s="126"/>
      <c r="V206" s="870"/>
      <c r="W206" s="893">
        <f t="shared" si="543"/>
        <v>991.72757812499992</v>
      </c>
      <c r="X206" s="126"/>
      <c r="Y206" s="870"/>
      <c r="Z206" s="893">
        <f t="shared" si="543"/>
        <v>1773.3223169840867</v>
      </c>
      <c r="AA206" s="126">
        <f>AC206/2</f>
        <v>1311.326926997011</v>
      </c>
      <c r="AB206" s="870">
        <f>AC206-AA206</f>
        <v>1311.326926997011</v>
      </c>
      <c r="AC206" s="893">
        <f t="shared" ref="AC206" si="544">+SUM(AC208:AC215)</f>
        <v>2622.653853994022</v>
      </c>
      <c r="AD206" s="126">
        <f>AF206/2</f>
        <v>436.49923352941954</v>
      </c>
      <c r="AE206" s="870">
        <f>AF206-AD206</f>
        <v>436.49923352941954</v>
      </c>
      <c r="AF206" s="893">
        <f t="shared" ref="AF206" si="545">+SUM(AF208:AF215)</f>
        <v>872.99846705883908</v>
      </c>
      <c r="AG206" s="126">
        <f>AI206/2</f>
        <v>540.56159287987782</v>
      </c>
      <c r="AH206" s="870">
        <f>AI206-AG206</f>
        <v>540.56159287987782</v>
      </c>
      <c r="AI206" s="893">
        <f t="shared" ref="AI206" si="546">+SUM(AI208:AI215)</f>
        <v>1081.1231857597556</v>
      </c>
      <c r="AJ206" s="126">
        <f>AL206/2</f>
        <v>1016.435915986322</v>
      </c>
      <c r="AK206" s="870">
        <f>AL206-AJ206</f>
        <v>1016.435915986322</v>
      </c>
      <c r="AL206" s="893">
        <f>+SUM(AL207:AL215)</f>
        <v>2032.871831972644</v>
      </c>
      <c r="AM206" s="126">
        <f>AO206/2</f>
        <v>1419.842856877772</v>
      </c>
      <c r="AN206" s="870">
        <f>AO206-AM206</f>
        <v>1419.842856877772</v>
      </c>
      <c r="AO206" s="893">
        <f>+SUM(AO207:AO215)</f>
        <v>2839.6857137555439</v>
      </c>
      <c r="AP206" s="1056">
        <f>(AP124/AP374)+AP195</f>
        <v>1675.3845560936045</v>
      </c>
      <c r="AQ206" s="870">
        <f>AR206-AP206</f>
        <v>1806.9819105051313</v>
      </c>
      <c r="AR206" s="893">
        <f>+SUM(AR207:AR215)</f>
        <v>3482.3664665987358</v>
      </c>
      <c r="AS206" s="1056">
        <f>(AS124/AS374)+AS195</f>
        <v>1861.7886433823619</v>
      </c>
      <c r="AT206" s="1114">
        <f>AU206-AS206</f>
        <v>2055.6457351359136</v>
      </c>
      <c r="AU206" s="1115">
        <f>+SUM(AU207:AU215)</f>
        <v>3917.4343785182755</v>
      </c>
      <c r="AV206" s="1056">
        <f>(AV124/AV374)+AV195</f>
        <v>2186.4464372658676</v>
      </c>
      <c r="AW206" s="804">
        <f>AX206-AV206</f>
        <v>2593.1199355577946</v>
      </c>
      <c r="AX206" s="835">
        <f>+SUM(AX207:AX215)</f>
        <v>4779.5663728236623</v>
      </c>
      <c r="AY206" s="353">
        <f>(AY124/AY374)+AY195</f>
        <v>2664.6215598983763</v>
      </c>
      <c r="AZ206" s="804">
        <f>BA206-AY206</f>
        <v>2664.621559898379</v>
      </c>
      <c r="BA206" s="835">
        <f>+SUM(BA207:BA215)</f>
        <v>5329.2431197967553</v>
      </c>
      <c r="BB206" s="353">
        <f>(BB124/BB374)+BB195</f>
        <v>2881.7145313690417</v>
      </c>
      <c r="BC206" s="804">
        <f>BD206-BB206</f>
        <v>2881.7145313690407</v>
      </c>
      <c r="BD206" s="835">
        <f>+SUM(BD207:BD215)</f>
        <v>5763.4290627380824</v>
      </c>
      <c r="BE206" s="353">
        <f>(BE124/BE374)+BE195</f>
        <v>3145.7122767719034</v>
      </c>
      <c r="BF206" s="804">
        <f>BG206-BE206</f>
        <v>3145.7122767719052</v>
      </c>
      <c r="BG206" s="835">
        <f>+SUM(BG207:BG215)</f>
        <v>6291.4245535438085</v>
      </c>
      <c r="BH206" s="353">
        <f>(BH124/BH374)+BH195</f>
        <v>3490.2192525244809</v>
      </c>
      <c r="BI206" s="804">
        <f>BJ206-BH206</f>
        <v>3490.2192525244827</v>
      </c>
      <c r="BJ206" s="835">
        <f>+SUM(BJ207:BJ215)</f>
        <v>6980.4385050489636</v>
      </c>
      <c r="BM206" s="129"/>
    </row>
    <row r="207" spans="1:65" ht="11.4">
      <c r="A207" s="122" t="str">
        <f t="shared" ref="A207:A215" si="547">A196</f>
        <v>RB211</v>
      </c>
      <c r="N207" s="109"/>
      <c r="R207" s="69"/>
      <c r="S207" s="868"/>
      <c r="T207" s="892"/>
      <c r="U207" s="69"/>
      <c r="V207" s="868"/>
      <c r="W207" s="892"/>
      <c r="X207" s="69"/>
      <c r="Y207" s="868"/>
      <c r="Z207" s="892"/>
      <c r="AA207" s="69"/>
      <c r="AB207" s="868"/>
      <c r="AC207" s="892">
        <f t="shared" ref="AC207:AC215" si="548">+AC127/AC$374+AC196</f>
        <v>124.41970574435159</v>
      </c>
      <c r="AD207" s="69"/>
      <c r="AE207" s="868"/>
      <c r="AF207" s="892">
        <f t="shared" ref="AF207:AF215" si="549">+AF127/AF$374+AF196</f>
        <v>38.329150607852362</v>
      </c>
      <c r="AG207" s="69"/>
      <c r="AH207" s="868"/>
      <c r="AI207" s="892">
        <f t="shared" ref="AI207:AI215" si="550">+AI127/AI$374+AI196</f>
        <v>43.365751950495415</v>
      </c>
      <c r="AJ207" s="69"/>
      <c r="AK207" s="868"/>
      <c r="AL207" s="892">
        <f t="shared" ref="AL207:AL215" si="551">+AL127/AL$374+AL196</f>
        <v>69.539257290040837</v>
      </c>
      <c r="AM207" s="69"/>
      <c r="AN207" s="868"/>
      <c r="AO207" s="892">
        <f t="shared" ref="AO207:AO215" si="552">+AO127/AO$374+AO196</f>
        <v>71.657338541422533</v>
      </c>
      <c r="AP207" s="56"/>
      <c r="AQ207" s="868"/>
      <c r="AR207" s="892">
        <f t="shared" ref="AR207:AR215" si="553">+AR127/AR$374+AR196</f>
        <v>74.93024084599746</v>
      </c>
      <c r="AS207" s="56"/>
      <c r="AT207" s="216"/>
      <c r="AU207" s="892">
        <f t="shared" ref="AU207:AU215" si="554">+AU127/AU$374+AU196</f>
        <v>71.979438482790115</v>
      </c>
      <c r="AV207" s="56"/>
      <c r="AW207" s="236"/>
      <c r="AX207" s="605">
        <f t="shared" ref="AX207:AX215" si="555">+AX127/AX$374+AX196</f>
        <v>77.697857725189792</v>
      </c>
      <c r="AY207" s="56"/>
      <c r="AZ207" s="236"/>
      <c r="BA207" s="605">
        <f t="shared" ref="BA207:BA215" si="556">+BA127/BA$374+BA196</f>
        <v>76.853802691268754</v>
      </c>
      <c r="BB207" s="56"/>
      <c r="BC207" s="236"/>
      <c r="BD207" s="605">
        <f t="shared" ref="BD207:BD215" si="557">+BD127/BD$374+BD196</f>
        <v>73.93852984573293</v>
      </c>
      <c r="BE207" s="56"/>
      <c r="BF207" s="236"/>
      <c r="BG207" s="605">
        <f t="shared" ref="BG207:BG215" si="558">+BG127/BG$374+BG196</f>
        <v>71.354877056293759</v>
      </c>
      <c r="BH207" s="56"/>
      <c r="BI207" s="236"/>
      <c r="BJ207" s="605">
        <f t="shared" ref="BJ207:BJ215" si="559">+BJ127/BJ$374+BJ196</f>
        <v>185.08408314109312</v>
      </c>
      <c r="BL207" s="107"/>
      <c r="BM207" s="107"/>
    </row>
    <row r="208" spans="1:65" ht="11.4">
      <c r="A208" s="122" t="str">
        <f t="shared" si="547"/>
        <v>Trent 500</v>
      </c>
      <c r="N208" s="109"/>
      <c r="R208" s="69"/>
      <c r="S208" s="868"/>
      <c r="T208" s="892">
        <f t="shared" ref="T208:T215" si="560">+T128/T$375+T197</f>
        <v>67.462527999999992</v>
      </c>
      <c r="U208" s="69"/>
      <c r="V208" s="868"/>
      <c r="W208" s="892">
        <f t="shared" ref="W208:W215" si="561">+W128/W$375+W197</f>
        <v>67.26098076923077</v>
      </c>
      <c r="X208" s="69"/>
      <c r="Y208" s="868"/>
      <c r="Z208" s="892">
        <f t="shared" ref="Z208:Z215" si="562">+Z128/Z$375+Z197</f>
        <v>93.384852229565212</v>
      </c>
      <c r="AA208" s="69"/>
      <c r="AB208" s="868"/>
      <c r="AC208" s="892">
        <f t="shared" si="548"/>
        <v>122.50262456671308</v>
      </c>
      <c r="AD208" s="69"/>
      <c r="AE208" s="868"/>
      <c r="AF208" s="892">
        <f t="shared" si="549"/>
        <v>16.875238853192069</v>
      </c>
      <c r="AG208" s="69"/>
      <c r="AH208" s="868"/>
      <c r="AI208" s="892">
        <f t="shared" si="550"/>
        <v>14.67494197903244</v>
      </c>
      <c r="AJ208" s="69"/>
      <c r="AK208" s="868"/>
      <c r="AL208" s="892">
        <f t="shared" si="551"/>
        <v>14.572923922357754</v>
      </c>
      <c r="AM208" s="69"/>
      <c r="AN208" s="868"/>
      <c r="AO208" s="892">
        <f t="shared" si="552"/>
        <v>26.917061193804336</v>
      </c>
      <c r="AP208" s="56"/>
      <c r="AQ208" s="868"/>
      <c r="AR208" s="892">
        <f t="shared" si="553"/>
        <v>35.559648020722143</v>
      </c>
      <c r="AS208" s="56"/>
      <c r="AT208" s="216"/>
      <c r="AU208" s="892">
        <f t="shared" si="554"/>
        <v>30.687343121814415</v>
      </c>
      <c r="AV208" s="56"/>
      <c r="AW208" s="236"/>
      <c r="AX208" s="605">
        <f t="shared" si="555"/>
        <v>26.738655596018472</v>
      </c>
      <c r="AY208" s="56"/>
      <c r="AZ208" s="236"/>
      <c r="BA208" s="605">
        <f t="shared" si="556"/>
        <v>21.643507743678125</v>
      </c>
      <c r="BB208" s="56"/>
      <c r="BC208" s="236"/>
      <c r="BD208" s="605">
        <f t="shared" si="557"/>
        <v>20.471089432887634</v>
      </c>
      <c r="BE208" s="56"/>
      <c r="BF208" s="236"/>
      <c r="BG208" s="605">
        <f t="shared" si="558"/>
        <v>19.370976415396679</v>
      </c>
      <c r="BH208" s="56"/>
      <c r="BI208" s="236"/>
      <c r="BJ208" s="605">
        <f t="shared" si="559"/>
        <v>18.186432636366671</v>
      </c>
      <c r="BL208" s="107"/>
      <c r="BM208" s="107"/>
    </row>
    <row r="209" spans="1:67" ht="11.4">
      <c r="A209" s="122" t="str">
        <f t="shared" si="547"/>
        <v>Trent 700</v>
      </c>
      <c r="N209" s="109"/>
      <c r="R209" s="69"/>
      <c r="S209" s="868"/>
      <c r="T209" s="892">
        <f t="shared" si="560"/>
        <v>868.3755428571427</v>
      </c>
      <c r="U209" s="69"/>
      <c r="V209" s="868"/>
      <c r="W209" s="892">
        <f t="shared" si="561"/>
        <v>501.5233774038461</v>
      </c>
      <c r="X209" s="69"/>
      <c r="Y209" s="868"/>
      <c r="Z209" s="892">
        <f t="shared" si="562"/>
        <v>873.60305904156507</v>
      </c>
      <c r="AA209" s="69"/>
      <c r="AB209" s="868"/>
      <c r="AC209" s="892">
        <f t="shared" si="548"/>
        <v>1092.1614255806458</v>
      </c>
      <c r="AD209" s="69"/>
      <c r="AE209" s="868"/>
      <c r="AF209" s="892">
        <f t="shared" si="549"/>
        <v>306.23521016148391</v>
      </c>
      <c r="AG209" s="69"/>
      <c r="AH209" s="868"/>
      <c r="AI209" s="892">
        <f t="shared" si="550"/>
        <v>339.73734748027215</v>
      </c>
      <c r="AJ209" s="69"/>
      <c r="AK209" s="868"/>
      <c r="AL209" s="892">
        <f t="shared" si="551"/>
        <v>515.31571194234505</v>
      </c>
      <c r="AM209" s="69"/>
      <c r="AN209" s="868"/>
      <c r="AO209" s="892">
        <f>+AO129/AO$374+AO198</f>
        <v>768.16204206692316</v>
      </c>
      <c r="AP209" s="56"/>
      <c r="AQ209" s="868"/>
      <c r="AR209" s="892">
        <f t="shared" si="553"/>
        <v>913.39328326517148</v>
      </c>
      <c r="AS209" s="56"/>
      <c r="AT209" s="216"/>
      <c r="AU209" s="892">
        <f t="shared" si="554"/>
        <v>988.40747299010548</v>
      </c>
      <c r="AV209" s="56"/>
      <c r="AW209" s="236"/>
      <c r="AX209" s="605">
        <f t="shared" si="555"/>
        <v>1155.1496654144489</v>
      </c>
      <c r="AY209" s="56"/>
      <c r="AZ209" s="236"/>
      <c r="BA209" s="605">
        <f t="shared" si="556"/>
        <v>1197.622926877897</v>
      </c>
      <c r="BB209" s="56"/>
      <c r="BC209" s="236"/>
      <c r="BD209" s="605">
        <f t="shared" si="557"/>
        <v>1201.7314103320234</v>
      </c>
      <c r="BE209" s="56"/>
      <c r="BF209" s="236"/>
      <c r="BG209" s="605">
        <f t="shared" si="558"/>
        <v>1213.9798266296384</v>
      </c>
      <c r="BH209" s="56"/>
      <c r="BI209" s="236"/>
      <c r="BJ209" s="605">
        <f t="shared" si="559"/>
        <v>1225.8815896358115</v>
      </c>
      <c r="BL209" s="107"/>
      <c r="BM209" s="107"/>
    </row>
    <row r="210" spans="1:67" ht="11.4">
      <c r="A210" s="122" t="str">
        <f t="shared" si="547"/>
        <v>Trent 800</v>
      </c>
      <c r="N210" s="109"/>
      <c r="R210" s="69"/>
      <c r="S210" s="868"/>
      <c r="T210" s="892">
        <f t="shared" si="560"/>
        <v>122.99608799999999</v>
      </c>
      <c r="U210" s="69"/>
      <c r="V210" s="868"/>
      <c r="W210" s="892">
        <f t="shared" si="561"/>
        <v>130.82350240384616</v>
      </c>
      <c r="X210" s="69"/>
      <c r="Y210" s="868"/>
      <c r="Z210" s="892">
        <f t="shared" si="562"/>
        <v>208.67525078400001</v>
      </c>
      <c r="AA210" s="69"/>
      <c r="AB210" s="868"/>
      <c r="AC210" s="892">
        <f t="shared" si="548"/>
        <v>271.32667220319138</v>
      </c>
      <c r="AD210" s="69"/>
      <c r="AE210" s="868"/>
      <c r="AF210" s="892">
        <f t="shared" si="549"/>
        <v>55.026079450896731</v>
      </c>
      <c r="AG210" s="69"/>
      <c r="AH210" s="868"/>
      <c r="AI210" s="892">
        <f t="shared" si="550"/>
        <v>68.961268167757211</v>
      </c>
      <c r="AJ210" s="69"/>
      <c r="AK210" s="868"/>
      <c r="AL210" s="892">
        <f t="shared" si="551"/>
        <v>138.70502981752588</v>
      </c>
      <c r="AM210" s="69"/>
      <c r="AN210" s="868"/>
      <c r="AO210" s="892">
        <f t="shared" si="552"/>
        <v>162.65308766045689</v>
      </c>
      <c r="AP210" s="56"/>
      <c r="AQ210" s="868"/>
      <c r="AR210" s="892">
        <f t="shared" si="553"/>
        <v>201.12912733127072</v>
      </c>
      <c r="AS210" s="56"/>
      <c r="AT210" s="216"/>
      <c r="AU210" s="892">
        <f t="shared" si="554"/>
        <v>213.66364312972451</v>
      </c>
      <c r="AV210" s="56"/>
      <c r="AW210" s="236"/>
      <c r="AX210" s="605">
        <f t="shared" si="555"/>
        <v>252.02194890754271</v>
      </c>
      <c r="AY210" s="56"/>
      <c r="AZ210" s="236"/>
      <c r="BA210" s="605">
        <f t="shared" si="556"/>
        <v>248.52605282815952</v>
      </c>
      <c r="BB210" s="56"/>
      <c r="BC210" s="236"/>
      <c r="BD210" s="605">
        <f t="shared" si="557"/>
        <v>232.30050196874018</v>
      </c>
      <c r="BE210" s="56"/>
      <c r="BF210" s="236"/>
      <c r="BG210" s="605">
        <f t="shared" si="558"/>
        <v>216.73943067866841</v>
      </c>
      <c r="BH210" s="56"/>
      <c r="BI210" s="236"/>
      <c r="BJ210" s="605">
        <f t="shared" si="559"/>
        <v>200.03562465942056</v>
      </c>
      <c r="BL210" s="107"/>
      <c r="BM210" s="107"/>
    </row>
    <row r="211" spans="1:67" ht="11.4">
      <c r="A211" s="122" t="str">
        <f t="shared" si="547"/>
        <v>Trent 900</v>
      </c>
      <c r="N211" s="109"/>
      <c r="R211" s="69"/>
      <c r="S211" s="868"/>
      <c r="T211" s="892">
        <f t="shared" si="560"/>
        <v>95.109559999999973</v>
      </c>
      <c r="U211" s="69"/>
      <c r="V211" s="868"/>
      <c r="W211" s="892">
        <f t="shared" si="561"/>
        <v>115.23421875</v>
      </c>
      <c r="X211" s="69"/>
      <c r="Y211" s="868"/>
      <c r="Z211" s="892">
        <f t="shared" si="562"/>
        <v>194.47651366956518</v>
      </c>
      <c r="AA211" s="69"/>
      <c r="AB211" s="868"/>
      <c r="AC211" s="892">
        <f t="shared" si="548"/>
        <v>307.44377894811441</v>
      </c>
      <c r="AD211" s="69"/>
      <c r="AE211" s="868"/>
      <c r="AF211" s="892">
        <f t="shared" si="549"/>
        <v>39.549780802885046</v>
      </c>
      <c r="AG211" s="69"/>
      <c r="AH211" s="868"/>
      <c r="AI211" s="892">
        <f t="shared" si="550"/>
        <v>15.882653222495309</v>
      </c>
      <c r="AJ211" s="69"/>
      <c r="AK211" s="868"/>
      <c r="AL211" s="892">
        <f t="shared" si="551"/>
        <v>118.63327889779109</v>
      </c>
      <c r="AM211" s="69"/>
      <c r="AN211" s="868"/>
      <c r="AO211" s="892">
        <f t="shared" si="552"/>
        <v>232.61761087622702</v>
      </c>
      <c r="AP211" s="56"/>
      <c r="AQ211" s="868"/>
      <c r="AR211" s="892">
        <f t="shared" si="553"/>
        <v>271.79091688083327</v>
      </c>
      <c r="AS211" s="56"/>
      <c r="AT211" s="216"/>
      <c r="AU211" s="892">
        <f t="shared" si="554"/>
        <v>288.57540023737266</v>
      </c>
      <c r="AV211" s="56"/>
      <c r="AW211" s="236"/>
      <c r="AX211" s="605">
        <f t="shared" si="555"/>
        <v>337.55620706187472</v>
      </c>
      <c r="AY211" s="56"/>
      <c r="AZ211" s="236"/>
      <c r="BA211" s="605">
        <f t="shared" si="556"/>
        <v>349.55078671744809</v>
      </c>
      <c r="BB211" s="56"/>
      <c r="BC211" s="236"/>
      <c r="BD211" s="605">
        <f t="shared" si="557"/>
        <v>337.5233282105375</v>
      </c>
      <c r="BE211" s="56"/>
      <c r="BF211" s="236"/>
      <c r="BG211" s="605">
        <f t="shared" si="558"/>
        <v>327.07807965112261</v>
      </c>
      <c r="BH211" s="56"/>
      <c r="BI211" s="236"/>
      <c r="BJ211" s="605">
        <f t="shared" si="559"/>
        <v>315.70234518275333</v>
      </c>
      <c r="BL211" s="107"/>
      <c r="BM211" s="107"/>
    </row>
    <row r="212" spans="1:67" ht="11.4">
      <c r="A212" s="122" t="str">
        <f t="shared" si="547"/>
        <v>Trent 1000</v>
      </c>
      <c r="N212" s="109"/>
      <c r="R212" s="69"/>
      <c r="S212" s="868"/>
      <c r="T212" s="892">
        <f t="shared" si="560"/>
        <v>77.666024333333326</v>
      </c>
      <c r="U212" s="69"/>
      <c r="V212" s="868"/>
      <c r="W212" s="892">
        <f t="shared" si="561"/>
        <v>115.49201772836537</v>
      </c>
      <c r="X212" s="69"/>
      <c r="Y212" s="868"/>
      <c r="Z212" s="892">
        <f t="shared" si="562"/>
        <v>209.85400317821737</v>
      </c>
      <c r="AA212" s="69"/>
      <c r="AB212" s="868"/>
      <c r="AC212" s="892">
        <f t="shared" si="548"/>
        <v>363.35163938857642</v>
      </c>
      <c r="AD212" s="69"/>
      <c r="AE212" s="868"/>
      <c r="AF212" s="892">
        <f t="shared" si="549"/>
        <v>166.1161772449538</v>
      </c>
      <c r="AG212" s="69"/>
      <c r="AH212" s="868"/>
      <c r="AI212" s="892">
        <f t="shared" si="550"/>
        <v>216.44500346612216</v>
      </c>
      <c r="AJ212" s="69"/>
      <c r="AK212" s="868"/>
      <c r="AL212" s="892">
        <f t="shared" si="551"/>
        <v>421.56611442093595</v>
      </c>
      <c r="AM212" s="69"/>
      <c r="AN212" s="868"/>
      <c r="AO212" s="892">
        <f t="shared" si="552"/>
        <v>528.02697859342879</v>
      </c>
      <c r="AP212" s="56"/>
      <c r="AQ212" s="868"/>
      <c r="AR212" s="892">
        <f t="shared" si="553"/>
        <v>566.02745199328251</v>
      </c>
      <c r="AS212" s="56"/>
      <c r="AT212" s="216"/>
      <c r="AU212" s="892">
        <f t="shared" si="554"/>
        <v>598.76912109654904</v>
      </c>
      <c r="AV212" s="56"/>
      <c r="AW212" s="236"/>
      <c r="AX212" s="605">
        <f t="shared" si="555"/>
        <v>733.69266864566953</v>
      </c>
      <c r="AY212" s="56"/>
      <c r="AZ212" s="236"/>
      <c r="BA212" s="605">
        <f t="shared" si="556"/>
        <v>833.36862124162576</v>
      </c>
      <c r="BB212" s="56"/>
      <c r="BC212" s="236"/>
      <c r="BD212" s="605">
        <f t="shared" si="557"/>
        <v>892.17344453511305</v>
      </c>
      <c r="BE212" s="56"/>
      <c r="BF212" s="236"/>
      <c r="BG212" s="605">
        <f t="shared" si="558"/>
        <v>959.99921404802944</v>
      </c>
      <c r="BH212" s="56"/>
      <c r="BI212" s="236"/>
      <c r="BJ212" s="605">
        <f t="shared" si="559"/>
        <v>1031.0915736316392</v>
      </c>
      <c r="BL212" s="107"/>
      <c r="BM212" s="107"/>
    </row>
    <row r="213" spans="1:67" ht="11.4">
      <c r="A213" s="122" t="str">
        <f t="shared" si="547"/>
        <v>Trent XWB-84</v>
      </c>
      <c r="N213" s="109"/>
      <c r="R213" s="69"/>
      <c r="S213" s="868"/>
      <c r="T213" s="892">
        <f t="shared" si="560"/>
        <v>36.651999999999994</v>
      </c>
      <c r="U213" s="69"/>
      <c r="V213" s="868"/>
      <c r="W213" s="892">
        <f t="shared" si="561"/>
        <v>61.393481069711541</v>
      </c>
      <c r="X213" s="69"/>
      <c r="Y213" s="868"/>
      <c r="Z213" s="892">
        <f t="shared" si="562"/>
        <v>188.63788421739133</v>
      </c>
      <c r="AA213" s="69"/>
      <c r="AB213" s="868"/>
      <c r="AC213" s="892">
        <f t="shared" si="548"/>
        <v>416.12327291091179</v>
      </c>
      <c r="AD213" s="69"/>
      <c r="AE213" s="868"/>
      <c r="AF213" s="892">
        <f t="shared" si="549"/>
        <v>217.78142304576318</v>
      </c>
      <c r="AG213" s="69"/>
      <c r="AH213" s="868"/>
      <c r="AI213" s="892">
        <f t="shared" si="550"/>
        <v>314.81592242050067</v>
      </c>
      <c r="AJ213" s="69"/>
      <c r="AK213" s="868"/>
      <c r="AL213" s="892">
        <f t="shared" si="551"/>
        <v>545.61382561433652</v>
      </c>
      <c r="AM213" s="69"/>
      <c r="AN213" s="868"/>
      <c r="AO213" s="892">
        <f t="shared" si="552"/>
        <v>746.16187594848395</v>
      </c>
      <c r="AP213" s="56"/>
      <c r="AQ213" s="868"/>
      <c r="AR213" s="892">
        <f t="shared" si="553"/>
        <v>1017.6208746742147</v>
      </c>
      <c r="AS213" s="56"/>
      <c r="AT213" s="216"/>
      <c r="AU213" s="892">
        <f t="shared" si="554"/>
        <v>1220.3686642195169</v>
      </c>
      <c r="AV213" s="56"/>
      <c r="AW213" s="236"/>
      <c r="AX213" s="605">
        <f t="shared" si="555"/>
        <v>1519.1972068043312</v>
      </c>
      <c r="AY213" s="56"/>
      <c r="AZ213" s="236"/>
      <c r="BA213" s="605">
        <f t="shared" si="556"/>
        <v>1772.1637875598035</v>
      </c>
      <c r="BB213" s="56"/>
      <c r="BC213" s="236"/>
      <c r="BD213" s="605">
        <f t="shared" si="557"/>
        <v>2017.7619726154433</v>
      </c>
      <c r="BE213" s="56"/>
      <c r="BF213" s="236"/>
      <c r="BG213" s="605">
        <f t="shared" si="558"/>
        <v>2312.5664848155652</v>
      </c>
      <c r="BH213" s="56"/>
      <c r="BI213" s="236"/>
      <c r="BJ213" s="605">
        <f t="shared" si="559"/>
        <v>2634.2886954721994</v>
      </c>
      <c r="BL213" s="107"/>
      <c r="BM213" s="107"/>
    </row>
    <row r="214" spans="1:67" ht="11.4">
      <c r="A214" s="122" t="str">
        <f t="shared" si="547"/>
        <v>Trent XWB-97</v>
      </c>
      <c r="N214" s="109"/>
      <c r="R214" s="69"/>
      <c r="S214" s="868"/>
      <c r="T214" s="892">
        <f t="shared" si="560"/>
        <v>0</v>
      </c>
      <c r="U214" s="69"/>
      <c r="V214" s="868"/>
      <c r="W214" s="892">
        <f t="shared" si="561"/>
        <v>0</v>
      </c>
      <c r="X214" s="69"/>
      <c r="Y214" s="868"/>
      <c r="Z214" s="892">
        <f t="shared" si="562"/>
        <v>4.5863475684782609</v>
      </c>
      <c r="AA214" s="69"/>
      <c r="AB214" s="868"/>
      <c r="AC214" s="892">
        <f t="shared" si="548"/>
        <v>36.678075431243769</v>
      </c>
      <c r="AD214" s="69"/>
      <c r="AE214" s="868"/>
      <c r="AF214" s="892">
        <f t="shared" si="549"/>
        <v>53.868771935253932</v>
      </c>
      <c r="AG214" s="69"/>
      <c r="AH214" s="868"/>
      <c r="AI214" s="892">
        <f t="shared" si="550"/>
        <v>75.274912447808092</v>
      </c>
      <c r="AJ214" s="69"/>
      <c r="AK214" s="868"/>
      <c r="AL214" s="892">
        <f t="shared" si="551"/>
        <v>118.8209617300034</v>
      </c>
      <c r="AM214" s="69"/>
      <c r="AN214" s="868"/>
      <c r="AO214" s="892">
        <f t="shared" si="552"/>
        <v>173.88016048314367</v>
      </c>
      <c r="AP214" s="56"/>
      <c r="AQ214" s="868"/>
      <c r="AR214" s="892">
        <f t="shared" si="553"/>
        <v>212.91910473928348</v>
      </c>
      <c r="AS214" s="56"/>
      <c r="AT214" s="216"/>
      <c r="AU214" s="892">
        <f t="shared" si="554"/>
        <v>258.09381360771044</v>
      </c>
      <c r="AV214" s="56"/>
      <c r="AW214" s="236"/>
      <c r="AX214" s="605">
        <f t="shared" si="555"/>
        <v>339.30914691740196</v>
      </c>
      <c r="AY214" s="56"/>
      <c r="AZ214" s="236"/>
      <c r="BA214" s="605">
        <f t="shared" si="556"/>
        <v>412.5708144936533</v>
      </c>
      <c r="BB214" s="56"/>
      <c r="BC214" s="236"/>
      <c r="BD214" s="605">
        <f t="shared" si="557"/>
        <v>495.47439640450375</v>
      </c>
      <c r="BE214" s="56"/>
      <c r="BF214" s="236"/>
      <c r="BG214" s="605">
        <f t="shared" si="558"/>
        <v>595.35193233381506</v>
      </c>
      <c r="BH214" s="56"/>
      <c r="BI214" s="236"/>
      <c r="BJ214" s="605">
        <f t="shared" si="559"/>
        <v>707.14223689341247</v>
      </c>
      <c r="BL214" s="107"/>
      <c r="BM214" s="107"/>
    </row>
    <row r="215" spans="1:67" ht="11.4">
      <c r="A215" s="122" t="str">
        <f t="shared" si="547"/>
        <v>Trent 7000</v>
      </c>
      <c r="N215" s="109"/>
      <c r="R215" s="69"/>
      <c r="S215" s="868"/>
      <c r="T215" s="892">
        <f t="shared" si="560"/>
        <v>0</v>
      </c>
      <c r="U215" s="69"/>
      <c r="V215" s="868"/>
      <c r="W215" s="892">
        <f t="shared" si="561"/>
        <v>0</v>
      </c>
      <c r="X215" s="69"/>
      <c r="Y215" s="868"/>
      <c r="Z215" s="892">
        <f t="shared" si="562"/>
        <v>0.10440629530434783</v>
      </c>
      <c r="AA215" s="69"/>
      <c r="AB215" s="868"/>
      <c r="AC215" s="892">
        <f t="shared" si="548"/>
        <v>13.066364964624812</v>
      </c>
      <c r="AD215" s="69"/>
      <c r="AE215" s="868"/>
      <c r="AF215" s="892">
        <f t="shared" si="549"/>
        <v>17.545785564410359</v>
      </c>
      <c r="AG215" s="69"/>
      <c r="AH215" s="868"/>
      <c r="AI215" s="892">
        <f t="shared" si="550"/>
        <v>35.331136575767729</v>
      </c>
      <c r="AJ215" s="69"/>
      <c r="AK215" s="868"/>
      <c r="AL215" s="892">
        <f t="shared" si="551"/>
        <v>90.10472833730779</v>
      </c>
      <c r="AM215" s="69"/>
      <c r="AN215" s="868"/>
      <c r="AO215" s="892">
        <f t="shared" si="552"/>
        <v>129.60955839165337</v>
      </c>
      <c r="AP215" s="56"/>
      <c r="AQ215" s="868"/>
      <c r="AR215" s="892">
        <f t="shared" si="553"/>
        <v>188.99581884796015</v>
      </c>
      <c r="AS215" s="56"/>
      <c r="AT215" s="216"/>
      <c r="AU215" s="892">
        <f t="shared" si="554"/>
        <v>246.8894816326922</v>
      </c>
      <c r="AV215" s="56"/>
      <c r="AW215" s="236"/>
      <c r="AX215" s="605">
        <f t="shared" si="555"/>
        <v>338.20301575118424</v>
      </c>
      <c r="AY215" s="56"/>
      <c r="AZ215" s="236"/>
      <c r="BA215" s="605">
        <f t="shared" si="556"/>
        <v>416.94281964322062</v>
      </c>
      <c r="BB215" s="56"/>
      <c r="BC215" s="236"/>
      <c r="BD215" s="605">
        <f t="shared" si="557"/>
        <v>492.05438939310113</v>
      </c>
      <c r="BE215" s="56"/>
      <c r="BF215" s="236"/>
      <c r="BG215" s="605">
        <f t="shared" si="558"/>
        <v>574.9837319152781</v>
      </c>
      <c r="BH215" s="56"/>
      <c r="BI215" s="236"/>
      <c r="BJ215" s="605">
        <f t="shared" si="559"/>
        <v>663.02592379626719</v>
      </c>
      <c r="BL215" s="107"/>
      <c r="BM215" s="107"/>
    </row>
    <row r="216" spans="1:67">
      <c r="S216" s="595"/>
      <c r="T216" s="619"/>
      <c r="V216" s="595"/>
      <c r="W216" s="619"/>
      <c r="Y216" s="595"/>
      <c r="Z216" s="619"/>
      <c r="AB216" s="595"/>
      <c r="AC216" s="619"/>
      <c r="AE216" s="595"/>
      <c r="AF216" s="619"/>
      <c r="AH216" s="595"/>
      <c r="AI216" s="619"/>
      <c r="AK216" s="595"/>
      <c r="AL216" s="619"/>
      <c r="AN216" s="595"/>
      <c r="AO216" s="619"/>
      <c r="AQ216" s="595"/>
      <c r="AR216" s="740"/>
      <c r="AT216" s="595"/>
      <c r="AU216" s="619"/>
      <c r="AW216" s="595"/>
      <c r="AX216" s="619"/>
      <c r="AZ216" s="595"/>
      <c r="BA216" s="619"/>
      <c r="BC216" s="595"/>
      <c r="BD216" s="619"/>
      <c r="BF216" s="595"/>
      <c r="BG216" s="619"/>
      <c r="BI216" s="595"/>
      <c r="BJ216" s="619"/>
    </row>
    <row r="217" spans="1:67" ht="12">
      <c r="A217" s="118" t="s">
        <v>121</v>
      </c>
      <c r="B217" s="70"/>
      <c r="C217" s="70"/>
      <c r="D217" s="70"/>
      <c r="E217" s="70"/>
      <c r="F217" s="70"/>
      <c r="G217" s="70"/>
      <c r="H217" s="70"/>
      <c r="I217" s="70"/>
      <c r="J217" s="70"/>
      <c r="K217" s="70"/>
      <c r="L217" s="70"/>
      <c r="M217" s="70"/>
      <c r="N217" s="119"/>
      <c r="O217" s="70"/>
      <c r="P217" s="70"/>
      <c r="Q217" s="70"/>
      <c r="R217" s="436"/>
      <c r="S217" s="908"/>
      <c r="T217" s="921">
        <f>+T206-(T107+T195)</f>
        <v>-46.949392380952759</v>
      </c>
      <c r="U217" s="436"/>
      <c r="V217" s="908"/>
      <c r="W217" s="921">
        <f>+W206-(W107+W195)</f>
        <v>-618.57978665865392</v>
      </c>
      <c r="X217" s="436"/>
      <c r="Y217" s="908"/>
      <c r="Z217" s="921">
        <f>+Z206-(Z107+Z195)</f>
        <v>-2.6666354652177233</v>
      </c>
      <c r="AA217" s="208"/>
      <c r="AB217" s="796"/>
      <c r="AC217" s="827">
        <f>+AC206-(AC107+AC195)</f>
        <v>0</v>
      </c>
      <c r="AD217" s="208"/>
      <c r="AE217" s="796"/>
      <c r="AF217" s="827">
        <f>+AF206-(AF107+AF195)</f>
        <v>0</v>
      </c>
      <c r="AG217" s="208"/>
      <c r="AH217" s="796"/>
      <c r="AI217" s="827">
        <f>+AI206-(AI107+AI195)</f>
        <v>0</v>
      </c>
      <c r="AJ217" s="208"/>
      <c r="AK217" s="796"/>
      <c r="AL217" s="827">
        <f>+AL206-(AL107+AL195)</f>
        <v>0</v>
      </c>
      <c r="AM217" s="208"/>
      <c r="AN217" s="796"/>
      <c r="AO217" s="827">
        <f t="shared" ref="AO217:BJ217" si="563">+AO206-(AO107+AO195)</f>
        <v>0</v>
      </c>
      <c r="AP217" s="27">
        <f t="shared" si="563"/>
        <v>0</v>
      </c>
      <c r="AQ217" s="218">
        <f t="shared" si="563"/>
        <v>0</v>
      </c>
      <c r="AR217" s="553">
        <f t="shared" si="563"/>
        <v>0</v>
      </c>
      <c r="AS217" s="27">
        <f t="shared" si="563"/>
        <v>0</v>
      </c>
      <c r="AT217" s="218">
        <f t="shared" si="563"/>
        <v>0</v>
      </c>
      <c r="AU217" s="553">
        <f>+AU206-(AU107+AU195)</f>
        <v>0</v>
      </c>
      <c r="AV217" s="48">
        <f t="shared" si="563"/>
        <v>0</v>
      </c>
      <c r="AW217" s="237">
        <f t="shared" si="563"/>
        <v>0</v>
      </c>
      <c r="AX217" s="576">
        <f t="shared" si="563"/>
        <v>0</v>
      </c>
      <c r="AY217" s="48">
        <f t="shared" si="563"/>
        <v>0</v>
      </c>
      <c r="AZ217" s="237">
        <f t="shared" si="563"/>
        <v>0</v>
      </c>
      <c r="BA217" s="576">
        <f t="shared" si="563"/>
        <v>0</v>
      </c>
      <c r="BB217" s="48">
        <f t="shared" si="563"/>
        <v>0</v>
      </c>
      <c r="BC217" s="237">
        <f t="shared" si="563"/>
        <v>0</v>
      </c>
      <c r="BD217" s="576">
        <f t="shared" si="563"/>
        <v>0</v>
      </c>
      <c r="BE217" s="48">
        <f t="shared" si="563"/>
        <v>0</v>
      </c>
      <c r="BF217" s="237">
        <f t="shared" si="563"/>
        <v>0</v>
      </c>
      <c r="BG217" s="576">
        <f t="shared" si="563"/>
        <v>0</v>
      </c>
      <c r="BH217" s="48">
        <f t="shared" si="563"/>
        <v>0</v>
      </c>
      <c r="BI217" s="237">
        <f t="shared" si="563"/>
        <v>0</v>
      </c>
      <c r="BJ217" s="576">
        <f t="shared" si="563"/>
        <v>0</v>
      </c>
      <c r="BL217" s="106"/>
      <c r="BM217" s="106"/>
    </row>
    <row r="218" spans="1:67" ht="11.4">
      <c r="A218" s="122"/>
      <c r="N218" s="109"/>
      <c r="R218" s="69"/>
      <c r="S218" s="868"/>
      <c r="T218" s="892"/>
      <c r="U218" s="69"/>
      <c r="V218" s="868"/>
      <c r="W218" s="892"/>
      <c r="X218" s="69"/>
      <c r="Y218" s="868"/>
      <c r="Z218" s="892"/>
      <c r="AA218" s="69"/>
      <c r="AB218" s="868"/>
      <c r="AC218" s="892"/>
      <c r="AD218" s="69"/>
      <c r="AE218" s="868"/>
      <c r="AF218" s="892"/>
      <c r="AG218" s="69"/>
      <c r="AH218" s="868"/>
      <c r="AI218" s="892"/>
      <c r="AJ218" s="69"/>
      <c r="AK218" s="868"/>
      <c r="AL218" s="892"/>
      <c r="AM218" s="69"/>
      <c r="AN218" s="717"/>
      <c r="AO218" s="726"/>
      <c r="AP218" s="207"/>
      <c r="AQ218" s="717"/>
      <c r="AR218" s="726"/>
      <c r="AS218" s="207"/>
      <c r="AT218" s="717"/>
      <c r="AU218" s="726"/>
      <c r="AV218" s="207"/>
      <c r="AW218" s="717"/>
      <c r="AX218" s="726"/>
      <c r="AY218" s="207"/>
      <c r="AZ218" s="717"/>
      <c r="BA218" s="726"/>
      <c r="BB218" s="207"/>
      <c r="BC218" s="717"/>
      <c r="BD218" s="726"/>
      <c r="BE218" s="207"/>
      <c r="BF218" s="717"/>
      <c r="BG218" s="726"/>
      <c r="BH218" s="207"/>
      <c r="BI218" s="717"/>
      <c r="BJ218" s="726"/>
      <c r="BL218" s="107"/>
      <c r="BM218" s="107"/>
    </row>
    <row r="219" spans="1:67" ht="11.4">
      <c r="A219" s="463" t="s">
        <v>918</v>
      </c>
      <c r="B219" s="41"/>
      <c r="C219" s="41"/>
      <c r="D219" s="41"/>
      <c r="E219" s="41"/>
      <c r="F219" s="41"/>
      <c r="G219" s="41"/>
      <c r="H219" s="41"/>
      <c r="I219" s="41"/>
      <c r="J219" s="41"/>
      <c r="K219" s="41"/>
      <c r="L219" s="41"/>
      <c r="M219" s="41"/>
      <c r="N219" s="41"/>
      <c r="O219" s="41"/>
      <c r="P219" s="41"/>
      <c r="Q219" s="462"/>
      <c r="R219" s="440"/>
      <c r="S219" s="681"/>
      <c r="T219" s="690"/>
      <c r="U219" s="440"/>
      <c r="V219" s="681"/>
      <c r="W219" s="690"/>
      <c r="X219" s="440"/>
      <c r="Y219" s="681"/>
      <c r="Z219" s="690"/>
      <c r="AA219" s="457"/>
      <c r="AB219" s="862"/>
      <c r="AC219" s="690"/>
      <c r="AD219" s="457"/>
      <c r="AE219" s="862"/>
      <c r="AF219" s="887"/>
      <c r="AG219" s="457"/>
      <c r="AH219" s="862"/>
      <c r="AI219" s="887"/>
      <c r="AJ219" s="457"/>
      <c r="AK219" s="862"/>
      <c r="AL219" s="887"/>
      <c r="AM219" s="457"/>
      <c r="AN219" s="862"/>
      <c r="AO219" s="887"/>
      <c r="AP219" s="457"/>
      <c r="AQ219" s="862"/>
      <c r="AR219" s="887"/>
      <c r="AS219" s="457"/>
      <c r="AT219" s="862"/>
      <c r="AU219" s="887"/>
      <c r="AV219" s="457"/>
      <c r="AW219" s="795"/>
      <c r="AX219" s="826"/>
      <c r="AY219" s="458"/>
      <c r="AZ219" s="795"/>
      <c r="BA219" s="826"/>
      <c r="BB219" s="458"/>
      <c r="BC219" s="795"/>
      <c r="BD219" s="826"/>
      <c r="BE219" s="458"/>
      <c r="BF219" s="795"/>
      <c r="BG219" s="826"/>
      <c r="BH219" s="458"/>
      <c r="BI219" s="795"/>
      <c r="BJ219" s="826"/>
      <c r="BL219" s="107"/>
      <c r="BM219" s="107"/>
    </row>
    <row r="220" spans="1:67" ht="12">
      <c r="A220" s="72" t="s">
        <v>952</v>
      </c>
      <c r="R220" s="31"/>
      <c r="S220" s="793"/>
      <c r="T220" s="824"/>
      <c r="U220" s="31"/>
      <c r="V220" s="793"/>
      <c r="W220" s="824"/>
      <c r="X220" s="31"/>
      <c r="Y220" s="793"/>
      <c r="Z220" s="824"/>
      <c r="AA220" s="63"/>
      <c r="AB220" s="792"/>
      <c r="AC220" s="824"/>
      <c r="AD220" s="63"/>
      <c r="AE220" s="792"/>
      <c r="AF220" s="823"/>
      <c r="AG220" s="63"/>
      <c r="AH220" s="792"/>
      <c r="AI220" s="823"/>
      <c r="AJ220" s="63"/>
      <c r="AK220" s="792"/>
      <c r="AL220" s="823"/>
      <c r="AM220" s="63"/>
      <c r="AN220" s="792"/>
      <c r="AO220" s="823"/>
      <c r="AP220" s="2"/>
      <c r="AQ220" s="541"/>
      <c r="AR220" s="578"/>
      <c r="AS220" s="2"/>
      <c r="AT220" s="541"/>
      <c r="AU220" s="578"/>
      <c r="AV220" s="2"/>
      <c r="AW220" s="541"/>
      <c r="AX220" s="578"/>
      <c r="AY220" s="2"/>
      <c r="AZ220" s="541"/>
      <c r="BA220" s="578"/>
      <c r="BB220" s="2"/>
      <c r="BC220" s="541"/>
      <c r="BD220" s="578"/>
      <c r="BE220" s="2"/>
      <c r="BF220" s="541"/>
      <c r="BG220" s="578"/>
      <c r="BH220" s="2"/>
      <c r="BI220" s="541"/>
      <c r="BJ220" s="578"/>
      <c r="BL220" s="129"/>
      <c r="BM220" s="137"/>
      <c r="BO220" s="79"/>
    </row>
    <row r="221" spans="1:67" s="31" customFormat="1">
      <c r="A221" s="31" t="s">
        <v>687</v>
      </c>
      <c r="Q221" s="51">
        <v>254.1370444352396</v>
      </c>
      <c r="R221" s="51"/>
      <c r="S221" s="629"/>
      <c r="T221" s="652">
        <v>240.81813531226703</v>
      </c>
      <c r="U221" s="51"/>
      <c r="V221" s="629"/>
      <c r="W221" s="652">
        <v>240.14785247946548</v>
      </c>
      <c r="X221" s="51"/>
      <c r="Y221" s="629"/>
      <c r="Z221" s="652">
        <v>286.30169089367291</v>
      </c>
      <c r="AA221" s="51">
        <v>141</v>
      </c>
      <c r="AB221" s="629">
        <f>AC221-AA221</f>
        <v>165</v>
      </c>
      <c r="AC221" s="652">
        <v>306</v>
      </c>
      <c r="AD221" s="51">
        <v>161</v>
      </c>
      <c r="AE221" s="629">
        <f>AF221-AD221</f>
        <v>111</v>
      </c>
      <c r="AF221" s="652">
        <v>272</v>
      </c>
      <c r="AG221" s="51">
        <v>92</v>
      </c>
      <c r="AH221" s="629">
        <f>AI221-AG221</f>
        <v>116</v>
      </c>
      <c r="AI221" s="652">
        <v>208</v>
      </c>
      <c r="AJ221" s="51">
        <v>113</v>
      </c>
      <c r="AK221" s="629">
        <f>AL221-AJ221</f>
        <v>135</v>
      </c>
      <c r="AL221" s="652">
        <v>248</v>
      </c>
      <c r="AM221" s="51">
        <v>144</v>
      </c>
      <c r="AN221" s="629">
        <f>AO221-AM221</f>
        <v>224</v>
      </c>
      <c r="AO221" s="652">
        <v>368</v>
      </c>
      <c r="AP221" s="51">
        <v>195</v>
      </c>
      <c r="AQ221" s="629">
        <f>AR221-AP221</f>
        <v>235</v>
      </c>
      <c r="AR221" s="652">
        <v>430</v>
      </c>
      <c r="AS221" s="51">
        <v>217</v>
      </c>
      <c r="AT221" s="218">
        <f>AU221-AS221</f>
        <v>300</v>
      </c>
      <c r="AU221" s="553">
        <v>517</v>
      </c>
      <c r="AV221" s="27">
        <v>294</v>
      </c>
      <c r="AW221" s="237">
        <f>AX221-AV221</f>
        <v>300.54999999999995</v>
      </c>
      <c r="AX221" s="576">
        <f>AU221*(1+AX222)</f>
        <v>594.54999999999995</v>
      </c>
      <c r="AY221" s="48">
        <f>AV221*(1+AY222)</f>
        <v>338.09999999999997</v>
      </c>
      <c r="AZ221" s="237">
        <f>BA221-AY221</f>
        <v>345.63249999999988</v>
      </c>
      <c r="BA221" s="576">
        <f>AX221*(1+BA222)</f>
        <v>683.73249999999985</v>
      </c>
      <c r="BB221" s="48">
        <f>AY221*(1+BB222)</f>
        <v>371.90999999999997</v>
      </c>
      <c r="BC221" s="237">
        <f>BD221-BB221</f>
        <v>380.19574999999998</v>
      </c>
      <c r="BD221" s="576">
        <f>BA221*(1+BD222)</f>
        <v>752.10574999999994</v>
      </c>
      <c r="BE221" s="48">
        <f>BB221*(1+BE222)</f>
        <v>390.50549999999998</v>
      </c>
      <c r="BF221" s="237">
        <f>BG221-BE221</f>
        <v>399.20553749999999</v>
      </c>
      <c r="BG221" s="576">
        <f>BD221*(1+BG222)</f>
        <v>789.71103749999997</v>
      </c>
      <c r="BH221" s="48">
        <f>BE221*(1+BH222)</f>
        <v>410.03077500000001</v>
      </c>
      <c r="BI221" s="237">
        <f>BJ221-BH221</f>
        <v>419.16581437500002</v>
      </c>
      <c r="BJ221" s="576">
        <f t="shared" ref="BJ221" si="564">BG221*(1+BJ222)</f>
        <v>829.19658937500003</v>
      </c>
      <c r="BK221" s="2"/>
      <c r="BL221" s="433">
        <f>+(BA221/AL221)^(1/5)-1</f>
        <v>0.22486128716619103</v>
      </c>
    </row>
    <row r="222" spans="1:67">
      <c r="A222" s="66" t="s">
        <v>948</v>
      </c>
      <c r="Q222" s="40"/>
      <c r="R222" s="40"/>
      <c r="S222" s="630"/>
      <c r="T222" s="653"/>
      <c r="U222" s="40"/>
      <c r="V222" s="630"/>
      <c r="W222" s="653"/>
      <c r="X222" s="40"/>
      <c r="Y222" s="630"/>
      <c r="Z222" s="653"/>
      <c r="AA222" s="952"/>
      <c r="AB222" s="647"/>
      <c r="AC222" s="653"/>
      <c r="AD222" s="952">
        <f>AD221/AA221-1</f>
        <v>0.14184397163120566</v>
      </c>
      <c r="AE222" s="647">
        <f>AE221/AB221-1</f>
        <v>-0.32727272727272727</v>
      </c>
      <c r="AF222" s="671">
        <f>AF221/AC221-1</f>
        <v>-0.11111111111111116</v>
      </c>
      <c r="AG222" s="952">
        <f>AG221/AD221-1</f>
        <v>-0.4285714285714286</v>
      </c>
      <c r="AH222" s="647">
        <f>AH221/AE221-1</f>
        <v>4.5045045045045029E-2</v>
      </c>
      <c r="AI222" s="671">
        <f t="shared" ref="AI222" si="565">AI221/AF221-1</f>
        <v>-0.23529411764705888</v>
      </c>
      <c r="AJ222" s="952">
        <f t="shared" ref="AJ222:AP222" si="566">AJ221/AG221-1</f>
        <v>0.22826086956521729</v>
      </c>
      <c r="AK222" s="647">
        <f t="shared" si="566"/>
        <v>0.1637931034482758</v>
      </c>
      <c r="AL222" s="671">
        <f t="shared" si="566"/>
        <v>0.19230769230769229</v>
      </c>
      <c r="AM222" s="952">
        <f t="shared" si="566"/>
        <v>0.27433628318584069</v>
      </c>
      <c r="AN222" s="647">
        <f t="shared" si="566"/>
        <v>0.65925925925925921</v>
      </c>
      <c r="AO222" s="671">
        <f t="shared" si="566"/>
        <v>0.4838709677419355</v>
      </c>
      <c r="AP222" s="952">
        <f t="shared" si="566"/>
        <v>0.35416666666666674</v>
      </c>
      <c r="AQ222" s="647">
        <f t="shared" ref="AQ222" si="567">AQ221/AN221-1</f>
        <v>4.9107142857142794E-2</v>
      </c>
      <c r="AR222" s="671">
        <f t="shared" ref="AR222:AV222" si="568">AR221/AO221-1</f>
        <v>0.16847826086956519</v>
      </c>
      <c r="AS222" s="952">
        <f t="shared" si="568"/>
        <v>0.11282051282051286</v>
      </c>
      <c r="AT222" s="647">
        <f>AT221/AQ221-1</f>
        <v>0.27659574468085113</v>
      </c>
      <c r="AU222" s="671">
        <f t="shared" si="568"/>
        <v>0.20232558139534884</v>
      </c>
      <c r="AV222" s="952">
        <f t="shared" si="568"/>
        <v>0.35483870967741926</v>
      </c>
      <c r="AW222" s="599">
        <f>AW221/AT221-1</f>
        <v>1.8333333333331314E-3</v>
      </c>
      <c r="AX222" s="837">
        <v>0.15</v>
      </c>
      <c r="AY222" s="74">
        <f>BA222</f>
        <v>0.15</v>
      </c>
      <c r="AZ222" s="599">
        <f>AZ221/AW221-1</f>
        <v>0.14999999999999969</v>
      </c>
      <c r="BA222" s="837">
        <v>0.15</v>
      </c>
      <c r="BB222" s="74">
        <f>BD222</f>
        <v>0.1</v>
      </c>
      <c r="BC222" s="599">
        <f>BC221/AZ221-1</f>
        <v>0.10000000000000031</v>
      </c>
      <c r="BD222" s="837">
        <v>0.1</v>
      </c>
      <c r="BE222" s="74">
        <f>BG222</f>
        <v>0.05</v>
      </c>
      <c r="BF222" s="599">
        <f>BF221/BC221-1</f>
        <v>5.0000000000000044E-2</v>
      </c>
      <c r="BG222" s="837">
        <v>0.05</v>
      </c>
      <c r="BH222" s="74">
        <f>BJ222</f>
        <v>0.05</v>
      </c>
      <c r="BI222" s="599">
        <f>BI221/BF221-1</f>
        <v>5.0000000000000044E-2</v>
      </c>
      <c r="BJ222" s="837">
        <v>0.05</v>
      </c>
    </row>
    <row r="223" spans="1:67">
      <c r="A223" s="66" t="s">
        <v>781</v>
      </c>
      <c r="Q223" s="40"/>
      <c r="R223" s="40"/>
      <c r="S223" s="630"/>
      <c r="T223" s="653"/>
      <c r="U223" s="40"/>
      <c r="V223" s="630"/>
      <c r="W223" s="653"/>
      <c r="X223" s="40"/>
      <c r="Y223" s="630"/>
      <c r="Z223" s="653"/>
      <c r="AA223" s="952">
        <f t="shared" ref="AA223:AM223" si="569">AA221/AA227</f>
        <v>0.29192546583850931</v>
      </c>
      <c r="AB223" s="647">
        <f t="shared" si="569"/>
        <v>0.34161490683229812</v>
      </c>
      <c r="AC223" s="671">
        <f t="shared" si="569"/>
        <v>0.31677018633540371</v>
      </c>
      <c r="AD223" s="952">
        <f t="shared" si="569"/>
        <v>0.34182590233545646</v>
      </c>
      <c r="AE223" s="647">
        <f t="shared" si="569"/>
        <v>0.30833333333333335</v>
      </c>
      <c r="AF223" s="671">
        <f t="shared" si="569"/>
        <v>0.32731648616125153</v>
      </c>
      <c r="AG223" s="952">
        <f t="shared" si="569"/>
        <v>0.323943661971831</v>
      </c>
      <c r="AH223" s="647">
        <f t="shared" si="569"/>
        <v>0.35582822085889571</v>
      </c>
      <c r="AI223" s="671">
        <f t="shared" si="569"/>
        <v>0.34098360655737703</v>
      </c>
      <c r="AJ223" s="952">
        <f t="shared" si="569"/>
        <v>0.35202492211838005</v>
      </c>
      <c r="AK223" s="647">
        <f t="shared" si="569"/>
        <v>0.35340314136125656</v>
      </c>
      <c r="AL223" s="671">
        <f t="shared" si="569"/>
        <v>0.35277382645803701</v>
      </c>
      <c r="AM223" s="952">
        <f t="shared" si="569"/>
        <v>0.36548223350253806</v>
      </c>
      <c r="AN223" s="647">
        <f t="shared" ref="AN223:AP223" si="570">AN221/AN227</f>
        <v>0.50337078651685396</v>
      </c>
      <c r="AO223" s="671">
        <f t="shared" si="570"/>
        <v>0.43861740166865315</v>
      </c>
      <c r="AP223" s="952">
        <f t="shared" si="570"/>
        <v>0.4721549636803874</v>
      </c>
      <c r="AQ223" s="647">
        <f t="shared" ref="AQ223:AS223" si="571">AQ221/AQ227</f>
        <v>0.47959183673469385</v>
      </c>
      <c r="AR223" s="671">
        <f t="shared" si="571"/>
        <v>0.47619047619047616</v>
      </c>
      <c r="AS223" s="952">
        <f t="shared" si="571"/>
        <v>0.43927125506072873</v>
      </c>
      <c r="AT223" s="647">
        <f>AT221/AT227</f>
        <v>0.51282051282051277</v>
      </c>
      <c r="AU223" s="671">
        <f t="shared" ref="AU223:BJ223" si="572">AU221/AU227</f>
        <v>0.47914735866543096</v>
      </c>
      <c r="AV223" s="952">
        <f t="shared" si="572"/>
        <v>0.52877697841726623</v>
      </c>
      <c r="AW223" s="599">
        <f>AW221/AW227</f>
        <v>0.50045791357921898</v>
      </c>
      <c r="AX223" s="623">
        <f t="shared" si="572"/>
        <v>0.51407202455579093</v>
      </c>
      <c r="AY223" s="435">
        <f t="shared" si="572"/>
        <v>0.5634060989835028</v>
      </c>
      <c r="AZ223" s="599">
        <f>AZ221/AZ227</f>
        <v>0.68424126343088187</v>
      </c>
      <c r="BA223" s="623">
        <f t="shared" si="572"/>
        <v>0.61863227872868376</v>
      </c>
      <c r="BB223" s="435">
        <f t="shared" si="572"/>
        <v>0.74927471996131845</v>
      </c>
      <c r="BC223" s="599">
        <f>BC221/BC227</f>
        <v>0.83383895345681325</v>
      </c>
      <c r="BD223" s="623">
        <f t="shared" si="572"/>
        <v>0.78976303352371957</v>
      </c>
      <c r="BE223" s="435">
        <f t="shared" si="572"/>
        <v>0.75832863227987657</v>
      </c>
      <c r="BF223" s="599">
        <f>BF221/BF227</f>
        <v>0.84048926660670298</v>
      </c>
      <c r="BG223" s="623">
        <f t="shared" si="572"/>
        <v>0.79774953073080157</v>
      </c>
      <c r="BH223" s="435">
        <f t="shared" si="572"/>
        <v>0.76715720036890012</v>
      </c>
      <c r="BI223" s="599">
        <f>BI221/BI227</f>
        <v>0.8469222758134709</v>
      </c>
      <c r="BJ223" s="623">
        <f t="shared" si="572"/>
        <v>0.80550735167730281</v>
      </c>
    </row>
    <row r="224" spans="1:67" s="31" customFormat="1">
      <c r="A224" s="455" t="s">
        <v>949</v>
      </c>
      <c r="B224" s="51"/>
      <c r="C224" s="51"/>
      <c r="D224" s="51"/>
      <c r="E224" s="51"/>
      <c r="F224" s="51"/>
      <c r="G224" s="51"/>
      <c r="H224" s="51"/>
      <c r="I224" s="51"/>
      <c r="J224" s="51"/>
      <c r="K224" s="51"/>
      <c r="L224" s="51"/>
      <c r="M224" s="51"/>
      <c r="N224" s="51"/>
      <c r="O224" s="51"/>
      <c r="P224" s="51"/>
      <c r="Q224" s="51"/>
      <c r="R224" s="51"/>
      <c r="S224" s="629"/>
      <c r="T224" s="652"/>
      <c r="U224" s="51"/>
      <c r="V224" s="629"/>
      <c r="W224" s="652">
        <v>356</v>
      </c>
      <c r="X224" s="51"/>
      <c r="Y224" s="629"/>
      <c r="Z224" s="652">
        <v>569</v>
      </c>
      <c r="AA224" s="51">
        <f t="shared" ref="AA224:AM224" si="573">AA227-AA221</f>
        <v>342</v>
      </c>
      <c r="AB224" s="629">
        <f t="shared" si="573"/>
        <v>318</v>
      </c>
      <c r="AC224" s="652">
        <f t="shared" si="573"/>
        <v>660</v>
      </c>
      <c r="AD224" s="51">
        <f t="shared" si="573"/>
        <v>310</v>
      </c>
      <c r="AE224" s="629">
        <f t="shared" si="573"/>
        <v>249</v>
      </c>
      <c r="AF224" s="652">
        <f t="shared" si="573"/>
        <v>559</v>
      </c>
      <c r="AG224" s="51">
        <f t="shared" si="573"/>
        <v>192</v>
      </c>
      <c r="AH224" s="629">
        <f t="shared" si="573"/>
        <v>210</v>
      </c>
      <c r="AI224" s="652">
        <f t="shared" si="573"/>
        <v>402</v>
      </c>
      <c r="AJ224" s="51">
        <f t="shared" si="573"/>
        <v>208</v>
      </c>
      <c r="AK224" s="629">
        <f t="shared" si="573"/>
        <v>247</v>
      </c>
      <c r="AL224" s="652">
        <f t="shared" si="573"/>
        <v>455</v>
      </c>
      <c r="AM224" s="51">
        <f t="shared" si="573"/>
        <v>250</v>
      </c>
      <c r="AN224" s="629">
        <f t="shared" ref="AN224:AP224" si="574">AN227-AN221</f>
        <v>221</v>
      </c>
      <c r="AO224" s="652">
        <f t="shared" si="574"/>
        <v>471</v>
      </c>
      <c r="AP224" s="51">
        <f t="shared" si="574"/>
        <v>218</v>
      </c>
      <c r="AQ224" s="629">
        <f t="shared" ref="AQ224:AU224" si="575">AQ227-AQ221</f>
        <v>255</v>
      </c>
      <c r="AR224" s="652">
        <f t="shared" si="575"/>
        <v>473</v>
      </c>
      <c r="AS224" s="51">
        <f t="shared" si="575"/>
        <v>277</v>
      </c>
      <c r="AT224" s="629">
        <f t="shared" si="575"/>
        <v>285</v>
      </c>
      <c r="AU224" s="652">
        <f t="shared" si="575"/>
        <v>562</v>
      </c>
      <c r="AV224" s="51">
        <f t="shared" ref="AV224" si="576">AV227-AV221</f>
        <v>262</v>
      </c>
      <c r="AW224" s="237">
        <f>AX224-AV224</f>
        <v>300</v>
      </c>
      <c r="AX224" s="576">
        <f>AU224*(1+AX225)</f>
        <v>562</v>
      </c>
      <c r="AY224" s="48">
        <f>AV224*(1+AY225)</f>
        <v>262</v>
      </c>
      <c r="AZ224" s="237">
        <f>BA224-AY224</f>
        <v>159.5</v>
      </c>
      <c r="BA224" s="576">
        <f>AX224*(1+BA225)</f>
        <v>421.5</v>
      </c>
      <c r="BB224" s="48">
        <f>AY224*(1+BB225)</f>
        <v>124.44999999999999</v>
      </c>
      <c r="BC224" s="237">
        <f>BD224-BB224</f>
        <v>75.762499999999989</v>
      </c>
      <c r="BD224" s="576">
        <f>BA224*(1+BD225)</f>
        <v>200.21249999999998</v>
      </c>
      <c r="BE224" s="48">
        <f>BB224*(1+BE225)</f>
        <v>124.44999999999999</v>
      </c>
      <c r="BF224" s="237">
        <f>BG224-BE224</f>
        <v>75.762499999999989</v>
      </c>
      <c r="BG224" s="576">
        <f>BD224*(1+BG225)</f>
        <v>200.21249999999998</v>
      </c>
      <c r="BH224" s="48">
        <f>BE224*(1+BH225)</f>
        <v>124.44999999999999</v>
      </c>
      <c r="BI224" s="237">
        <f>BJ224-BH224</f>
        <v>75.762499999999989</v>
      </c>
      <c r="BJ224" s="576">
        <f t="shared" ref="BJ224" si="577">BG224*(1+BJ225)</f>
        <v>200.21249999999998</v>
      </c>
      <c r="BK224" s="2"/>
      <c r="BL224" s="433">
        <f>+(BA224/AL224)^(1/5)-1</f>
        <v>-1.5179145841426989E-2</v>
      </c>
    </row>
    <row r="225" spans="1:68" s="31" customFormat="1">
      <c r="A225" s="66" t="s">
        <v>948</v>
      </c>
      <c r="B225" s="51"/>
      <c r="C225" s="51"/>
      <c r="D225" s="51"/>
      <c r="E225" s="51"/>
      <c r="F225" s="51"/>
      <c r="G225" s="51"/>
      <c r="H225" s="51"/>
      <c r="I225" s="51"/>
      <c r="J225" s="51"/>
      <c r="K225" s="51"/>
      <c r="L225" s="51"/>
      <c r="M225" s="51"/>
      <c r="N225" s="51"/>
      <c r="O225" s="51"/>
      <c r="P225" s="51"/>
      <c r="Q225" s="51"/>
      <c r="R225" s="51"/>
      <c r="S225" s="629"/>
      <c r="T225" s="652"/>
      <c r="U225" s="51"/>
      <c r="V225" s="629"/>
      <c r="W225" s="652"/>
      <c r="X225" s="51"/>
      <c r="Y225" s="629"/>
      <c r="Z225" s="652"/>
      <c r="AA225" s="952"/>
      <c r="AB225" s="647"/>
      <c r="AC225" s="652"/>
      <c r="AD225" s="952">
        <f t="shared" ref="AD225:AM225" si="578">AD224/AA224-1</f>
        <v>-9.3567251461988299E-2</v>
      </c>
      <c r="AE225" s="647">
        <f t="shared" si="578"/>
        <v>-0.21698113207547165</v>
      </c>
      <c r="AF225" s="671">
        <f t="shared" si="578"/>
        <v>-0.15303030303030307</v>
      </c>
      <c r="AG225" s="952">
        <f t="shared" si="578"/>
        <v>-0.38064516129032255</v>
      </c>
      <c r="AH225" s="647">
        <f t="shared" si="578"/>
        <v>-0.15662650602409633</v>
      </c>
      <c r="AI225" s="671">
        <f t="shared" si="578"/>
        <v>-0.28085867620751337</v>
      </c>
      <c r="AJ225" s="952">
        <f t="shared" si="578"/>
        <v>8.3333333333333259E-2</v>
      </c>
      <c r="AK225" s="647">
        <f t="shared" si="578"/>
        <v>0.17619047619047623</v>
      </c>
      <c r="AL225" s="671">
        <f t="shared" si="578"/>
        <v>0.1318407960199004</v>
      </c>
      <c r="AM225" s="952">
        <f t="shared" si="578"/>
        <v>0.20192307692307687</v>
      </c>
      <c r="AN225" s="647">
        <f t="shared" ref="AN225" si="579">AN224/AK224-1</f>
        <v>-0.10526315789473684</v>
      </c>
      <c r="AO225" s="671">
        <f t="shared" ref="AO225:AP225" si="580">AO224/AL224-1</f>
        <v>3.5164835164835262E-2</v>
      </c>
      <c r="AP225" s="952">
        <f t="shared" si="580"/>
        <v>-0.128</v>
      </c>
      <c r="AQ225" s="647">
        <f t="shared" ref="AQ225" si="581">AQ224/AN224-1</f>
        <v>0.15384615384615374</v>
      </c>
      <c r="AR225" s="671">
        <f t="shared" ref="AR225:AV225" si="582">AR224/AO224-1</f>
        <v>4.2462845010615702E-3</v>
      </c>
      <c r="AS225" s="952">
        <f t="shared" si="582"/>
        <v>0.27064220183486243</v>
      </c>
      <c r="AT225" s="931">
        <f>AT224/AQ224-1</f>
        <v>0.11764705882352944</v>
      </c>
      <c r="AU225" s="671">
        <f t="shared" si="582"/>
        <v>0.18816067653276947</v>
      </c>
      <c r="AV225" s="952">
        <f t="shared" si="582"/>
        <v>-5.4151624548736454E-2</v>
      </c>
      <c r="AW225" s="752">
        <f>AW224/AT224-1</f>
        <v>5.2631578947368363E-2</v>
      </c>
      <c r="AX225" s="610">
        <v>0</v>
      </c>
      <c r="AY225" s="325">
        <v>0</v>
      </c>
      <c r="AZ225" s="752">
        <f>AZ224/AW224-1</f>
        <v>-0.46833333333333338</v>
      </c>
      <c r="BA225" s="610">
        <v>-0.25</v>
      </c>
      <c r="BB225" s="324">
        <f>BD225</f>
        <v>-0.52500000000000002</v>
      </c>
      <c r="BC225" s="752">
        <f>BC224/AZ224-1</f>
        <v>-0.52500000000000013</v>
      </c>
      <c r="BD225" s="610">
        <v>-0.52500000000000002</v>
      </c>
      <c r="BE225" s="324">
        <f>BG225</f>
        <v>0</v>
      </c>
      <c r="BF225" s="752">
        <f>BF224/BC224-1</f>
        <v>0</v>
      </c>
      <c r="BG225" s="610">
        <v>0</v>
      </c>
      <c r="BH225" s="324">
        <f>BJ225</f>
        <v>0</v>
      </c>
      <c r="BI225" s="752">
        <f>BI224/BF224-1</f>
        <v>0</v>
      </c>
      <c r="BJ225" s="610">
        <v>0</v>
      </c>
      <c r="BK225" s="2"/>
    </row>
    <row r="226" spans="1:68">
      <c r="A226" s="80" t="s">
        <v>781</v>
      </c>
      <c r="B226" s="40"/>
      <c r="C226" s="40"/>
      <c r="D226" s="40"/>
      <c r="E226" s="40"/>
      <c r="F226" s="40"/>
      <c r="G226" s="40"/>
      <c r="H226" s="40"/>
      <c r="I226" s="40"/>
      <c r="J226" s="40"/>
      <c r="K226" s="40"/>
      <c r="L226" s="40"/>
      <c r="M226" s="40"/>
      <c r="N226" s="40"/>
      <c r="O226" s="40"/>
      <c r="P226" s="40"/>
      <c r="Q226" s="40"/>
      <c r="R226" s="50"/>
      <c r="S226" s="647"/>
      <c r="T226" s="671"/>
      <c r="U226" s="50"/>
      <c r="V226" s="647"/>
      <c r="W226" s="671">
        <f>+W224/W221</f>
        <v>1.482420085478136</v>
      </c>
      <c r="X226" s="50"/>
      <c r="Y226" s="647"/>
      <c r="Z226" s="671">
        <f>+Z224/Z221</f>
        <v>1.9874140394487434</v>
      </c>
      <c r="AA226" s="952">
        <f t="shared" ref="AA226:AM226" si="583">AA224/AA227</f>
        <v>0.70807453416149069</v>
      </c>
      <c r="AB226" s="647">
        <f t="shared" si="583"/>
        <v>0.65838509316770188</v>
      </c>
      <c r="AC226" s="671">
        <f t="shared" si="583"/>
        <v>0.68322981366459623</v>
      </c>
      <c r="AD226" s="952">
        <f t="shared" si="583"/>
        <v>0.65817409766454349</v>
      </c>
      <c r="AE226" s="647">
        <f t="shared" si="583"/>
        <v>0.69166666666666665</v>
      </c>
      <c r="AF226" s="671">
        <f t="shared" si="583"/>
        <v>0.67268351383874847</v>
      </c>
      <c r="AG226" s="952">
        <f t="shared" si="583"/>
        <v>0.676056338028169</v>
      </c>
      <c r="AH226" s="647">
        <f t="shared" si="583"/>
        <v>0.64417177914110424</v>
      </c>
      <c r="AI226" s="671">
        <f t="shared" si="583"/>
        <v>0.65901639344262297</v>
      </c>
      <c r="AJ226" s="952">
        <f t="shared" si="583"/>
        <v>0.6479750778816199</v>
      </c>
      <c r="AK226" s="647">
        <f t="shared" si="583"/>
        <v>0.6465968586387435</v>
      </c>
      <c r="AL226" s="671">
        <f t="shared" si="583"/>
        <v>0.64722617354196299</v>
      </c>
      <c r="AM226" s="952">
        <f t="shared" si="583"/>
        <v>0.63451776649746194</v>
      </c>
      <c r="AN226" s="647">
        <f t="shared" ref="AN226:AP226" si="584">AN224/AN227</f>
        <v>0.49662921348314609</v>
      </c>
      <c r="AO226" s="671">
        <f t="shared" si="584"/>
        <v>0.56138259833134685</v>
      </c>
      <c r="AP226" s="952">
        <f t="shared" si="584"/>
        <v>0.52784503631961255</v>
      </c>
      <c r="AQ226" s="647">
        <f t="shared" ref="AQ226:AS226" si="585">AQ224/AQ227</f>
        <v>0.52040816326530615</v>
      </c>
      <c r="AR226" s="671">
        <f t="shared" si="585"/>
        <v>0.52380952380952384</v>
      </c>
      <c r="AS226" s="952">
        <f t="shared" si="585"/>
        <v>0.56072874493927127</v>
      </c>
      <c r="AT226" s="217">
        <f>AT224/AT227</f>
        <v>0.48717948717948717</v>
      </c>
      <c r="AU226" s="554">
        <f t="shared" ref="AU226:BJ226" si="586">AU224/AU227</f>
        <v>0.5208526413345691</v>
      </c>
      <c r="AV226" s="952">
        <f t="shared" si="586"/>
        <v>0.47122302158273383</v>
      </c>
      <c r="AW226" s="252">
        <f>AW224/AW227</f>
        <v>0.49954208642078096</v>
      </c>
      <c r="AX226" s="577">
        <f t="shared" si="586"/>
        <v>0.48592797544420907</v>
      </c>
      <c r="AY226" s="251">
        <f t="shared" si="586"/>
        <v>0.43659390101649731</v>
      </c>
      <c r="AZ226" s="252">
        <f>AZ224/AZ227</f>
        <v>0.31575873656911807</v>
      </c>
      <c r="BA226" s="577">
        <f t="shared" si="586"/>
        <v>0.3813677212713163</v>
      </c>
      <c r="BB226" s="251">
        <f t="shared" si="586"/>
        <v>0.25072528003868161</v>
      </c>
      <c r="BC226" s="252">
        <f>BC224/BC227</f>
        <v>0.16616104654318678</v>
      </c>
      <c r="BD226" s="577">
        <f t="shared" si="586"/>
        <v>0.21023696647628037</v>
      </c>
      <c r="BE226" s="251">
        <f t="shared" si="586"/>
        <v>0.24167136772012335</v>
      </c>
      <c r="BF226" s="252">
        <f>BF224/BF227</f>
        <v>0.15951073339329699</v>
      </c>
      <c r="BG226" s="577">
        <f t="shared" si="586"/>
        <v>0.20225046926919846</v>
      </c>
      <c r="BH226" s="251">
        <f t="shared" si="586"/>
        <v>0.23284279963109991</v>
      </c>
      <c r="BI226" s="252">
        <f>BI224/BI227</f>
        <v>0.15307772418652904</v>
      </c>
      <c r="BJ226" s="577">
        <f t="shared" si="586"/>
        <v>0.19449264832269736</v>
      </c>
    </row>
    <row r="227" spans="1:68">
      <c r="A227" s="455" t="s">
        <v>963</v>
      </c>
      <c r="B227" s="40"/>
      <c r="C227" s="40"/>
      <c r="D227" s="40"/>
      <c r="E227" s="40"/>
      <c r="F227" s="40"/>
      <c r="G227" s="40"/>
      <c r="H227" s="40"/>
      <c r="I227" s="40"/>
      <c r="J227" s="40"/>
      <c r="K227" s="40"/>
      <c r="L227" s="40"/>
      <c r="M227" s="40"/>
      <c r="N227" s="40"/>
      <c r="O227" s="40"/>
      <c r="P227" s="40"/>
      <c r="Q227" s="40"/>
      <c r="R227" s="40"/>
      <c r="S227" s="630"/>
      <c r="T227" s="653"/>
      <c r="U227" s="40"/>
      <c r="V227" s="630"/>
      <c r="W227" s="653"/>
      <c r="X227" s="40"/>
      <c r="Y227" s="630"/>
      <c r="Z227" s="653"/>
      <c r="AA227" s="27">
        <f>AC227/2</f>
        <v>483</v>
      </c>
      <c r="AB227" s="218">
        <f>AC227-AA227</f>
        <v>483</v>
      </c>
      <c r="AC227" s="553">
        <v>966</v>
      </c>
      <c r="AD227" s="27">
        <v>471</v>
      </c>
      <c r="AE227" s="218">
        <f>AF227-AD227</f>
        <v>360</v>
      </c>
      <c r="AF227" s="553">
        <v>831</v>
      </c>
      <c r="AG227" s="27">
        <v>284</v>
      </c>
      <c r="AH227" s="218">
        <f>AI227-AG227</f>
        <v>326</v>
      </c>
      <c r="AI227" s="553">
        <v>610</v>
      </c>
      <c r="AJ227" s="27">
        <v>321</v>
      </c>
      <c r="AK227" s="629">
        <f>AL227-AJ227</f>
        <v>382</v>
      </c>
      <c r="AL227" s="652">
        <v>703</v>
      </c>
      <c r="AM227" s="51">
        <v>394</v>
      </c>
      <c r="AN227" s="629">
        <f>AO227-AM227</f>
        <v>445</v>
      </c>
      <c r="AO227" s="652">
        <v>839</v>
      </c>
      <c r="AP227" s="51">
        <v>413</v>
      </c>
      <c r="AQ227" s="629">
        <f>AR227-AP227</f>
        <v>490</v>
      </c>
      <c r="AR227" s="652">
        <v>903</v>
      </c>
      <c r="AS227" s="51">
        <v>494</v>
      </c>
      <c r="AT227" s="629">
        <f>AU227-AS227</f>
        <v>585</v>
      </c>
      <c r="AU227" s="553">
        <v>1079</v>
      </c>
      <c r="AV227" s="27">
        <v>556</v>
      </c>
      <c r="AW227" s="237">
        <f>AW221+AW224</f>
        <v>600.54999999999995</v>
      </c>
      <c r="AX227" s="576">
        <f t="shared" ref="AX227:BJ227" si="587">AX221+AX224</f>
        <v>1156.55</v>
      </c>
      <c r="AY227" s="48">
        <f t="shared" si="587"/>
        <v>600.09999999999991</v>
      </c>
      <c r="AZ227" s="237">
        <f>AZ221+AZ224</f>
        <v>505.13249999999988</v>
      </c>
      <c r="BA227" s="576">
        <f t="shared" si="587"/>
        <v>1105.2324999999998</v>
      </c>
      <c r="BB227" s="48">
        <f t="shared" si="587"/>
        <v>496.35999999999996</v>
      </c>
      <c r="BC227" s="237">
        <f>BC221+BC224</f>
        <v>455.95824999999996</v>
      </c>
      <c r="BD227" s="576">
        <f t="shared" si="587"/>
        <v>952.31824999999992</v>
      </c>
      <c r="BE227" s="48">
        <f t="shared" si="587"/>
        <v>514.95550000000003</v>
      </c>
      <c r="BF227" s="237">
        <f>BF221+BF224</f>
        <v>474.96803749999998</v>
      </c>
      <c r="BG227" s="576">
        <f t="shared" si="587"/>
        <v>989.92353749999995</v>
      </c>
      <c r="BH227" s="48">
        <f t="shared" si="587"/>
        <v>534.48077499999999</v>
      </c>
      <c r="BI227" s="237">
        <f>BI221+BI224</f>
        <v>494.92831437500001</v>
      </c>
      <c r="BJ227" s="576">
        <f t="shared" si="587"/>
        <v>1029.4090893749999</v>
      </c>
      <c r="BL227" s="433">
        <f>+(BA227/AL227)^(1/5)-1</f>
        <v>9.4711459731338765E-2</v>
      </c>
    </row>
    <row r="228" spans="1:68" s="31" customFormat="1">
      <c r="A228" s="66" t="s">
        <v>948</v>
      </c>
      <c r="B228" s="51"/>
      <c r="C228" s="51"/>
      <c r="D228" s="51"/>
      <c r="E228" s="51"/>
      <c r="F228" s="51"/>
      <c r="G228" s="51"/>
      <c r="H228" s="51"/>
      <c r="I228" s="51"/>
      <c r="J228" s="51"/>
      <c r="K228" s="51"/>
      <c r="L228" s="51"/>
      <c r="M228" s="51"/>
      <c r="N228" s="51"/>
      <c r="O228" s="51"/>
      <c r="P228" s="51"/>
      <c r="Q228" s="51"/>
      <c r="R228" s="51"/>
      <c r="S228" s="629"/>
      <c r="T228" s="652"/>
      <c r="U228" s="51"/>
      <c r="V228" s="629"/>
      <c r="W228" s="652"/>
      <c r="X228" s="51"/>
      <c r="Y228" s="629"/>
      <c r="Z228" s="652"/>
      <c r="AA228" s="952"/>
      <c r="AB228" s="647"/>
      <c r="AC228" s="652"/>
      <c r="AD228" s="952">
        <f t="shared" ref="AD228" si="588">AD227/AA227-1</f>
        <v>-2.4844720496894457E-2</v>
      </c>
      <c r="AE228" s="647">
        <f t="shared" ref="AE228" si="589">AE227/AB227-1</f>
        <v>-0.25465838509316774</v>
      </c>
      <c r="AF228" s="671">
        <f t="shared" ref="AF228" si="590">AF227/AC227-1</f>
        <v>-0.13975155279503104</v>
      </c>
      <c r="AG228" s="952">
        <f t="shared" ref="AG228" si="591">AG227/AD227-1</f>
        <v>-0.39702760084925692</v>
      </c>
      <c r="AH228" s="647">
        <f t="shared" ref="AH228" si="592">AH227/AE227-1</f>
        <v>-9.4444444444444442E-2</v>
      </c>
      <c r="AI228" s="671">
        <f t="shared" ref="AI228" si="593">AI227/AF227-1</f>
        <v>-0.26594464500601689</v>
      </c>
      <c r="AJ228" s="952">
        <f t="shared" ref="AJ228" si="594">AJ227/AG227-1</f>
        <v>0.13028169014084501</v>
      </c>
      <c r="AK228" s="647">
        <f t="shared" ref="AK228" si="595">AK227/AH227-1</f>
        <v>0.17177914110429437</v>
      </c>
      <c r="AL228" s="671">
        <f t="shared" ref="AL228" si="596">AL227/AI227-1</f>
        <v>0.15245901639344273</v>
      </c>
      <c r="AM228" s="952">
        <f t="shared" ref="AM228" si="597">AM227/AJ227-1</f>
        <v>0.22741433021806845</v>
      </c>
      <c r="AN228" s="647">
        <f t="shared" ref="AN228" si="598">AN227/AK227-1</f>
        <v>0.16492146596858648</v>
      </c>
      <c r="AO228" s="671">
        <f t="shared" ref="AO228:AP228" si="599">AO227/AL227-1</f>
        <v>0.19345661450924601</v>
      </c>
      <c r="AP228" s="952">
        <f t="shared" si="599"/>
        <v>4.8223350253807196E-2</v>
      </c>
      <c r="AQ228" s="647">
        <f t="shared" ref="AQ228" si="600">AQ227/AN227-1</f>
        <v>0.101123595505618</v>
      </c>
      <c r="AR228" s="671">
        <f t="shared" ref="AR228:AS228" si="601">AR227/AO227-1</f>
        <v>7.6281287246722229E-2</v>
      </c>
      <c r="AS228" s="952">
        <f t="shared" si="601"/>
        <v>0.19612590799031482</v>
      </c>
      <c r="AT228" s="931">
        <f t="shared" ref="AT228" si="602">AT227/AQ227-1</f>
        <v>0.19387755102040827</v>
      </c>
      <c r="AU228" s="937">
        <f t="shared" ref="AU228" si="603">AU227/AR227-1</f>
        <v>0.19490586932447407</v>
      </c>
      <c r="AV228" s="262">
        <f t="shared" ref="AV228" si="604">AV227/AS227-1</f>
        <v>0.12550607287449389</v>
      </c>
      <c r="AW228" s="752">
        <f t="shared" ref="AW228" si="605">AW227/AT227-1</f>
        <v>2.6581196581196398E-2</v>
      </c>
      <c r="AX228" s="765">
        <f t="shared" ref="AX228" si="606">AX227/AU227-1</f>
        <v>7.1872103799814679E-2</v>
      </c>
      <c r="AY228" s="324">
        <f t="shared" ref="AY228" si="607">AY227/AV227-1</f>
        <v>7.9316546762589812E-2</v>
      </c>
      <c r="AZ228" s="752">
        <f t="shared" ref="AZ228" si="608">AZ227/AW227-1</f>
        <v>-0.15888352343684964</v>
      </c>
      <c r="BA228" s="765">
        <f t="shared" ref="BA228" si="609">BA227/AX227-1</f>
        <v>-4.4371190177683761E-2</v>
      </c>
      <c r="BB228" s="324">
        <f t="shared" ref="BB228" si="610">BB227/AY227-1</f>
        <v>-0.17287118813531077</v>
      </c>
      <c r="BC228" s="752">
        <f t="shared" ref="BC228" si="611">BC227/AZ227-1</f>
        <v>-9.7349210355698657E-2</v>
      </c>
      <c r="BD228" s="765">
        <f t="shared" ref="BD228" si="612">BD227/BA227-1</f>
        <v>-0.13835482579457259</v>
      </c>
      <c r="BE228" s="324">
        <f t="shared" ref="BE228" si="613">BE227/BB227-1</f>
        <v>3.7463735998066072E-2</v>
      </c>
      <c r="BF228" s="752">
        <f t="shared" ref="BF228" si="614">BF227/BC227-1</f>
        <v>4.169194767284079E-2</v>
      </c>
      <c r="BG228" s="765">
        <f t="shared" ref="BG228" si="615">BG227/BD227-1</f>
        <v>3.9488151676186023E-2</v>
      </c>
      <c r="BH228" s="324">
        <f t="shared" ref="BH228" si="616">BH227/BE227-1</f>
        <v>3.7916431613993717E-2</v>
      </c>
      <c r="BI228" s="752">
        <f t="shared" ref="BI228" si="617">BI227/BF227-1</f>
        <v>4.2024463330335271E-2</v>
      </c>
      <c r="BJ228" s="765">
        <f t="shared" ref="BJ228" si="618">BJ227/BG227-1</f>
        <v>3.9887476536540012E-2</v>
      </c>
      <c r="BK228" s="2"/>
    </row>
    <row r="229" spans="1:68">
      <c r="Q229" s="26"/>
      <c r="R229" s="57"/>
      <c r="S229" s="909"/>
      <c r="T229" s="922"/>
      <c r="U229" s="57"/>
      <c r="V229" s="909"/>
      <c r="W229" s="922"/>
      <c r="X229" s="57"/>
      <c r="Y229" s="909"/>
      <c r="Z229" s="922"/>
      <c r="AA229" s="59"/>
      <c r="AB229" s="806"/>
      <c r="AC229" s="914"/>
      <c r="AD229" s="59"/>
      <c r="AE229" s="806"/>
      <c r="AF229" s="837"/>
      <c r="AG229" s="59"/>
      <c r="AH229" s="806"/>
      <c r="AI229" s="837"/>
      <c r="AJ229" s="59"/>
      <c r="AK229" s="806"/>
      <c r="AL229" s="837"/>
      <c r="AM229" s="59"/>
      <c r="AN229" s="807"/>
      <c r="AO229" s="838"/>
      <c r="AP229" s="351"/>
      <c r="AQ229" s="807"/>
      <c r="AR229" s="618"/>
      <c r="AS229" s="351"/>
      <c r="AT229" s="807"/>
      <c r="AU229" s="1090"/>
      <c r="AV229" s="1091"/>
      <c r="AW229" s="1092"/>
      <c r="AX229" s="1090"/>
      <c r="AY229" s="1091"/>
      <c r="AZ229" s="1092"/>
      <c r="BA229" s="1090"/>
      <c r="BB229" s="1091"/>
      <c r="BC229" s="1092"/>
      <c r="BD229" s="1090"/>
      <c r="BE229" s="1091"/>
      <c r="BF229" s="1092"/>
      <c r="BG229" s="1090"/>
      <c r="BH229" s="1091"/>
      <c r="BI229" s="1092"/>
      <c r="BJ229" s="1090"/>
    </row>
    <row r="230" spans="1:68">
      <c r="A230" s="31" t="s">
        <v>974</v>
      </c>
      <c r="Q230" s="26"/>
      <c r="R230" s="57"/>
      <c r="S230" s="909"/>
      <c r="T230" s="922"/>
      <c r="U230" s="57"/>
      <c r="V230" s="909"/>
      <c r="W230" s="922"/>
      <c r="X230" s="57"/>
      <c r="Y230" s="909"/>
      <c r="Z230" s="922"/>
      <c r="AA230" s="59"/>
      <c r="AB230" s="806"/>
      <c r="AC230" s="914"/>
      <c r="AD230" s="59"/>
      <c r="AE230" s="806"/>
      <c r="AF230" s="837"/>
      <c r="AG230" s="59"/>
      <c r="AH230" s="806"/>
      <c r="AI230" s="837"/>
      <c r="AJ230" s="59"/>
      <c r="AK230" s="806"/>
      <c r="AL230" s="837"/>
      <c r="AM230" s="59"/>
      <c r="AN230" s="807"/>
      <c r="AO230" s="838"/>
      <c r="AP230" s="351"/>
      <c r="AQ230" s="807"/>
      <c r="AR230" s="618"/>
      <c r="AS230" s="351"/>
      <c r="AT230" s="807"/>
      <c r="AU230" s="1090"/>
      <c r="AV230" s="351"/>
      <c r="AW230" s="807"/>
      <c r="AX230" s="1090"/>
      <c r="AY230" s="351"/>
      <c r="AZ230" s="807"/>
      <c r="BA230" s="1090"/>
      <c r="BB230" s="351"/>
      <c r="BC230" s="807"/>
      <c r="BD230" s="1090"/>
      <c r="BE230" s="351"/>
      <c r="BF230" s="807"/>
      <c r="BG230" s="1090"/>
      <c r="BH230" s="351"/>
      <c r="BI230" s="807"/>
      <c r="BJ230" s="1090"/>
    </row>
    <row r="231" spans="1:68">
      <c r="A231" s="31" t="s">
        <v>766</v>
      </c>
      <c r="B231" s="31"/>
      <c r="C231" s="31"/>
      <c r="D231" s="31"/>
      <c r="E231" s="31"/>
      <c r="F231" s="31"/>
      <c r="G231" s="31"/>
      <c r="H231" s="31"/>
      <c r="I231" s="31"/>
      <c r="J231" s="31"/>
      <c r="K231" s="31"/>
      <c r="L231" s="31"/>
      <c r="M231" s="31"/>
      <c r="N231" s="31"/>
      <c r="O231" s="31"/>
      <c r="P231" s="31"/>
      <c r="Q231" s="51">
        <v>-350</v>
      </c>
      <c r="R231" s="51"/>
      <c r="S231" s="629"/>
      <c r="T231" s="652">
        <v>-350</v>
      </c>
      <c r="U231" s="51"/>
      <c r="V231" s="629"/>
      <c r="W231" s="652">
        <v>-350</v>
      </c>
      <c r="X231" s="51"/>
      <c r="Y231" s="629"/>
      <c r="Z231" s="652">
        <f>+Z232/Z375</f>
        <v>-438.16606606336029</v>
      </c>
      <c r="AA231" s="51">
        <f>+AA232/AA374</f>
        <v>-221.17647058823528</v>
      </c>
      <c r="AB231" s="629">
        <f>AC231-AA231</f>
        <v>-258.82352941176475</v>
      </c>
      <c r="AC231" s="652">
        <f>+AC232/AC374</f>
        <v>-480</v>
      </c>
      <c r="AD231" s="51">
        <f>+AD232/AD374</f>
        <v>-311.61290322580646</v>
      </c>
      <c r="AE231" s="629">
        <f>AF231-AD231</f>
        <v>-117.86078098471984</v>
      </c>
      <c r="AF231" s="652">
        <f>+AF232/AF374</f>
        <v>-429.4736842105263</v>
      </c>
      <c r="AG231" s="51">
        <f>+AG232/AG374</f>
        <v>-158.84892086330936</v>
      </c>
      <c r="AH231" s="629">
        <f>AI231-AG231</f>
        <v>-171.74710562675685</v>
      </c>
      <c r="AI231" s="652">
        <f>+AI232/AI374</f>
        <v>-330.59602649006621</v>
      </c>
      <c r="AJ231" s="51">
        <f>+AJ232/AJ374</f>
        <v>-203.4</v>
      </c>
      <c r="AK231" s="629">
        <f>AL231-AJ231</f>
        <v>-243.00000000000003</v>
      </c>
      <c r="AL231" s="652">
        <f>+AL232/AL374</f>
        <v>-446.40000000000003</v>
      </c>
      <c r="AM231" s="51">
        <f>+AM232/AM374</f>
        <v>-288</v>
      </c>
      <c r="AN231" s="629">
        <f>AO231-AM231</f>
        <v>-448</v>
      </c>
      <c r="AO231" s="652">
        <f>+AO232/AO374</f>
        <v>-736</v>
      </c>
      <c r="AP231" s="51">
        <f>+AP232/AP374</f>
        <v>-395.27027027027026</v>
      </c>
      <c r="AQ231" s="629">
        <f>AR231-AP231</f>
        <v>-476.35135135135141</v>
      </c>
      <c r="AR231" s="652">
        <f>+AR232/AR374</f>
        <v>-871.62162162162167</v>
      </c>
      <c r="AS231" s="51">
        <f>+AS232/AS374</f>
        <v>-452.08333333333337</v>
      </c>
      <c r="AT231" s="629">
        <f>AU231-AS231</f>
        <v>-625.00000000000011</v>
      </c>
      <c r="AU231" s="652">
        <f>+AU232/AU374</f>
        <v>-1077.0833333333335</v>
      </c>
      <c r="AV231" s="51">
        <f>+AV232/AV374</f>
        <v>-639.13043478260875</v>
      </c>
      <c r="AW231" s="600">
        <f>AX231-AV231</f>
        <v>-653.36956521739125</v>
      </c>
      <c r="AX231" s="624">
        <f>+AX232/AX374</f>
        <v>-1292.5</v>
      </c>
      <c r="AY231" s="52">
        <f>+AY232/AY374</f>
        <v>-751.33333333333326</v>
      </c>
      <c r="AZ231" s="600">
        <f>BA231-AY231</f>
        <v>-768.07222222222163</v>
      </c>
      <c r="BA231" s="624">
        <f>+BA232/BA374</f>
        <v>-1519.4055555555549</v>
      </c>
      <c r="BB231" s="52">
        <f>+BB232/BB374</f>
        <v>-845.25</v>
      </c>
      <c r="BC231" s="600">
        <f>BD231-BB231</f>
        <v>-864.08124999999995</v>
      </c>
      <c r="BD231" s="624">
        <f>+BD232/BD374</f>
        <v>-1709.33125</v>
      </c>
      <c r="BE231" s="52">
        <f>+BE232/BE374</f>
        <v>-887.51249999999993</v>
      </c>
      <c r="BF231" s="600">
        <f>BG231-BE231</f>
        <v>-907.2853124999998</v>
      </c>
      <c r="BG231" s="624">
        <f>+BG232/BG374</f>
        <v>-1794.7978124999997</v>
      </c>
      <c r="BH231" s="52">
        <f>+BH232/BH374</f>
        <v>-931.88812500000006</v>
      </c>
      <c r="BI231" s="600">
        <f>BJ231-BH231</f>
        <v>-952.64957812499972</v>
      </c>
      <c r="BJ231" s="624">
        <f>+BJ232/BJ374</f>
        <v>-1884.5377031249998</v>
      </c>
    </row>
    <row r="232" spans="1:68">
      <c r="A232" s="40" t="s">
        <v>780</v>
      </c>
      <c r="B232" s="40"/>
      <c r="C232" s="40"/>
      <c r="D232" s="40"/>
      <c r="E232" s="40"/>
      <c r="F232" s="40"/>
      <c r="G232" s="40"/>
      <c r="H232" s="40"/>
      <c r="I232" s="40"/>
      <c r="J232" s="40"/>
      <c r="K232" s="40"/>
      <c r="L232" s="40"/>
      <c r="M232" s="40"/>
      <c r="N232" s="40"/>
      <c r="O232" s="40"/>
      <c r="P232" s="40"/>
      <c r="Q232" s="40">
        <f>+Q231*Q375</f>
        <v>-542.5</v>
      </c>
      <c r="R232" s="40"/>
      <c r="S232" s="630"/>
      <c r="T232" s="653">
        <f>+T231*T375</f>
        <v>-525</v>
      </c>
      <c r="U232" s="40"/>
      <c r="V232" s="630"/>
      <c r="W232" s="653">
        <f>+W231*W375</f>
        <v>-495.04</v>
      </c>
      <c r="X232" s="40"/>
      <c r="Y232" s="630"/>
      <c r="Z232" s="653">
        <f t="shared" ref="Z232:BJ232" si="619">-Z234*Z221</f>
        <v>-629.86371996608045</v>
      </c>
      <c r="AA232" s="40">
        <f t="shared" ref="AA232" si="620">-AA234*AA221</f>
        <v>-338.4</v>
      </c>
      <c r="AB232" s="630">
        <f>AC232-AA232</f>
        <v>-396</v>
      </c>
      <c r="AC232" s="653">
        <f>-AC234*AC221</f>
        <v>-734.4</v>
      </c>
      <c r="AD232" s="40">
        <f t="shared" ref="AD232" si="621">-AD234*AD221</f>
        <v>-386.4</v>
      </c>
      <c r="AE232" s="630">
        <f>AF232-AD232</f>
        <v>-266.39999999999998</v>
      </c>
      <c r="AF232" s="653">
        <f t="shared" si="619"/>
        <v>-652.79999999999995</v>
      </c>
      <c r="AG232" s="40">
        <f t="shared" si="619"/>
        <v>-220.79999999999998</v>
      </c>
      <c r="AH232" s="630">
        <f>AI232-AG232</f>
        <v>-278.39999999999998</v>
      </c>
      <c r="AI232" s="653">
        <f t="shared" si="619"/>
        <v>-499.2</v>
      </c>
      <c r="AJ232" s="40">
        <f t="shared" ref="AJ232" si="622">-AJ234*AJ221</f>
        <v>-305.10000000000002</v>
      </c>
      <c r="AK232" s="630">
        <f>AL232-AJ232</f>
        <v>-364.5</v>
      </c>
      <c r="AL232" s="653">
        <f t="shared" si="619"/>
        <v>-669.6</v>
      </c>
      <c r="AM232" s="40">
        <f t="shared" si="619"/>
        <v>-432</v>
      </c>
      <c r="AN232" s="630">
        <f>AO232-AM232</f>
        <v>-672</v>
      </c>
      <c r="AO232" s="653">
        <f t="shared" ref="AO232:AP232" si="623">-AO234*AO221</f>
        <v>-1104</v>
      </c>
      <c r="AP232" s="40">
        <f t="shared" si="623"/>
        <v>-585</v>
      </c>
      <c r="AQ232" s="630">
        <f>AR232-AP232</f>
        <v>-705</v>
      </c>
      <c r="AR232" s="653">
        <f t="shared" ref="AR232:AS232" si="624">-AR234*AR221</f>
        <v>-1290</v>
      </c>
      <c r="AS232" s="40">
        <f t="shared" si="624"/>
        <v>-651</v>
      </c>
      <c r="AT232" s="630">
        <f>AU232-AS232</f>
        <v>-900</v>
      </c>
      <c r="AU232" s="556">
        <f t="shared" si="619"/>
        <v>-1551</v>
      </c>
      <c r="AV232" s="10">
        <f t="shared" si="619"/>
        <v>-882</v>
      </c>
      <c r="AW232" s="601">
        <f>AX232-AV232</f>
        <v>-901.64999999999986</v>
      </c>
      <c r="AX232" s="605">
        <f t="shared" si="619"/>
        <v>-1783.6499999999999</v>
      </c>
      <c r="AY232" s="56">
        <f t="shared" si="619"/>
        <v>-1014.3</v>
      </c>
      <c r="AZ232" s="601">
        <f>BA232-AY232</f>
        <v>-1036.8974999999994</v>
      </c>
      <c r="BA232" s="605">
        <f t="shared" si="619"/>
        <v>-2051.1974999999993</v>
      </c>
      <c r="BB232" s="56">
        <f t="shared" si="619"/>
        <v>-1115.73</v>
      </c>
      <c r="BC232" s="601">
        <f>BD232-BB232</f>
        <v>-1140.58725</v>
      </c>
      <c r="BD232" s="605">
        <f t="shared" si="619"/>
        <v>-2256.3172500000001</v>
      </c>
      <c r="BE232" s="56">
        <f t="shared" si="619"/>
        <v>-1171.5165</v>
      </c>
      <c r="BF232" s="601">
        <f>BG232-BE232</f>
        <v>-1197.6166124999997</v>
      </c>
      <c r="BG232" s="605">
        <f t="shared" si="619"/>
        <v>-2369.1331124999997</v>
      </c>
      <c r="BH232" s="56">
        <f t="shared" si="619"/>
        <v>-1230.0923250000001</v>
      </c>
      <c r="BI232" s="601">
        <f>BJ232-BH232</f>
        <v>-1257.4974431249998</v>
      </c>
      <c r="BJ232" s="605">
        <f t="shared" si="619"/>
        <v>-2487.5897681249999</v>
      </c>
    </row>
    <row r="233" spans="1:68">
      <c r="A233" s="25" t="s">
        <v>942</v>
      </c>
      <c r="Q233" s="81"/>
      <c r="R233" s="81"/>
      <c r="S233" s="636"/>
      <c r="T233" s="659"/>
      <c r="U233" s="81"/>
      <c r="V233" s="636"/>
      <c r="W233" s="659"/>
      <c r="X233" s="81"/>
      <c r="Y233" s="636"/>
      <c r="Z233" s="659"/>
      <c r="AA233" s="81">
        <f>AC233</f>
        <v>1.5686274509803921</v>
      </c>
      <c r="AB233" s="636">
        <f>AB234/AB374</f>
        <v>1.5686274509803921</v>
      </c>
      <c r="AC233" s="659">
        <f>AC234/AC374</f>
        <v>1.5686274509803921</v>
      </c>
      <c r="AD233" s="81">
        <f>AF233</f>
        <v>1.5789473684210527</v>
      </c>
      <c r="AE233" s="636">
        <f>AE234/AE374</f>
        <v>1.5789473684210527</v>
      </c>
      <c r="AF233" s="659">
        <f>AF234/AF374</f>
        <v>1.5789473684210527</v>
      </c>
      <c r="AG233" s="81">
        <f>AI233</f>
        <v>1.5894039735099337</v>
      </c>
      <c r="AH233" s="636">
        <f>AH234/AH374</f>
        <v>1.4723926380368098</v>
      </c>
      <c r="AI233" s="659">
        <f>AI234/AI374</f>
        <v>1.5894039735099337</v>
      </c>
      <c r="AJ233" s="81">
        <f>AL233</f>
        <v>1.8</v>
      </c>
      <c r="AK233" s="636">
        <f>AK234/AK374</f>
        <v>1.8</v>
      </c>
      <c r="AL233" s="659">
        <f>AL234/AL374</f>
        <v>1.8</v>
      </c>
      <c r="AM233" s="81">
        <v>1.9800000000000002</v>
      </c>
      <c r="AN233" s="636">
        <f t="shared" ref="AN233:BJ233" si="625">AN234/AN374</f>
        <v>2</v>
      </c>
      <c r="AO233" s="659">
        <f t="shared" si="625"/>
        <v>2</v>
      </c>
      <c r="AP233" s="81">
        <f t="shared" si="625"/>
        <v>2.0270270270270272</v>
      </c>
      <c r="AQ233" s="636">
        <f t="shared" ref="AQ233:AS233" si="626">AQ234/AQ374</f>
        <v>2.0270270270270272</v>
      </c>
      <c r="AR233" s="659">
        <f t="shared" si="626"/>
        <v>2.0270270270270272</v>
      </c>
      <c r="AS233" s="81">
        <f t="shared" si="626"/>
        <v>2.0833333333333335</v>
      </c>
      <c r="AT233" s="234">
        <f t="shared" si="625"/>
        <v>2.0833333333333335</v>
      </c>
      <c r="AU233" s="561">
        <f t="shared" si="625"/>
        <v>2.0833333333333335</v>
      </c>
      <c r="AV233" s="203">
        <f t="shared" si="625"/>
        <v>2.1739130434782612</v>
      </c>
      <c r="AW233" s="235">
        <f t="shared" si="625"/>
        <v>2.1739130434782612</v>
      </c>
      <c r="AX233" s="611">
        <f t="shared" si="625"/>
        <v>2.1739130434782612</v>
      </c>
      <c r="AY233" s="173">
        <f t="shared" si="625"/>
        <v>2.2222222222222219</v>
      </c>
      <c r="AZ233" s="235">
        <f t="shared" si="625"/>
        <v>2.2222222222222214</v>
      </c>
      <c r="BA233" s="611">
        <f t="shared" si="625"/>
        <v>2.2222222222222219</v>
      </c>
      <c r="BB233" s="173">
        <f t="shared" si="625"/>
        <v>2.2727272727272725</v>
      </c>
      <c r="BC233" s="235">
        <f t="shared" si="625"/>
        <v>2.2727272727272729</v>
      </c>
      <c r="BD233" s="611">
        <f t="shared" si="625"/>
        <v>2.2727272727272725</v>
      </c>
      <c r="BE233" s="173">
        <f t="shared" si="625"/>
        <v>2.2727272727272725</v>
      </c>
      <c r="BF233" s="235">
        <f t="shared" si="625"/>
        <v>2.2727272727272725</v>
      </c>
      <c r="BG233" s="611">
        <f t="shared" si="625"/>
        <v>2.2727272727272725</v>
      </c>
      <c r="BH233" s="173">
        <f t="shared" si="625"/>
        <v>2.2727272727272725</v>
      </c>
      <c r="BI233" s="235">
        <f t="shared" si="625"/>
        <v>2.272727272727272</v>
      </c>
      <c r="BJ233" s="611">
        <f t="shared" si="625"/>
        <v>2.2727272727272725</v>
      </c>
    </row>
    <row r="234" spans="1:68">
      <c r="A234" s="40" t="s">
        <v>686</v>
      </c>
      <c r="Q234" s="81">
        <f>-Q232/Q221</f>
        <v>2.1346750183767185</v>
      </c>
      <c r="R234" s="81"/>
      <c r="S234" s="636"/>
      <c r="T234" s="659">
        <f>-T232/T221</f>
        <v>2.1800683711766</v>
      </c>
      <c r="U234" s="81"/>
      <c r="V234" s="636"/>
      <c r="W234" s="659">
        <f>-W232/W221</f>
        <v>2.0613967390873493</v>
      </c>
      <c r="X234" s="81"/>
      <c r="Y234" s="636"/>
      <c r="Z234" s="659">
        <v>2.2000000000000002</v>
      </c>
      <c r="AA234" s="81">
        <f>AC234</f>
        <v>2.4</v>
      </c>
      <c r="AB234" s="234">
        <f>-AB232/AB221</f>
        <v>2.4</v>
      </c>
      <c r="AC234" s="561">
        <v>2.4</v>
      </c>
      <c r="AD234" s="81">
        <f>AF234</f>
        <v>2.4</v>
      </c>
      <c r="AE234" s="234">
        <f>-AE232/AE221</f>
        <v>2.4</v>
      </c>
      <c r="AF234" s="659">
        <v>2.4</v>
      </c>
      <c r="AG234" s="81">
        <f>AI234</f>
        <v>2.4</v>
      </c>
      <c r="AH234" s="234">
        <f>-AH232/AH221</f>
        <v>2.4</v>
      </c>
      <c r="AI234" s="659">
        <v>2.4</v>
      </c>
      <c r="AJ234" s="81">
        <f>AL234</f>
        <v>2.7</v>
      </c>
      <c r="AK234" s="234">
        <f>-AK232/AK221</f>
        <v>2.7</v>
      </c>
      <c r="AL234" s="659">
        <v>2.7</v>
      </c>
      <c r="AM234" s="81">
        <v>3</v>
      </c>
      <c r="AN234" s="234">
        <f>-AN232/AN221</f>
        <v>3</v>
      </c>
      <c r="AO234" s="659">
        <v>3</v>
      </c>
      <c r="AP234" s="203">
        <v>3</v>
      </c>
      <c r="AQ234" s="234">
        <f>-AQ232/AQ221</f>
        <v>3</v>
      </c>
      <c r="AR234" s="659">
        <v>3</v>
      </c>
      <c r="AS234" s="203">
        <v>3</v>
      </c>
      <c r="AT234" s="234">
        <f>-AT232/AT221</f>
        <v>3</v>
      </c>
      <c r="AU234" s="561">
        <v>3</v>
      </c>
      <c r="AV234" s="203">
        <v>3</v>
      </c>
      <c r="AW234" s="235">
        <f>-AW232/AW221</f>
        <v>3</v>
      </c>
      <c r="AX234" s="611">
        <f>+AU234*(1+AX235)</f>
        <v>3</v>
      </c>
      <c r="AY234" s="173">
        <f>+AV234*(1+AY235)</f>
        <v>3</v>
      </c>
      <c r="AZ234" s="235">
        <f>-AZ232/AZ221</f>
        <v>2.9999999999999991</v>
      </c>
      <c r="BA234" s="611">
        <f>+AX234*(1+BA235)</f>
        <v>3</v>
      </c>
      <c r="BB234" s="173">
        <f>+AY234*(1+BB235)</f>
        <v>3</v>
      </c>
      <c r="BC234" s="235">
        <f>-BC232/BC221</f>
        <v>3.0000000000000004</v>
      </c>
      <c r="BD234" s="611">
        <f>+BA234*(1+BD235)</f>
        <v>3</v>
      </c>
      <c r="BE234" s="173">
        <f>+BB234*(1+BE235)</f>
        <v>3</v>
      </c>
      <c r="BF234" s="235">
        <f>-BF232/BF221</f>
        <v>2.9999999999999996</v>
      </c>
      <c r="BG234" s="611">
        <f>+BD234*(1+BG235)</f>
        <v>3</v>
      </c>
      <c r="BH234" s="173">
        <f>+BE234*(1+BH235)</f>
        <v>3</v>
      </c>
      <c r="BI234" s="235">
        <f>-BI232/BI221</f>
        <v>2.9999999999999991</v>
      </c>
      <c r="BJ234" s="611">
        <f t="shared" ref="BJ234" si="627">+BG234*(1+BJ235)</f>
        <v>3</v>
      </c>
    </row>
    <row r="235" spans="1:68">
      <c r="A235" s="66" t="s">
        <v>973</v>
      </c>
      <c r="Q235" s="81"/>
      <c r="R235" s="58"/>
      <c r="S235" s="644"/>
      <c r="T235" s="668">
        <f t="shared" ref="T235" si="628">+T234/Q234-1</f>
        <v>2.1264760401046967E-2</v>
      </c>
      <c r="U235" s="58"/>
      <c r="V235" s="644"/>
      <c r="W235" s="668">
        <f>+W234/T234-1</f>
        <v>-5.4434821246089005E-2</v>
      </c>
      <c r="X235" s="58"/>
      <c r="Y235" s="644"/>
      <c r="Z235" s="668">
        <f>+Z234/W234-1</f>
        <v>6.7237547379654483E-2</v>
      </c>
      <c r="AA235" s="87"/>
      <c r="AB235" s="644"/>
      <c r="AC235" s="668">
        <f t="shared" ref="AC235:AM235" si="629">+AC234/Z234-1</f>
        <v>9.0909090909090828E-2</v>
      </c>
      <c r="AD235" s="87">
        <f t="shared" si="629"/>
        <v>0</v>
      </c>
      <c r="AE235" s="644">
        <f t="shared" si="629"/>
        <v>0</v>
      </c>
      <c r="AF235" s="668">
        <f t="shared" si="629"/>
        <v>0</v>
      </c>
      <c r="AG235" s="87">
        <f t="shared" si="629"/>
        <v>0</v>
      </c>
      <c r="AH235" s="644">
        <f t="shared" si="629"/>
        <v>0</v>
      </c>
      <c r="AI235" s="668">
        <f t="shared" si="629"/>
        <v>0</v>
      </c>
      <c r="AJ235" s="87">
        <f t="shared" si="629"/>
        <v>0.12500000000000022</v>
      </c>
      <c r="AK235" s="644">
        <f t="shared" si="629"/>
        <v>0.12500000000000022</v>
      </c>
      <c r="AL235" s="668">
        <f t="shared" si="629"/>
        <v>0.12500000000000022</v>
      </c>
      <c r="AM235" s="87">
        <f t="shared" si="629"/>
        <v>0.11111111111111094</v>
      </c>
      <c r="AN235" s="644">
        <f t="shared" ref="AN235" si="630">+AN234/AK234-1</f>
        <v>0.11111111111111094</v>
      </c>
      <c r="AO235" s="668">
        <f t="shared" ref="AO235:AP235" si="631">+AO234/AL234-1</f>
        <v>0.11111111111111094</v>
      </c>
      <c r="AP235" s="87">
        <f t="shared" si="631"/>
        <v>0</v>
      </c>
      <c r="AQ235" s="644">
        <f t="shared" ref="AQ235" si="632">+AQ234/AN234-1</f>
        <v>0</v>
      </c>
      <c r="AR235" s="668">
        <f t="shared" ref="AR235:AV235" si="633">+AR234/AO234-1</f>
        <v>0</v>
      </c>
      <c r="AS235" s="87">
        <f t="shared" si="633"/>
        <v>0</v>
      </c>
      <c r="AT235" s="229">
        <f>+AT234/AQ234-1</f>
        <v>0</v>
      </c>
      <c r="AU235" s="668">
        <f t="shared" si="633"/>
        <v>0</v>
      </c>
      <c r="AV235" s="87">
        <f t="shared" si="633"/>
        <v>0</v>
      </c>
      <c r="AW235" s="247">
        <f>+AW234/AT234-1</f>
        <v>0</v>
      </c>
      <c r="AX235" s="585">
        <v>0</v>
      </c>
      <c r="AY235" s="245">
        <f>BA235</f>
        <v>0</v>
      </c>
      <c r="AZ235" s="247">
        <f>+AZ234/AW234-1</f>
        <v>0</v>
      </c>
      <c r="BA235" s="585">
        <v>0</v>
      </c>
      <c r="BB235" s="245">
        <f>BD235</f>
        <v>0</v>
      </c>
      <c r="BC235" s="247">
        <f>+BC234/AZ234-1</f>
        <v>0</v>
      </c>
      <c r="BD235" s="585">
        <v>0</v>
      </c>
      <c r="BE235" s="245">
        <f>BG235</f>
        <v>0</v>
      </c>
      <c r="BF235" s="247">
        <f>+BF234/BC234-1</f>
        <v>0</v>
      </c>
      <c r="BG235" s="585">
        <v>0</v>
      </c>
      <c r="BH235" s="245">
        <f>BJ235</f>
        <v>0</v>
      </c>
      <c r="BI235" s="247">
        <f>+BI234/BF234-1</f>
        <v>0</v>
      </c>
      <c r="BJ235" s="585">
        <v>0</v>
      </c>
    </row>
    <row r="236" spans="1:68" ht="11.4">
      <c r="Q236" s="73"/>
      <c r="R236" s="40"/>
      <c r="S236" s="630"/>
      <c r="T236" s="653"/>
      <c r="U236" s="40"/>
      <c r="V236" s="630"/>
      <c r="W236" s="653"/>
      <c r="X236" s="40"/>
      <c r="Y236" s="630"/>
      <c r="Z236" s="653"/>
      <c r="AA236" s="50"/>
      <c r="AB236" s="647"/>
      <c r="AC236" s="671"/>
      <c r="AD236" s="50"/>
      <c r="AE236" s="647"/>
      <c r="AF236" s="671"/>
      <c r="AG236" s="50"/>
      <c r="AH236" s="647"/>
      <c r="AI236" s="671"/>
      <c r="AJ236" s="50"/>
      <c r="AK236" s="647"/>
      <c r="AL236" s="671"/>
      <c r="AM236" s="50"/>
      <c r="AN236" s="229"/>
      <c r="AO236" s="559"/>
      <c r="AP236" s="165"/>
      <c r="AQ236" s="229"/>
      <c r="AR236" s="559"/>
      <c r="AS236" s="165"/>
      <c r="AT236" s="229"/>
      <c r="AU236" s="559"/>
      <c r="AV236" s="165"/>
      <c r="AW236" s="229"/>
      <c r="AX236" s="559"/>
      <c r="AY236" s="165"/>
      <c r="AZ236" s="229"/>
      <c r="BA236" s="559"/>
      <c r="BB236" s="165"/>
      <c r="BC236" s="229"/>
      <c r="BD236" s="559"/>
      <c r="BE236" s="165"/>
      <c r="BF236" s="229"/>
      <c r="BG236" s="559"/>
      <c r="BH236" s="165"/>
      <c r="BI236" s="229"/>
      <c r="BJ236" s="559"/>
      <c r="BL236" s="115"/>
      <c r="BM236" s="115"/>
      <c r="BN236" s="115"/>
      <c r="BO236" s="115"/>
      <c r="BP236" s="115"/>
    </row>
    <row r="237" spans="1:68" s="170" customFormat="1" ht="11.4">
      <c r="A237" s="172" t="s">
        <v>950</v>
      </c>
      <c r="R237" s="270"/>
      <c r="S237" s="742"/>
      <c r="T237" s="746"/>
      <c r="U237" s="270"/>
      <c r="V237" s="742"/>
      <c r="W237" s="746"/>
      <c r="X237" s="270"/>
      <c r="Y237" s="742"/>
      <c r="Z237" s="746"/>
      <c r="AA237" s="51">
        <f>+AA238/AA374</f>
        <v>-178.82352941176467</v>
      </c>
      <c r="AB237" s="629">
        <f>AC237-AA237</f>
        <v>-166.27450980392157</v>
      </c>
      <c r="AC237" s="652">
        <f>+AC238/AC374</f>
        <v>-345.09803921568624</v>
      </c>
      <c r="AD237" s="51">
        <f>+AD238/AD374</f>
        <v>-199.99999999999997</v>
      </c>
      <c r="AE237" s="629">
        <f>AF237-AD237</f>
        <v>-94.210526315789508</v>
      </c>
      <c r="AF237" s="652">
        <f>+AF238/AF374</f>
        <v>-294.21052631578948</v>
      </c>
      <c r="AG237" s="51">
        <f>+AG238/AG374</f>
        <v>-110.50359712230217</v>
      </c>
      <c r="AH237" s="629">
        <f>AI237-AG237</f>
        <v>-102.47653532802893</v>
      </c>
      <c r="AI237" s="652">
        <f>+AI238/AI374</f>
        <v>-212.9801324503311</v>
      </c>
      <c r="AJ237" s="51">
        <f>+AJ238/AJ374</f>
        <v>-124.80000000000001</v>
      </c>
      <c r="AK237" s="629">
        <f>AL237-AJ237</f>
        <v>-148.19999999999999</v>
      </c>
      <c r="AL237" s="652">
        <f>+AL238/AL374</f>
        <v>-273</v>
      </c>
      <c r="AM237" s="51">
        <f>+AM238/AM374</f>
        <v>-165.00000000000003</v>
      </c>
      <c r="AN237" s="629">
        <f>AO237-AM237</f>
        <v>-148.99999999999997</v>
      </c>
      <c r="AO237" s="652">
        <f>+AO238/AO374</f>
        <v>-314</v>
      </c>
      <c r="AP237" s="51">
        <f>+AP238/AP374</f>
        <v>-147.29729729729729</v>
      </c>
      <c r="AQ237" s="629">
        <f>AR237-AP237</f>
        <v>-172.29729729729729</v>
      </c>
      <c r="AR237" s="652">
        <f>+AR238/AR374</f>
        <v>-319.59459459459458</v>
      </c>
      <c r="AS237" s="51">
        <f>+AS238/AS374</f>
        <v>-192.36111111111111</v>
      </c>
      <c r="AT237" s="629">
        <f>AU237-AS237</f>
        <v>-197.91666666666666</v>
      </c>
      <c r="AU237" s="652">
        <f>+AU238/AU374</f>
        <v>-390.27777777777777</v>
      </c>
      <c r="AV237" s="51">
        <f>+AV238/AV374</f>
        <v>-189.85507246376812</v>
      </c>
      <c r="AW237" s="600">
        <f>AX237-AV237</f>
        <v>-217.39130434782612</v>
      </c>
      <c r="AX237" s="624">
        <f>+AX238/AX374</f>
        <v>-407.24637681159425</v>
      </c>
      <c r="AY237" s="52">
        <f>+AY238/AY374</f>
        <v>-194.07407407407405</v>
      </c>
      <c r="AZ237" s="600">
        <f>BA237-AY237</f>
        <v>-118.14814814814818</v>
      </c>
      <c r="BA237" s="624">
        <f>+BA238/BA374</f>
        <v>-312.22222222222223</v>
      </c>
      <c r="BB237" s="52">
        <f>+BB238/BB374</f>
        <v>-94.280303030303017</v>
      </c>
      <c r="BC237" s="600">
        <f>BD237-BB237</f>
        <v>-57.395833333333329</v>
      </c>
      <c r="BD237" s="624">
        <f>+BD238/BD374</f>
        <v>-151.67613636363635</v>
      </c>
      <c r="BE237" s="52">
        <f>+BE238/BE374</f>
        <v>-94.280303030303017</v>
      </c>
      <c r="BF237" s="600">
        <f>BG237-BE237</f>
        <v>-57.395833333333329</v>
      </c>
      <c r="BG237" s="624">
        <f>+BG238/BG374</f>
        <v>-151.67613636363635</v>
      </c>
      <c r="BH237" s="52">
        <f>+BH238/BH374</f>
        <v>-94.280303030303017</v>
      </c>
      <c r="BI237" s="600">
        <f>BJ237-BH237</f>
        <v>-57.395833333333329</v>
      </c>
      <c r="BJ237" s="624">
        <f>+BJ238/BJ374</f>
        <v>-151.67613636363635</v>
      </c>
      <c r="BK237" s="27"/>
      <c r="BL237" s="511"/>
      <c r="BM237" s="511"/>
      <c r="BN237" s="511"/>
      <c r="BO237" s="511"/>
      <c r="BP237" s="511"/>
    </row>
    <row r="238" spans="1:68" s="170" customFormat="1" ht="11.4">
      <c r="A238" s="270" t="s">
        <v>951</v>
      </c>
      <c r="R238" s="270"/>
      <c r="S238" s="742"/>
      <c r="T238" s="746"/>
      <c r="U238" s="270"/>
      <c r="V238" s="742"/>
      <c r="W238" s="746"/>
      <c r="X238" s="270"/>
      <c r="Y238" s="742"/>
      <c r="Z238" s="746"/>
      <c r="AA238" s="40">
        <f t="shared" ref="AA238" si="634">-AA240*AA224</f>
        <v>-273.59999999999997</v>
      </c>
      <c r="AB238" s="630">
        <f>AC238-AA238</f>
        <v>-254.40000000000003</v>
      </c>
      <c r="AC238" s="653">
        <f t="shared" ref="AC238:BJ238" si="635">-AC240*AC224</f>
        <v>-528</v>
      </c>
      <c r="AD238" s="40">
        <f t="shared" si="635"/>
        <v>-247.99999999999997</v>
      </c>
      <c r="AE238" s="630">
        <f>AF238-AD238</f>
        <v>-199.20000000000002</v>
      </c>
      <c r="AF238" s="653">
        <f t="shared" si="635"/>
        <v>-447.2</v>
      </c>
      <c r="AG238" s="40">
        <f t="shared" ref="AG238" si="636">-AG240*AG224</f>
        <v>-153.6</v>
      </c>
      <c r="AH238" s="630">
        <f>AI238-AG238</f>
        <v>-167.99999999999997</v>
      </c>
      <c r="AI238" s="653">
        <f t="shared" si="635"/>
        <v>-321.59999999999997</v>
      </c>
      <c r="AJ238" s="40">
        <f t="shared" si="635"/>
        <v>-187.20000000000002</v>
      </c>
      <c r="AK238" s="630">
        <f>AL238-AJ238</f>
        <v>-222.29999999999998</v>
      </c>
      <c r="AL238" s="653">
        <f t="shared" si="635"/>
        <v>-409.5</v>
      </c>
      <c r="AM238" s="40">
        <f t="shared" ref="AM238" si="637">-AM240*AM224</f>
        <v>-247.50000000000003</v>
      </c>
      <c r="AN238" s="630">
        <f>AO238-AM238</f>
        <v>-223.49999999999997</v>
      </c>
      <c r="AO238" s="653">
        <f t="shared" ref="AO238:AP238" si="638">-AO240*AO224</f>
        <v>-471</v>
      </c>
      <c r="AP238" s="40">
        <f t="shared" si="638"/>
        <v>-218</v>
      </c>
      <c r="AQ238" s="630">
        <f>AR238-AP238</f>
        <v>-255</v>
      </c>
      <c r="AR238" s="653">
        <f t="shared" ref="AR238:AS238" si="639">-AR240*AR224</f>
        <v>-473</v>
      </c>
      <c r="AS238" s="40">
        <f t="shared" si="639"/>
        <v>-277</v>
      </c>
      <c r="AT238" s="630">
        <f>AU238-AS238</f>
        <v>-285</v>
      </c>
      <c r="AU238" s="556">
        <f t="shared" si="635"/>
        <v>-562</v>
      </c>
      <c r="AV238" s="10">
        <f t="shared" si="635"/>
        <v>-262</v>
      </c>
      <c r="AW238" s="601">
        <f>AX238-AV238</f>
        <v>-300</v>
      </c>
      <c r="AX238" s="605">
        <f t="shared" si="635"/>
        <v>-562</v>
      </c>
      <c r="AY238" s="56">
        <f t="shared" si="635"/>
        <v>-262</v>
      </c>
      <c r="AZ238" s="601">
        <f>BA238-AY238</f>
        <v>-159.5</v>
      </c>
      <c r="BA238" s="605">
        <f t="shared" si="635"/>
        <v>-421.5</v>
      </c>
      <c r="BB238" s="56">
        <f t="shared" si="635"/>
        <v>-124.44999999999999</v>
      </c>
      <c r="BC238" s="601">
        <f>BD238-BB238</f>
        <v>-75.762499999999989</v>
      </c>
      <c r="BD238" s="605">
        <f t="shared" si="635"/>
        <v>-200.21249999999998</v>
      </c>
      <c r="BE238" s="56">
        <f t="shared" si="635"/>
        <v>-124.44999999999999</v>
      </c>
      <c r="BF238" s="601">
        <f>BG238-BE238</f>
        <v>-75.762499999999989</v>
      </c>
      <c r="BG238" s="605">
        <f t="shared" si="635"/>
        <v>-200.21249999999998</v>
      </c>
      <c r="BH238" s="56">
        <f t="shared" si="635"/>
        <v>-124.44999999999999</v>
      </c>
      <c r="BI238" s="601">
        <f>BJ238-BH238</f>
        <v>-75.762499999999989</v>
      </c>
      <c r="BJ238" s="605">
        <f t="shared" si="635"/>
        <v>-200.21249999999998</v>
      </c>
      <c r="BK238" s="10"/>
      <c r="BL238" s="511"/>
      <c r="BM238" s="511"/>
      <c r="BN238" s="511"/>
      <c r="BO238" s="511"/>
      <c r="BP238" s="511"/>
    </row>
    <row r="239" spans="1:68" s="512" customFormat="1" ht="11.4">
      <c r="A239" s="512" t="s">
        <v>942</v>
      </c>
      <c r="R239" s="513"/>
      <c r="S239" s="910"/>
      <c r="T239" s="923"/>
      <c r="U239" s="513"/>
      <c r="V239" s="910"/>
      <c r="W239" s="923"/>
      <c r="X239" s="513"/>
      <c r="Y239" s="910"/>
      <c r="Z239" s="923"/>
      <c r="AA239" s="969">
        <f t="shared" ref="AA239:BJ239" si="640">AA240/AA374</f>
        <v>0.52287581699346397</v>
      </c>
      <c r="AB239" s="871">
        <f t="shared" si="640"/>
        <v>0.52287581699346419</v>
      </c>
      <c r="AC239" s="894">
        <f t="shared" si="640"/>
        <v>0.52287581699346397</v>
      </c>
      <c r="AD239" s="969">
        <f t="shared" si="640"/>
        <v>0.64516129032258063</v>
      </c>
      <c r="AE239" s="871">
        <f t="shared" si="640"/>
        <v>0.52631578947368418</v>
      </c>
      <c r="AF239" s="894">
        <f t="shared" si="640"/>
        <v>0.52631578947368418</v>
      </c>
      <c r="AG239" s="969">
        <f t="shared" si="640"/>
        <v>0.57553956834532372</v>
      </c>
      <c r="AH239" s="871">
        <f t="shared" si="640"/>
        <v>0.49079754601226977</v>
      </c>
      <c r="AI239" s="894">
        <f t="shared" si="640"/>
        <v>0.52980132450331119</v>
      </c>
      <c r="AJ239" s="969">
        <f t="shared" si="640"/>
        <v>0.6</v>
      </c>
      <c r="AK239" s="871">
        <f t="shared" si="640"/>
        <v>0.6</v>
      </c>
      <c r="AL239" s="894">
        <f t="shared" si="640"/>
        <v>0.6</v>
      </c>
      <c r="AM239" s="969">
        <f t="shared" si="640"/>
        <v>0.66</v>
      </c>
      <c r="AN239" s="871">
        <f t="shared" si="640"/>
        <v>0.67420814479638003</v>
      </c>
      <c r="AO239" s="894">
        <f t="shared" si="640"/>
        <v>0.66666666666666663</v>
      </c>
      <c r="AP239" s="969">
        <f t="shared" si="640"/>
        <v>0.67567567567567566</v>
      </c>
      <c r="AQ239" s="871">
        <f t="shared" ref="AQ239:AS239" si="641">AQ240/AQ374</f>
        <v>0.67567567567567566</v>
      </c>
      <c r="AR239" s="894">
        <f t="shared" si="641"/>
        <v>0.67567567567567566</v>
      </c>
      <c r="AS239" s="969">
        <f t="shared" si="641"/>
        <v>0.69444444444444442</v>
      </c>
      <c r="AT239" s="871">
        <f t="shared" si="640"/>
        <v>0.69444444444444442</v>
      </c>
      <c r="AU239" s="894">
        <f t="shared" si="640"/>
        <v>0.69444444444444442</v>
      </c>
      <c r="AV239" s="969">
        <f t="shared" si="640"/>
        <v>0.7246376811594204</v>
      </c>
      <c r="AW239" s="808">
        <f t="shared" si="640"/>
        <v>0.7246376811594204</v>
      </c>
      <c r="AX239" s="839">
        <f t="shared" si="640"/>
        <v>0.7246376811594204</v>
      </c>
      <c r="AY239" s="975">
        <f t="shared" si="640"/>
        <v>0.7407407407407407</v>
      </c>
      <c r="AZ239" s="808">
        <f t="shared" si="640"/>
        <v>0.74074074074074048</v>
      </c>
      <c r="BA239" s="839">
        <f t="shared" si="640"/>
        <v>0.7407407407407407</v>
      </c>
      <c r="BB239" s="975">
        <f t="shared" si="640"/>
        <v>0.75757575757575757</v>
      </c>
      <c r="BC239" s="808">
        <f t="shared" si="640"/>
        <v>0.75757575757575768</v>
      </c>
      <c r="BD239" s="839">
        <f t="shared" si="640"/>
        <v>0.75757575757575757</v>
      </c>
      <c r="BE239" s="975">
        <f t="shared" si="640"/>
        <v>0.75757575757575757</v>
      </c>
      <c r="BF239" s="808">
        <f t="shared" si="640"/>
        <v>0.75757575757575746</v>
      </c>
      <c r="BG239" s="839">
        <f t="shared" si="640"/>
        <v>0.75757575757575757</v>
      </c>
      <c r="BH239" s="975">
        <f t="shared" si="640"/>
        <v>0.75757575757575757</v>
      </c>
      <c r="BI239" s="808">
        <f t="shared" si="640"/>
        <v>0.75757575757575724</v>
      </c>
      <c r="BJ239" s="839">
        <f t="shared" si="640"/>
        <v>0.75757575757575757</v>
      </c>
      <c r="BK239" s="1132"/>
      <c r="BL239" s="514"/>
      <c r="BM239" s="514"/>
      <c r="BN239" s="514"/>
      <c r="BO239" s="514"/>
      <c r="BP239" s="514"/>
    </row>
    <row r="240" spans="1:68" s="512" customFormat="1" ht="11.4">
      <c r="A240" s="512" t="s">
        <v>686</v>
      </c>
      <c r="R240" s="513"/>
      <c r="S240" s="910"/>
      <c r="T240" s="923"/>
      <c r="U240" s="513"/>
      <c r="V240" s="910"/>
      <c r="W240" s="923"/>
      <c r="X240" s="513"/>
      <c r="Y240" s="910"/>
      <c r="Z240" s="923"/>
      <c r="AA240" s="969">
        <f>AC240</f>
        <v>0.79999999999999993</v>
      </c>
      <c r="AB240" s="871">
        <f>-AB238/AB224</f>
        <v>0.80000000000000016</v>
      </c>
      <c r="AC240" s="894">
        <f t="shared" ref="AC240:BJ240" si="642">AC234/3</f>
        <v>0.79999999999999993</v>
      </c>
      <c r="AD240" s="969">
        <f>AF240</f>
        <v>0.79999999999999993</v>
      </c>
      <c r="AE240" s="871">
        <f>-AE238/AE224</f>
        <v>0.8</v>
      </c>
      <c r="AF240" s="894">
        <f t="shared" si="642"/>
        <v>0.79999999999999993</v>
      </c>
      <c r="AG240" s="969">
        <f>AI240</f>
        <v>0.79999999999999993</v>
      </c>
      <c r="AH240" s="871">
        <f>-AH238/AH224</f>
        <v>0.79999999999999982</v>
      </c>
      <c r="AI240" s="894">
        <f t="shared" si="642"/>
        <v>0.79999999999999993</v>
      </c>
      <c r="AJ240" s="969">
        <f>AL240</f>
        <v>0.9</v>
      </c>
      <c r="AK240" s="871">
        <f>-AK238/AK224</f>
        <v>0.89999999999999991</v>
      </c>
      <c r="AL240" s="894">
        <f t="shared" si="642"/>
        <v>0.9</v>
      </c>
      <c r="AM240" s="969">
        <v>0.9900000000000001</v>
      </c>
      <c r="AN240" s="871">
        <f>-AN238/AN224</f>
        <v>1.0113122171945701</v>
      </c>
      <c r="AO240" s="894">
        <f t="shared" ref="AO240" si="643">AO234/3</f>
        <v>1</v>
      </c>
      <c r="AP240" s="969">
        <f t="shared" ref="AP240" si="644">AP234/3</f>
        <v>1</v>
      </c>
      <c r="AQ240" s="871">
        <f>-AQ238/AQ224</f>
        <v>1</v>
      </c>
      <c r="AR240" s="894">
        <f t="shared" ref="AR240:AS240" si="645">AR234/3</f>
        <v>1</v>
      </c>
      <c r="AS240" s="969">
        <f t="shared" si="645"/>
        <v>1</v>
      </c>
      <c r="AT240" s="871">
        <f t="shared" si="642"/>
        <v>1</v>
      </c>
      <c r="AU240" s="894">
        <f t="shared" si="642"/>
        <v>1</v>
      </c>
      <c r="AV240" s="969">
        <f t="shared" si="642"/>
        <v>1</v>
      </c>
      <c r="AW240" s="808">
        <f t="shared" si="642"/>
        <v>1</v>
      </c>
      <c r="AX240" s="839">
        <f t="shared" si="642"/>
        <v>1</v>
      </c>
      <c r="AY240" s="975">
        <f t="shared" si="642"/>
        <v>1</v>
      </c>
      <c r="AZ240" s="808">
        <f t="shared" si="642"/>
        <v>0.99999999999999967</v>
      </c>
      <c r="BA240" s="839">
        <f t="shared" si="642"/>
        <v>1</v>
      </c>
      <c r="BB240" s="975">
        <f t="shared" si="642"/>
        <v>1</v>
      </c>
      <c r="BC240" s="808">
        <f t="shared" si="642"/>
        <v>1.0000000000000002</v>
      </c>
      <c r="BD240" s="839">
        <f t="shared" si="642"/>
        <v>1</v>
      </c>
      <c r="BE240" s="975">
        <f t="shared" si="642"/>
        <v>1</v>
      </c>
      <c r="BF240" s="808">
        <f t="shared" si="642"/>
        <v>0.99999999999999989</v>
      </c>
      <c r="BG240" s="839">
        <f t="shared" si="642"/>
        <v>1</v>
      </c>
      <c r="BH240" s="975">
        <f t="shared" si="642"/>
        <v>1</v>
      </c>
      <c r="BI240" s="808">
        <f t="shared" si="642"/>
        <v>0.99999999999999967</v>
      </c>
      <c r="BJ240" s="839">
        <f t="shared" si="642"/>
        <v>1</v>
      </c>
      <c r="BK240" s="1132"/>
      <c r="BL240" s="514"/>
      <c r="BM240" s="514"/>
      <c r="BN240" s="514"/>
      <c r="BO240" s="514"/>
      <c r="BP240" s="514"/>
    </row>
    <row r="241" spans="1:68" ht="11.4">
      <c r="A241" s="25" t="s">
        <v>613</v>
      </c>
      <c r="Q241" s="73"/>
      <c r="R241" s="40"/>
      <c r="S241" s="630"/>
      <c r="T241" s="653"/>
      <c r="U241" s="40"/>
      <c r="V241" s="630"/>
      <c r="W241" s="653"/>
      <c r="X241" s="40"/>
      <c r="Y241" s="630"/>
      <c r="Z241" s="653"/>
      <c r="AA241" s="952"/>
      <c r="AB241" s="647"/>
      <c r="AC241" s="668"/>
      <c r="AD241" s="952">
        <f>+AD240/AA240-1</f>
        <v>0</v>
      </c>
      <c r="AE241" s="647">
        <f>+AE240/AB240-1</f>
        <v>0</v>
      </c>
      <c r="AF241" s="671">
        <f t="shared" ref="AF241" si="646">+AF240/AC240-1</f>
        <v>0</v>
      </c>
      <c r="AG241" s="952">
        <f t="shared" ref="AG241:BJ241" si="647">+AG240/AD240-1</f>
        <v>0</v>
      </c>
      <c r="AH241" s="647">
        <f t="shared" si="647"/>
        <v>0</v>
      </c>
      <c r="AI241" s="671">
        <f t="shared" si="647"/>
        <v>0</v>
      </c>
      <c r="AJ241" s="952">
        <f t="shared" si="647"/>
        <v>0.12500000000000022</v>
      </c>
      <c r="AK241" s="647">
        <f t="shared" si="647"/>
        <v>0.12500000000000022</v>
      </c>
      <c r="AL241" s="671">
        <f t="shared" si="647"/>
        <v>0.12500000000000022</v>
      </c>
      <c r="AM241" s="952">
        <f t="shared" si="647"/>
        <v>0.10000000000000009</v>
      </c>
      <c r="AN241" s="647">
        <f t="shared" ref="AN241" si="648">+AN240/AK240-1</f>
        <v>0.12368024132730016</v>
      </c>
      <c r="AO241" s="671">
        <f t="shared" ref="AO241" si="649">+AO240/AL240-1</f>
        <v>0.11111111111111116</v>
      </c>
      <c r="AP241" s="199">
        <f t="shared" si="647"/>
        <v>1.0101010101009944E-2</v>
      </c>
      <c r="AQ241" s="647">
        <f t="shared" ref="AQ241" si="650">+AQ240/AN240-1</f>
        <v>-1.1185682326621871E-2</v>
      </c>
      <c r="AR241" s="671">
        <f t="shared" ref="AR241" si="651">+AR240/AO240-1</f>
        <v>0</v>
      </c>
      <c r="AS241" s="199">
        <f t="shared" si="647"/>
        <v>0</v>
      </c>
      <c r="AT241" s="229">
        <f t="shared" si="647"/>
        <v>0</v>
      </c>
      <c r="AU241" s="559">
        <f t="shared" si="647"/>
        <v>0</v>
      </c>
      <c r="AV241" s="199">
        <f t="shared" si="647"/>
        <v>0</v>
      </c>
      <c r="AW241" s="247">
        <f t="shared" si="647"/>
        <v>0</v>
      </c>
      <c r="AX241" s="583">
        <f t="shared" si="647"/>
        <v>0</v>
      </c>
      <c r="AY241" s="245">
        <f t="shared" si="647"/>
        <v>0</v>
      </c>
      <c r="AZ241" s="247">
        <f t="shared" si="647"/>
        <v>0</v>
      </c>
      <c r="BA241" s="583">
        <f t="shared" si="647"/>
        <v>0</v>
      </c>
      <c r="BB241" s="245">
        <f t="shared" si="647"/>
        <v>0</v>
      </c>
      <c r="BC241" s="247">
        <f t="shared" si="647"/>
        <v>0</v>
      </c>
      <c r="BD241" s="583">
        <f t="shared" si="647"/>
        <v>0</v>
      </c>
      <c r="BE241" s="245">
        <f t="shared" si="647"/>
        <v>0</v>
      </c>
      <c r="BF241" s="247">
        <f t="shared" si="647"/>
        <v>0</v>
      </c>
      <c r="BG241" s="583">
        <f t="shared" si="647"/>
        <v>0</v>
      </c>
      <c r="BH241" s="245">
        <f t="shared" si="647"/>
        <v>0</v>
      </c>
      <c r="BI241" s="247">
        <f t="shared" si="647"/>
        <v>0</v>
      </c>
      <c r="BJ241" s="583">
        <f t="shared" si="647"/>
        <v>0</v>
      </c>
      <c r="BL241" s="115"/>
      <c r="BM241" s="115"/>
      <c r="BN241" s="115"/>
      <c r="BO241" s="115"/>
      <c r="BP241" s="115"/>
    </row>
    <row r="242" spans="1:68" s="170" customFormat="1" ht="11.4">
      <c r="R242" s="270"/>
      <c r="S242" s="742"/>
      <c r="T242" s="746"/>
      <c r="U242" s="270"/>
      <c r="V242" s="742"/>
      <c r="W242" s="746"/>
      <c r="X242" s="270"/>
      <c r="Y242" s="742"/>
      <c r="Z242" s="746"/>
      <c r="AA242" s="269"/>
      <c r="AB242" s="735"/>
      <c r="AC242" s="739"/>
      <c r="AD242" s="269"/>
      <c r="AE242" s="735"/>
      <c r="AF242" s="739"/>
      <c r="AG242" s="269"/>
      <c r="AH242" s="735"/>
      <c r="AI242" s="739"/>
      <c r="AJ242" s="269"/>
      <c r="AK242" s="735"/>
      <c r="AL242" s="739"/>
      <c r="AM242" s="269"/>
      <c r="AN242" s="809"/>
      <c r="AO242" s="840"/>
      <c r="AQ242" s="809"/>
      <c r="AR242" s="840"/>
      <c r="AT242" s="809"/>
      <c r="AU242" s="840"/>
      <c r="AW242" s="809"/>
      <c r="AX242" s="840"/>
      <c r="AZ242" s="809"/>
      <c r="BA242" s="840"/>
      <c r="BC242" s="809"/>
      <c r="BD242" s="840"/>
      <c r="BF242" s="809"/>
      <c r="BG242" s="840"/>
      <c r="BI242" s="809"/>
      <c r="BJ242" s="840"/>
      <c r="BK242" s="265"/>
      <c r="BL242" s="511"/>
      <c r="BM242" s="511"/>
      <c r="BN242" s="511"/>
      <c r="BO242" s="511"/>
      <c r="BP242" s="511"/>
    </row>
    <row r="243" spans="1:68" s="170" customFormat="1" ht="11.4">
      <c r="A243" s="172" t="s">
        <v>966</v>
      </c>
      <c r="R243" s="270"/>
      <c r="S243" s="742"/>
      <c r="T243" s="746"/>
      <c r="U243" s="270"/>
      <c r="V243" s="742"/>
      <c r="W243" s="746"/>
      <c r="X243" s="270"/>
      <c r="Y243" s="742"/>
      <c r="Z243" s="746"/>
      <c r="AA243" s="51">
        <f t="shared" ref="AA243" si="652">-AA255*(1-AA254)</f>
        <v>-245.12000000000018</v>
      </c>
      <c r="AB243" s="629">
        <f>AC243-AA243</f>
        <v>-314.32596078431385</v>
      </c>
      <c r="AC243" s="652">
        <f>-AC255*(1-AC254)</f>
        <v>-559.44596078431402</v>
      </c>
      <c r="AD243" s="51">
        <f t="shared" ref="AD243" si="653">-AD255*(1-AD254)</f>
        <v>364.19290322580645</v>
      </c>
      <c r="AE243" s="629">
        <f>AF243-AD243</f>
        <v>-151.22869269949058</v>
      </c>
      <c r="AF243" s="652">
        <f t="shared" ref="AF243:AL243" si="654">-AF255*(1-AF254)</f>
        <v>212.96421052631587</v>
      </c>
      <c r="AG243" s="51">
        <f t="shared" ref="AG243" si="655">-AG255*(1-AG254)</f>
        <v>-258.79548201438854</v>
      </c>
      <c r="AH243" s="629">
        <f>AI243-AG243</f>
        <v>-96.744359045214253</v>
      </c>
      <c r="AI243" s="652">
        <f t="shared" si="654"/>
        <v>-355.53984105960279</v>
      </c>
      <c r="AJ243" s="51">
        <f t="shared" si="654"/>
        <v>-194.88</v>
      </c>
      <c r="AK243" s="629">
        <f>AL243-AJ243</f>
        <v>-292.91999999999996</v>
      </c>
      <c r="AL243" s="652">
        <f t="shared" si="654"/>
        <v>-487.79999999999995</v>
      </c>
      <c r="AM243" s="51">
        <f t="shared" ref="AM243" si="656">-AM255*(1-AM254)</f>
        <v>-381.25371428571407</v>
      </c>
      <c r="AN243" s="629">
        <f>AO243-AM243</f>
        <v>-325.14428571428584</v>
      </c>
      <c r="AO243" s="652">
        <f t="shared" ref="AO243:AP243" si="657">-AO255*(1-AO254)</f>
        <v>-706.39799999999991</v>
      </c>
      <c r="AP243" s="51">
        <f t="shared" si="657"/>
        <v>-433.42123243243242</v>
      </c>
      <c r="AQ243" s="629">
        <f>AR243-AP243</f>
        <v>-370.95505135135153</v>
      </c>
      <c r="AR243" s="652">
        <f t="shared" ref="AR243" si="658">-AR255*(1-AR254)</f>
        <v>-804.37628378378395</v>
      </c>
      <c r="AS243" s="51">
        <f>-AS255*(1-AS254)</f>
        <v>-426.0308843555556</v>
      </c>
      <c r="AT243" s="629">
        <f>AU243-AS243</f>
        <v>-555.64300453333328</v>
      </c>
      <c r="AU243" s="652">
        <f t="shared" ref="AU243" si="659">-AU255*(1-AU254)</f>
        <v>-981.67388888888888</v>
      </c>
      <c r="AV243" s="51">
        <f>-AV255*(1-AV254)</f>
        <v>-556.89104971362326</v>
      </c>
      <c r="AW243" s="600">
        <f>AX243-AV243</f>
        <v>-576.27320149410616</v>
      </c>
      <c r="AX243" s="624">
        <f>AX244/AX374</f>
        <v>-1133.1642512077294</v>
      </c>
      <c r="AY243" s="52">
        <f>AY244/AY374</f>
        <v>-630.27160493827148</v>
      </c>
      <c r="AZ243" s="600">
        <f>BA243-AY243</f>
        <v>-590.81358024691383</v>
      </c>
      <c r="BA243" s="624">
        <f>BA244/BA374</f>
        <v>-1221.0851851851853</v>
      </c>
      <c r="BB243" s="52">
        <f>BB244/BB374</f>
        <v>-626.35353535353534</v>
      </c>
      <c r="BC243" s="600">
        <f>BD243-BB243</f>
        <v>-614.3180555555557</v>
      </c>
      <c r="BD243" s="624">
        <f>BD244/BD374</f>
        <v>-1240.671590909091</v>
      </c>
      <c r="BE243" s="52">
        <f>BE244/BE374</f>
        <v>-654.52853535353529</v>
      </c>
      <c r="BF243" s="600">
        <f>BG243-BE243</f>
        <v>-643.12076388888909</v>
      </c>
      <c r="BG243" s="624">
        <f>BG244/BG374</f>
        <v>-1297.6492992424244</v>
      </c>
      <c r="BH243" s="52">
        <f>BH244/BH374</f>
        <v>-684.11228535353541</v>
      </c>
      <c r="BI243" s="600">
        <f>BJ243-BH243</f>
        <v>-673.36360763888899</v>
      </c>
      <c r="BJ243" s="624">
        <f>BJ244/BJ374</f>
        <v>-1357.4758929924244</v>
      </c>
      <c r="BK243" s="265"/>
      <c r="BL243" s="511"/>
      <c r="BM243" s="511"/>
      <c r="BN243" s="511"/>
      <c r="BO243" s="511"/>
      <c r="BP243" s="511"/>
    </row>
    <row r="244" spans="1:68" s="170" customFormat="1" ht="11.4">
      <c r="A244" s="170" t="s">
        <v>967</v>
      </c>
      <c r="R244" s="270"/>
      <c r="S244" s="742"/>
      <c r="T244" s="746"/>
      <c r="U244" s="270"/>
      <c r="V244" s="742"/>
      <c r="W244" s="746"/>
      <c r="X244" s="270"/>
      <c r="Y244" s="742"/>
      <c r="Z244" s="746"/>
      <c r="AA244" s="40">
        <f>AA243*AA374</f>
        <v>-375.03360000000026</v>
      </c>
      <c r="AB244" s="630">
        <f>AC244-AA244</f>
        <v>-480.91872000000018</v>
      </c>
      <c r="AC244" s="653">
        <f>AC243*AC374</f>
        <v>-855.95232000000044</v>
      </c>
      <c r="AD244" s="40">
        <f>AD243*AD374</f>
        <v>451.5992</v>
      </c>
      <c r="AE244" s="630">
        <f>AF244-AD244</f>
        <v>-127.89359999999988</v>
      </c>
      <c r="AF244" s="653">
        <f>AF243*AF374</f>
        <v>323.70560000000012</v>
      </c>
      <c r="AG244" s="40">
        <f>AG243*AG374</f>
        <v>-359.72572000000002</v>
      </c>
      <c r="AH244" s="630">
        <f>AI244-AG244</f>
        <v>-177.13944000000015</v>
      </c>
      <c r="AI244" s="653">
        <f>AI243*AI374</f>
        <v>-536.86516000000017</v>
      </c>
      <c r="AJ244" s="40">
        <f>AJ243*AJ374</f>
        <v>-292.32</v>
      </c>
      <c r="AK244" s="630">
        <f>AL244-AJ244</f>
        <v>-439.37999999999994</v>
      </c>
      <c r="AL244" s="653">
        <f>AL243*AL374</f>
        <v>-731.69999999999993</v>
      </c>
      <c r="AM244" s="40">
        <f>AM243*AM374</f>
        <v>-571.8805714285711</v>
      </c>
      <c r="AN244" s="630">
        <f>AO244-AM244</f>
        <v>-487.71642857142865</v>
      </c>
      <c r="AO244" s="653">
        <f>AO243*AO374</f>
        <v>-1059.5969999999998</v>
      </c>
      <c r="AP244" s="40">
        <f>AP243*AP374</f>
        <v>-641.46342399999992</v>
      </c>
      <c r="AQ244" s="630">
        <f>AR244-AP244</f>
        <v>-549.0134760000002</v>
      </c>
      <c r="AR244" s="653">
        <f>AR243*AR374</f>
        <v>-1190.4769000000001</v>
      </c>
      <c r="AS244" s="40">
        <f>AS243*AS374</f>
        <v>-613.48447347199999</v>
      </c>
      <c r="AT244" s="630">
        <f>AU244-AS244</f>
        <v>-800.12592652800004</v>
      </c>
      <c r="AU244" s="653">
        <f>AU243*AU374</f>
        <v>-1413.6104</v>
      </c>
      <c r="AV244" s="40">
        <f>AV243*AV374</f>
        <v>-768.50964860480008</v>
      </c>
      <c r="AW244" s="601">
        <f>AX244-AV244</f>
        <v>-795.25701806186635</v>
      </c>
      <c r="AX244" s="605">
        <f t="shared" ref="AX244:BJ244" si="660">((AX232+AX238)/(1-AX245))-(AX232+AX238)</f>
        <v>-1563.7666666666664</v>
      </c>
      <c r="AY244" s="56">
        <f t="shared" si="660"/>
        <v>-850.86666666666656</v>
      </c>
      <c r="AZ244" s="601">
        <f>BA244-AY244</f>
        <v>-797.59833333333358</v>
      </c>
      <c r="BA244" s="605">
        <f t="shared" si="660"/>
        <v>-1648.4650000000001</v>
      </c>
      <c r="BB244" s="56">
        <f t="shared" si="660"/>
        <v>-826.78666666666663</v>
      </c>
      <c r="BC244" s="601">
        <f>BD244-BB244</f>
        <v>-810.89983333333362</v>
      </c>
      <c r="BD244" s="605">
        <f t="shared" si="660"/>
        <v>-1637.6865000000003</v>
      </c>
      <c r="BE244" s="56">
        <f t="shared" si="660"/>
        <v>-863.97766666666666</v>
      </c>
      <c r="BF244" s="601">
        <f>BG244-BE244</f>
        <v>-848.91940833333365</v>
      </c>
      <c r="BG244" s="605">
        <f t="shared" si="660"/>
        <v>-1712.8970750000003</v>
      </c>
      <c r="BH244" s="56">
        <f t="shared" si="660"/>
        <v>-903.02821666666682</v>
      </c>
      <c r="BI244" s="601">
        <f>BJ244-BH244</f>
        <v>-888.8399620833336</v>
      </c>
      <c r="BJ244" s="605">
        <f t="shared" si="660"/>
        <v>-1791.8681787500004</v>
      </c>
      <c r="BK244" s="265"/>
      <c r="BL244" s="511"/>
      <c r="BM244" s="511"/>
      <c r="BN244" s="511"/>
      <c r="BO244" s="511"/>
      <c r="BP244" s="511"/>
    </row>
    <row r="245" spans="1:68" s="170" customFormat="1" ht="11.4">
      <c r="A245" s="520" t="s">
        <v>969</v>
      </c>
      <c r="R245" s="270"/>
      <c r="S245" s="742"/>
      <c r="T245" s="746"/>
      <c r="U245" s="270"/>
      <c r="V245" s="742"/>
      <c r="W245" s="746"/>
      <c r="X245" s="270"/>
      <c r="Y245" s="742"/>
      <c r="Z245" s="746"/>
      <c r="AA245" s="952">
        <f t="shared" ref="AA245:AM245" si="661">AA244/(AA244+AA238+AA232)</f>
        <v>0.37996031746031766</v>
      </c>
      <c r="AB245" s="647">
        <f t="shared" si="661"/>
        <v>0.4250956971701132</v>
      </c>
      <c r="AC245" s="671">
        <f t="shared" si="661"/>
        <v>0.40406513681350242</v>
      </c>
      <c r="AD245" s="952">
        <f t="shared" si="661"/>
        <v>-2.4704443306593848</v>
      </c>
      <c r="AE245" s="647">
        <f t="shared" si="661"/>
        <v>0.2154928039662094</v>
      </c>
      <c r="AF245" s="671">
        <f t="shared" si="661"/>
        <v>-0.4169881941696349</v>
      </c>
      <c r="AG245" s="952">
        <f t="shared" si="661"/>
        <v>0.49000560830371126</v>
      </c>
      <c r="AH245" s="647">
        <f t="shared" si="661"/>
        <v>0.28408698574062952</v>
      </c>
      <c r="AI245" s="671">
        <f t="shared" si="661"/>
        <v>0.39543267060045945</v>
      </c>
      <c r="AJ245" s="952">
        <f t="shared" si="661"/>
        <v>0.37256251433815096</v>
      </c>
      <c r="AK245" s="647">
        <f t="shared" si="661"/>
        <v>0.42817049640413962</v>
      </c>
      <c r="AL245" s="671">
        <f t="shared" si="661"/>
        <v>0.40407554671968193</v>
      </c>
      <c r="AM245" s="952">
        <f t="shared" si="661"/>
        <v>0.45699972053722593</v>
      </c>
      <c r="AN245" s="647">
        <f t="shared" ref="AN245:AP245" si="662">AN244/(AN244+AN238+AN232)</f>
        <v>0.35259589063378682</v>
      </c>
      <c r="AO245" s="671">
        <f t="shared" si="662"/>
        <v>0.40218560941198972</v>
      </c>
      <c r="AP245" s="952">
        <f t="shared" si="662"/>
        <v>0.44408422763912081</v>
      </c>
      <c r="AQ245" s="647">
        <f t="shared" ref="AQ245:AU245" si="663">AQ244/(AQ244+AQ238+AQ232)</f>
        <v>0.36382277874369373</v>
      </c>
      <c r="AR245" s="671">
        <f t="shared" si="663"/>
        <v>0.40307642155589574</v>
      </c>
      <c r="AS245" s="952">
        <f t="shared" si="663"/>
        <v>0.39798290805369146</v>
      </c>
      <c r="AT245" s="647">
        <f>AT244/(AT244+AT238+AT232)</f>
        <v>0.40306053930161811</v>
      </c>
      <c r="AU245" s="671">
        <f t="shared" si="663"/>
        <v>0.40084110226635755</v>
      </c>
      <c r="AV245" s="952">
        <f t="shared" ref="AV245" si="664">AV244/(AV244+AV238+AV232)</f>
        <v>0.40183308312480281</v>
      </c>
      <c r="AW245" s="599">
        <f>AW244/(AW244+AW238+AW232)</f>
        <v>0.39824439038414378</v>
      </c>
      <c r="AX245" s="837">
        <v>0.4</v>
      </c>
      <c r="AY245" s="435">
        <f>BA245</f>
        <v>0.4</v>
      </c>
      <c r="AZ245" s="599">
        <f>AZ244/(AZ244+AZ238+AZ232)</f>
        <v>0.40000000000000019</v>
      </c>
      <c r="BA245" s="837">
        <v>0.4</v>
      </c>
      <c r="BB245" s="435">
        <f>BD245</f>
        <v>0.4</v>
      </c>
      <c r="BC245" s="599">
        <f>BC244/(BC244+BC238+BC232)</f>
        <v>0.40000000000000008</v>
      </c>
      <c r="BD245" s="837">
        <v>0.4</v>
      </c>
      <c r="BE245" s="435">
        <f>BG245</f>
        <v>0.4</v>
      </c>
      <c r="BF245" s="599">
        <f>BF244/(BF244+BF238+BF232)</f>
        <v>0.40000000000000013</v>
      </c>
      <c r="BG245" s="837">
        <v>0.4</v>
      </c>
      <c r="BH245" s="435">
        <f>BJ245</f>
        <v>0.4</v>
      </c>
      <c r="BI245" s="599">
        <f>BI244/(BI244+BI238+BI232)</f>
        <v>0.40000000000000008</v>
      </c>
      <c r="BJ245" s="837">
        <v>0.4</v>
      </c>
      <c r="BK245" s="265"/>
      <c r="BL245" s="511"/>
      <c r="BM245" s="511"/>
      <c r="BN245" s="511"/>
      <c r="BO245" s="511"/>
      <c r="BP245" s="511"/>
    </row>
    <row r="246" spans="1:68" s="170" customFormat="1" ht="11.4">
      <c r="R246" s="270"/>
      <c r="S246" s="742"/>
      <c r="T246" s="746"/>
      <c r="U246" s="270"/>
      <c r="V246" s="742"/>
      <c r="W246" s="746"/>
      <c r="X246" s="270"/>
      <c r="Y246" s="742"/>
      <c r="Z246" s="746"/>
      <c r="AA246" s="50"/>
      <c r="AB246" s="735"/>
      <c r="AC246" s="739"/>
      <c r="AD246" s="50"/>
      <c r="AE246" s="735"/>
      <c r="AF246" s="671"/>
      <c r="AG246" s="50"/>
      <c r="AH246" s="735"/>
      <c r="AI246" s="671"/>
      <c r="AJ246" s="50"/>
      <c r="AK246" s="735"/>
      <c r="AL246" s="671"/>
      <c r="AM246" s="50"/>
      <c r="AN246" s="810"/>
      <c r="AO246" s="841"/>
      <c r="AQ246" s="810"/>
      <c r="AR246" s="840"/>
      <c r="AT246" s="810"/>
      <c r="AU246" s="840"/>
      <c r="AW246" s="810"/>
      <c r="AX246" s="840"/>
      <c r="AZ246" s="810"/>
      <c r="BA246" s="840"/>
      <c r="BC246" s="810"/>
      <c r="BD246" s="840"/>
      <c r="BF246" s="810"/>
      <c r="BG246" s="840"/>
      <c r="BI246" s="810"/>
      <c r="BJ246" s="840"/>
      <c r="BK246" s="265"/>
      <c r="BL246" s="511"/>
      <c r="BM246" s="511"/>
      <c r="BN246" s="511"/>
      <c r="BO246" s="511"/>
      <c r="BP246" s="511"/>
    </row>
    <row r="247" spans="1:68" s="170" customFormat="1" ht="11.4">
      <c r="A247" s="172" t="s">
        <v>976</v>
      </c>
      <c r="R247" s="270"/>
      <c r="S247" s="742"/>
      <c r="T247" s="746"/>
      <c r="U247" s="270"/>
      <c r="V247" s="742"/>
      <c r="W247" s="746"/>
      <c r="X247" s="270"/>
      <c r="Y247" s="742"/>
      <c r="Z247" s="746"/>
      <c r="AA247" s="269"/>
      <c r="AB247" s="735"/>
      <c r="AC247" s="739"/>
      <c r="AD247" s="269"/>
      <c r="AE247" s="735"/>
      <c r="AF247" s="739"/>
      <c r="AG247" s="269"/>
      <c r="AH247" s="735"/>
      <c r="AI247" s="739"/>
      <c r="AJ247" s="269"/>
      <c r="AK247" s="735"/>
      <c r="AL247" s="739"/>
      <c r="AM247" s="269"/>
      <c r="AN247" s="809"/>
      <c r="AO247" s="840"/>
      <c r="AQ247" s="809"/>
      <c r="AR247" s="840"/>
      <c r="AT247" s="809"/>
      <c r="AU247" s="840"/>
      <c r="AW247" s="809"/>
      <c r="AX247" s="840"/>
      <c r="AZ247" s="809"/>
      <c r="BA247" s="840"/>
      <c r="BC247" s="809"/>
      <c r="BD247" s="840"/>
      <c r="BF247" s="809"/>
      <c r="BG247" s="840"/>
      <c r="BI247" s="809"/>
      <c r="BJ247" s="840"/>
      <c r="BK247" s="265"/>
      <c r="BL247" s="511"/>
      <c r="BM247" s="511"/>
      <c r="BN247" s="511"/>
      <c r="BO247" s="511"/>
      <c r="BP247" s="511"/>
    </row>
    <row r="248" spans="1:68" s="33" customFormat="1" ht="11.4">
      <c r="A248" s="33" t="s">
        <v>955</v>
      </c>
      <c r="R248" s="103"/>
      <c r="S248" s="637"/>
      <c r="T248" s="660"/>
      <c r="U248" s="103"/>
      <c r="V248" s="637"/>
      <c r="W248" s="660"/>
      <c r="X248" s="103"/>
      <c r="Y248" s="637"/>
      <c r="Z248" s="660"/>
      <c r="AA248" s="103">
        <f>AC248</f>
        <v>0.44</v>
      </c>
      <c r="AB248" s="637">
        <f>1-(-AB231/AB250)</f>
        <v>0.43999999999999995</v>
      </c>
      <c r="AC248" s="660">
        <v>0.44</v>
      </c>
      <c r="AD248" s="103">
        <f>AF248</f>
        <v>0.3</v>
      </c>
      <c r="AE248" s="637">
        <f>1-(-AE231/AE250)</f>
        <v>0.29999999999999993</v>
      </c>
      <c r="AF248" s="660">
        <v>0.3</v>
      </c>
      <c r="AG248" s="103">
        <f>AI248</f>
        <v>0.42</v>
      </c>
      <c r="AH248" s="637">
        <f>1-(-AH231/AH250)</f>
        <v>0.41999999999999993</v>
      </c>
      <c r="AI248" s="660">
        <v>0.42</v>
      </c>
      <c r="AJ248" s="103">
        <f>AL248</f>
        <v>0.4</v>
      </c>
      <c r="AK248" s="637">
        <f>1-(-AK231/AK250)</f>
        <v>0.40000000000000013</v>
      </c>
      <c r="AL248" s="660">
        <v>0.4</v>
      </c>
      <c r="AM248" s="103">
        <v>0.3</v>
      </c>
      <c r="AN248" s="637">
        <f>1-(-AN231/AN250)</f>
        <v>0.28341915550978392</v>
      </c>
      <c r="AO248" s="660">
        <v>0.28999999999999998</v>
      </c>
      <c r="AP248" s="103">
        <v>0.4</v>
      </c>
      <c r="AQ248" s="637">
        <f>1-(-AQ231/AQ250)</f>
        <v>0.48557213930348242</v>
      </c>
      <c r="AR248" s="660">
        <v>0.45</v>
      </c>
      <c r="AS248" s="103">
        <v>0.46</v>
      </c>
      <c r="AT248" s="637">
        <f>1-(-AT231/AT250)</f>
        <v>0.45999999999999985</v>
      </c>
      <c r="AU248" s="660">
        <v>0.46</v>
      </c>
      <c r="AV248" s="103">
        <v>0.47499999999999998</v>
      </c>
      <c r="AW248" s="754">
        <f>1-(-AW231/AW250)</f>
        <v>0.47499999999999998</v>
      </c>
      <c r="AX248" s="842">
        <v>0.47499999999999998</v>
      </c>
      <c r="AY248" s="464">
        <f>BA248</f>
        <v>0.5</v>
      </c>
      <c r="AZ248" s="754">
        <f>1-(-AZ231/AZ250)</f>
        <v>0.5</v>
      </c>
      <c r="BA248" s="842">
        <v>0.5</v>
      </c>
      <c r="BB248" s="464">
        <f>BD248</f>
        <v>0.52500000000000002</v>
      </c>
      <c r="BC248" s="754">
        <f>1-(-BC231/BC250)</f>
        <v>0.52499999999999991</v>
      </c>
      <c r="BD248" s="842">
        <v>0.52500000000000002</v>
      </c>
      <c r="BE248" s="464">
        <f>BG248</f>
        <v>0.55000000000000004</v>
      </c>
      <c r="BF248" s="754">
        <f>1-(-BF231/BF250)</f>
        <v>0.55000000000000004</v>
      </c>
      <c r="BG248" s="842">
        <v>0.55000000000000004</v>
      </c>
      <c r="BH248" s="464">
        <f>BJ248</f>
        <v>0.57499999999999996</v>
      </c>
      <c r="BI248" s="754">
        <f>1-(-BI231/BI250)</f>
        <v>0.57499999999999996</v>
      </c>
      <c r="BJ248" s="842">
        <v>0.57499999999999996</v>
      </c>
      <c r="BK248" s="169"/>
      <c r="BL248" s="115"/>
      <c r="BM248" s="115"/>
      <c r="BN248" s="115"/>
      <c r="BO248" s="115"/>
      <c r="BP248" s="115"/>
    </row>
    <row r="249" spans="1:68" s="33" customFormat="1" ht="11.4">
      <c r="A249" s="33" t="s">
        <v>977</v>
      </c>
      <c r="R249" s="103"/>
      <c r="S249" s="637"/>
      <c r="T249" s="660"/>
      <c r="U249" s="103"/>
      <c r="V249" s="637"/>
      <c r="W249" s="660"/>
      <c r="X249" s="103"/>
      <c r="Y249" s="637"/>
      <c r="Z249" s="660"/>
      <c r="AA249" s="970">
        <f>AA233/(1-AA248)</f>
        <v>2.8011204481792715</v>
      </c>
      <c r="AB249" s="872">
        <f>AB233/(1-AB248)</f>
        <v>2.8011204481792715</v>
      </c>
      <c r="AC249" s="895">
        <f>AC233/(1-AC248)</f>
        <v>2.8011204481792715</v>
      </c>
      <c r="AD249" s="970">
        <f>AD233/(1-AD248)</f>
        <v>2.255639097744361</v>
      </c>
      <c r="AE249" s="872">
        <f>AE233/(1-AE248)</f>
        <v>2.2556390977443606</v>
      </c>
      <c r="AF249" s="895">
        <f t="shared" ref="AF249:AI249" si="665">AF233/(1-AF248)</f>
        <v>2.255639097744361</v>
      </c>
      <c r="AG249" s="970">
        <f>AG233/(1-AG248)</f>
        <v>2.7403516784654025</v>
      </c>
      <c r="AH249" s="872">
        <f>AH233/(1-AH248)</f>
        <v>2.5386079966151889</v>
      </c>
      <c r="AI249" s="895">
        <f t="shared" si="665"/>
        <v>2.7403516784654025</v>
      </c>
      <c r="AJ249" s="970">
        <f t="shared" ref="AJ249:AO249" si="666">AJ233/(1-AJ248)</f>
        <v>3</v>
      </c>
      <c r="AK249" s="872">
        <f t="shared" si="666"/>
        <v>3.0000000000000009</v>
      </c>
      <c r="AL249" s="895">
        <f t="shared" si="666"/>
        <v>3</v>
      </c>
      <c r="AM249" s="970">
        <f t="shared" si="666"/>
        <v>2.8285714285714292</v>
      </c>
      <c r="AN249" s="872">
        <f t="shared" si="666"/>
        <v>2.7910319057200352</v>
      </c>
      <c r="AO249" s="895">
        <f t="shared" si="666"/>
        <v>2.8169014084507045</v>
      </c>
      <c r="AP249" s="970">
        <f t="shared" ref="AP249:AR249" si="667">AP233/(1-AP248)</f>
        <v>3.378378378378379</v>
      </c>
      <c r="AQ249" s="872">
        <f t="shared" si="667"/>
        <v>3.9403523446076627</v>
      </c>
      <c r="AR249" s="895">
        <f t="shared" si="667"/>
        <v>3.6855036855036856</v>
      </c>
      <c r="AS249" s="970">
        <f t="shared" ref="AS249" si="668">AS233/(1-AS248)</f>
        <v>3.8580246913580245</v>
      </c>
      <c r="AT249" s="872">
        <f t="shared" ref="AT249" si="669">AT233/(1-AT248)</f>
        <v>3.8580246913580241</v>
      </c>
      <c r="AU249" s="895">
        <f t="shared" ref="AU249:BJ249" si="670">AU233/(1-AU248)</f>
        <v>3.8580246913580245</v>
      </c>
      <c r="AV249" s="970">
        <f t="shared" si="670"/>
        <v>4.1407867494824018</v>
      </c>
      <c r="AW249" s="811">
        <f t="shared" ref="AW249" si="671">AW233/(1-AW248)</f>
        <v>4.1407867494824018</v>
      </c>
      <c r="AX249" s="843">
        <f t="shared" si="670"/>
        <v>4.1407867494824018</v>
      </c>
      <c r="AY249" s="976">
        <f t="shared" si="670"/>
        <v>4.4444444444444438</v>
      </c>
      <c r="AZ249" s="811">
        <f t="shared" ref="AZ249" si="672">AZ233/(1-AZ248)</f>
        <v>4.4444444444444429</v>
      </c>
      <c r="BA249" s="843">
        <f t="shared" si="670"/>
        <v>4.4444444444444438</v>
      </c>
      <c r="BB249" s="976">
        <f t="shared" si="670"/>
        <v>4.7846889952153111</v>
      </c>
      <c r="BC249" s="811">
        <f t="shared" ref="BC249" si="673">BC233/(1-BC248)</f>
        <v>4.7846889952153102</v>
      </c>
      <c r="BD249" s="843">
        <f t="shared" si="670"/>
        <v>4.7846889952153111</v>
      </c>
      <c r="BE249" s="976">
        <f t="shared" si="670"/>
        <v>5.0505050505050502</v>
      </c>
      <c r="BF249" s="811">
        <f t="shared" ref="BF249" si="674">BF233/(1-BF248)</f>
        <v>5.0505050505050502</v>
      </c>
      <c r="BG249" s="843">
        <f t="shared" si="670"/>
        <v>5.0505050505050502</v>
      </c>
      <c r="BH249" s="976">
        <f t="shared" si="670"/>
        <v>5.3475935828876997</v>
      </c>
      <c r="BI249" s="811">
        <f t="shared" ref="BI249" si="675">BI233/(1-BI248)</f>
        <v>5.3475935828876979</v>
      </c>
      <c r="BJ249" s="843">
        <f t="shared" si="670"/>
        <v>5.3475935828876997</v>
      </c>
      <c r="BK249" s="169"/>
      <c r="BL249" s="115"/>
      <c r="BM249" s="115"/>
      <c r="BN249" s="115"/>
      <c r="BO249" s="115"/>
      <c r="BP249" s="115"/>
    </row>
    <row r="250" spans="1:68" s="468" customFormat="1" ht="12">
      <c r="A250" s="468" t="s">
        <v>962</v>
      </c>
      <c r="S250" s="864"/>
      <c r="T250" s="896"/>
      <c r="V250" s="864"/>
      <c r="W250" s="896"/>
      <c r="Y250" s="864"/>
      <c r="Z250" s="896"/>
      <c r="AA250" s="468">
        <f t="shared" ref="AA250" si="676">-AA231/(1-AA248)</f>
        <v>394.95798319327724</v>
      </c>
      <c r="AB250" s="864">
        <f>AC250-AA250</f>
        <v>462.18487394957987</v>
      </c>
      <c r="AC250" s="896">
        <f t="shared" ref="AC250:BJ250" si="677">-AC231/(1-AC248)</f>
        <v>857.14285714285711</v>
      </c>
      <c r="AD250" s="468">
        <f t="shared" si="677"/>
        <v>445.16129032258067</v>
      </c>
      <c r="AE250" s="864">
        <f>AF250-AD250</f>
        <v>168.37254426388546</v>
      </c>
      <c r="AF250" s="896">
        <f t="shared" si="677"/>
        <v>613.53383458646613</v>
      </c>
      <c r="AG250" s="468">
        <f t="shared" ref="AG250" si="678">-AG231/(1-AG248)</f>
        <v>273.87744976432646</v>
      </c>
      <c r="AH250" s="864">
        <f>AI250-AG250</f>
        <v>296.11569935647731</v>
      </c>
      <c r="AI250" s="896">
        <f t="shared" si="677"/>
        <v>569.99314912080376</v>
      </c>
      <c r="AJ250" s="468">
        <f t="shared" si="677"/>
        <v>339</v>
      </c>
      <c r="AK250" s="864">
        <f>AL250-AJ250</f>
        <v>405.00000000000011</v>
      </c>
      <c r="AL250" s="896">
        <f t="shared" si="677"/>
        <v>744.00000000000011</v>
      </c>
      <c r="AM250" s="468">
        <f t="shared" ref="AM250" si="679">-AM231/(1-AM248)</f>
        <v>411.42857142857144</v>
      </c>
      <c r="AN250" s="864">
        <f>AO250-AM250</f>
        <v>625.19114688128786</v>
      </c>
      <c r="AO250" s="896">
        <f t="shared" ref="AO250:AP250" si="680">-AO231/(1-AO248)</f>
        <v>1036.6197183098593</v>
      </c>
      <c r="AP250" s="468">
        <f t="shared" si="680"/>
        <v>658.78378378378375</v>
      </c>
      <c r="AQ250" s="864">
        <f>AR250-AP250</f>
        <v>925.98280098280088</v>
      </c>
      <c r="AR250" s="896">
        <f t="shared" ref="AR250:AS250" si="681">-AR231/(1-AR248)</f>
        <v>1584.7665847665846</v>
      </c>
      <c r="AS250" s="468">
        <f t="shared" si="681"/>
        <v>837.19135802469134</v>
      </c>
      <c r="AT250" s="864">
        <f>AU250-AS250</f>
        <v>1157.4074074074074</v>
      </c>
      <c r="AU250" s="896">
        <f t="shared" si="677"/>
        <v>1994.5987654320988</v>
      </c>
      <c r="AV250" s="468">
        <f t="shared" si="677"/>
        <v>1217.3913043478262</v>
      </c>
      <c r="AW250" s="812">
        <f>AX250-AV250</f>
        <v>1244.5134575569357</v>
      </c>
      <c r="AX250" s="844">
        <f t="shared" si="677"/>
        <v>2461.9047619047619</v>
      </c>
      <c r="AY250" s="977">
        <f t="shared" si="677"/>
        <v>1502.6666666666665</v>
      </c>
      <c r="AZ250" s="812">
        <f>BA250-AY250</f>
        <v>1536.1444444444433</v>
      </c>
      <c r="BA250" s="844">
        <f t="shared" si="677"/>
        <v>3038.8111111111098</v>
      </c>
      <c r="BB250" s="977">
        <f t="shared" si="677"/>
        <v>1779.4736842105265</v>
      </c>
      <c r="BC250" s="812">
        <f>BD250-BB250</f>
        <v>1819.1184210526314</v>
      </c>
      <c r="BD250" s="844">
        <f t="shared" si="677"/>
        <v>3598.5921052631579</v>
      </c>
      <c r="BE250" s="977">
        <f t="shared" si="677"/>
        <v>1972.25</v>
      </c>
      <c r="BF250" s="812">
        <f>BG250-BE250</f>
        <v>2016.1895833333333</v>
      </c>
      <c r="BG250" s="844">
        <f t="shared" si="677"/>
        <v>3988.4395833333333</v>
      </c>
      <c r="BH250" s="977">
        <f t="shared" si="677"/>
        <v>2192.6779411764705</v>
      </c>
      <c r="BI250" s="812">
        <f>BJ250-BH250</f>
        <v>2241.5284191176465</v>
      </c>
      <c r="BJ250" s="844">
        <f t="shared" si="677"/>
        <v>4434.2063602941171</v>
      </c>
      <c r="BK250" s="168"/>
      <c r="BL250" s="517"/>
      <c r="BM250" s="517"/>
      <c r="BN250" s="517"/>
      <c r="BO250" s="517"/>
      <c r="BP250" s="517"/>
    </row>
    <row r="251" spans="1:68" s="33" customFormat="1" ht="11.4">
      <c r="A251" s="33" t="s">
        <v>956</v>
      </c>
      <c r="R251" s="103"/>
      <c r="S251" s="637"/>
      <c r="T251" s="660"/>
      <c r="U251" s="103"/>
      <c r="V251" s="637"/>
      <c r="W251" s="660"/>
      <c r="X251" s="103"/>
      <c r="Y251" s="637"/>
      <c r="Z251" s="660"/>
      <c r="AA251" s="103">
        <f>AC251</f>
        <v>0.44</v>
      </c>
      <c r="AB251" s="637">
        <f>AC251</f>
        <v>0.44</v>
      </c>
      <c r="AC251" s="660">
        <v>0.44</v>
      </c>
      <c r="AD251" s="103">
        <f>AF251</f>
        <v>0.3</v>
      </c>
      <c r="AE251" s="637">
        <f>AF251</f>
        <v>0.3</v>
      </c>
      <c r="AF251" s="660">
        <v>0.3</v>
      </c>
      <c r="AG251" s="103">
        <f>AI251</f>
        <v>0.42</v>
      </c>
      <c r="AH251" s="637">
        <f>AI251</f>
        <v>0.42</v>
      </c>
      <c r="AI251" s="660">
        <v>0.42</v>
      </c>
      <c r="AJ251" s="103">
        <f>AL251</f>
        <v>0.4</v>
      </c>
      <c r="AK251" s="637">
        <f>AL251</f>
        <v>0.4</v>
      </c>
      <c r="AL251" s="660">
        <v>0.4</v>
      </c>
      <c r="AM251" s="103">
        <f>AO251</f>
        <v>0.28999999999999998</v>
      </c>
      <c r="AN251" s="637">
        <f>AO251</f>
        <v>0.28999999999999998</v>
      </c>
      <c r="AO251" s="660">
        <v>0.28999999999999998</v>
      </c>
      <c r="AP251" s="103">
        <v>0.4</v>
      </c>
      <c r="AQ251" s="637">
        <f>AR251</f>
        <v>0.45</v>
      </c>
      <c r="AR251" s="660">
        <v>0.45</v>
      </c>
      <c r="AS251" s="103">
        <v>0.46</v>
      </c>
      <c r="AT251" s="637">
        <f>1-(-AT237/AT253)</f>
        <v>0.46000000000000008</v>
      </c>
      <c r="AU251" s="660">
        <v>0.46</v>
      </c>
      <c r="AV251" s="103">
        <v>0.47499999999999998</v>
      </c>
      <c r="AW251" s="754">
        <f>1-(-AW237/AW253)</f>
        <v>0.47499999999999998</v>
      </c>
      <c r="AX251" s="842">
        <v>0.47499999999999998</v>
      </c>
      <c r="AY251" s="464">
        <f>BA251</f>
        <v>0.5</v>
      </c>
      <c r="AZ251" s="754">
        <f>1-(-AZ237/AZ253)</f>
        <v>0.5</v>
      </c>
      <c r="BA251" s="842">
        <v>0.5</v>
      </c>
      <c r="BB251" s="464">
        <f>BD251</f>
        <v>0.52500000000000002</v>
      </c>
      <c r="BC251" s="754">
        <f>1-(-BC237/BC253)</f>
        <v>0.52500000000000013</v>
      </c>
      <c r="BD251" s="842">
        <v>0.52500000000000002</v>
      </c>
      <c r="BE251" s="464">
        <f>BG251</f>
        <v>0.55000000000000004</v>
      </c>
      <c r="BF251" s="754">
        <f>1-(-BF237/BF253)</f>
        <v>0.55000000000000004</v>
      </c>
      <c r="BG251" s="842">
        <v>0.55000000000000004</v>
      </c>
      <c r="BH251" s="464">
        <f>BJ251</f>
        <v>0.57499999999999996</v>
      </c>
      <c r="BI251" s="754">
        <f>1-(-BI237/BI253)</f>
        <v>0.57499999999999996</v>
      </c>
      <c r="BJ251" s="842">
        <v>0.57499999999999996</v>
      </c>
      <c r="BK251" s="169"/>
      <c r="BL251" s="115"/>
      <c r="BM251" s="115"/>
      <c r="BN251" s="115"/>
      <c r="BO251" s="115"/>
      <c r="BP251" s="115"/>
    </row>
    <row r="252" spans="1:68" s="33" customFormat="1" ht="11.4">
      <c r="A252" s="33" t="s">
        <v>978</v>
      </c>
      <c r="R252" s="103"/>
      <c r="S252" s="637"/>
      <c r="T252" s="660"/>
      <c r="U252" s="103"/>
      <c r="V252" s="637"/>
      <c r="W252" s="660"/>
      <c r="X252" s="103"/>
      <c r="Y252" s="637"/>
      <c r="Z252" s="660"/>
      <c r="AA252" s="970">
        <f t="shared" ref="AA252:AB252" si="682">AA239/(1-AA251)</f>
        <v>0.93370681605975703</v>
      </c>
      <c r="AB252" s="872">
        <f t="shared" si="682"/>
        <v>0.93370681605975736</v>
      </c>
      <c r="AC252" s="895">
        <f t="shared" ref="AC252:BJ252" si="683">AC239/(1-AC251)</f>
        <v>0.93370681605975703</v>
      </c>
      <c r="AD252" s="970">
        <f t="shared" si="683"/>
        <v>0.92165898617511521</v>
      </c>
      <c r="AE252" s="872">
        <f t="shared" si="683"/>
        <v>0.75187969924812026</v>
      </c>
      <c r="AF252" s="895">
        <f t="shared" si="683"/>
        <v>0.75187969924812026</v>
      </c>
      <c r="AG252" s="970">
        <f t="shared" ref="AG252:AH252" si="684">AG239/(1-AG251)</f>
        <v>0.99230960059538564</v>
      </c>
      <c r="AH252" s="872">
        <f t="shared" si="684"/>
        <v>0.84620266553839607</v>
      </c>
      <c r="AI252" s="895">
        <f t="shared" si="683"/>
        <v>0.91345055948846743</v>
      </c>
      <c r="AJ252" s="970">
        <f t="shared" si="683"/>
        <v>1</v>
      </c>
      <c r="AK252" s="872">
        <f t="shared" si="683"/>
        <v>1</v>
      </c>
      <c r="AL252" s="895">
        <f t="shared" si="683"/>
        <v>1</v>
      </c>
      <c r="AM252" s="970">
        <f t="shared" ref="AM252:AO252" si="685">AM239/(1-AM251)</f>
        <v>0.92957746478873249</v>
      </c>
      <c r="AN252" s="872">
        <f t="shared" si="685"/>
        <v>0.94958893633292962</v>
      </c>
      <c r="AO252" s="895">
        <f t="shared" si="685"/>
        <v>0.93896713615023475</v>
      </c>
      <c r="AP252" s="970">
        <f t="shared" ref="AP252:AR252" si="686">AP239/(1-AP251)</f>
        <v>1.1261261261261262</v>
      </c>
      <c r="AQ252" s="872">
        <f t="shared" si="686"/>
        <v>1.2285012285012284</v>
      </c>
      <c r="AR252" s="895">
        <f t="shared" si="686"/>
        <v>1.2285012285012284</v>
      </c>
      <c r="AS252" s="970">
        <f t="shared" ref="AS252" si="687">AS239/(1-AS251)</f>
        <v>1.2860082304526748</v>
      </c>
      <c r="AT252" s="872">
        <f t="shared" ref="AT252" si="688">AT239/(1-AT251)</f>
        <v>1.286008230452675</v>
      </c>
      <c r="AU252" s="895">
        <f t="shared" si="683"/>
        <v>1.2860082304526748</v>
      </c>
      <c r="AV252" s="970">
        <f t="shared" si="683"/>
        <v>1.3802622498274673</v>
      </c>
      <c r="AW252" s="811">
        <f t="shared" ref="AW252" si="689">AW239/(1-AW251)</f>
        <v>1.3802622498274673</v>
      </c>
      <c r="AX252" s="843">
        <f t="shared" si="683"/>
        <v>1.3802622498274673</v>
      </c>
      <c r="AY252" s="976">
        <f t="shared" si="683"/>
        <v>1.4814814814814814</v>
      </c>
      <c r="AZ252" s="811">
        <f t="shared" ref="AZ252" si="690">AZ239/(1-AZ251)</f>
        <v>1.481481481481481</v>
      </c>
      <c r="BA252" s="843">
        <f t="shared" si="683"/>
        <v>1.4814814814814814</v>
      </c>
      <c r="BB252" s="976">
        <f t="shared" si="683"/>
        <v>1.594896331738437</v>
      </c>
      <c r="BC252" s="811">
        <f t="shared" ref="BC252" si="691">BC239/(1-BC251)</f>
        <v>1.5948963317384377</v>
      </c>
      <c r="BD252" s="843">
        <f t="shared" si="683"/>
        <v>1.594896331738437</v>
      </c>
      <c r="BE252" s="976">
        <f t="shared" si="683"/>
        <v>1.6835016835016836</v>
      </c>
      <c r="BF252" s="811">
        <f t="shared" ref="BF252" si="692">BF239/(1-BF251)</f>
        <v>1.6835016835016834</v>
      </c>
      <c r="BG252" s="843">
        <f t="shared" si="683"/>
        <v>1.6835016835016836</v>
      </c>
      <c r="BH252" s="976">
        <f t="shared" si="683"/>
        <v>1.7825311942958999</v>
      </c>
      <c r="BI252" s="811">
        <f t="shared" ref="BI252" si="693">BI239/(1-BI251)</f>
        <v>1.7825311942958992</v>
      </c>
      <c r="BJ252" s="843">
        <f t="shared" si="683"/>
        <v>1.7825311942958999</v>
      </c>
      <c r="BK252" s="1080"/>
      <c r="BL252" s="115"/>
      <c r="BM252" s="115"/>
      <c r="BN252" s="115"/>
      <c r="BO252" s="115"/>
      <c r="BP252" s="115"/>
    </row>
    <row r="253" spans="1:68" s="172" customFormat="1" ht="12">
      <c r="A253" s="172" t="s">
        <v>979</v>
      </c>
      <c r="R253" s="468"/>
      <c r="S253" s="864"/>
      <c r="T253" s="896"/>
      <c r="U253" s="468"/>
      <c r="V253" s="864"/>
      <c r="W253" s="896"/>
      <c r="X253" s="468"/>
      <c r="Y253" s="864"/>
      <c r="Z253" s="896"/>
      <c r="AA253" s="468">
        <f t="shared" ref="AA253" si="694">-AA237/(1-AA251)</f>
        <v>319.32773109243686</v>
      </c>
      <c r="AB253" s="864">
        <f>AC253-AA253</f>
        <v>296.91876750700277</v>
      </c>
      <c r="AC253" s="896">
        <f t="shared" ref="AC253:BJ253" si="695">-AC237/(1-AC251)</f>
        <v>616.24649859943963</v>
      </c>
      <c r="AD253" s="468">
        <f t="shared" si="695"/>
        <v>285.71428571428567</v>
      </c>
      <c r="AE253" s="864">
        <f>AF253-AD253</f>
        <v>134.58646616541364</v>
      </c>
      <c r="AF253" s="896">
        <f t="shared" si="695"/>
        <v>420.30075187969931</v>
      </c>
      <c r="AG253" s="468">
        <f t="shared" ref="AG253" si="696">-AG237/(1-AG251)</f>
        <v>190.52344331431405</v>
      </c>
      <c r="AH253" s="864">
        <f>AI253-AG253</f>
        <v>176.68368160004988</v>
      </c>
      <c r="AI253" s="896">
        <f t="shared" si="695"/>
        <v>367.20712491436393</v>
      </c>
      <c r="AJ253" s="468">
        <f t="shared" si="695"/>
        <v>208.00000000000003</v>
      </c>
      <c r="AK253" s="864">
        <f>AL253-AJ253</f>
        <v>246.99999999999997</v>
      </c>
      <c r="AL253" s="896">
        <f t="shared" si="695"/>
        <v>455</v>
      </c>
      <c r="AM253" s="468">
        <f t="shared" ref="AM253" si="697">-AM237/(1-AM251)</f>
        <v>232.39436619718316</v>
      </c>
      <c r="AN253" s="864">
        <f>AO253-AM253</f>
        <v>209.85915492957741</v>
      </c>
      <c r="AO253" s="896">
        <f t="shared" ref="AO253:AP253" si="698">-AO237/(1-AO251)</f>
        <v>442.25352112676057</v>
      </c>
      <c r="AP253" s="468">
        <f t="shared" si="698"/>
        <v>245.4954954954955</v>
      </c>
      <c r="AQ253" s="864">
        <f>AR253-AP253</f>
        <v>335.58558558558553</v>
      </c>
      <c r="AR253" s="896">
        <f t="shared" ref="AR253:AS253" si="699">-AR237/(1-AR251)</f>
        <v>581.08108108108104</v>
      </c>
      <c r="AS253" s="468">
        <f t="shared" si="699"/>
        <v>356.22427983539092</v>
      </c>
      <c r="AT253" s="864">
        <f>AU253-AS253</f>
        <v>366.51234567901236</v>
      </c>
      <c r="AU253" s="896">
        <f t="shared" si="695"/>
        <v>722.73662551440327</v>
      </c>
      <c r="AV253" s="468">
        <f t="shared" si="695"/>
        <v>361.62870945479642</v>
      </c>
      <c r="AW253" s="812">
        <f>AX253-AV253</f>
        <v>414.07867494824018</v>
      </c>
      <c r="AX253" s="844">
        <f t="shared" si="695"/>
        <v>775.7073844030366</v>
      </c>
      <c r="AY253" s="977">
        <f t="shared" si="695"/>
        <v>388.1481481481481</v>
      </c>
      <c r="AZ253" s="812">
        <f>BA253-AY253</f>
        <v>236.29629629629636</v>
      </c>
      <c r="BA253" s="844">
        <f t="shared" si="695"/>
        <v>624.44444444444446</v>
      </c>
      <c r="BB253" s="977">
        <f t="shared" si="695"/>
        <v>198.48484848484847</v>
      </c>
      <c r="BC253" s="812">
        <f>BD253-BB253</f>
        <v>120.83333333333334</v>
      </c>
      <c r="BD253" s="844">
        <f t="shared" si="695"/>
        <v>319.31818181818181</v>
      </c>
      <c r="BE253" s="977">
        <f t="shared" si="695"/>
        <v>209.5117845117845</v>
      </c>
      <c r="BF253" s="812">
        <f>BG253-BE253</f>
        <v>127.54629629629628</v>
      </c>
      <c r="BG253" s="844">
        <f t="shared" si="695"/>
        <v>337.05808080808077</v>
      </c>
      <c r="BH253" s="977">
        <f t="shared" si="695"/>
        <v>221.83600713012473</v>
      </c>
      <c r="BI253" s="812">
        <f>BJ253-BH253</f>
        <v>135.04901960784312</v>
      </c>
      <c r="BJ253" s="844">
        <f t="shared" si="695"/>
        <v>356.88502673796785</v>
      </c>
      <c r="BK253" s="256"/>
      <c r="BL253" s="518"/>
      <c r="BM253" s="518"/>
      <c r="BN253" s="518"/>
      <c r="BO253" s="518"/>
      <c r="BP253" s="518"/>
    </row>
    <row r="254" spans="1:68" s="172" customFormat="1" ht="12">
      <c r="A254" s="33" t="s">
        <v>968</v>
      </c>
      <c r="R254" s="468"/>
      <c r="S254" s="864"/>
      <c r="T254" s="896"/>
      <c r="U254" s="468"/>
      <c r="V254" s="864"/>
      <c r="W254" s="896"/>
      <c r="X254" s="468"/>
      <c r="Y254" s="864"/>
      <c r="Z254" s="896"/>
      <c r="AA254" s="103">
        <f>AC254</f>
        <v>0.44</v>
      </c>
      <c r="AB254" s="637">
        <f>AC254</f>
        <v>0.44</v>
      </c>
      <c r="AC254" s="660">
        <v>0.44</v>
      </c>
      <c r="AD254" s="103">
        <f>AF254</f>
        <v>0.3</v>
      </c>
      <c r="AE254" s="637">
        <f>AF254</f>
        <v>0.3</v>
      </c>
      <c r="AF254" s="660">
        <v>0.3</v>
      </c>
      <c r="AG254" s="103">
        <f>AI254</f>
        <v>0.42</v>
      </c>
      <c r="AH254" s="637">
        <f>AI254</f>
        <v>0.42</v>
      </c>
      <c r="AI254" s="660">
        <v>0.42</v>
      </c>
      <c r="AJ254" s="103">
        <f>AL254</f>
        <v>0.4</v>
      </c>
      <c r="AK254" s="637">
        <f>AL254</f>
        <v>0.4</v>
      </c>
      <c r="AL254" s="660">
        <v>0.4</v>
      </c>
      <c r="AM254" s="103">
        <f>AO254</f>
        <v>0.28999999999999998</v>
      </c>
      <c r="AN254" s="637">
        <f>AO254</f>
        <v>0.28999999999999998</v>
      </c>
      <c r="AO254" s="660">
        <v>0.28999999999999998</v>
      </c>
      <c r="AP254" s="103">
        <v>0.4</v>
      </c>
      <c r="AQ254" s="637">
        <f>AR254</f>
        <v>0.45</v>
      </c>
      <c r="AR254" s="660">
        <v>0.45</v>
      </c>
      <c r="AS254" s="103">
        <v>0.46</v>
      </c>
      <c r="AT254" s="637">
        <f>1-(-AT243/AT255)</f>
        <v>0.45999999999999996</v>
      </c>
      <c r="AU254" s="660">
        <v>0.46</v>
      </c>
      <c r="AV254" s="103">
        <v>0.47499999999999998</v>
      </c>
      <c r="AW254" s="754">
        <f>1-(-AW243/AW255)</f>
        <v>0.47500000000000009</v>
      </c>
      <c r="AX254" s="842">
        <v>0.47499999999999998</v>
      </c>
      <c r="AY254" s="464">
        <f>BA254</f>
        <v>0.5</v>
      </c>
      <c r="AZ254" s="754">
        <f>1-(-AZ243/AZ255)</f>
        <v>0.5</v>
      </c>
      <c r="BA254" s="842">
        <v>0.5</v>
      </c>
      <c r="BB254" s="464">
        <f>BD254</f>
        <v>0.52500000000000002</v>
      </c>
      <c r="BC254" s="754">
        <f>1-(-BC243/BC255)</f>
        <v>0.52500000000000013</v>
      </c>
      <c r="BD254" s="842">
        <v>0.52500000000000002</v>
      </c>
      <c r="BE254" s="464">
        <f>BG254</f>
        <v>0.55000000000000004</v>
      </c>
      <c r="BF254" s="754">
        <f>1-(-BF243/BF255)</f>
        <v>0.55000000000000004</v>
      </c>
      <c r="BG254" s="842">
        <v>0.55000000000000004</v>
      </c>
      <c r="BH254" s="464">
        <f>BJ254</f>
        <v>0.57499999999999996</v>
      </c>
      <c r="BI254" s="754">
        <f>1-(-BI243/BI255)</f>
        <v>0.57499999999999996</v>
      </c>
      <c r="BJ254" s="842">
        <v>0.57499999999999996</v>
      </c>
      <c r="BK254" s="256"/>
      <c r="BL254" s="518"/>
      <c r="BM254" s="518"/>
      <c r="BN254" s="518"/>
      <c r="BO254" s="518"/>
      <c r="BP254" s="518"/>
    </row>
    <row r="255" spans="1:68" s="172" customFormat="1" ht="12">
      <c r="A255" s="265" t="s">
        <v>965</v>
      </c>
      <c r="B255" s="265"/>
      <c r="C255" s="265"/>
      <c r="D255" s="265"/>
      <c r="E255" s="265"/>
      <c r="F255" s="265"/>
      <c r="G255" s="265"/>
      <c r="H255" s="265"/>
      <c r="I255" s="265"/>
      <c r="J255" s="265"/>
      <c r="K255" s="265"/>
      <c r="L255" s="265"/>
      <c r="M255" s="265"/>
      <c r="N255" s="265"/>
      <c r="O255" s="265"/>
      <c r="P255" s="265"/>
      <c r="Q255" s="265"/>
      <c r="R255" s="167"/>
      <c r="S255" s="873"/>
      <c r="T255" s="897"/>
      <c r="U255" s="167"/>
      <c r="V255" s="873"/>
      <c r="W255" s="897"/>
      <c r="X255" s="167"/>
      <c r="Y255" s="873"/>
      <c r="Z255" s="897"/>
      <c r="AA255" s="167">
        <f t="shared" ref="AA255:AO255" si="700">AA258-AA250-AA253-AA257</f>
        <v>437.71428571428601</v>
      </c>
      <c r="AB255" s="873">
        <f t="shared" si="700"/>
        <v>561.29635854341745</v>
      </c>
      <c r="AC255" s="897">
        <f t="shared" si="700"/>
        <v>999.01064425770346</v>
      </c>
      <c r="AD255" s="167">
        <f t="shared" si="700"/>
        <v>-520.27557603686637</v>
      </c>
      <c r="AE255" s="873">
        <f t="shared" si="700"/>
        <v>216.04098957070084</v>
      </c>
      <c r="AF255" s="897">
        <f t="shared" si="700"/>
        <v>-304.23458646616552</v>
      </c>
      <c r="AG255" s="167">
        <f t="shared" si="700"/>
        <v>446.19910692135954</v>
      </c>
      <c r="AH255" s="873">
        <f t="shared" si="700"/>
        <v>166.80061904347281</v>
      </c>
      <c r="AI255" s="897">
        <f t="shared" si="700"/>
        <v>612.99972596483235</v>
      </c>
      <c r="AJ255" s="167">
        <f t="shared" si="700"/>
        <v>324.8</v>
      </c>
      <c r="AK255" s="873">
        <f t="shared" si="700"/>
        <v>488.19999999999987</v>
      </c>
      <c r="AL255" s="897">
        <f t="shared" si="700"/>
        <v>813</v>
      </c>
      <c r="AM255" s="167">
        <f t="shared" si="700"/>
        <v>536.97706237424518</v>
      </c>
      <c r="AN255" s="873">
        <f t="shared" si="700"/>
        <v>457.94969818913472</v>
      </c>
      <c r="AO255" s="897">
        <f t="shared" si="700"/>
        <v>994.92676056338018</v>
      </c>
      <c r="AP255" s="167">
        <f t="shared" ref="AP255:AR255" si="701">AP258-AP250-AP253-AP257</f>
        <v>722.36872072072072</v>
      </c>
      <c r="AQ255" s="873">
        <f t="shared" si="701"/>
        <v>740.13361343161353</v>
      </c>
      <c r="AR255" s="897">
        <f t="shared" si="701"/>
        <v>1462.5023341523342</v>
      </c>
      <c r="AS255" s="167">
        <f t="shared" ref="AS255" si="702">AS258-AS250-AS253-AS257</f>
        <v>788.94608213991773</v>
      </c>
      <c r="AT255" s="873">
        <f>AU255-AS255</f>
        <v>1028.96852691358</v>
      </c>
      <c r="AU255" s="897">
        <f t="shared" ref="AU255:AV255" si="703">AU258-AU250-AU253-AU257</f>
        <v>1817.9146090534978</v>
      </c>
      <c r="AV255" s="167">
        <f t="shared" si="703"/>
        <v>1060.7448565973775</v>
      </c>
      <c r="AW255" s="704">
        <f>AX255-AV255</f>
        <v>1097.6632409411548</v>
      </c>
      <c r="AX255" s="698">
        <f t="shared" ref="AX255:BJ255" si="704">-AX243/(1-AX254)</f>
        <v>2158.4080975385323</v>
      </c>
      <c r="AY255" s="978">
        <f t="shared" si="704"/>
        <v>1260.543209876543</v>
      </c>
      <c r="AZ255" s="704">
        <f>BA255-AY255</f>
        <v>1181.6271604938277</v>
      </c>
      <c r="BA255" s="698">
        <f t="shared" si="704"/>
        <v>2442.1703703703706</v>
      </c>
      <c r="BB255" s="978">
        <f t="shared" si="704"/>
        <v>1318.6390217969165</v>
      </c>
      <c r="BC255" s="704">
        <f>BD255-BB255</f>
        <v>1293.3011695906439</v>
      </c>
      <c r="BD255" s="698">
        <f t="shared" si="704"/>
        <v>2611.9401913875604</v>
      </c>
      <c r="BE255" s="978">
        <f t="shared" si="704"/>
        <v>1454.5078563411896</v>
      </c>
      <c r="BF255" s="704">
        <f>BG255-BE255</f>
        <v>1429.1572530864203</v>
      </c>
      <c r="BG255" s="698">
        <f t="shared" si="704"/>
        <v>2883.6651094276099</v>
      </c>
      <c r="BH255" s="978">
        <f t="shared" si="704"/>
        <v>1609.6759655377302</v>
      </c>
      <c r="BI255" s="704">
        <f>BJ255-BH255</f>
        <v>1584.3849591503269</v>
      </c>
      <c r="BJ255" s="698">
        <f t="shared" si="704"/>
        <v>3194.0609246880572</v>
      </c>
      <c r="BK255" s="256"/>
      <c r="BL255" s="518"/>
      <c r="BM255" s="518"/>
      <c r="BN255" s="518"/>
      <c r="BO255" s="518"/>
      <c r="BP255" s="518"/>
    </row>
    <row r="256" spans="1:68" s="170" customFormat="1" ht="11.4">
      <c r="A256" s="172" t="s">
        <v>971</v>
      </c>
      <c r="R256" s="270"/>
      <c r="S256" s="742"/>
      <c r="T256" s="746"/>
      <c r="U256" s="270"/>
      <c r="V256" s="742"/>
      <c r="W256" s="746"/>
      <c r="X256" s="270"/>
      <c r="Y256" s="742"/>
      <c r="Z256" s="746"/>
      <c r="AA256" s="468">
        <f t="shared" ref="AA256:AB256" si="705">AA255+AA250+AA253</f>
        <v>1152</v>
      </c>
      <c r="AB256" s="864">
        <f t="shared" si="705"/>
        <v>1320.4</v>
      </c>
      <c r="AC256" s="896">
        <f t="shared" ref="AC256:BJ256" si="706">AC255+AC250+AC253</f>
        <v>2472.4</v>
      </c>
      <c r="AD256" s="468">
        <f t="shared" si="706"/>
        <v>210.59999999999997</v>
      </c>
      <c r="AE256" s="864">
        <f t="shared" si="706"/>
        <v>519</v>
      </c>
      <c r="AF256" s="896">
        <f t="shared" si="706"/>
        <v>729.59999999999991</v>
      </c>
      <c r="AG256" s="468">
        <f t="shared" ref="AG256:AH256" si="707">AG255+AG250+AG253</f>
        <v>910.6</v>
      </c>
      <c r="AH256" s="864">
        <f t="shared" si="707"/>
        <v>639.6</v>
      </c>
      <c r="AI256" s="896">
        <f t="shared" si="706"/>
        <v>1550.2</v>
      </c>
      <c r="AJ256" s="468">
        <f t="shared" si="706"/>
        <v>871.8</v>
      </c>
      <c r="AK256" s="864">
        <f t="shared" ref="AK256" si="708">AK255+AK250+AK253</f>
        <v>1140.2</v>
      </c>
      <c r="AL256" s="896">
        <f t="shared" si="706"/>
        <v>2012</v>
      </c>
      <c r="AM256" s="468">
        <f t="shared" ref="AM256:AO256" si="709">AM255+AM250+AM253</f>
        <v>1180.7999999999997</v>
      </c>
      <c r="AN256" s="864">
        <f t="shared" si="709"/>
        <v>1293</v>
      </c>
      <c r="AO256" s="896">
        <f t="shared" si="709"/>
        <v>2473.8000000000002</v>
      </c>
      <c r="AP256" s="468">
        <f t="shared" ref="AP256:AR256" si="710">AP255+AP250+AP253</f>
        <v>1626.6480000000001</v>
      </c>
      <c r="AQ256" s="864">
        <f t="shared" si="710"/>
        <v>2001.702</v>
      </c>
      <c r="AR256" s="896">
        <f t="shared" si="710"/>
        <v>3628.3499999999995</v>
      </c>
      <c r="AS256" s="468">
        <f t="shared" ref="AS256" si="711">AS255+AS250+AS253</f>
        <v>1982.3617199999999</v>
      </c>
      <c r="AT256" s="864">
        <f t="shared" ref="AT256:AV256" si="712">AT255+AT250+AT253</f>
        <v>2552.8882800000001</v>
      </c>
      <c r="AU256" s="896">
        <f t="shared" si="712"/>
        <v>4535.25</v>
      </c>
      <c r="AV256" s="468">
        <f t="shared" si="712"/>
        <v>2639.7648704000003</v>
      </c>
      <c r="AW256" s="812">
        <f t="shared" ref="AW256" si="713">AW255+AW250+AW253</f>
        <v>2756.2553734463309</v>
      </c>
      <c r="AX256" s="844">
        <f t="shared" si="706"/>
        <v>5396.0202438463311</v>
      </c>
      <c r="AY256" s="977">
        <f t="shared" si="706"/>
        <v>3151.3580246913575</v>
      </c>
      <c r="AZ256" s="812">
        <f t="shared" ref="AZ256" si="714">AZ255+AZ250+AZ253</f>
        <v>2954.0679012345672</v>
      </c>
      <c r="BA256" s="844">
        <f t="shared" si="706"/>
        <v>6105.4259259259243</v>
      </c>
      <c r="BB256" s="977">
        <f t="shared" si="706"/>
        <v>3296.5975544922917</v>
      </c>
      <c r="BC256" s="812">
        <f t="shared" ref="BC256" si="715">BC255+BC250+BC253</f>
        <v>3233.2529239766086</v>
      </c>
      <c r="BD256" s="844">
        <f t="shared" si="706"/>
        <v>6529.8504784689003</v>
      </c>
      <c r="BE256" s="977">
        <f t="shared" si="706"/>
        <v>3636.2696408529741</v>
      </c>
      <c r="BF256" s="812">
        <f t="shared" ref="BF256" si="716">BF255+BF250+BF253</f>
        <v>3572.8931327160494</v>
      </c>
      <c r="BG256" s="844">
        <f t="shared" si="706"/>
        <v>7209.1627735690236</v>
      </c>
      <c r="BH256" s="977">
        <f t="shared" si="706"/>
        <v>4024.1899138443259</v>
      </c>
      <c r="BI256" s="812">
        <f t="shared" ref="BI256" si="717">BI255+BI250+BI253</f>
        <v>3960.9623978758168</v>
      </c>
      <c r="BJ256" s="844">
        <f t="shared" si="706"/>
        <v>7985.1523117201414</v>
      </c>
      <c r="BK256" s="265"/>
      <c r="BL256" s="511"/>
      <c r="BM256" s="511"/>
      <c r="BN256" s="511"/>
      <c r="BO256" s="511"/>
      <c r="BP256" s="511"/>
    </row>
    <row r="257" spans="1:68" s="170" customFormat="1" ht="11.4">
      <c r="A257" s="465" t="s">
        <v>972</v>
      </c>
      <c r="R257" s="270"/>
      <c r="S257" s="742"/>
      <c r="T257" s="746"/>
      <c r="U257" s="270"/>
      <c r="V257" s="742"/>
      <c r="W257" s="746"/>
      <c r="X257" s="270"/>
      <c r="Y257" s="742"/>
      <c r="Z257" s="746"/>
      <c r="AA257" s="515">
        <f t="shared" ref="AA257:BJ257" si="718">AA110</f>
        <v>443</v>
      </c>
      <c r="AB257" s="735">
        <f t="shared" si="718"/>
        <v>289.59999999999991</v>
      </c>
      <c r="AC257" s="739">
        <f t="shared" si="718"/>
        <v>732.59999999999991</v>
      </c>
      <c r="AD257" s="515">
        <f t="shared" si="718"/>
        <v>438.4</v>
      </c>
      <c r="AE257" s="735">
        <f t="shared" si="718"/>
        <v>440.00000000000011</v>
      </c>
      <c r="AF257" s="739">
        <f t="shared" si="718"/>
        <v>878.40000000000009</v>
      </c>
      <c r="AG257" s="515">
        <f t="shared" si="718"/>
        <v>125.4</v>
      </c>
      <c r="AH257" s="735">
        <f t="shared" si="718"/>
        <v>282.39999999999998</v>
      </c>
      <c r="AI257" s="739">
        <f t="shared" si="718"/>
        <v>407.79999999999995</v>
      </c>
      <c r="AJ257" s="515">
        <f t="shared" si="718"/>
        <v>263.2</v>
      </c>
      <c r="AK257" s="735">
        <f t="shared" si="718"/>
        <v>216.8</v>
      </c>
      <c r="AL257" s="739">
        <f t="shared" si="718"/>
        <v>480</v>
      </c>
      <c r="AM257" s="515">
        <f t="shared" si="718"/>
        <v>366.2</v>
      </c>
      <c r="AN257" s="735">
        <f t="shared" si="718"/>
        <v>459.00000000000006</v>
      </c>
      <c r="AO257" s="739">
        <f t="shared" si="718"/>
        <v>825.2</v>
      </c>
      <c r="AP257" s="515">
        <f t="shared" si="718"/>
        <v>331.35199999999998</v>
      </c>
      <c r="AQ257" s="735">
        <f t="shared" si="718"/>
        <v>380.29800000000012</v>
      </c>
      <c r="AR257" s="739">
        <f t="shared" si="718"/>
        <v>711.65000000000009</v>
      </c>
      <c r="AS257" s="515">
        <f t="shared" si="718"/>
        <v>514.6382799999999</v>
      </c>
      <c r="AT257" s="735">
        <f t="shared" si="718"/>
        <v>571.1117200000001</v>
      </c>
      <c r="AU257" s="739">
        <f t="shared" si="718"/>
        <v>1085.75</v>
      </c>
      <c r="AV257" s="515">
        <f t="shared" ref="AV257" si="719">AV110</f>
        <v>640.23512959999994</v>
      </c>
      <c r="AW257" s="721">
        <f t="shared" si="718"/>
        <v>695.23737040000015</v>
      </c>
      <c r="AX257" s="730">
        <f>AX110</f>
        <v>1335.4725000000001</v>
      </c>
      <c r="AY257" s="979">
        <f t="shared" si="718"/>
        <v>787.48920940799997</v>
      </c>
      <c r="AZ257" s="721">
        <f t="shared" si="718"/>
        <v>855.14196559200002</v>
      </c>
      <c r="BA257" s="730">
        <f t="shared" si="718"/>
        <v>1642.631175</v>
      </c>
      <c r="BB257" s="979">
        <f t="shared" si="718"/>
        <v>929.2372671014399</v>
      </c>
      <c r="BC257" s="721">
        <f t="shared" si="718"/>
        <v>1009.0675193985603</v>
      </c>
      <c r="BD257" s="730">
        <f t="shared" si="718"/>
        <v>1938.3047864999999</v>
      </c>
      <c r="BE257" s="979">
        <f t="shared" si="718"/>
        <v>1050.0381118246271</v>
      </c>
      <c r="BF257" s="721">
        <f t="shared" si="718"/>
        <v>1140.2462969203732</v>
      </c>
      <c r="BG257" s="730">
        <f t="shared" si="718"/>
        <v>2190.2844087449998</v>
      </c>
      <c r="BH257" s="979">
        <f t="shared" si="718"/>
        <v>1186.5430663618286</v>
      </c>
      <c r="BI257" s="721">
        <f t="shared" si="718"/>
        <v>1288.4783155200219</v>
      </c>
      <c r="BJ257" s="730">
        <f t="shared" si="718"/>
        <v>2475.0213818818497</v>
      </c>
      <c r="BK257" s="265"/>
      <c r="BL257" s="511"/>
      <c r="BM257" s="511"/>
      <c r="BN257" s="511"/>
      <c r="BO257" s="511"/>
      <c r="BP257" s="511"/>
    </row>
    <row r="258" spans="1:68" s="172" customFormat="1" ht="12">
      <c r="A258" s="172" t="s">
        <v>970</v>
      </c>
      <c r="R258" s="468"/>
      <c r="S258" s="864"/>
      <c r="T258" s="896"/>
      <c r="U258" s="468"/>
      <c r="V258" s="864"/>
      <c r="W258" s="896"/>
      <c r="X258" s="468"/>
      <c r="Y258" s="864"/>
      <c r="Z258" s="896"/>
      <c r="AA258" s="953">
        <f t="shared" ref="AA258:AU258" si="720">AA19</f>
        <v>1595</v>
      </c>
      <c r="AB258" s="874">
        <f t="shared" si="720"/>
        <v>1610</v>
      </c>
      <c r="AC258" s="898">
        <f t="shared" si="720"/>
        <v>3205</v>
      </c>
      <c r="AD258" s="953">
        <f t="shared" si="720"/>
        <v>649</v>
      </c>
      <c r="AE258" s="874">
        <f t="shared" si="720"/>
        <v>959</v>
      </c>
      <c r="AF258" s="898">
        <f t="shared" si="720"/>
        <v>1608</v>
      </c>
      <c r="AG258" s="953">
        <f t="shared" si="720"/>
        <v>1036</v>
      </c>
      <c r="AH258" s="874">
        <f t="shared" si="720"/>
        <v>922</v>
      </c>
      <c r="AI258" s="898">
        <f t="shared" si="720"/>
        <v>1958</v>
      </c>
      <c r="AJ258" s="953">
        <f t="shared" si="720"/>
        <v>1135</v>
      </c>
      <c r="AK258" s="874">
        <f t="shared" si="720"/>
        <v>1357</v>
      </c>
      <c r="AL258" s="898">
        <f t="shared" si="720"/>
        <v>2492</v>
      </c>
      <c r="AM258" s="953">
        <f t="shared" si="720"/>
        <v>1547</v>
      </c>
      <c r="AN258" s="874">
        <f t="shared" si="720"/>
        <v>1752</v>
      </c>
      <c r="AO258" s="898">
        <f t="shared" si="720"/>
        <v>3299</v>
      </c>
      <c r="AP258" s="953">
        <f t="shared" si="720"/>
        <v>1958</v>
      </c>
      <c r="AQ258" s="874">
        <f t="shared" si="720"/>
        <v>2382</v>
      </c>
      <c r="AR258" s="898">
        <f t="shared" si="720"/>
        <v>4340</v>
      </c>
      <c r="AS258" s="953">
        <f t="shared" si="720"/>
        <v>2497</v>
      </c>
      <c r="AT258" s="874">
        <f t="shared" ref="AT258:BJ258" si="721">AT256+AT257</f>
        <v>3124</v>
      </c>
      <c r="AU258" s="898">
        <f t="shared" si="720"/>
        <v>5621</v>
      </c>
      <c r="AV258" s="953">
        <f t="shared" ref="AV258" si="722">AV19</f>
        <v>3280</v>
      </c>
      <c r="AW258" s="813">
        <f t="shared" si="721"/>
        <v>3451.492743846331</v>
      </c>
      <c r="AX258" s="845">
        <f t="shared" si="721"/>
        <v>6731.492743846331</v>
      </c>
      <c r="AY258" s="980">
        <f t="shared" si="721"/>
        <v>3938.8472340993576</v>
      </c>
      <c r="AZ258" s="813">
        <f t="shared" si="721"/>
        <v>3809.2098668265671</v>
      </c>
      <c r="BA258" s="845">
        <f t="shared" si="721"/>
        <v>7748.0571009259238</v>
      </c>
      <c r="BB258" s="980">
        <f t="shared" si="721"/>
        <v>4225.8348215937312</v>
      </c>
      <c r="BC258" s="813">
        <f t="shared" si="721"/>
        <v>4242.3204433751689</v>
      </c>
      <c r="BD258" s="845">
        <f t="shared" si="721"/>
        <v>8468.1552649689002</v>
      </c>
      <c r="BE258" s="980">
        <f t="shared" si="721"/>
        <v>4686.3077526776015</v>
      </c>
      <c r="BF258" s="813">
        <f t="shared" si="721"/>
        <v>4713.1394296364224</v>
      </c>
      <c r="BG258" s="845">
        <f t="shared" si="721"/>
        <v>9399.4471823140229</v>
      </c>
      <c r="BH258" s="980">
        <f t="shared" si="721"/>
        <v>5210.732980206154</v>
      </c>
      <c r="BI258" s="813">
        <f t="shared" si="721"/>
        <v>5249.4407133958384</v>
      </c>
      <c r="BJ258" s="845">
        <f t="shared" si="721"/>
        <v>10460.173693601992</v>
      </c>
      <c r="BK258" s="256"/>
      <c r="BL258" s="518"/>
      <c r="BM258" s="518"/>
      <c r="BN258" s="518"/>
      <c r="BO258" s="518"/>
      <c r="BP258" s="518"/>
    </row>
    <row r="259" spans="1:68" s="170" customFormat="1" ht="11.4">
      <c r="R259" s="270"/>
      <c r="S259" s="742"/>
      <c r="T259" s="746"/>
      <c r="U259" s="270"/>
      <c r="V259" s="742"/>
      <c r="W259" s="746"/>
      <c r="X259" s="270"/>
      <c r="Y259" s="742"/>
      <c r="Z259" s="746"/>
      <c r="AA259" s="515"/>
      <c r="AB259" s="735"/>
      <c r="AC259" s="739"/>
      <c r="AD259" s="515"/>
      <c r="AE259" s="735"/>
      <c r="AF259" s="739"/>
      <c r="AG259" s="515"/>
      <c r="AH259" s="735"/>
      <c r="AI259" s="739"/>
      <c r="AJ259" s="515"/>
      <c r="AK259" s="735"/>
      <c r="AL259" s="739"/>
      <c r="AM259" s="515"/>
      <c r="AN259" s="809"/>
      <c r="AO259" s="840"/>
      <c r="AQ259" s="809"/>
      <c r="AR259" s="740"/>
      <c r="AS259" s="32"/>
      <c r="AT259" s="809"/>
      <c r="AU259" s="740"/>
      <c r="AV259" s="32"/>
      <c r="AW259" s="809"/>
      <c r="AX259" s="840"/>
      <c r="AZ259" s="809"/>
      <c r="BA259" s="840"/>
      <c r="BC259" s="809"/>
      <c r="BD259" s="840"/>
      <c r="BF259" s="809"/>
      <c r="BG259" s="840"/>
      <c r="BI259" s="809"/>
      <c r="BJ259" s="840"/>
      <c r="BK259" s="265"/>
      <c r="BL259" s="516"/>
      <c r="BM259" s="516"/>
      <c r="BN259" s="516"/>
      <c r="BO259" s="516"/>
      <c r="BP259" s="516"/>
    </row>
    <row r="260" spans="1:68">
      <c r="A260" s="463" t="s">
        <v>986</v>
      </c>
      <c r="B260" s="41"/>
      <c r="C260" s="41"/>
      <c r="D260" s="41"/>
      <c r="E260" s="41"/>
      <c r="F260" s="41"/>
      <c r="G260" s="41"/>
      <c r="H260" s="41"/>
      <c r="I260" s="41"/>
      <c r="J260" s="41"/>
      <c r="K260" s="41"/>
      <c r="L260" s="41"/>
      <c r="M260" s="41"/>
      <c r="N260" s="41"/>
      <c r="O260" s="41"/>
      <c r="P260" s="41"/>
      <c r="Q260" s="462"/>
      <c r="R260" s="440"/>
      <c r="S260" s="681"/>
      <c r="T260" s="690"/>
      <c r="U260" s="440"/>
      <c r="V260" s="681"/>
      <c r="W260" s="690"/>
      <c r="X260" s="440"/>
      <c r="Y260" s="681"/>
      <c r="Z260" s="690"/>
      <c r="AA260" s="457"/>
      <c r="AB260" s="862"/>
      <c r="AC260" s="690"/>
      <c r="AD260" s="457"/>
      <c r="AE260" s="862"/>
      <c r="AF260" s="887"/>
      <c r="AG260" s="457"/>
      <c r="AH260" s="862"/>
      <c r="AI260" s="887"/>
      <c r="AJ260" s="457"/>
      <c r="AK260" s="862"/>
      <c r="AL260" s="887"/>
      <c r="AM260" s="457"/>
      <c r="AN260" s="862"/>
      <c r="AO260" s="887"/>
      <c r="AP260" s="457"/>
      <c r="AQ260" s="862"/>
      <c r="AR260" s="887"/>
      <c r="AS260" s="457"/>
      <c r="AT260" s="862"/>
      <c r="AU260" s="887"/>
      <c r="AV260" s="457"/>
      <c r="AW260" s="795"/>
      <c r="AX260" s="826"/>
      <c r="AY260" s="458"/>
      <c r="AZ260" s="795"/>
      <c r="BA260" s="826"/>
      <c r="BB260" s="458"/>
      <c r="BC260" s="795"/>
      <c r="BD260" s="826"/>
      <c r="BE260" s="458"/>
      <c r="BF260" s="795"/>
      <c r="BG260" s="826"/>
      <c r="BH260" s="458"/>
      <c r="BI260" s="795"/>
      <c r="BJ260" s="826"/>
    </row>
    <row r="261" spans="1:68" customFormat="1">
      <c r="A261" s="28"/>
      <c r="Q261" s="223"/>
      <c r="R261" s="10"/>
      <c r="S261" s="216"/>
      <c r="T261" s="556"/>
      <c r="U261" s="10"/>
      <c r="V261" s="216"/>
      <c r="W261" s="556"/>
      <c r="X261" s="10"/>
      <c r="Y261" s="216"/>
      <c r="Z261" s="556"/>
      <c r="AA261" s="163"/>
      <c r="AB261" s="794"/>
      <c r="AC261" s="556"/>
      <c r="AD261" s="163"/>
      <c r="AE261" s="794"/>
      <c r="AF261" s="825"/>
      <c r="AG261" s="163"/>
      <c r="AH261" s="794"/>
      <c r="AI261" s="825"/>
      <c r="AJ261" s="163"/>
      <c r="AK261" s="794"/>
      <c r="AL261" s="825"/>
      <c r="AM261" s="163"/>
      <c r="AN261" s="794"/>
      <c r="AO261" s="825"/>
      <c r="AP261" s="163"/>
      <c r="AQ261" s="794"/>
      <c r="AR261" s="825"/>
      <c r="AS261" s="163"/>
      <c r="AT261" s="794"/>
      <c r="AU261" s="825"/>
      <c r="AV261" s="163"/>
      <c r="AW261" s="794"/>
      <c r="AX261" s="825"/>
      <c r="AY261" s="163"/>
      <c r="AZ261" s="794"/>
      <c r="BA261" s="825"/>
      <c r="BB261" s="163"/>
      <c r="BC261" s="794"/>
      <c r="BD261" s="825"/>
      <c r="BE261" s="163"/>
      <c r="BF261" s="794"/>
      <c r="BG261" s="825"/>
      <c r="BH261" s="163"/>
      <c r="BI261" s="794"/>
      <c r="BJ261" s="825"/>
    </row>
    <row r="262" spans="1:68">
      <c r="A262" s="25" t="s">
        <v>981</v>
      </c>
      <c r="S262" s="595"/>
      <c r="T262" s="619"/>
      <c r="V262" s="595"/>
      <c r="W262" s="619"/>
      <c r="Y262" s="595"/>
      <c r="Z262" s="619"/>
      <c r="AA262" s="25">
        <f>AA250*(1-AA184)</f>
        <v>339.67922310305067</v>
      </c>
      <c r="AB262" s="595">
        <f>AC262-AA262</f>
        <v>409.6504494666695</v>
      </c>
      <c r="AC262" s="619">
        <f>AC250*(1-AC184)</f>
        <v>749.32967256972017</v>
      </c>
      <c r="AD262" s="25">
        <f>AD250*(1-AD184)</f>
        <v>403.69723639799912</v>
      </c>
      <c r="AE262" s="595">
        <f>AF262-AD262</f>
        <v>107.00968416868017</v>
      </c>
      <c r="AF262" s="619">
        <f>AF250*(1-AF184)</f>
        <v>510.70692056667929</v>
      </c>
      <c r="AG262" s="25">
        <f>AG250*(1-AG184)</f>
        <v>226.41877107876076</v>
      </c>
      <c r="AH262" s="595">
        <f>AI262-AG262</f>
        <v>240.25456682769658</v>
      </c>
      <c r="AI262" s="619">
        <f>AI250*(1-AI184)</f>
        <v>466.67333790645733</v>
      </c>
      <c r="AJ262" s="25">
        <f>AJ250*(1-AJ184)</f>
        <v>258.45338035326694</v>
      </c>
      <c r="AK262" s="595">
        <f>AL262-AJ262</f>
        <v>353.87724433808847</v>
      </c>
      <c r="AL262" s="619">
        <f>AL250*(1-AL184)</f>
        <v>612.33062469135541</v>
      </c>
      <c r="AM262" s="25">
        <f>AM250*(1-AM184)</f>
        <v>334.1228816573734</v>
      </c>
      <c r="AN262" s="595">
        <f>AO262-AM262</f>
        <v>523.59104744571641</v>
      </c>
      <c r="AO262" s="619">
        <f>AO250*(1-AO184)</f>
        <v>857.71392910308975</v>
      </c>
      <c r="AP262" s="25">
        <f>AP250*(1-AP184)</f>
        <v>543.35018754031501</v>
      </c>
      <c r="AQ262" s="595">
        <f>AR262-AP262</f>
        <v>763.47861003897867</v>
      </c>
      <c r="AR262" s="619">
        <f>AR250*(1-AR184)</f>
        <v>1306.8287975792937</v>
      </c>
      <c r="AS262" s="25">
        <f>AS250*(1-AS184)</f>
        <v>684.94341992989314</v>
      </c>
      <c r="AT262" s="630">
        <f>AU262-AS262</f>
        <v>951.09296513162542</v>
      </c>
      <c r="AU262" s="653">
        <f>AU250*(1-AU184)</f>
        <v>1636.0363850615186</v>
      </c>
      <c r="AV262" s="40">
        <f>AV250*(1-AV184)</f>
        <v>985.83736301842669</v>
      </c>
      <c r="AW262" s="601">
        <f>AX262-AV262</f>
        <v>1024.3193443271514</v>
      </c>
      <c r="AX262" s="625">
        <f>AX250*(1-AX184)</f>
        <v>2010.1567073455781</v>
      </c>
      <c r="AY262" s="49">
        <f>AY250*(1-AY184)</f>
        <v>1218.1522948587021</v>
      </c>
      <c r="AZ262" s="601">
        <f>BA262-AY262</f>
        <v>1245.2914021081046</v>
      </c>
      <c r="BA262" s="625">
        <f>BA250*(1-BA184)</f>
        <v>2463.4436969668068</v>
      </c>
      <c r="BB262" s="49">
        <f>BB250*(1-BB184)</f>
        <v>1432.2256070621881</v>
      </c>
      <c r="BC262" s="601">
        <f>BD262-BB262</f>
        <v>1464.1340347025191</v>
      </c>
      <c r="BD262" s="625">
        <f>BD250*(1-BD184)</f>
        <v>2896.3596417647072</v>
      </c>
      <c r="BE262" s="49">
        <f>BE250*(1-BE184)</f>
        <v>1576.7170127345096</v>
      </c>
      <c r="BF262" s="601">
        <f>BG262-BE262</f>
        <v>1611.8445516236627</v>
      </c>
      <c r="BG262" s="625">
        <f>BG250*(1-BG184)</f>
        <v>3188.5615643581723</v>
      </c>
      <c r="BH262" s="49">
        <f>BH250*(1-BH184)</f>
        <v>1746.9808516086753</v>
      </c>
      <c r="BI262" s="601">
        <f>BJ262-BH262</f>
        <v>1785.9016835067594</v>
      </c>
      <c r="BJ262" s="625">
        <f>BJ250*(1-BJ184)</f>
        <v>3532.8825351154346</v>
      </c>
    </row>
    <row r="263" spans="1:68">
      <c r="A263" s="25" t="s">
        <v>980</v>
      </c>
      <c r="S263" s="595"/>
      <c r="T263" s="619"/>
      <c r="V263" s="595"/>
      <c r="W263" s="619"/>
      <c r="Y263" s="595"/>
      <c r="Z263" s="619"/>
      <c r="AA263" s="25">
        <f>AA253*(1-AA184)</f>
        <v>274.6342654875728</v>
      </c>
      <c r="AB263" s="595">
        <f>AC263-AA263</f>
        <v>264.09948603314086</v>
      </c>
      <c r="AC263" s="619">
        <f>AC253*(1-AC184)</f>
        <v>538.73375152071367</v>
      </c>
      <c r="AD263" s="25">
        <f>AD253*(1-AD184)</f>
        <v>259.10174592832237</v>
      </c>
      <c r="AE263" s="595">
        <f>AF263-AD263</f>
        <v>90.757529312821987</v>
      </c>
      <c r="AF263" s="619">
        <f>AF253*(1-AF184)</f>
        <v>349.85927524114436</v>
      </c>
      <c r="AG263" s="25">
        <f>AG253*(1-AG184)</f>
        <v>157.50871031565967</v>
      </c>
      <c r="AH263" s="595">
        <f>AI263-AG263</f>
        <v>143.13661314330804</v>
      </c>
      <c r="AI263" s="619">
        <f>AI253*(1-AI184)</f>
        <v>300.64532345896771</v>
      </c>
      <c r="AJ263" s="25">
        <f>AJ253*(1-AJ184)</f>
        <v>158.57906523150305</v>
      </c>
      <c r="AK263" s="595">
        <f>AL263-AJ263</f>
        <v>215.89732486872091</v>
      </c>
      <c r="AL263" s="619">
        <f>AL253*(1-AL184)</f>
        <v>374.47639010022397</v>
      </c>
      <c r="AM263" s="25">
        <f>AM253*(1-AM184)</f>
        <v>188.7284469455528</v>
      </c>
      <c r="AN263" s="595">
        <f>AO263-AM263</f>
        <v>177.19841954679791</v>
      </c>
      <c r="AO263" s="619">
        <f>AO253*(1-AO184)</f>
        <v>365.92686649235071</v>
      </c>
      <c r="AP263" s="25">
        <f>AP253*(1-AP184)</f>
        <v>202.47921518596357</v>
      </c>
      <c r="AQ263" s="595">
        <f>AR263-AP263</f>
        <v>276.69134392644412</v>
      </c>
      <c r="AR263" s="619">
        <f>AR253*(1-AR184)</f>
        <v>479.17055911240766</v>
      </c>
      <c r="AS263" s="25">
        <f>AS253*(1-AS184)</f>
        <v>291.44289910995451</v>
      </c>
      <c r="AT263" s="630">
        <f>AU263-AS263</f>
        <v>301.36976910704959</v>
      </c>
      <c r="AU263" s="653">
        <f>AU253*(1-AU184)</f>
        <v>592.8126682170041</v>
      </c>
      <c r="AV263" s="40">
        <f>AV253*(1-AV184)</f>
        <v>292.84511237055301</v>
      </c>
      <c r="AW263" s="601">
        <f>AX263-AV263</f>
        <v>340.52358077452311</v>
      </c>
      <c r="AX263" s="625">
        <f>AX253*(1-AX184)</f>
        <v>633.36869314507612</v>
      </c>
      <c r="AY263" s="49">
        <f>AY253*(1-AY184)</f>
        <v>314.6563159351079</v>
      </c>
      <c r="AZ263" s="601">
        <f>BA263-AY263</f>
        <v>191.55603966278528</v>
      </c>
      <c r="BA263" s="625">
        <f>BA253*(1-BA184)</f>
        <v>506.21235559789318</v>
      </c>
      <c r="BB263" s="49">
        <f>BB253*(1-BB184)</f>
        <v>159.75233864724376</v>
      </c>
      <c r="BC263" s="601">
        <f>BD263-BB263</f>
        <v>97.253809214638892</v>
      </c>
      <c r="BD263" s="625">
        <f>BD253*(1-BD184)</f>
        <v>257.00614786188265</v>
      </c>
      <c r="BE263" s="49">
        <f>BE253*(1-BE184)</f>
        <v>167.49438205506254</v>
      </c>
      <c r="BF263" s="601">
        <f>BG263-BE263</f>
        <v>101.96699976252853</v>
      </c>
      <c r="BG263" s="625">
        <f>BG253*(1-BG184)</f>
        <v>269.46138181759108</v>
      </c>
      <c r="BH263" s="49">
        <f>BH253*(1-BH184)</f>
        <v>176.74426753512148</v>
      </c>
      <c r="BI263" s="601">
        <f>BJ263-BH263</f>
        <v>107.59813233531253</v>
      </c>
      <c r="BJ263" s="625">
        <f>BJ253*(1-BJ184)</f>
        <v>284.34239987043401</v>
      </c>
    </row>
    <row r="264" spans="1:68">
      <c r="A264" s="25" t="s">
        <v>982</v>
      </c>
      <c r="S264" s="595"/>
      <c r="T264" s="619"/>
      <c r="V264" s="595"/>
      <c r="W264" s="619"/>
      <c r="Y264" s="595"/>
      <c r="Z264" s="619"/>
      <c r="AA264" s="25">
        <f>AA255*(1-AA184)</f>
        <v>376.45130580833444</v>
      </c>
      <c r="AB264" s="595">
        <f>AC264-AA264</f>
        <v>496.90173297283735</v>
      </c>
      <c r="AC264" s="619">
        <f>AC255*(1-AC184)</f>
        <v>873.35303878117179</v>
      </c>
      <c r="AD264" s="25">
        <f>AD255*(1-AD184)</f>
        <v>-471.8150854025551</v>
      </c>
      <c r="AE264" s="595">
        <f>AF264-AD264</f>
        <v>218.56954289920134</v>
      </c>
      <c r="AF264" s="619">
        <f>AF255*(1-AF184)</f>
        <v>-253.24554250335376</v>
      </c>
      <c r="AG264" s="25">
        <f>AG255*(1-AG184)</f>
        <v>368.87978010789135</v>
      </c>
      <c r="AH264" s="595">
        <f>AI264-AG264</f>
        <v>133.00454726166873</v>
      </c>
      <c r="AI264" s="619">
        <f>AI255*(1-AI184)</f>
        <v>501.88432736956008</v>
      </c>
      <c r="AJ264" s="25">
        <f>AJ255*(1-AJ184)</f>
        <v>247.62730955380857</v>
      </c>
      <c r="AK264" s="595">
        <f>AL264-AJ264</f>
        <v>421.49204242747078</v>
      </c>
      <c r="AL264" s="619">
        <f>AL255*(1-AL184)</f>
        <v>669.11935198127935</v>
      </c>
      <c r="AM264" s="25">
        <f>AM255*(1-AM184)</f>
        <v>436.08134175373527</v>
      </c>
      <c r="AN264" s="595">
        <f>AO264-AM264</f>
        <v>387.13523989105306</v>
      </c>
      <c r="AO264" s="619">
        <f>AO255*(1-AO184)</f>
        <v>823.21658164478833</v>
      </c>
      <c r="AP264" s="25">
        <f>AP255*(1-AP184)</f>
        <v>595.79362689000448</v>
      </c>
      <c r="AQ264" s="595">
        <f>AR264-AP264</f>
        <v>610.21373417427856</v>
      </c>
      <c r="AR264" s="619">
        <f>AR255*(1-AR184)</f>
        <v>1206.007361064283</v>
      </c>
      <c r="AS264" s="25">
        <f>AS255*(1-AS184)</f>
        <v>645.471817717053</v>
      </c>
      <c r="AT264" s="630">
        <f>AU264-AS264</f>
        <v>845.64233360555636</v>
      </c>
      <c r="AU264" s="653">
        <f>AU255*(1-AU184)</f>
        <v>1491.1141513226094</v>
      </c>
      <c r="AV264" s="40">
        <f>AV255*(1-AV184)</f>
        <v>858.98585650201096</v>
      </c>
      <c r="AW264" s="601">
        <f>AX264-AV264</f>
        <v>903.36441049175835</v>
      </c>
      <c r="AX264" s="625">
        <f>AX255*(1-AX184)</f>
        <v>1762.3502669937693</v>
      </c>
      <c r="AY264" s="49">
        <f>AY255*(1-AY184)</f>
        <v>1021.8724071958733</v>
      </c>
      <c r="AZ264" s="601">
        <f>BA264-AY264</f>
        <v>957.89829451392745</v>
      </c>
      <c r="BA264" s="625">
        <f>BA255*(1-BA184)</f>
        <v>1979.7707017098007</v>
      </c>
      <c r="BB264" s="49">
        <f>BB255*(1-BB184)</f>
        <v>1061.3186304729545</v>
      </c>
      <c r="BC264" s="601">
        <f>BD264-BB264</f>
        <v>1040.9252292781059</v>
      </c>
      <c r="BD264" s="625">
        <f>BD255*(1-BD184)</f>
        <v>2102.2438597510604</v>
      </c>
      <c r="BE264" s="49">
        <f>BE255*(1-BE184)</f>
        <v>1162.8075965263813</v>
      </c>
      <c r="BF264" s="601">
        <f>BG264-BE264</f>
        <v>1142.5410342574612</v>
      </c>
      <c r="BG264" s="625">
        <f>BG255*(1-BG184)</f>
        <v>2305.3486307838425</v>
      </c>
      <c r="BH264" s="49">
        <f>BH255*(1-BH184)</f>
        <v>1282.4834127625313</v>
      </c>
      <c r="BI264" s="601">
        <f>BJ264-BH264</f>
        <v>1262.3332105613817</v>
      </c>
      <c r="BJ264" s="625">
        <f>BJ255*(1-BJ184)</f>
        <v>2544.8166233239131</v>
      </c>
    </row>
    <row r="265" spans="1:68">
      <c r="A265" s="31" t="s">
        <v>983</v>
      </c>
      <c r="S265" s="595"/>
      <c r="T265" s="619"/>
      <c r="V265" s="595"/>
      <c r="W265" s="619"/>
      <c r="Y265" s="595"/>
      <c r="Z265" s="619"/>
      <c r="AA265" s="31">
        <f t="shared" ref="AA265:AB265" si="723">AA262+AA263+AA264</f>
        <v>990.76479439895797</v>
      </c>
      <c r="AB265" s="793">
        <f t="shared" si="723"/>
        <v>1170.6516684726478</v>
      </c>
      <c r="AC265" s="824">
        <f>AC262+AC263+AC264</f>
        <v>2161.4164628716053</v>
      </c>
      <c r="AD265" s="31">
        <f t="shared" ref="AD265:AE265" si="724">AD262+AD263+AD264</f>
        <v>190.98389692376639</v>
      </c>
      <c r="AE265" s="793">
        <f t="shared" si="724"/>
        <v>416.33675638070349</v>
      </c>
      <c r="AF265" s="824">
        <f t="shared" ref="AF265:BJ265" si="725">AF262+AF263+AF264</f>
        <v>607.32065330446994</v>
      </c>
      <c r="AG265" s="31">
        <f t="shared" ref="AG265:AH265" si="726">AG262+AG263+AG264</f>
        <v>752.8072615023118</v>
      </c>
      <c r="AH265" s="793">
        <f t="shared" si="726"/>
        <v>516.39572723267338</v>
      </c>
      <c r="AI265" s="824">
        <f t="shared" si="725"/>
        <v>1269.202988734985</v>
      </c>
      <c r="AJ265" s="31">
        <f t="shared" si="725"/>
        <v>664.65975513857859</v>
      </c>
      <c r="AK265" s="793">
        <f t="shared" si="725"/>
        <v>991.26661163428014</v>
      </c>
      <c r="AL265" s="824">
        <f t="shared" si="725"/>
        <v>1655.9263667728587</v>
      </c>
      <c r="AM265" s="31">
        <f t="shared" ref="AM265:AO265" si="727">AM262+AM263+AM264</f>
        <v>958.93267035666145</v>
      </c>
      <c r="AN265" s="793">
        <f t="shared" si="727"/>
        <v>1087.9247068835675</v>
      </c>
      <c r="AO265" s="824">
        <f t="shared" si="727"/>
        <v>2046.8573772402287</v>
      </c>
      <c r="AP265" s="31">
        <f t="shared" ref="AP265:AR265" si="728">AP262+AP263+AP264</f>
        <v>1341.623029616283</v>
      </c>
      <c r="AQ265" s="793">
        <f t="shared" si="728"/>
        <v>1650.3836881397015</v>
      </c>
      <c r="AR265" s="824">
        <f t="shared" si="728"/>
        <v>2992.0067177559845</v>
      </c>
      <c r="AS265" s="31">
        <f t="shared" ref="AS265" si="729">AS262+AS263+AS264</f>
        <v>1621.8581367569006</v>
      </c>
      <c r="AT265" s="629">
        <f t="shared" ref="AT265" si="730">AT262+AT263+AT264</f>
        <v>2098.1050678442316</v>
      </c>
      <c r="AU265" s="652">
        <f t="shared" si="725"/>
        <v>3719.963204601132</v>
      </c>
      <c r="AV265" s="51">
        <f t="shared" si="725"/>
        <v>2137.6683318909904</v>
      </c>
      <c r="AW265" s="600">
        <f t="shared" ref="AW265" si="731">AW262+AW263+AW264</f>
        <v>2268.2073355934331</v>
      </c>
      <c r="AX265" s="624">
        <f t="shared" si="725"/>
        <v>4405.8756674844235</v>
      </c>
      <c r="AY265" s="52">
        <f t="shared" si="725"/>
        <v>2554.6810179896834</v>
      </c>
      <c r="AZ265" s="600">
        <f t="shared" ref="AZ265" si="732">AZ262+AZ263+AZ264</f>
        <v>2394.7457362848172</v>
      </c>
      <c r="BA265" s="624">
        <f t="shared" si="725"/>
        <v>4949.426754274501</v>
      </c>
      <c r="BB265" s="52">
        <f t="shared" si="725"/>
        <v>2653.2965761823862</v>
      </c>
      <c r="BC265" s="600">
        <f t="shared" ref="BC265" si="733">BC262+BC263+BC264</f>
        <v>2602.3130731952642</v>
      </c>
      <c r="BD265" s="624">
        <f t="shared" si="725"/>
        <v>5255.6096493776504</v>
      </c>
      <c r="BE265" s="52">
        <f t="shared" si="725"/>
        <v>2907.0189913159534</v>
      </c>
      <c r="BF265" s="600">
        <f t="shared" ref="BF265" si="734">BF262+BF263+BF264</f>
        <v>2856.3525856436527</v>
      </c>
      <c r="BG265" s="624">
        <f t="shared" si="725"/>
        <v>5763.3715769596056</v>
      </c>
      <c r="BH265" s="52">
        <f t="shared" si="725"/>
        <v>3206.2085319063281</v>
      </c>
      <c r="BI265" s="600">
        <f t="shared" ref="BI265" si="735">BI262+BI263+BI264</f>
        <v>3155.8330264034539</v>
      </c>
      <c r="BJ265" s="624">
        <f t="shared" si="725"/>
        <v>6362.041558309782</v>
      </c>
    </row>
    <row r="266" spans="1:68">
      <c r="A266" s="31"/>
      <c r="S266" s="595"/>
      <c r="T266" s="619"/>
      <c r="V266" s="595"/>
      <c r="W266" s="619"/>
      <c r="Y266" s="595"/>
      <c r="Z266" s="619"/>
      <c r="AB266" s="595"/>
      <c r="AC266" s="619"/>
      <c r="AE266" s="595"/>
      <c r="AF266" s="619"/>
      <c r="AH266" s="595"/>
      <c r="AI266" s="619"/>
      <c r="AK266" s="595"/>
      <c r="AL266" s="619"/>
      <c r="AN266" s="595"/>
      <c r="AO266" s="619"/>
      <c r="AQ266" s="595"/>
      <c r="AR266" s="619"/>
      <c r="AT266" s="595"/>
      <c r="AU266" s="619"/>
      <c r="AW266" s="595"/>
      <c r="AX266" s="619"/>
      <c r="AZ266" s="595"/>
      <c r="BA266" s="619"/>
      <c r="BC266" s="595"/>
      <c r="BD266" s="619"/>
      <c r="BF266" s="595"/>
      <c r="BG266" s="619"/>
      <c r="BI266" s="595"/>
      <c r="BJ266" s="619"/>
    </row>
    <row r="267" spans="1:68" s="33" customFormat="1">
      <c r="A267" s="33" t="s">
        <v>960</v>
      </c>
      <c r="S267" s="866"/>
      <c r="T267" s="890"/>
      <c r="V267" s="866"/>
      <c r="W267" s="890"/>
      <c r="Y267" s="866"/>
      <c r="Z267" s="890"/>
      <c r="AA267" s="169">
        <f>AC267</f>
        <v>0.44</v>
      </c>
      <c r="AB267" s="802">
        <f>AB268/AB265</f>
        <v>0.43999999999999989</v>
      </c>
      <c r="AC267" s="833">
        <f>AC248</f>
        <v>0.44</v>
      </c>
      <c r="AD267" s="169">
        <f>AF267</f>
        <v>0.3</v>
      </c>
      <c r="AE267" s="802">
        <f>AE268/AE265</f>
        <v>0.30000000000000004</v>
      </c>
      <c r="AF267" s="833">
        <f>AF248</f>
        <v>0.3</v>
      </c>
      <c r="AG267" s="169">
        <f>AI267</f>
        <v>0.42</v>
      </c>
      <c r="AH267" s="802">
        <f>AH268/AH265</f>
        <v>0.41999999999999987</v>
      </c>
      <c r="AI267" s="833">
        <f>AI248</f>
        <v>0.42</v>
      </c>
      <c r="AJ267" s="169">
        <f>AL267</f>
        <v>0.4</v>
      </c>
      <c r="AK267" s="802">
        <f>AK268/AK265</f>
        <v>0.40000000000000008</v>
      </c>
      <c r="AL267" s="833">
        <f>AL248</f>
        <v>0.4</v>
      </c>
      <c r="AM267" s="169">
        <f>AM248</f>
        <v>0.3</v>
      </c>
      <c r="AN267" s="637">
        <f>AN268/AN265</f>
        <v>0.34703582344185352</v>
      </c>
      <c r="AO267" s="660">
        <v>0.32500000000000001</v>
      </c>
      <c r="AP267" s="103">
        <v>0.375</v>
      </c>
      <c r="AQ267" s="637">
        <f>AQ268/AQ265</f>
        <v>0.37499999999999994</v>
      </c>
      <c r="AR267" s="660">
        <v>0.375</v>
      </c>
      <c r="AS267" s="103">
        <v>0.4</v>
      </c>
      <c r="AT267" s="637">
        <f>AT268/AT265</f>
        <v>0.44432527309539516</v>
      </c>
      <c r="AU267" s="660">
        <v>0.42499999999999999</v>
      </c>
      <c r="AV267" s="103">
        <v>0.45</v>
      </c>
      <c r="AW267" s="754">
        <f>AW268/AW265</f>
        <v>0.45</v>
      </c>
      <c r="AX267" s="842">
        <v>0.45</v>
      </c>
      <c r="AY267" s="464">
        <f>BA267</f>
        <v>0.47499999999999998</v>
      </c>
      <c r="AZ267" s="754">
        <f>AZ268/AZ265</f>
        <v>0.47500000000000014</v>
      </c>
      <c r="BA267" s="842">
        <v>0.47499999999999998</v>
      </c>
      <c r="BB267" s="464">
        <f>BD267</f>
        <v>0.5</v>
      </c>
      <c r="BC267" s="754">
        <f>BC268/BC265</f>
        <v>0.5</v>
      </c>
      <c r="BD267" s="842">
        <v>0.5</v>
      </c>
      <c r="BE267" s="464">
        <f>BG267</f>
        <v>0.52500000000000002</v>
      </c>
      <c r="BF267" s="754">
        <f>BF268/BF265</f>
        <v>0.52500000000000002</v>
      </c>
      <c r="BG267" s="842">
        <v>0.52500000000000002</v>
      </c>
      <c r="BH267" s="464">
        <f>BJ267</f>
        <v>0.55000000000000004</v>
      </c>
      <c r="BI267" s="754">
        <f>BI268/BI265</f>
        <v>0.54999999999999993</v>
      </c>
      <c r="BJ267" s="842">
        <v>0.55000000000000004</v>
      </c>
      <c r="BK267" s="169"/>
    </row>
    <row r="268" spans="1:68" s="31" customFormat="1">
      <c r="A268" s="31" t="s">
        <v>957</v>
      </c>
      <c r="S268" s="793"/>
      <c r="T268" s="824"/>
      <c r="V268" s="793"/>
      <c r="W268" s="824"/>
      <c r="Y268" s="793"/>
      <c r="Z268" s="824"/>
      <c r="AA268" s="31">
        <f t="shared" ref="AA268" si="736">AA265*AA267</f>
        <v>435.93650953554152</v>
      </c>
      <c r="AB268" s="793">
        <f>AC268-AA268</f>
        <v>515.08673412796486</v>
      </c>
      <c r="AC268" s="824">
        <f>AC265*AC267</f>
        <v>951.02324366350638</v>
      </c>
      <c r="AD268" s="31">
        <f t="shared" ref="AD268" si="737">AD265*AD267</f>
        <v>57.29516907712992</v>
      </c>
      <c r="AE268" s="793">
        <f>AF268-AD268</f>
        <v>124.90102691421106</v>
      </c>
      <c r="AF268" s="824">
        <f t="shared" ref="AF268:BJ268" si="738">AF265*AF267</f>
        <v>182.19619599134097</v>
      </c>
      <c r="AG268" s="31">
        <f t="shared" ref="AG268" si="739">AG265*AG267</f>
        <v>316.17904983097094</v>
      </c>
      <c r="AH268" s="793">
        <f>AI268-AG268</f>
        <v>216.88620543772277</v>
      </c>
      <c r="AI268" s="824">
        <f t="shared" si="738"/>
        <v>533.0652552686937</v>
      </c>
      <c r="AJ268" s="31">
        <f t="shared" si="738"/>
        <v>265.86390205543142</v>
      </c>
      <c r="AK268" s="793">
        <f>AL268-AJ268</f>
        <v>396.50664465371216</v>
      </c>
      <c r="AL268" s="824">
        <f t="shared" si="738"/>
        <v>662.37054670914358</v>
      </c>
      <c r="AM268" s="31">
        <f t="shared" ref="AM268" si="740">AM265*AM267</f>
        <v>287.67980110699841</v>
      </c>
      <c r="AN268" s="793">
        <f>AO268-AM268</f>
        <v>377.54884649607595</v>
      </c>
      <c r="AO268" s="824">
        <f t="shared" si="738"/>
        <v>665.22864760307436</v>
      </c>
      <c r="AP268" s="31">
        <f t="shared" si="738"/>
        <v>503.10863610610613</v>
      </c>
      <c r="AQ268" s="793">
        <f>AR268-AP268</f>
        <v>618.89388305238799</v>
      </c>
      <c r="AR268" s="824">
        <f t="shared" si="738"/>
        <v>1122.0025191584941</v>
      </c>
      <c r="AS268" s="31">
        <f t="shared" ref="AS268" si="741">AS265*AS267</f>
        <v>648.74325470276028</v>
      </c>
      <c r="AT268" s="629">
        <f>AU268-AS268</f>
        <v>932.24110725272078</v>
      </c>
      <c r="AU268" s="652">
        <f t="shared" si="738"/>
        <v>1580.9843619554811</v>
      </c>
      <c r="AV268" s="51">
        <f t="shared" si="738"/>
        <v>961.95074935094567</v>
      </c>
      <c r="AW268" s="600">
        <f>AX268-AV268</f>
        <v>1020.6933010170449</v>
      </c>
      <c r="AX268" s="624">
        <f t="shared" si="738"/>
        <v>1982.6440503679905</v>
      </c>
      <c r="AY268" s="52">
        <f t="shared" si="738"/>
        <v>1213.4734835450995</v>
      </c>
      <c r="AZ268" s="600">
        <f>BA268-AY268</f>
        <v>1137.5042247352885</v>
      </c>
      <c r="BA268" s="624">
        <f t="shared" si="738"/>
        <v>2350.977708280388</v>
      </c>
      <c r="BB268" s="52">
        <f t="shared" si="738"/>
        <v>1326.6482880911931</v>
      </c>
      <c r="BC268" s="600">
        <f>BD268-BB268</f>
        <v>1301.1565365976321</v>
      </c>
      <c r="BD268" s="624">
        <f t="shared" si="738"/>
        <v>2627.8048246888252</v>
      </c>
      <c r="BE268" s="52">
        <f t="shared" si="738"/>
        <v>1526.1849704408755</v>
      </c>
      <c r="BF268" s="600">
        <f>BG268-BE268</f>
        <v>1499.5851074629177</v>
      </c>
      <c r="BG268" s="624">
        <f t="shared" si="738"/>
        <v>3025.7700779037932</v>
      </c>
      <c r="BH268" s="52">
        <f t="shared" si="738"/>
        <v>1763.4146925484806</v>
      </c>
      <c r="BI268" s="600">
        <f>BJ268-BH268</f>
        <v>1735.7081645218996</v>
      </c>
      <c r="BJ268" s="624">
        <f t="shared" si="738"/>
        <v>3499.1228570703802</v>
      </c>
      <c r="BK268" s="2"/>
    </row>
    <row r="269" spans="1:68" ht="11.4">
      <c r="A269" s="25" t="s">
        <v>961</v>
      </c>
      <c r="Q269" s="73"/>
      <c r="R269" s="40"/>
      <c r="S269" s="630"/>
      <c r="T269" s="653"/>
      <c r="U269" s="40"/>
      <c r="V269" s="630"/>
      <c r="W269" s="653"/>
      <c r="X269" s="40"/>
      <c r="Y269" s="630"/>
      <c r="Z269" s="653"/>
      <c r="AA269" s="211">
        <f>AC269</f>
        <v>0.4</v>
      </c>
      <c r="AB269" s="217">
        <f>AB270/AB257</f>
        <v>0.39999999999999997</v>
      </c>
      <c r="AC269" s="554">
        <v>0.4</v>
      </c>
      <c r="AD269" s="211">
        <f>AF269</f>
        <v>0.3</v>
      </c>
      <c r="AE269" s="217">
        <f>AE270/AE257</f>
        <v>0.30000000000000004</v>
      </c>
      <c r="AF269" s="554">
        <v>0.3</v>
      </c>
      <c r="AG269" s="211">
        <f>AI269</f>
        <v>0.35</v>
      </c>
      <c r="AH269" s="217">
        <f>AH270/AH257</f>
        <v>0.34999999999999987</v>
      </c>
      <c r="AI269" s="554">
        <v>0.35</v>
      </c>
      <c r="AJ269" s="211">
        <f>AL269</f>
        <v>0.4</v>
      </c>
      <c r="AK269" s="217">
        <f>AK270/AK257</f>
        <v>0.39999999999999997</v>
      </c>
      <c r="AL269" s="554">
        <v>0.4</v>
      </c>
      <c r="AM269" s="211">
        <f>AO269</f>
        <v>0.45</v>
      </c>
      <c r="AN269" s="217">
        <f>AN270/AN257</f>
        <v>0.45</v>
      </c>
      <c r="AO269" s="554">
        <v>0.45</v>
      </c>
      <c r="AP269" s="211">
        <v>0.47499999999999998</v>
      </c>
      <c r="AQ269" s="217">
        <f>AQ270/AQ257</f>
        <v>0.47500000000000009</v>
      </c>
      <c r="AR269" s="554">
        <v>0.47499999999999998</v>
      </c>
      <c r="AS269" s="211">
        <v>0.5</v>
      </c>
      <c r="AT269" s="217">
        <f>AT270/AT257</f>
        <v>0.5</v>
      </c>
      <c r="AU269" s="554">
        <v>0.5</v>
      </c>
      <c r="AV269" s="211">
        <v>0.55000000000000004</v>
      </c>
      <c r="AW269" s="252">
        <f>AW270/AW257</f>
        <v>0.50197782236476851</v>
      </c>
      <c r="AX269" s="618">
        <v>0.52500000000000002</v>
      </c>
      <c r="AY269" s="251">
        <f>BA269</f>
        <v>0.55000000000000004</v>
      </c>
      <c r="AZ269" s="252">
        <f>AZ270/AZ257</f>
        <v>0.55000000000000004</v>
      </c>
      <c r="BA269" s="618">
        <v>0.55000000000000004</v>
      </c>
      <c r="BB269" s="251">
        <f>BD269</f>
        <v>0.57499999999999996</v>
      </c>
      <c r="BC269" s="252">
        <f>BC270/BC257</f>
        <v>0.57499999999999973</v>
      </c>
      <c r="BD269" s="618">
        <v>0.57499999999999996</v>
      </c>
      <c r="BE269" s="251">
        <f>BG269</f>
        <v>0.6</v>
      </c>
      <c r="BF269" s="252">
        <f>BF270/BF257</f>
        <v>0.59999999999999976</v>
      </c>
      <c r="BG269" s="618">
        <v>0.6</v>
      </c>
      <c r="BH269" s="251">
        <f>BJ269</f>
        <v>0.6</v>
      </c>
      <c r="BI269" s="252">
        <f>BI270/BI257</f>
        <v>0.59999999999999976</v>
      </c>
      <c r="BJ269" s="577">
        <f t="shared" ref="BJ269" si="742">BG269</f>
        <v>0.6</v>
      </c>
      <c r="BL269" s="115"/>
      <c r="BM269" s="115"/>
      <c r="BN269" s="115"/>
      <c r="BO269" s="115"/>
      <c r="BP269" s="115"/>
    </row>
    <row r="270" spans="1:68" s="172" customFormat="1" ht="12">
      <c r="A270" s="172" t="s">
        <v>958</v>
      </c>
      <c r="R270" s="468"/>
      <c r="S270" s="864"/>
      <c r="T270" s="896"/>
      <c r="U270" s="468"/>
      <c r="V270" s="864"/>
      <c r="W270" s="896"/>
      <c r="X270" s="468"/>
      <c r="Y270" s="864"/>
      <c r="Z270" s="896"/>
      <c r="AA270" s="953">
        <f t="shared" ref="AA270" si="743">AA257*AA269</f>
        <v>177.20000000000002</v>
      </c>
      <c r="AB270" s="874">
        <f>AC270-AA270</f>
        <v>115.83999999999995</v>
      </c>
      <c r="AC270" s="898">
        <f t="shared" ref="AC270:BJ270" si="744">AC257*AC269</f>
        <v>293.03999999999996</v>
      </c>
      <c r="AD270" s="953">
        <f t="shared" si="744"/>
        <v>131.51999999999998</v>
      </c>
      <c r="AE270" s="874">
        <f>AF270-AD270</f>
        <v>132.00000000000006</v>
      </c>
      <c r="AF270" s="898">
        <f t="shared" si="744"/>
        <v>263.52000000000004</v>
      </c>
      <c r="AG270" s="953">
        <f t="shared" ref="AG270" si="745">AG257*AG269</f>
        <v>43.89</v>
      </c>
      <c r="AH270" s="874">
        <f>AI270-AG270</f>
        <v>98.839999999999961</v>
      </c>
      <c r="AI270" s="898">
        <f t="shared" si="744"/>
        <v>142.72999999999996</v>
      </c>
      <c r="AJ270" s="953">
        <f t="shared" si="744"/>
        <v>105.28</v>
      </c>
      <c r="AK270" s="874">
        <f>AL270-AJ270</f>
        <v>86.72</v>
      </c>
      <c r="AL270" s="898">
        <f t="shared" si="744"/>
        <v>192</v>
      </c>
      <c r="AM270" s="953">
        <f t="shared" ref="AM270" si="746">AM257*AM269</f>
        <v>164.79</v>
      </c>
      <c r="AN270" s="874">
        <f>AO270-AM270</f>
        <v>206.55000000000004</v>
      </c>
      <c r="AO270" s="898">
        <f t="shared" ref="AO270:AP270" si="747">AO257*AO269</f>
        <v>371.34000000000003</v>
      </c>
      <c r="AP270" s="953">
        <f t="shared" si="747"/>
        <v>157.39219999999997</v>
      </c>
      <c r="AQ270" s="874">
        <f>AR270-AP270</f>
        <v>180.64155000000008</v>
      </c>
      <c r="AR270" s="898">
        <f t="shared" ref="AR270:AS270" si="748">AR257*AR269</f>
        <v>338.03375000000005</v>
      </c>
      <c r="AS270" s="953">
        <f t="shared" si="748"/>
        <v>257.31913999999995</v>
      </c>
      <c r="AT270" s="629">
        <f>AU270-AS270</f>
        <v>285.55586000000005</v>
      </c>
      <c r="AU270" s="898">
        <f t="shared" si="744"/>
        <v>542.875</v>
      </c>
      <c r="AV270" s="953">
        <f t="shared" si="744"/>
        <v>352.12932128</v>
      </c>
      <c r="AW270" s="600">
        <f>AX270-AV270</f>
        <v>348.99374122000006</v>
      </c>
      <c r="AX270" s="845">
        <f t="shared" si="744"/>
        <v>701.12306250000006</v>
      </c>
      <c r="AY270" s="980">
        <f t="shared" si="744"/>
        <v>433.11906517440002</v>
      </c>
      <c r="AZ270" s="600">
        <f>BA270-AY270</f>
        <v>470.32808107560004</v>
      </c>
      <c r="BA270" s="845">
        <f t="shared" si="744"/>
        <v>903.44714625000006</v>
      </c>
      <c r="BB270" s="980">
        <f t="shared" si="744"/>
        <v>534.31142858332794</v>
      </c>
      <c r="BC270" s="600">
        <f>BD270-BB270</f>
        <v>580.21382365417196</v>
      </c>
      <c r="BD270" s="845">
        <f t="shared" si="744"/>
        <v>1114.5252522374999</v>
      </c>
      <c r="BE270" s="980">
        <f t="shared" si="744"/>
        <v>630.02286709477619</v>
      </c>
      <c r="BF270" s="600">
        <f>BG270-BE270</f>
        <v>684.14777815222362</v>
      </c>
      <c r="BG270" s="845">
        <f t="shared" si="744"/>
        <v>1314.1706452469998</v>
      </c>
      <c r="BH270" s="980">
        <f t="shared" si="744"/>
        <v>711.92583981709708</v>
      </c>
      <c r="BI270" s="600">
        <f>BJ270-BH270</f>
        <v>773.08698931201275</v>
      </c>
      <c r="BJ270" s="845">
        <f t="shared" si="744"/>
        <v>1485.0128291291098</v>
      </c>
      <c r="BK270" s="256"/>
      <c r="BL270" s="518"/>
      <c r="BM270" s="518"/>
      <c r="BN270" s="518"/>
      <c r="BO270" s="518"/>
      <c r="BP270" s="518"/>
    </row>
    <row r="271" spans="1:68" s="172" customFormat="1" ht="12">
      <c r="A271" s="172" t="s">
        <v>959</v>
      </c>
      <c r="R271" s="468"/>
      <c r="S271" s="864"/>
      <c r="T271" s="896"/>
      <c r="U271" s="468"/>
      <c r="V271" s="864"/>
      <c r="W271" s="896"/>
      <c r="X271" s="468"/>
      <c r="Y271" s="864"/>
      <c r="Z271" s="896"/>
      <c r="AA271" s="953">
        <f t="shared" ref="AA271:AB271" si="749">AA268+AA270</f>
        <v>613.13650953554156</v>
      </c>
      <c r="AB271" s="874">
        <f t="shared" si="749"/>
        <v>630.92673412796478</v>
      </c>
      <c r="AC271" s="898">
        <f t="shared" ref="AC271:BJ271" si="750">AC268+AC270</f>
        <v>1244.0632436635065</v>
      </c>
      <c r="AD271" s="953">
        <f t="shared" si="750"/>
        <v>188.81516907712989</v>
      </c>
      <c r="AE271" s="874">
        <f t="shared" si="750"/>
        <v>256.90102691421112</v>
      </c>
      <c r="AF271" s="898">
        <f t="shared" si="750"/>
        <v>445.71619599134101</v>
      </c>
      <c r="AG271" s="953">
        <f t="shared" ref="AG271:AH271" si="751">AG268+AG270</f>
        <v>360.06904983097093</v>
      </c>
      <c r="AH271" s="874">
        <f t="shared" si="751"/>
        <v>315.72620543772274</v>
      </c>
      <c r="AI271" s="898">
        <f t="shared" si="750"/>
        <v>675.79525526869361</v>
      </c>
      <c r="AJ271" s="953">
        <f t="shared" si="750"/>
        <v>371.14390205543145</v>
      </c>
      <c r="AK271" s="874">
        <f t="shared" ref="AK271" si="752">AK268+AK270</f>
        <v>483.22664465371213</v>
      </c>
      <c r="AL271" s="898">
        <f t="shared" si="750"/>
        <v>854.37054670914358</v>
      </c>
      <c r="AM271" s="953">
        <f t="shared" ref="AM271:AO271" si="753">AM268+AM270</f>
        <v>452.46980110699837</v>
      </c>
      <c r="AN271" s="874">
        <f t="shared" si="753"/>
        <v>584.09884649607602</v>
      </c>
      <c r="AO271" s="898">
        <f t="shared" si="753"/>
        <v>1036.5686476030744</v>
      </c>
      <c r="AP271" s="953">
        <f t="shared" ref="AP271:AQ271" si="754">AP268+AP270</f>
        <v>660.50083610610614</v>
      </c>
      <c r="AQ271" s="874">
        <f t="shared" si="754"/>
        <v>799.53543305238804</v>
      </c>
      <c r="AR271" s="898">
        <f t="shared" ref="AR271:AS271" si="755">AR268+AR270</f>
        <v>1460.0362691584942</v>
      </c>
      <c r="AS271" s="953">
        <f t="shared" si="755"/>
        <v>906.06239470276023</v>
      </c>
      <c r="AT271" s="874">
        <f t="shared" si="750"/>
        <v>1217.7969672527208</v>
      </c>
      <c r="AU271" s="898">
        <f t="shared" si="750"/>
        <v>2123.8593619554813</v>
      </c>
      <c r="AV271" s="953">
        <f t="shared" si="750"/>
        <v>1314.0800706309456</v>
      </c>
      <c r="AW271" s="813">
        <f t="shared" si="750"/>
        <v>1369.6870422370448</v>
      </c>
      <c r="AX271" s="845">
        <f t="shared" si="750"/>
        <v>2683.7671128679904</v>
      </c>
      <c r="AY271" s="980">
        <f t="shared" si="750"/>
        <v>1646.5925487194995</v>
      </c>
      <c r="AZ271" s="813">
        <f t="shared" si="750"/>
        <v>1607.8323058108886</v>
      </c>
      <c r="BA271" s="845">
        <f t="shared" si="750"/>
        <v>3254.4248545303881</v>
      </c>
      <c r="BB271" s="980">
        <f t="shared" si="750"/>
        <v>1860.9597166745211</v>
      </c>
      <c r="BC271" s="813">
        <f t="shared" si="750"/>
        <v>1881.370360251804</v>
      </c>
      <c r="BD271" s="845">
        <f t="shared" si="750"/>
        <v>3742.3300769263251</v>
      </c>
      <c r="BE271" s="980">
        <f t="shared" si="750"/>
        <v>2156.2078375356518</v>
      </c>
      <c r="BF271" s="813">
        <f t="shared" si="750"/>
        <v>2183.7328856151412</v>
      </c>
      <c r="BG271" s="845">
        <f t="shared" si="750"/>
        <v>4339.940723150793</v>
      </c>
      <c r="BH271" s="980">
        <f t="shared" si="750"/>
        <v>2475.3405323655779</v>
      </c>
      <c r="BI271" s="813">
        <f t="shared" si="750"/>
        <v>2508.7951538339121</v>
      </c>
      <c r="BJ271" s="845">
        <f t="shared" si="750"/>
        <v>4984.13568619949</v>
      </c>
      <c r="BK271" s="256"/>
      <c r="BL271" s="518"/>
      <c r="BM271" s="518"/>
      <c r="BN271" s="518"/>
      <c r="BO271" s="518"/>
      <c r="BP271" s="518"/>
    </row>
    <row r="272" spans="1:68" ht="11.4">
      <c r="A272" s="25" t="s">
        <v>984</v>
      </c>
      <c r="Q272" s="73"/>
      <c r="R272" s="40"/>
      <c r="S272" s="630"/>
      <c r="T272" s="653"/>
      <c r="U272" s="40"/>
      <c r="V272" s="630"/>
      <c r="W272" s="653"/>
      <c r="X272" s="40"/>
      <c r="Y272" s="630"/>
      <c r="Z272" s="653"/>
      <c r="AA272" s="952">
        <f t="shared" ref="AA272:AB272" si="756">AA271/AA258</f>
        <v>0.3844116047244775</v>
      </c>
      <c r="AB272" s="647">
        <f t="shared" si="756"/>
        <v>0.3918799590856924</v>
      </c>
      <c r="AC272" s="671">
        <f t="shared" ref="AC272:BJ272" si="757">AC271/AC258</f>
        <v>0.38816325855335615</v>
      </c>
      <c r="AD272" s="952">
        <f t="shared" si="757"/>
        <v>0.29093246390929106</v>
      </c>
      <c r="AE272" s="647">
        <f t="shared" si="757"/>
        <v>0.26788428249657048</v>
      </c>
      <c r="AF272" s="671">
        <f t="shared" si="757"/>
        <v>0.27718668904934141</v>
      </c>
      <c r="AG272" s="952">
        <f t="shared" ref="AG272:AH272" si="758">AG271/AG258</f>
        <v>0.34755699790634259</v>
      </c>
      <c r="AH272" s="647">
        <f t="shared" si="758"/>
        <v>0.34243623149427627</v>
      </c>
      <c r="AI272" s="671">
        <f t="shared" si="757"/>
        <v>0.34514568706266274</v>
      </c>
      <c r="AJ272" s="952">
        <f t="shared" si="757"/>
        <v>0.32699903264795721</v>
      </c>
      <c r="AK272" s="647">
        <f t="shared" ref="AK272" si="759">AK271/AK258</f>
        <v>0.35609922229455571</v>
      </c>
      <c r="AL272" s="671">
        <f t="shared" si="757"/>
        <v>0.34284532371956</v>
      </c>
      <c r="AM272" s="952">
        <f t="shared" ref="AM272:AO272" si="760">AM271/AM258</f>
        <v>0.29248209509178952</v>
      </c>
      <c r="AN272" s="647">
        <f t="shared" si="760"/>
        <v>0.33338975256625342</v>
      </c>
      <c r="AO272" s="671">
        <f t="shared" si="760"/>
        <v>0.31420692561475427</v>
      </c>
      <c r="AP272" s="952">
        <f t="shared" ref="AP272:AQ272" si="761">AP271/AP258</f>
        <v>0.33733444132078966</v>
      </c>
      <c r="AQ272" s="647">
        <f t="shared" si="761"/>
        <v>0.3356571927172074</v>
      </c>
      <c r="AR272" s="671">
        <f t="shared" ref="AR272:AS272" si="762">AR271/AR258</f>
        <v>0.33641388690287882</v>
      </c>
      <c r="AS272" s="952">
        <f t="shared" si="762"/>
        <v>0.3628603903495235</v>
      </c>
      <c r="AT272" s="647">
        <f t="shared" si="757"/>
        <v>0.38981977184786198</v>
      </c>
      <c r="AU272" s="671">
        <f t="shared" si="757"/>
        <v>0.37784368652472539</v>
      </c>
      <c r="AV272" s="952">
        <f t="shared" si="757"/>
        <v>0.40063416787528827</v>
      </c>
      <c r="AW272" s="599">
        <f t="shared" si="757"/>
        <v>0.39683903281531185</v>
      </c>
      <c r="AX272" s="623">
        <f t="shared" si="757"/>
        <v>0.39868825756685039</v>
      </c>
      <c r="AY272" s="435">
        <f t="shared" si="757"/>
        <v>0.41803920052157173</v>
      </c>
      <c r="AZ272" s="599">
        <f t="shared" si="757"/>
        <v>0.42209076475756513</v>
      </c>
      <c r="BA272" s="623">
        <f t="shared" si="757"/>
        <v>0.42003108806999773</v>
      </c>
      <c r="BB272" s="435">
        <f t="shared" si="757"/>
        <v>0.44037682380890575</v>
      </c>
      <c r="BC272" s="599">
        <f t="shared" si="757"/>
        <v>0.44347672113966835</v>
      </c>
      <c r="BD272" s="623">
        <f t="shared" si="757"/>
        <v>0.44192978988087428</v>
      </c>
      <c r="BE272" s="435">
        <f t="shared" si="757"/>
        <v>0.46010803202236683</v>
      </c>
      <c r="BF272" s="599">
        <f t="shared" si="757"/>
        <v>0.46332872562261479</v>
      </c>
      <c r="BG272" s="623">
        <f t="shared" si="757"/>
        <v>0.46172297572104187</v>
      </c>
      <c r="BH272" s="435">
        <f t="shared" si="757"/>
        <v>0.47504651298935779</v>
      </c>
      <c r="BI272" s="599">
        <f t="shared" si="757"/>
        <v>0.47791665642242948</v>
      </c>
      <c r="BJ272" s="623">
        <f t="shared" si="757"/>
        <v>0.4764868951696335</v>
      </c>
      <c r="BL272" s="115"/>
      <c r="BM272" s="115"/>
      <c r="BN272" s="115"/>
      <c r="BO272" s="115"/>
      <c r="BP272" s="115"/>
    </row>
    <row r="273" spans="1:68" ht="11.4">
      <c r="A273" s="25" t="s">
        <v>985</v>
      </c>
      <c r="Q273" s="73"/>
      <c r="R273" s="40"/>
      <c r="S273" s="630"/>
      <c r="T273" s="653"/>
      <c r="U273" s="40"/>
      <c r="V273" s="630"/>
      <c r="W273" s="653"/>
      <c r="X273" s="40"/>
      <c r="Y273" s="630"/>
      <c r="Z273" s="653"/>
      <c r="AA273" s="952">
        <f t="shared" ref="AA273:AB273" si="763">AA271/(AA265+AA257)</f>
        <v>0.42764092962163414</v>
      </c>
      <c r="AB273" s="647">
        <f t="shared" si="763"/>
        <v>0.432067120859984</v>
      </c>
      <c r="AC273" s="671">
        <f>AC271/(AC265+AC257)</f>
        <v>0.42987428013076234</v>
      </c>
      <c r="AD273" s="952">
        <f t="shared" ref="AD273:AE273" si="764">AD271/(AD265+AD257)</f>
        <v>0.3</v>
      </c>
      <c r="AE273" s="647">
        <f t="shared" si="764"/>
        <v>0.30000000000000004</v>
      </c>
      <c r="AF273" s="671">
        <f t="shared" ref="AF273:BJ273" si="765">AF271/(AF265+AF257)</f>
        <v>0.3</v>
      </c>
      <c r="AG273" s="952">
        <f t="shared" ref="AG273:AH273" si="766">AG271/(AG265+AG257)</f>
        <v>0.41000463741898024</v>
      </c>
      <c r="AH273" s="647">
        <f t="shared" si="766"/>
        <v>0.3952527469463516</v>
      </c>
      <c r="AI273" s="671">
        <f t="shared" si="765"/>
        <v>0.40297796712841094</v>
      </c>
      <c r="AJ273" s="952">
        <f t="shared" si="765"/>
        <v>0.4</v>
      </c>
      <c r="AK273" s="647">
        <f t="shared" ref="AK273" si="767">AK271/(AK265+AK257)</f>
        <v>0.4</v>
      </c>
      <c r="AL273" s="671">
        <f t="shared" si="765"/>
        <v>0.4</v>
      </c>
      <c r="AM273" s="952">
        <f t="shared" ref="AM273:AO273" si="768">AM271/(AM265+AM257)</f>
        <v>0.3414524531986789</v>
      </c>
      <c r="AN273" s="647">
        <f t="shared" si="768"/>
        <v>0.37758712101301994</v>
      </c>
      <c r="AO273" s="671">
        <f t="shared" si="768"/>
        <v>0.36091502064597236</v>
      </c>
      <c r="AP273" s="952">
        <f t="shared" ref="AP273:AQ273" si="769">AP271/(AP265+AP257)</f>
        <v>0.39480615335759078</v>
      </c>
      <c r="AQ273" s="647">
        <f t="shared" si="769"/>
        <v>0.39372760276616214</v>
      </c>
      <c r="AR273" s="671">
        <f t="shared" ref="AR273:AS273" si="770">AR271/(AR265+AR257)</f>
        <v>0.3942147937628297</v>
      </c>
      <c r="AS273" s="952">
        <f t="shared" si="770"/>
        <v>0.42408795427708679</v>
      </c>
      <c r="AT273" s="647">
        <f t="shared" si="765"/>
        <v>0.45623756481625588</v>
      </c>
      <c r="AU273" s="671">
        <f t="shared" si="765"/>
        <v>0.44194467533394116</v>
      </c>
      <c r="AV273" s="952">
        <f t="shared" si="765"/>
        <v>0.47304742185879861</v>
      </c>
      <c r="AW273" s="599">
        <f t="shared" si="765"/>
        <v>0.46219422939355492</v>
      </c>
      <c r="AX273" s="623">
        <f t="shared" si="765"/>
        <v>0.46744545611555993</v>
      </c>
      <c r="AY273" s="435">
        <f t="shared" si="765"/>
        <v>0.49267165843960831</v>
      </c>
      <c r="AZ273" s="599">
        <f t="shared" si="765"/>
        <v>0.49473472725914869</v>
      </c>
      <c r="BA273" s="623">
        <f t="shared" si="765"/>
        <v>0.4936887523512038</v>
      </c>
      <c r="BB273" s="435">
        <f t="shared" si="765"/>
        <v>0.519453492438951</v>
      </c>
      <c r="BC273" s="599">
        <f t="shared" si="765"/>
        <v>0.52095599231775669</v>
      </c>
      <c r="BD273" s="623">
        <f t="shared" si="765"/>
        <v>0.52020775480209958</v>
      </c>
      <c r="BE273" s="435">
        <f t="shared" si="765"/>
        <v>0.5449018756449947</v>
      </c>
      <c r="BF273" s="599">
        <f t="shared" si="765"/>
        <v>0.5463978121852856</v>
      </c>
      <c r="BG273" s="623">
        <f t="shared" si="765"/>
        <v>0.54565356245619956</v>
      </c>
      <c r="BH273" s="435">
        <f t="shared" si="765"/>
        <v>0.5635056927283304</v>
      </c>
      <c r="BI273" s="599">
        <f t="shared" si="765"/>
        <v>0.56449581517124714</v>
      </c>
      <c r="BJ273" s="623">
        <f t="shared" si="765"/>
        <v>0.56400364237887946</v>
      </c>
      <c r="BK273" s="56"/>
      <c r="BL273" s="115"/>
      <c r="BM273" s="115"/>
      <c r="BN273" s="115"/>
      <c r="BO273" s="115"/>
      <c r="BP273" s="115"/>
    </row>
    <row r="274" spans="1:68" ht="11.4">
      <c r="A274" s="65"/>
      <c r="Q274" s="39"/>
      <c r="R274" s="88"/>
      <c r="S274" s="858"/>
      <c r="T274" s="883"/>
      <c r="U274" s="88"/>
      <c r="V274" s="858"/>
      <c r="W274" s="883"/>
      <c r="X274" s="88"/>
      <c r="Y274" s="858"/>
      <c r="Z274" s="883"/>
      <c r="AA274" s="88"/>
      <c r="AB274" s="858"/>
      <c r="AC274" s="883"/>
      <c r="AD274" s="88"/>
      <c r="AE274" s="858"/>
      <c r="AF274" s="883"/>
      <c r="AG274" s="88"/>
      <c r="AH274" s="858"/>
      <c r="AI274" s="883"/>
      <c r="AJ274" s="88"/>
      <c r="AK274" s="858"/>
      <c r="AL274" s="883"/>
      <c r="AM274" s="88"/>
      <c r="AN274" s="544"/>
      <c r="AO274" s="584"/>
      <c r="AP274" s="194"/>
      <c r="AQ274" s="544"/>
      <c r="AR274" s="584"/>
      <c r="AS274" s="194"/>
      <c r="AT274" s="544"/>
      <c r="AU274" s="584"/>
      <c r="AV274" s="165"/>
      <c r="AW274" s="544"/>
      <c r="AX274" s="584"/>
      <c r="AY274" s="194"/>
      <c r="AZ274" s="544"/>
      <c r="BA274" s="584"/>
      <c r="BB274" s="194"/>
      <c r="BC274" s="544"/>
      <c r="BD274" s="584"/>
      <c r="BE274" s="194"/>
      <c r="BF274" s="544"/>
      <c r="BG274" s="584"/>
      <c r="BH274" s="194"/>
      <c r="BI274" s="544"/>
      <c r="BJ274" s="584"/>
      <c r="BL274" s="19"/>
      <c r="BM274" s="38"/>
    </row>
    <row r="275" spans="1:68" outlineLevel="1">
      <c r="A275" s="65" t="s">
        <v>447</v>
      </c>
      <c r="Q275" s="40">
        <v>140</v>
      </c>
      <c r="R275" s="40"/>
      <c r="S275" s="630"/>
      <c r="T275" s="653">
        <v>217</v>
      </c>
      <c r="U275" s="40"/>
      <c r="V275" s="630"/>
      <c r="W275" s="653">
        <v>113</v>
      </c>
      <c r="X275" s="40"/>
      <c r="Y275" s="630"/>
      <c r="Z275" s="653">
        <f>Civil!AC170</f>
        <v>38</v>
      </c>
      <c r="AA275" s="60"/>
      <c r="AB275" s="593"/>
      <c r="AC275" s="653"/>
      <c r="AD275" s="60"/>
      <c r="AE275" s="593"/>
      <c r="AF275" s="617"/>
      <c r="AG275" s="60"/>
      <c r="AH275" s="593"/>
      <c r="AI275" s="617"/>
      <c r="AJ275" s="60"/>
      <c r="AK275" s="593"/>
      <c r="AL275" s="617"/>
      <c r="AM275" s="60"/>
      <c r="AN275" s="542"/>
      <c r="AO275" s="556">
        <v>0</v>
      </c>
      <c r="AP275" s="10"/>
      <c r="AQ275" s="216"/>
      <c r="AR275" s="556">
        <v>0</v>
      </c>
      <c r="AS275" s="10"/>
      <c r="AT275" s="216"/>
      <c r="AU275" s="556">
        <v>0</v>
      </c>
      <c r="AV275" s="10"/>
      <c r="AW275" s="542"/>
      <c r="AX275" s="580">
        <v>0</v>
      </c>
      <c r="AY275" s="21"/>
      <c r="AZ275" s="542"/>
      <c r="BA275" s="580">
        <v>0</v>
      </c>
      <c r="BB275" s="21"/>
      <c r="BC275" s="542"/>
      <c r="BD275" s="580">
        <v>0</v>
      </c>
      <c r="BE275" s="21"/>
      <c r="BF275" s="542"/>
      <c r="BG275" s="580">
        <v>0</v>
      </c>
      <c r="BH275" s="21"/>
      <c r="BI275" s="542"/>
      <c r="BJ275" s="580">
        <v>0</v>
      </c>
      <c r="BL275"/>
    </row>
    <row r="276" spans="1:68" outlineLevel="1">
      <c r="A276" s="65" t="s">
        <v>448</v>
      </c>
      <c r="Q276" s="40">
        <v>-24</v>
      </c>
      <c r="R276" s="40"/>
      <c r="S276" s="630"/>
      <c r="T276" s="653">
        <v>-98</v>
      </c>
      <c r="U276" s="40"/>
      <c r="V276" s="630"/>
      <c r="W276" s="653">
        <v>-148</v>
      </c>
      <c r="X276" s="40"/>
      <c r="Y276" s="630"/>
      <c r="Z276" s="653">
        <f>Civil!AC171</f>
        <v>-80</v>
      </c>
      <c r="AA276" s="60"/>
      <c r="AB276" s="593"/>
      <c r="AC276" s="653"/>
      <c r="AD276" s="60"/>
      <c r="AE276" s="593"/>
      <c r="AF276" s="617"/>
      <c r="AG276" s="60"/>
      <c r="AH276" s="593"/>
      <c r="AI276" s="617"/>
      <c r="AJ276" s="60"/>
      <c r="AK276" s="593"/>
      <c r="AL276" s="617"/>
      <c r="AM276" s="60"/>
      <c r="AN276" s="542"/>
      <c r="AO276" s="556">
        <v>0</v>
      </c>
      <c r="AP276" s="10"/>
      <c r="AQ276" s="216"/>
      <c r="AR276" s="556">
        <v>0</v>
      </c>
      <c r="AS276" s="10"/>
      <c r="AT276" s="216"/>
      <c r="AU276" s="556">
        <v>0</v>
      </c>
      <c r="AV276" s="10"/>
      <c r="AW276" s="542"/>
      <c r="AX276" s="580">
        <v>0</v>
      </c>
      <c r="AY276" s="21"/>
      <c r="AZ276" s="542"/>
      <c r="BA276" s="580">
        <v>0</v>
      </c>
      <c r="BB276" s="21"/>
      <c r="BC276" s="542"/>
      <c r="BD276" s="580">
        <v>0</v>
      </c>
      <c r="BE276" s="21"/>
      <c r="BF276" s="542"/>
      <c r="BG276" s="580">
        <v>0</v>
      </c>
      <c r="BH276" s="21"/>
      <c r="BI276" s="542"/>
      <c r="BJ276" s="580">
        <v>0</v>
      </c>
      <c r="BL276"/>
    </row>
    <row r="277" spans="1:68" outlineLevel="1">
      <c r="A277" s="65" t="s">
        <v>449</v>
      </c>
      <c r="Q277" s="40">
        <v>0</v>
      </c>
      <c r="R277" s="40"/>
      <c r="S277" s="630"/>
      <c r="T277" s="653">
        <v>35</v>
      </c>
      <c r="U277" s="40"/>
      <c r="V277" s="630"/>
      <c r="W277" s="653">
        <v>0</v>
      </c>
      <c r="X277" s="40"/>
      <c r="Y277" s="630"/>
      <c r="Z277" s="653">
        <f>Civil!AC172</f>
        <v>0</v>
      </c>
      <c r="AA277" s="60"/>
      <c r="AB277" s="593"/>
      <c r="AC277" s="653"/>
      <c r="AD277" s="60"/>
      <c r="AE277" s="593"/>
      <c r="AF277" s="617"/>
      <c r="AG277" s="60"/>
      <c r="AH277" s="593"/>
      <c r="AI277" s="617"/>
      <c r="AJ277" s="60"/>
      <c r="AK277" s="593"/>
      <c r="AL277" s="617"/>
      <c r="AM277" s="60"/>
      <c r="AN277" s="542"/>
      <c r="AO277" s="556">
        <v>0</v>
      </c>
      <c r="AP277" s="10"/>
      <c r="AQ277" s="216"/>
      <c r="AR277" s="556">
        <v>0</v>
      </c>
      <c r="AS277" s="10"/>
      <c r="AT277" s="216"/>
      <c r="AU277" s="556">
        <v>0</v>
      </c>
      <c r="AV277" s="10"/>
      <c r="AW277" s="542"/>
      <c r="AX277" s="580">
        <v>0</v>
      </c>
      <c r="AY277" s="21"/>
      <c r="AZ277" s="542"/>
      <c r="BA277" s="580">
        <v>0</v>
      </c>
      <c r="BB277" s="21"/>
      <c r="BC277" s="542"/>
      <c r="BD277" s="580">
        <v>0</v>
      </c>
      <c r="BE277" s="21"/>
      <c r="BF277" s="542"/>
      <c r="BG277" s="580">
        <v>0</v>
      </c>
      <c r="BH277" s="21"/>
      <c r="BI277" s="542"/>
      <c r="BJ277" s="580">
        <v>0</v>
      </c>
      <c r="BL277"/>
    </row>
    <row r="278" spans="1:68" outlineLevel="1">
      <c r="A278" s="65" t="s">
        <v>450</v>
      </c>
      <c r="Q278" s="40">
        <v>-83</v>
      </c>
      <c r="R278" s="40"/>
      <c r="S278" s="630"/>
      <c r="T278" s="653">
        <v>-64</v>
      </c>
      <c r="U278" s="40"/>
      <c r="V278" s="630"/>
      <c r="W278" s="653">
        <v>17</v>
      </c>
      <c r="X278" s="40"/>
      <c r="Y278" s="630"/>
      <c r="Z278" s="653">
        <f>Civil!AC173</f>
        <v>-234</v>
      </c>
      <c r="AA278" s="60"/>
      <c r="AB278" s="593"/>
      <c r="AC278" s="653"/>
      <c r="AD278" s="60"/>
      <c r="AE278" s="593"/>
      <c r="AF278" s="617"/>
      <c r="AG278" s="60"/>
      <c r="AH278" s="593"/>
      <c r="AI278" s="617"/>
      <c r="AJ278" s="60"/>
      <c r="AK278" s="593"/>
      <c r="AL278" s="617"/>
      <c r="AM278" s="60"/>
      <c r="AN278" s="542"/>
      <c r="AO278" s="556">
        <v>0</v>
      </c>
      <c r="AP278" s="10"/>
      <c r="AQ278" s="216"/>
      <c r="AR278" s="556">
        <v>0</v>
      </c>
      <c r="AS278" s="10"/>
      <c r="AT278" s="216"/>
      <c r="AU278" s="556">
        <v>0</v>
      </c>
      <c r="AV278" s="10"/>
      <c r="AW278" s="542"/>
      <c r="AX278" s="580">
        <v>0</v>
      </c>
      <c r="AY278" s="21"/>
      <c r="AZ278" s="542"/>
      <c r="BA278" s="580">
        <v>0</v>
      </c>
      <c r="BB278" s="21"/>
      <c r="BC278" s="542"/>
      <c r="BD278" s="580">
        <v>0</v>
      </c>
      <c r="BE278" s="21"/>
      <c r="BF278" s="542"/>
      <c r="BG278" s="580">
        <v>0</v>
      </c>
      <c r="BH278" s="21"/>
      <c r="BI278" s="542"/>
      <c r="BJ278" s="580">
        <v>0</v>
      </c>
      <c r="BL278"/>
    </row>
    <row r="279" spans="1:68" outlineLevel="1">
      <c r="A279" s="65" t="s">
        <v>451</v>
      </c>
      <c r="Q279" s="40">
        <v>189</v>
      </c>
      <c r="R279" s="40"/>
      <c r="S279" s="630"/>
      <c r="T279" s="653">
        <v>0</v>
      </c>
      <c r="U279" s="40"/>
      <c r="V279" s="630"/>
      <c r="W279" s="653">
        <v>0</v>
      </c>
      <c r="X279" s="40"/>
      <c r="Y279" s="630"/>
      <c r="Z279" s="653">
        <f>Civil!AC174</f>
        <v>0</v>
      </c>
      <c r="AA279" s="60"/>
      <c r="AB279" s="593"/>
      <c r="AC279" s="653"/>
      <c r="AD279" s="60"/>
      <c r="AE279" s="593"/>
      <c r="AF279" s="617"/>
      <c r="AG279" s="60"/>
      <c r="AH279" s="593"/>
      <c r="AI279" s="617"/>
      <c r="AJ279" s="60"/>
      <c r="AK279" s="593"/>
      <c r="AL279" s="617"/>
      <c r="AM279" s="60"/>
      <c r="AN279" s="542"/>
      <c r="AO279" s="556">
        <v>0</v>
      </c>
      <c r="AP279" s="10"/>
      <c r="AQ279" s="216"/>
      <c r="AR279" s="556">
        <v>0</v>
      </c>
      <c r="AS279" s="10"/>
      <c r="AT279" s="216"/>
      <c r="AU279" s="556">
        <v>0</v>
      </c>
      <c r="AV279" s="10"/>
      <c r="AW279" s="542"/>
      <c r="AX279" s="580">
        <v>0</v>
      </c>
      <c r="AY279" s="21"/>
      <c r="AZ279" s="542"/>
      <c r="BA279" s="580">
        <v>0</v>
      </c>
      <c r="BB279" s="21"/>
      <c r="BC279" s="542"/>
      <c r="BD279" s="580">
        <v>0</v>
      </c>
      <c r="BE279" s="21"/>
      <c r="BF279" s="542"/>
      <c r="BG279" s="580">
        <v>0</v>
      </c>
      <c r="BH279" s="21"/>
      <c r="BI279" s="542"/>
      <c r="BJ279" s="580">
        <v>0</v>
      </c>
      <c r="BL279"/>
    </row>
    <row r="280" spans="1:68">
      <c r="A280" s="72" t="s">
        <v>446</v>
      </c>
      <c r="B280" s="31"/>
      <c r="C280" s="31"/>
      <c r="D280" s="31"/>
      <c r="E280" s="31"/>
      <c r="F280" s="31"/>
      <c r="G280" s="31"/>
      <c r="H280" s="31"/>
      <c r="I280" s="31"/>
      <c r="J280" s="31"/>
      <c r="K280" s="31"/>
      <c r="L280" s="31"/>
      <c r="M280" s="31"/>
      <c r="N280" s="31"/>
      <c r="O280" s="31"/>
      <c r="P280" s="31"/>
      <c r="Q280" s="31">
        <f>SUM(Q275:Q279)</f>
        <v>222</v>
      </c>
      <c r="R280" s="51"/>
      <c r="S280" s="629"/>
      <c r="T280" s="652">
        <f>SUM(T275:T279)</f>
        <v>90</v>
      </c>
      <c r="U280" s="51"/>
      <c r="V280" s="629"/>
      <c r="W280" s="652">
        <f>+SUM(W275:W279)</f>
        <v>-18</v>
      </c>
      <c r="X280" s="51"/>
      <c r="Y280" s="629"/>
      <c r="Z280" s="652">
        <f>SUM(Z275:Z279)</f>
        <v>-276</v>
      </c>
      <c r="AA280" s="51">
        <f>+Civil!AD175</f>
        <v>1</v>
      </c>
      <c r="AB280" s="629">
        <f>+Civil!AE175</f>
        <v>-34</v>
      </c>
      <c r="AC280" s="652">
        <f>+Civil!AF175</f>
        <v>-33</v>
      </c>
      <c r="AD280" s="51">
        <f>+Civil!AG175</f>
        <v>-1218</v>
      </c>
      <c r="AE280" s="629">
        <f>+Civil!AH175</f>
        <v>244</v>
      </c>
      <c r="AF280" s="652">
        <f>+Civil!AI175</f>
        <v>-974</v>
      </c>
      <c r="AG280" s="51">
        <f>+Civil!AJ175</f>
        <v>160</v>
      </c>
      <c r="AH280" s="629">
        <f>+Civil!AK175</f>
        <v>54</v>
      </c>
      <c r="AI280" s="652">
        <f>+Civil!AL175</f>
        <v>214</v>
      </c>
      <c r="AJ280" s="51">
        <f>+Civil!AM175</f>
        <v>241</v>
      </c>
      <c r="AK280" s="629">
        <f>+Civil!AN175</f>
        <v>119</v>
      </c>
      <c r="AL280" s="652">
        <f>+Civil!AO175</f>
        <v>360</v>
      </c>
      <c r="AM280" s="51">
        <f>+Civil!AP175</f>
        <v>23</v>
      </c>
      <c r="AN280" s="629">
        <f>+Civil!AQ175</f>
        <v>81</v>
      </c>
      <c r="AO280" s="652">
        <f>+Civil!AR175</f>
        <v>104</v>
      </c>
      <c r="AP280" s="51">
        <f>+Civil!AS175</f>
        <v>258</v>
      </c>
      <c r="AQ280" s="629">
        <f>+Civil!AT175</f>
        <v>-569</v>
      </c>
      <c r="AR280" s="652">
        <f>+Civil!AU175</f>
        <v>-311</v>
      </c>
      <c r="AS280" s="51">
        <f>+Civil!AV175</f>
        <v>-126</v>
      </c>
      <c r="AT280" s="629">
        <f>+Civil!AW175</f>
        <v>-153</v>
      </c>
      <c r="AU280" s="652">
        <f>+Civil!AX175</f>
        <v>-279</v>
      </c>
      <c r="AV280" s="51">
        <f>+Civil!AY175</f>
        <v>-356</v>
      </c>
      <c r="AW280" s="600">
        <f>+Civil!AZ175</f>
        <v>-144</v>
      </c>
      <c r="AX280" s="624">
        <f>+Civil!BA175</f>
        <v>-500</v>
      </c>
      <c r="AY280" s="52">
        <f>+Civil!BB175</f>
        <v>-150</v>
      </c>
      <c r="AZ280" s="600">
        <f>+Civil!BC175</f>
        <v>-150</v>
      </c>
      <c r="BA280" s="624">
        <f>+Civil!BD175</f>
        <v>-300</v>
      </c>
      <c r="BB280" s="52">
        <f>+Civil!BE175</f>
        <v>-50</v>
      </c>
      <c r="BC280" s="600">
        <f>+Civil!BF175</f>
        <v>-50</v>
      </c>
      <c r="BD280" s="624">
        <f>+Civil!BG175</f>
        <v>-100</v>
      </c>
      <c r="BE280" s="52">
        <f>+Civil!BH175</f>
        <v>0</v>
      </c>
      <c r="BF280" s="600">
        <f>+Civil!BI175</f>
        <v>0</v>
      </c>
      <c r="BG280" s="624">
        <f>+Civil!BJ175</f>
        <v>0</v>
      </c>
      <c r="BH280" s="52">
        <f>+Civil!BK175</f>
        <v>0</v>
      </c>
      <c r="BI280" s="600">
        <f>+Civil!BL175</f>
        <v>0</v>
      </c>
      <c r="BJ280" s="624">
        <f>+Civil!BM175</f>
        <v>0</v>
      </c>
      <c r="BL280"/>
    </row>
    <row r="281" spans="1:68">
      <c r="A281" s="66"/>
      <c r="S281" s="595"/>
      <c r="T281" s="619"/>
      <c r="V281" s="595"/>
      <c r="W281" s="619"/>
      <c r="Y281" s="595"/>
      <c r="Z281" s="619"/>
      <c r="AB281" s="595"/>
      <c r="AC281" s="619"/>
      <c r="AE281" s="595"/>
      <c r="AF281" s="619"/>
      <c r="AH281" s="595"/>
      <c r="AI281" s="619"/>
      <c r="AK281" s="595"/>
      <c r="AL281" s="619"/>
      <c r="AN281" s="539"/>
      <c r="AO281" s="550"/>
      <c r="AP281"/>
      <c r="AQ281" s="539"/>
      <c r="AR281" s="550"/>
      <c r="AS281"/>
      <c r="AT281" s="539"/>
      <c r="AU281" s="550"/>
      <c r="AV281"/>
      <c r="AW281" s="539"/>
      <c r="AX281" s="550"/>
      <c r="AY281"/>
      <c r="AZ281" s="539"/>
      <c r="BA281" s="550"/>
      <c r="BB281"/>
      <c r="BC281" s="539"/>
      <c r="BD281" s="550"/>
      <c r="BE281"/>
      <c r="BF281" s="539"/>
      <c r="BG281" s="550"/>
      <c r="BH281"/>
      <c r="BI281" s="539"/>
      <c r="BJ281" s="550"/>
      <c r="BL281"/>
    </row>
    <row r="282" spans="1:68">
      <c r="S282" s="595"/>
      <c r="T282" s="619"/>
      <c r="V282" s="595"/>
      <c r="W282" s="619"/>
      <c r="Y282" s="595"/>
      <c r="Z282" s="619"/>
      <c r="AB282" s="595"/>
      <c r="AC282" s="619"/>
      <c r="AE282" s="595"/>
      <c r="AF282" s="619"/>
      <c r="AH282" s="595"/>
      <c r="AI282" s="619"/>
      <c r="AK282" s="595"/>
      <c r="AL282" s="619"/>
      <c r="AN282" s="539"/>
      <c r="AO282" s="550"/>
      <c r="AP282"/>
      <c r="AQ282" s="539"/>
      <c r="AR282" s="550"/>
      <c r="AS282"/>
      <c r="AT282" s="539"/>
      <c r="AU282" s="550"/>
      <c r="AV282"/>
      <c r="AW282" s="539"/>
      <c r="AX282" s="550"/>
      <c r="AY282"/>
      <c r="AZ282" s="539"/>
      <c r="BA282" s="550"/>
      <c r="BB282"/>
      <c r="BC282" s="539"/>
      <c r="BD282" s="550"/>
      <c r="BE282"/>
      <c r="BF282" s="539"/>
      <c r="BG282" s="550"/>
      <c r="BH282"/>
      <c r="BI282" s="539"/>
      <c r="BJ282" s="550"/>
      <c r="BL282"/>
    </row>
    <row r="283" spans="1:68">
      <c r="A283" s="310" t="s">
        <v>546</v>
      </c>
      <c r="B283" s="311"/>
      <c r="C283" s="311"/>
      <c r="D283" s="311"/>
      <c r="E283" s="311"/>
      <c r="F283" s="311"/>
      <c r="G283" s="311"/>
      <c r="H283" s="311"/>
      <c r="I283" s="311"/>
      <c r="J283" s="311"/>
      <c r="K283" s="311"/>
      <c r="L283" s="311"/>
      <c r="M283" s="311"/>
      <c r="N283" s="311"/>
      <c r="O283" s="311"/>
      <c r="P283" s="311"/>
      <c r="Q283" s="311"/>
      <c r="R283" s="525"/>
      <c r="S283" s="317"/>
      <c r="T283" s="551"/>
      <c r="U283" s="525"/>
      <c r="V283" s="317"/>
      <c r="W283" s="551"/>
      <c r="X283" s="525"/>
      <c r="Y283" s="317"/>
      <c r="Z283" s="551"/>
      <c r="AA283" s="525"/>
      <c r="AB283" s="317"/>
      <c r="AC283" s="551"/>
      <c r="AD283" s="525"/>
      <c r="AE283" s="317"/>
      <c r="AF283" s="551"/>
      <c r="AG283" s="525"/>
      <c r="AH283" s="317"/>
      <c r="AI283" s="551"/>
      <c r="AJ283" s="525"/>
      <c r="AK283" s="317"/>
      <c r="AL283" s="551"/>
      <c r="AM283" s="525"/>
      <c r="AN283" s="317"/>
      <c r="AO283" s="551"/>
      <c r="AP283" s="525"/>
      <c r="AQ283" s="317"/>
      <c r="AR283" s="551"/>
      <c r="AS283" s="525"/>
      <c r="AT283" s="317"/>
      <c r="AU283" s="551"/>
      <c r="AV283" s="525"/>
      <c r="AW283" s="814"/>
      <c r="AX283" s="846"/>
      <c r="AY283" s="536"/>
      <c r="AZ283" s="814"/>
      <c r="BA283" s="846"/>
      <c r="BB283" s="536"/>
      <c r="BC283" s="814"/>
      <c r="BD283" s="846"/>
      <c r="BE283" s="536"/>
      <c r="BF283" s="814"/>
      <c r="BG283" s="846"/>
      <c r="BH283" s="536"/>
      <c r="BI283" s="814"/>
      <c r="BJ283" s="846"/>
      <c r="BL283"/>
    </row>
    <row r="284" spans="1:68">
      <c r="C284" s="40"/>
      <c r="D284" s="40"/>
      <c r="E284" s="40"/>
      <c r="F284" s="40"/>
      <c r="G284" s="40"/>
      <c r="H284" s="40"/>
      <c r="I284" s="40"/>
      <c r="J284" s="40"/>
      <c r="K284" s="40"/>
      <c r="L284" s="40"/>
      <c r="M284" s="40"/>
      <c r="N284" s="40"/>
      <c r="O284" s="40"/>
      <c r="P284" s="40"/>
      <c r="Q284" s="40"/>
      <c r="R284" s="40"/>
      <c r="S284" s="630"/>
      <c r="T284" s="653"/>
      <c r="U284" s="40"/>
      <c r="V284" s="630"/>
      <c r="W284" s="653"/>
      <c r="X284" s="40"/>
      <c r="Y284" s="630"/>
      <c r="Z284" s="653"/>
      <c r="AA284" s="40"/>
      <c r="AB284" s="630"/>
      <c r="AC284" s="653"/>
      <c r="AD284" s="40"/>
      <c r="AE284" s="630"/>
      <c r="AF284" s="653"/>
      <c r="AG284" s="40"/>
      <c r="AH284" s="630"/>
      <c r="AI284" s="653"/>
      <c r="AJ284" s="40"/>
      <c r="AK284" s="630"/>
      <c r="AL284" s="653"/>
      <c r="AM284" s="40"/>
      <c r="AN284" s="539"/>
      <c r="AO284" s="550"/>
      <c r="AP284"/>
      <c r="AQ284" s="539"/>
      <c r="AR284" s="550"/>
      <c r="AS284"/>
      <c r="AT284" s="539"/>
      <c r="AU284" s="550"/>
      <c r="AV284"/>
      <c r="AW284" s="539"/>
      <c r="AX284" s="550"/>
      <c r="AY284"/>
      <c r="AZ284" s="539"/>
      <c r="BA284" s="550"/>
      <c r="BB284"/>
      <c r="BC284" s="539"/>
      <c r="BD284" s="550"/>
      <c r="BE284"/>
      <c r="BF284" s="539"/>
      <c r="BG284" s="550"/>
      <c r="BH284"/>
      <c r="BI284" s="539"/>
      <c r="BJ284" s="550"/>
      <c r="BL284"/>
    </row>
    <row r="285" spans="1:68" outlineLevel="1">
      <c r="A285" s="68" t="s">
        <v>610</v>
      </c>
      <c r="B285" s="68"/>
      <c r="C285" s="46"/>
      <c r="D285" s="46"/>
      <c r="E285" s="46"/>
      <c r="F285" s="46"/>
      <c r="G285" s="46"/>
      <c r="H285" s="46"/>
      <c r="I285" s="46"/>
      <c r="J285" s="46"/>
      <c r="K285" s="46"/>
      <c r="L285" s="46"/>
      <c r="M285" s="46"/>
      <c r="N285" s="46"/>
      <c r="O285" s="46"/>
      <c r="P285" s="46">
        <f>P5+P6</f>
        <v>810</v>
      </c>
      <c r="Q285" s="46">
        <f>Q5+Q6</f>
        <v>785</v>
      </c>
      <c r="R285" s="46"/>
      <c r="S285" s="643"/>
      <c r="T285" s="667">
        <f>T5+T6</f>
        <v>794</v>
      </c>
      <c r="U285" s="46"/>
      <c r="V285" s="643"/>
      <c r="W285" s="667">
        <f>W5+W6</f>
        <v>870</v>
      </c>
      <c r="X285" s="46"/>
      <c r="Y285" s="643"/>
      <c r="Z285" s="667">
        <f t="shared" ref="Z285:AI285" si="771">+Z286+Z287</f>
        <v>972.97928904347839</v>
      </c>
      <c r="AA285" s="46">
        <f>+AA286+AA287</f>
        <v>424</v>
      </c>
      <c r="AB285" s="643">
        <f>+AB286+AB287</f>
        <v>408</v>
      </c>
      <c r="AC285" s="667">
        <f t="shared" si="771"/>
        <v>832</v>
      </c>
      <c r="AD285" s="46">
        <f>+AD286+AD287</f>
        <v>333</v>
      </c>
      <c r="AE285" s="643">
        <f>+AE286+AE287</f>
        <v>295</v>
      </c>
      <c r="AF285" s="667">
        <f t="shared" si="771"/>
        <v>628</v>
      </c>
      <c r="AG285" s="46">
        <f>+AG286+AG287</f>
        <v>358</v>
      </c>
      <c r="AH285" s="643">
        <f>+AH286+AH287</f>
        <v>483</v>
      </c>
      <c r="AI285" s="667">
        <f t="shared" si="771"/>
        <v>841</v>
      </c>
      <c r="AJ285" s="46">
        <f t="shared" ref="AJ285:AO285" si="772">+AJ286+AJ287</f>
        <v>429</v>
      </c>
      <c r="AK285" s="643">
        <f t="shared" si="772"/>
        <v>521</v>
      </c>
      <c r="AL285" s="667">
        <f t="shared" si="772"/>
        <v>950</v>
      </c>
      <c r="AM285" s="46">
        <f t="shared" si="772"/>
        <v>529</v>
      </c>
      <c r="AN285" s="643">
        <f t="shared" si="772"/>
        <v>525</v>
      </c>
      <c r="AO285" s="667">
        <f t="shared" si="772"/>
        <v>1054</v>
      </c>
      <c r="AP285" s="46">
        <f t="shared" ref="AP285:AR285" si="773">+AP286+AP287</f>
        <v>668</v>
      </c>
      <c r="AQ285" s="643">
        <f t="shared" si="773"/>
        <v>578</v>
      </c>
      <c r="AR285" s="667">
        <f t="shared" si="773"/>
        <v>1246</v>
      </c>
      <c r="AS285" s="46">
        <f t="shared" ref="AS285" si="774">+AS286+AS287</f>
        <v>653</v>
      </c>
      <c r="AT285" s="232">
        <f t="shared" ref="AT285:BJ285" si="775">+AT286+AT287</f>
        <v>592</v>
      </c>
      <c r="AU285" s="552">
        <f t="shared" si="775"/>
        <v>1245</v>
      </c>
      <c r="AV285" s="184">
        <f t="shared" si="775"/>
        <v>736</v>
      </c>
      <c r="AW285" s="250">
        <f t="shared" si="775"/>
        <v>670.29565217391314</v>
      </c>
      <c r="AX285" s="615">
        <f t="shared" si="775"/>
        <v>1406.2956521739131</v>
      </c>
      <c r="AY285" s="249">
        <f t="shared" si="775"/>
        <v>814.40444444444449</v>
      </c>
      <c r="AZ285" s="250">
        <f t="shared" si="775"/>
        <v>743.64355555555585</v>
      </c>
      <c r="BA285" s="615">
        <f t="shared" si="775"/>
        <v>1558.048</v>
      </c>
      <c r="BB285" s="249">
        <f t="shared" si="775"/>
        <v>902.71863636363651</v>
      </c>
      <c r="BC285" s="250">
        <f t="shared" si="775"/>
        <v>826.30354545454566</v>
      </c>
      <c r="BD285" s="615">
        <f t="shared" si="775"/>
        <v>1729.0221818181819</v>
      </c>
      <c r="BE285" s="249">
        <f t="shared" si="775"/>
        <v>979.50413636363658</v>
      </c>
      <c r="BF285" s="250">
        <f t="shared" si="775"/>
        <v>898.63844545454549</v>
      </c>
      <c r="BG285" s="615">
        <f t="shared" si="775"/>
        <v>1878.142581818182</v>
      </c>
      <c r="BH285" s="249">
        <f t="shared" si="775"/>
        <v>1063.9681863636367</v>
      </c>
      <c r="BI285" s="250">
        <f t="shared" si="775"/>
        <v>978.20683545454563</v>
      </c>
      <c r="BJ285" s="615">
        <f t="shared" si="775"/>
        <v>2042.1750218181824</v>
      </c>
      <c r="BL285"/>
    </row>
    <row r="286" spans="1:68" outlineLevel="1">
      <c r="A286" s="66" t="s">
        <v>612</v>
      </c>
      <c r="C286" s="40"/>
      <c r="D286" s="40"/>
      <c r="E286" s="40"/>
      <c r="F286" s="40"/>
      <c r="G286" s="40"/>
      <c r="H286" s="40"/>
      <c r="I286" s="40"/>
      <c r="J286" s="40"/>
      <c r="K286" s="40"/>
      <c r="L286" s="40"/>
      <c r="M286" s="40"/>
      <c r="N286" s="40"/>
      <c r="O286" s="40"/>
      <c r="P286" s="40">
        <f>+P5</f>
        <v>383</v>
      </c>
      <c r="Q286" s="40">
        <f>+Q5</f>
        <v>425</v>
      </c>
      <c r="R286" s="40"/>
      <c r="S286" s="630"/>
      <c r="T286" s="653">
        <f>+T5</f>
        <v>452</v>
      </c>
      <c r="U286" s="40"/>
      <c r="V286" s="630"/>
      <c r="W286" s="653">
        <f>+W5</f>
        <v>527</v>
      </c>
      <c r="X286" s="40"/>
      <c r="Y286" s="630"/>
      <c r="Z286" s="653">
        <f>+Z328/Z375</f>
        <v>611.86698017391313</v>
      </c>
      <c r="AA286" s="40">
        <f t="shared" ref="AA286:AU286" si="776">AA20</f>
        <v>261</v>
      </c>
      <c r="AB286" s="630">
        <f t="shared" si="776"/>
        <v>216</v>
      </c>
      <c r="AC286" s="653">
        <f t="shared" si="776"/>
        <v>477</v>
      </c>
      <c r="AD286" s="40">
        <f t="shared" si="776"/>
        <v>207</v>
      </c>
      <c r="AE286" s="630">
        <f t="shared" si="776"/>
        <v>237</v>
      </c>
      <c r="AF286" s="653">
        <f t="shared" si="776"/>
        <v>444</v>
      </c>
      <c r="AG286" s="40">
        <f t="shared" si="776"/>
        <v>295</v>
      </c>
      <c r="AH286" s="630">
        <f t="shared" si="776"/>
        <v>359</v>
      </c>
      <c r="AI286" s="653">
        <f t="shared" si="776"/>
        <v>654</v>
      </c>
      <c r="AJ286" s="40">
        <f t="shared" si="776"/>
        <v>329</v>
      </c>
      <c r="AK286" s="630">
        <f t="shared" si="776"/>
        <v>392</v>
      </c>
      <c r="AL286" s="653">
        <f t="shared" si="776"/>
        <v>721</v>
      </c>
      <c r="AM286" s="40">
        <f t="shared" si="776"/>
        <v>407</v>
      </c>
      <c r="AN286" s="630">
        <f t="shared" si="776"/>
        <v>383</v>
      </c>
      <c r="AO286" s="653">
        <f t="shared" si="776"/>
        <v>790</v>
      </c>
      <c r="AP286" s="40">
        <f t="shared" si="776"/>
        <v>551</v>
      </c>
      <c r="AQ286" s="630">
        <f t="shared" si="776"/>
        <v>482</v>
      </c>
      <c r="AR286" s="653">
        <f t="shared" si="776"/>
        <v>1033</v>
      </c>
      <c r="AS286" s="40">
        <f t="shared" si="776"/>
        <v>551</v>
      </c>
      <c r="AT286" s="630">
        <f t="shared" si="776"/>
        <v>476</v>
      </c>
      <c r="AU286" s="653">
        <f t="shared" si="776"/>
        <v>1027</v>
      </c>
      <c r="AV286" s="40">
        <f t="shared" ref="AV286" si="777">AV20</f>
        <v>607</v>
      </c>
      <c r="AW286" s="236">
        <f t="shared" ref="AW286:BJ286" si="778">+AW328/AW374</f>
        <v>571.81739130434789</v>
      </c>
      <c r="AX286" s="605">
        <f>+AX328/AX374</f>
        <v>1178.8173913043479</v>
      </c>
      <c r="AY286" s="56">
        <f t="shared" si="778"/>
        <v>682.53777777777782</v>
      </c>
      <c r="AZ286" s="236">
        <f t="shared" si="778"/>
        <v>642.97688888888899</v>
      </c>
      <c r="BA286" s="605">
        <f t="shared" si="778"/>
        <v>1325.5146666666667</v>
      </c>
      <c r="BB286" s="56">
        <f t="shared" si="778"/>
        <v>767.85500000000013</v>
      </c>
      <c r="BC286" s="236">
        <f t="shared" si="778"/>
        <v>723.34900000000005</v>
      </c>
      <c r="BD286" s="605">
        <f t="shared" si="778"/>
        <v>1491.2040000000002</v>
      </c>
      <c r="BE286" s="56">
        <f t="shared" si="778"/>
        <v>844.6405000000002</v>
      </c>
      <c r="BF286" s="236">
        <f t="shared" si="778"/>
        <v>795.68389999999999</v>
      </c>
      <c r="BG286" s="605">
        <f t="shared" si="778"/>
        <v>1640.3244000000002</v>
      </c>
      <c r="BH286" s="56">
        <f t="shared" si="778"/>
        <v>929.10455000000036</v>
      </c>
      <c r="BI286" s="236">
        <f t="shared" si="778"/>
        <v>875.25229000000013</v>
      </c>
      <c r="BJ286" s="605">
        <f t="shared" si="778"/>
        <v>1804.3568400000006</v>
      </c>
      <c r="BL286"/>
    </row>
    <row r="287" spans="1:68" outlineLevel="1">
      <c r="A287" s="66" t="s">
        <v>611</v>
      </c>
      <c r="C287" s="40"/>
      <c r="D287" s="40"/>
      <c r="E287" s="40"/>
      <c r="F287" s="40"/>
      <c r="G287" s="40"/>
      <c r="H287" s="40"/>
      <c r="I287" s="40"/>
      <c r="J287" s="40"/>
      <c r="K287" s="40"/>
      <c r="L287" s="40"/>
      <c r="M287" s="40"/>
      <c r="N287" s="40"/>
      <c r="O287" s="40"/>
      <c r="P287" s="40">
        <f>+P6</f>
        <v>427</v>
      </c>
      <c r="Q287" s="40">
        <f>+Q6</f>
        <v>360</v>
      </c>
      <c r="R287" s="40"/>
      <c r="S287" s="630"/>
      <c r="T287" s="653">
        <f>+T6</f>
        <v>342</v>
      </c>
      <c r="U287" s="40"/>
      <c r="V287" s="630"/>
      <c r="W287" s="653">
        <f>+W6</f>
        <v>343</v>
      </c>
      <c r="X287" s="40"/>
      <c r="Y287" s="630"/>
      <c r="Z287" s="653">
        <f>+Z330/Z375</f>
        <v>361.11230886956525</v>
      </c>
      <c r="AA287" s="40">
        <f t="shared" ref="AA287:AU287" si="779">AA21</f>
        <v>163</v>
      </c>
      <c r="AB287" s="630">
        <f t="shared" si="779"/>
        <v>192</v>
      </c>
      <c r="AC287" s="653">
        <f t="shared" si="779"/>
        <v>355</v>
      </c>
      <c r="AD287" s="40">
        <f t="shared" si="779"/>
        <v>126</v>
      </c>
      <c r="AE287" s="630">
        <f t="shared" si="779"/>
        <v>58</v>
      </c>
      <c r="AF287" s="653">
        <f t="shared" si="779"/>
        <v>184</v>
      </c>
      <c r="AG287" s="40">
        <f t="shared" si="779"/>
        <v>63</v>
      </c>
      <c r="AH287" s="630">
        <f t="shared" si="779"/>
        <v>124</v>
      </c>
      <c r="AI287" s="653">
        <f t="shared" si="779"/>
        <v>187</v>
      </c>
      <c r="AJ287" s="40">
        <f t="shared" si="779"/>
        <v>100</v>
      </c>
      <c r="AK287" s="630">
        <f t="shared" si="779"/>
        <v>129</v>
      </c>
      <c r="AL287" s="653">
        <f t="shared" si="779"/>
        <v>229</v>
      </c>
      <c r="AM287" s="40">
        <f t="shared" si="779"/>
        <v>122</v>
      </c>
      <c r="AN287" s="630">
        <f t="shared" si="779"/>
        <v>142</v>
      </c>
      <c r="AO287" s="653">
        <f t="shared" si="779"/>
        <v>264</v>
      </c>
      <c r="AP287" s="40">
        <f t="shared" si="779"/>
        <v>117</v>
      </c>
      <c r="AQ287" s="630">
        <f t="shared" si="779"/>
        <v>96</v>
      </c>
      <c r="AR287" s="653">
        <f t="shared" si="779"/>
        <v>213</v>
      </c>
      <c r="AS287" s="40">
        <f t="shared" si="779"/>
        <v>102</v>
      </c>
      <c r="AT287" s="630">
        <f t="shared" si="779"/>
        <v>116</v>
      </c>
      <c r="AU287" s="653">
        <f t="shared" si="779"/>
        <v>218</v>
      </c>
      <c r="AV287" s="40">
        <f t="shared" ref="AV287" si="780">AV21</f>
        <v>129</v>
      </c>
      <c r="AW287" s="236">
        <f t="shared" ref="AW287:BJ287" si="781">+AW330/AW374</f>
        <v>98.47826086956529</v>
      </c>
      <c r="AX287" s="605">
        <f t="shared" si="781"/>
        <v>227.47826086956525</v>
      </c>
      <c r="AY287" s="56">
        <f t="shared" si="781"/>
        <v>131.86666666666665</v>
      </c>
      <c r="AZ287" s="236">
        <f t="shared" si="781"/>
        <v>100.66666666666681</v>
      </c>
      <c r="BA287" s="605">
        <f t="shared" si="781"/>
        <v>232.53333333333333</v>
      </c>
      <c r="BB287" s="56">
        <f t="shared" si="781"/>
        <v>134.86363636363635</v>
      </c>
      <c r="BC287" s="236">
        <f t="shared" si="781"/>
        <v>102.95454545454561</v>
      </c>
      <c r="BD287" s="605">
        <f t="shared" si="781"/>
        <v>237.81818181818181</v>
      </c>
      <c r="BE287" s="56">
        <f t="shared" si="781"/>
        <v>134.86363636363635</v>
      </c>
      <c r="BF287" s="236">
        <f t="shared" si="781"/>
        <v>102.95454545454552</v>
      </c>
      <c r="BG287" s="605">
        <f t="shared" si="781"/>
        <v>237.81818181818181</v>
      </c>
      <c r="BH287" s="56">
        <f t="shared" si="781"/>
        <v>134.86363636363635</v>
      </c>
      <c r="BI287" s="236">
        <f t="shared" si="781"/>
        <v>102.95454545454552</v>
      </c>
      <c r="BJ287" s="605">
        <f t="shared" si="781"/>
        <v>237.81818181818181</v>
      </c>
      <c r="BL287"/>
    </row>
    <row r="288" spans="1:68" outlineLevel="1">
      <c r="C288" s="40"/>
      <c r="D288" s="40"/>
      <c r="E288" s="40"/>
      <c r="F288" s="40"/>
      <c r="G288" s="40"/>
      <c r="H288" s="40"/>
      <c r="I288" s="40"/>
      <c r="J288" s="40"/>
      <c r="K288" s="40"/>
      <c r="L288" s="40"/>
      <c r="M288" s="40"/>
      <c r="N288" s="40"/>
      <c r="O288" s="40"/>
      <c r="P288" s="40"/>
      <c r="Q288" s="40"/>
      <c r="R288" s="40"/>
      <c r="S288" s="630"/>
      <c r="T288" s="653"/>
      <c r="U288" s="40"/>
      <c r="V288" s="630"/>
      <c r="W288" s="653"/>
      <c r="X288" s="40"/>
      <c r="Y288" s="630"/>
      <c r="Z288" s="653"/>
      <c r="AA288" s="40"/>
      <c r="AB288" s="630"/>
      <c r="AC288" s="653"/>
      <c r="AD288" s="40"/>
      <c r="AE288" s="630"/>
      <c r="AF288" s="653"/>
      <c r="AG288" s="40"/>
      <c r="AH288" s="630"/>
      <c r="AI288" s="653"/>
      <c r="AJ288" s="40"/>
      <c r="AK288" s="630"/>
      <c r="AL288" s="653"/>
      <c r="AM288" s="40"/>
      <c r="AN288" s="539"/>
      <c r="AO288" s="550"/>
      <c r="AP288"/>
      <c r="AQ288" s="539"/>
      <c r="AR288" s="550"/>
      <c r="AS288"/>
      <c r="AT288" s="539"/>
      <c r="AU288" s="550"/>
      <c r="AV288"/>
      <c r="AW288" s="539"/>
      <c r="AX288" s="550"/>
      <c r="AY288"/>
      <c r="AZ288" s="539"/>
      <c r="BA288" s="550"/>
      <c r="BB288"/>
      <c r="BC288" s="539"/>
      <c r="BD288" s="550"/>
      <c r="BE288"/>
      <c r="BF288" s="539"/>
      <c r="BG288" s="550"/>
      <c r="BH288"/>
      <c r="BI288" s="539"/>
      <c r="BJ288" s="550"/>
    </row>
    <row r="289" spans="1:63" outlineLevel="1">
      <c r="A289" s="68" t="s">
        <v>758</v>
      </c>
      <c r="B289" s="68"/>
      <c r="C289" s="46"/>
      <c r="D289" s="46"/>
      <c r="E289" s="46"/>
      <c r="F289" s="46"/>
      <c r="G289" s="46"/>
      <c r="H289" s="46"/>
      <c r="I289" s="46"/>
      <c r="J289" s="46"/>
      <c r="K289" s="46"/>
      <c r="L289" s="46"/>
      <c r="M289" s="46"/>
      <c r="N289" s="46"/>
      <c r="O289" s="46"/>
      <c r="P289" s="46"/>
      <c r="Q289" s="46">
        <f>Q285*Q290</f>
        <v>392.5</v>
      </c>
      <c r="R289" s="46"/>
      <c r="S289" s="643"/>
      <c r="T289" s="667">
        <f>T285*T290</f>
        <v>397</v>
      </c>
      <c r="U289" s="46"/>
      <c r="V289" s="643"/>
      <c r="W289" s="667">
        <f>W285*W290</f>
        <v>435</v>
      </c>
      <c r="X289" s="46"/>
      <c r="Y289" s="643"/>
      <c r="Z289" s="667">
        <f>Z285*Z290</f>
        <v>486.48964452173919</v>
      </c>
      <c r="AA289" s="46">
        <f>AA285*AA290</f>
        <v>212</v>
      </c>
      <c r="AB289" s="643">
        <f>AC289-AA289</f>
        <v>204</v>
      </c>
      <c r="AC289" s="667">
        <f>AC285*AC290</f>
        <v>416</v>
      </c>
      <c r="AD289" s="46">
        <f>AD285*AD290</f>
        <v>99.899999999999991</v>
      </c>
      <c r="AE289" s="643">
        <f>AF289-AD289</f>
        <v>88.500000000000014</v>
      </c>
      <c r="AF289" s="667">
        <f>AF285*AF290</f>
        <v>188.4</v>
      </c>
      <c r="AG289" s="46">
        <f>AG285*AG290</f>
        <v>107.39999999999999</v>
      </c>
      <c r="AH289" s="643">
        <f>AI289-AG289</f>
        <v>144.89999999999998</v>
      </c>
      <c r="AI289" s="667">
        <f>AI285*AI290</f>
        <v>252.29999999999998</v>
      </c>
      <c r="AJ289" s="46">
        <f>AJ285*AJ290</f>
        <v>150.14999999999998</v>
      </c>
      <c r="AK289" s="643">
        <f>AL289-AJ289</f>
        <v>182.35000000000002</v>
      </c>
      <c r="AL289" s="667">
        <f>AL285*AL290</f>
        <v>332.5</v>
      </c>
      <c r="AM289" s="46">
        <f>AM285*AM290</f>
        <v>211.60000000000002</v>
      </c>
      <c r="AN289" s="643">
        <f>AO289-AM289</f>
        <v>210</v>
      </c>
      <c r="AO289" s="667">
        <f>AO285*AO290</f>
        <v>421.6</v>
      </c>
      <c r="AP289" s="46">
        <f>AP285*AP290</f>
        <v>267.2</v>
      </c>
      <c r="AQ289" s="643">
        <f>AR289-AP289</f>
        <v>231.20000000000005</v>
      </c>
      <c r="AR289" s="667">
        <f>AR285*AR290</f>
        <v>498.40000000000003</v>
      </c>
      <c r="AS289" s="46">
        <f>AS285*AS290</f>
        <v>261.2</v>
      </c>
      <c r="AT289" s="232">
        <f>AU289-AS289</f>
        <v>299.05</v>
      </c>
      <c r="AU289" s="552">
        <f>AU285*AU290</f>
        <v>560.25</v>
      </c>
      <c r="AV289" s="184">
        <f>AV285*AV290</f>
        <v>368</v>
      </c>
      <c r="AW289" s="250">
        <f>AX289-AV289</f>
        <v>335.14782608695657</v>
      </c>
      <c r="AX289" s="615">
        <f>AX285*AX290</f>
        <v>703.14782608695657</v>
      </c>
      <c r="AY289" s="249">
        <f>AY285*AY290</f>
        <v>407.20222222222225</v>
      </c>
      <c r="AZ289" s="250">
        <f>BA289-AY289</f>
        <v>371.82177777777775</v>
      </c>
      <c r="BA289" s="615">
        <f>BA285*BA290</f>
        <v>779.024</v>
      </c>
      <c r="BB289" s="249">
        <f>BB285*BB290</f>
        <v>451.35931818181825</v>
      </c>
      <c r="BC289" s="250">
        <f>BD289-BB289</f>
        <v>413.15177272727271</v>
      </c>
      <c r="BD289" s="615">
        <f>BD285*BD290</f>
        <v>864.51109090909097</v>
      </c>
      <c r="BE289" s="249">
        <f>BE285*BE290</f>
        <v>489.75206818181829</v>
      </c>
      <c r="BF289" s="250">
        <f>BG289-BE289</f>
        <v>449.31922272727269</v>
      </c>
      <c r="BG289" s="615">
        <f>BG285*BG290</f>
        <v>939.07129090909098</v>
      </c>
      <c r="BH289" s="249">
        <f>BH285*BH290</f>
        <v>531.98409318181837</v>
      </c>
      <c r="BI289" s="250">
        <f>BJ289-BH289</f>
        <v>489.10341772727281</v>
      </c>
      <c r="BJ289" s="615">
        <f>BJ285*BJ290</f>
        <v>1021.0875109090912</v>
      </c>
    </row>
    <row r="290" spans="1:63" outlineLevel="1">
      <c r="A290" s="25" t="s">
        <v>551</v>
      </c>
      <c r="C290" s="40"/>
      <c r="D290" s="40"/>
      <c r="E290" s="40"/>
      <c r="F290" s="40"/>
      <c r="G290" s="40"/>
      <c r="H290" s="40"/>
      <c r="I290" s="40"/>
      <c r="J290" s="40"/>
      <c r="K290" s="40"/>
      <c r="L290" s="40"/>
      <c r="M290" s="40"/>
      <c r="N290" s="40"/>
      <c r="O290" s="40"/>
      <c r="P290" s="40"/>
      <c r="Q290" s="50">
        <v>0.5</v>
      </c>
      <c r="R290" s="50"/>
      <c r="S290" s="647"/>
      <c r="T290" s="671">
        <f>+Q290</f>
        <v>0.5</v>
      </c>
      <c r="U290" s="50"/>
      <c r="V290" s="647"/>
      <c r="W290" s="671">
        <f>+T290</f>
        <v>0.5</v>
      </c>
      <c r="X290" s="50"/>
      <c r="Y290" s="647"/>
      <c r="Z290" s="671">
        <f>W290</f>
        <v>0.5</v>
      </c>
      <c r="AA290" s="50">
        <f>AC290</f>
        <v>0.5</v>
      </c>
      <c r="AB290" s="647">
        <f>AB289/AB285</f>
        <v>0.5</v>
      </c>
      <c r="AC290" s="671">
        <f>Z290</f>
        <v>0.5</v>
      </c>
      <c r="AD290" s="50">
        <f>AF290</f>
        <v>0.3</v>
      </c>
      <c r="AE290" s="647">
        <f>AE289/AE285</f>
        <v>0.30000000000000004</v>
      </c>
      <c r="AF290" s="671">
        <v>0.3</v>
      </c>
      <c r="AG290" s="50">
        <f>AI290</f>
        <v>0.3</v>
      </c>
      <c r="AH290" s="647">
        <f>AH289/AH285</f>
        <v>0.29999999999999993</v>
      </c>
      <c r="AI290" s="671">
        <f>AF290</f>
        <v>0.3</v>
      </c>
      <c r="AJ290" s="50">
        <f>AL290</f>
        <v>0.35</v>
      </c>
      <c r="AK290" s="647">
        <f>AK289/AK285</f>
        <v>0.35000000000000003</v>
      </c>
      <c r="AL290" s="671">
        <v>0.35</v>
      </c>
      <c r="AM290" s="50">
        <v>0.4</v>
      </c>
      <c r="AN290" s="217">
        <f>AN289/AN285</f>
        <v>0.4</v>
      </c>
      <c r="AO290" s="554">
        <v>0.4</v>
      </c>
      <c r="AP290" s="50">
        <v>0.4</v>
      </c>
      <c r="AQ290" s="217">
        <f>AQ289/AQ285</f>
        <v>0.40000000000000008</v>
      </c>
      <c r="AR290" s="554">
        <v>0.4</v>
      </c>
      <c r="AS290" s="50">
        <v>0.4</v>
      </c>
      <c r="AT290" s="217">
        <f>AT289/AT285</f>
        <v>0.505152027027027</v>
      </c>
      <c r="AU290" s="554">
        <v>0.45</v>
      </c>
      <c r="AV290" s="211">
        <v>0.5</v>
      </c>
      <c r="AW290" s="252">
        <f>AW289/AW285</f>
        <v>0.5</v>
      </c>
      <c r="AX290" s="618">
        <v>0.5</v>
      </c>
      <c r="AY290" s="251">
        <f>BA290</f>
        <v>0.5</v>
      </c>
      <c r="AZ290" s="252">
        <f>AZ289/AZ285</f>
        <v>0.49999999999999978</v>
      </c>
      <c r="BA290" s="577">
        <f>AX290</f>
        <v>0.5</v>
      </c>
      <c r="BB290" s="251">
        <f>BD290</f>
        <v>0.5</v>
      </c>
      <c r="BC290" s="252">
        <f>BC289/BC285</f>
        <v>0.49999999999999989</v>
      </c>
      <c r="BD290" s="577">
        <f>BA290</f>
        <v>0.5</v>
      </c>
      <c r="BE290" s="251">
        <f>BG290</f>
        <v>0.5</v>
      </c>
      <c r="BF290" s="252">
        <f>BF289/BF285</f>
        <v>0.49999999999999994</v>
      </c>
      <c r="BG290" s="577">
        <f>BD290</f>
        <v>0.5</v>
      </c>
      <c r="BH290" s="251">
        <f>BJ290</f>
        <v>0.5</v>
      </c>
      <c r="BI290" s="252">
        <f>BI289/BI285</f>
        <v>0.5</v>
      </c>
      <c r="BJ290" s="577">
        <f t="shared" ref="BJ290" si="782">BG290</f>
        <v>0.5</v>
      </c>
    </row>
    <row r="291" spans="1:63" outlineLevel="1">
      <c r="A291" s="31"/>
      <c r="C291" s="40"/>
      <c r="D291" s="40"/>
      <c r="E291" s="40"/>
      <c r="F291" s="40"/>
      <c r="G291" s="40"/>
      <c r="H291" s="40"/>
      <c r="I291" s="40"/>
      <c r="J291" s="40"/>
      <c r="K291" s="40"/>
      <c r="L291" s="40"/>
      <c r="M291" s="40"/>
      <c r="N291" s="40"/>
      <c r="O291" s="40"/>
      <c r="P291" s="40"/>
      <c r="Q291" s="40"/>
      <c r="R291" s="40"/>
      <c r="S291" s="630"/>
      <c r="T291" s="653"/>
      <c r="U291" s="40"/>
      <c r="V291" s="630"/>
      <c r="W291" s="653"/>
      <c r="X291" s="40"/>
      <c r="Y291" s="630"/>
      <c r="Z291" s="653"/>
      <c r="AA291" s="40"/>
      <c r="AB291" s="630"/>
      <c r="AC291" s="653"/>
      <c r="AD291" s="40"/>
      <c r="AE291" s="630"/>
      <c r="AF291" s="653"/>
      <c r="AG291" s="40"/>
      <c r="AH291" s="630"/>
      <c r="AI291" s="653"/>
      <c r="AJ291" s="40"/>
      <c r="AK291" s="630"/>
      <c r="AL291" s="653"/>
      <c r="AM291" s="40"/>
      <c r="AN291" s="539"/>
      <c r="AO291" s="550"/>
      <c r="AP291"/>
      <c r="AQ291" s="539"/>
      <c r="AR291" s="550"/>
      <c r="AS291"/>
      <c r="AT291" s="539"/>
      <c r="AU291" s="550"/>
      <c r="AV291"/>
      <c r="AW291" s="539"/>
      <c r="AX291" s="550"/>
      <c r="AY291"/>
      <c r="AZ291" s="539"/>
      <c r="BA291" s="550"/>
      <c r="BB291"/>
      <c r="BC291" s="539"/>
      <c r="BD291" s="550"/>
      <c r="BE291"/>
      <c r="BF291" s="539"/>
      <c r="BG291" s="550"/>
      <c r="BH291"/>
      <c r="BI291" s="539"/>
      <c r="BJ291" s="550"/>
    </row>
    <row r="292" spans="1:63" outlineLevel="1">
      <c r="A292" s="25" t="s">
        <v>653</v>
      </c>
      <c r="C292" s="40"/>
      <c r="D292" s="40"/>
      <c r="E292" s="40"/>
      <c r="F292" s="40"/>
      <c r="G292" s="40"/>
      <c r="H292" s="40"/>
      <c r="I292" s="40"/>
      <c r="J292" s="40"/>
      <c r="K292" s="40"/>
      <c r="L292" s="40"/>
      <c r="M292" s="40"/>
      <c r="N292" s="40"/>
      <c r="O292" s="40"/>
      <c r="P292" s="40"/>
      <c r="Q292" s="40">
        <v>-120</v>
      </c>
      <c r="R292" s="40"/>
      <c r="S292" s="630"/>
      <c r="T292" s="653">
        <v>-200</v>
      </c>
      <c r="U292" s="40"/>
      <c r="V292" s="630"/>
      <c r="W292" s="653">
        <v>-165</v>
      </c>
      <c r="X292" s="40"/>
      <c r="Y292" s="630"/>
      <c r="Z292" s="653">
        <f t="shared" ref="Z292:BJ292" si="783">+Z293-Z285</f>
        <v>-216.97928904347839</v>
      </c>
      <c r="AA292" s="40">
        <f t="shared" si="783"/>
        <v>0</v>
      </c>
      <c r="AB292" s="630">
        <f t="shared" si="783"/>
        <v>0</v>
      </c>
      <c r="AC292" s="653">
        <f t="shared" si="783"/>
        <v>0</v>
      </c>
      <c r="AD292" s="40">
        <f t="shared" si="783"/>
        <v>0</v>
      </c>
      <c r="AE292" s="630">
        <f t="shared" si="783"/>
        <v>0</v>
      </c>
      <c r="AF292" s="653">
        <f t="shared" si="783"/>
        <v>0</v>
      </c>
      <c r="AG292" s="40">
        <f t="shared" si="783"/>
        <v>0</v>
      </c>
      <c r="AH292" s="630">
        <f t="shared" si="783"/>
        <v>0</v>
      </c>
      <c r="AI292" s="653">
        <f t="shared" si="783"/>
        <v>0</v>
      </c>
      <c r="AJ292" s="40">
        <f t="shared" si="783"/>
        <v>0</v>
      </c>
      <c r="AK292" s="630">
        <f t="shared" si="783"/>
        <v>0</v>
      </c>
      <c r="AL292" s="653">
        <f t="shared" si="783"/>
        <v>0</v>
      </c>
      <c r="AM292" s="40">
        <f t="shared" si="783"/>
        <v>0</v>
      </c>
      <c r="AN292" s="630">
        <f t="shared" si="783"/>
        <v>0</v>
      </c>
      <c r="AO292" s="653">
        <f t="shared" si="783"/>
        <v>0</v>
      </c>
      <c r="AP292" s="40">
        <f t="shared" ref="AP292:AR292" si="784">+AP293-AP285</f>
        <v>0</v>
      </c>
      <c r="AQ292" s="630">
        <f t="shared" si="784"/>
        <v>0</v>
      </c>
      <c r="AR292" s="653">
        <f t="shared" si="784"/>
        <v>0</v>
      </c>
      <c r="AS292" s="40">
        <f t="shared" ref="AS292" si="785">+AS293-AS285</f>
        <v>0</v>
      </c>
      <c r="AT292" s="216">
        <f t="shared" si="783"/>
        <v>0</v>
      </c>
      <c r="AU292" s="556">
        <f t="shared" si="783"/>
        <v>0</v>
      </c>
      <c r="AV292" s="10">
        <f t="shared" si="783"/>
        <v>0</v>
      </c>
      <c r="AW292" s="236">
        <f t="shared" si="783"/>
        <v>0</v>
      </c>
      <c r="AX292" s="605">
        <f t="shared" si="783"/>
        <v>0</v>
      </c>
      <c r="AY292" s="56">
        <f t="shared" si="783"/>
        <v>0</v>
      </c>
      <c r="AZ292" s="236">
        <f t="shared" si="783"/>
        <v>0</v>
      </c>
      <c r="BA292" s="605">
        <f t="shared" si="783"/>
        <v>0</v>
      </c>
      <c r="BB292" s="56">
        <f t="shared" si="783"/>
        <v>0</v>
      </c>
      <c r="BC292" s="236">
        <f t="shared" si="783"/>
        <v>0</v>
      </c>
      <c r="BD292" s="605">
        <f t="shared" si="783"/>
        <v>0</v>
      </c>
      <c r="BE292" s="56">
        <f t="shared" si="783"/>
        <v>0</v>
      </c>
      <c r="BF292" s="236">
        <f t="shared" si="783"/>
        <v>0</v>
      </c>
      <c r="BG292" s="605">
        <f t="shared" si="783"/>
        <v>0</v>
      </c>
      <c r="BH292" s="56">
        <f t="shared" si="783"/>
        <v>0</v>
      </c>
      <c r="BI292" s="236">
        <f t="shared" si="783"/>
        <v>0</v>
      </c>
      <c r="BJ292" s="605">
        <f t="shared" si="783"/>
        <v>0</v>
      </c>
    </row>
    <row r="293" spans="1:63">
      <c r="A293" s="68" t="s">
        <v>760</v>
      </c>
      <c r="B293" s="68"/>
      <c r="C293" s="46"/>
      <c r="D293" s="46"/>
      <c r="E293" s="46"/>
      <c r="F293" s="46"/>
      <c r="G293" s="46"/>
      <c r="H293" s="46"/>
      <c r="I293" s="46"/>
      <c r="J293" s="46"/>
      <c r="K293" s="46"/>
      <c r="L293" s="46"/>
      <c r="M293" s="46"/>
      <c r="N293" s="46"/>
      <c r="O293" s="46"/>
      <c r="P293" s="46"/>
      <c r="Q293" s="46">
        <f>Q20</f>
        <v>665</v>
      </c>
      <c r="R293" s="46"/>
      <c r="S293" s="643"/>
      <c r="T293" s="667">
        <f>T20</f>
        <v>594</v>
      </c>
      <c r="U293" s="46"/>
      <c r="V293" s="643"/>
      <c r="W293" s="667">
        <f>W20+W21</f>
        <v>673</v>
      </c>
      <c r="X293" s="46"/>
      <c r="Y293" s="643"/>
      <c r="Z293" s="667">
        <f t="shared" ref="Z293:AV293" si="786">Z20+Z21</f>
        <v>756</v>
      </c>
      <c r="AA293" s="46">
        <f t="shared" si="786"/>
        <v>424</v>
      </c>
      <c r="AB293" s="643">
        <f t="shared" si="786"/>
        <v>408</v>
      </c>
      <c r="AC293" s="667">
        <f t="shared" si="786"/>
        <v>832</v>
      </c>
      <c r="AD293" s="46">
        <f t="shared" si="786"/>
        <v>333</v>
      </c>
      <c r="AE293" s="643">
        <f t="shared" si="786"/>
        <v>295</v>
      </c>
      <c r="AF293" s="667">
        <f t="shared" si="786"/>
        <v>628</v>
      </c>
      <c r="AG293" s="46">
        <f t="shared" si="786"/>
        <v>358</v>
      </c>
      <c r="AH293" s="643">
        <f t="shared" si="786"/>
        <v>483</v>
      </c>
      <c r="AI293" s="667">
        <f t="shared" si="786"/>
        <v>841</v>
      </c>
      <c r="AJ293" s="46">
        <f t="shared" si="786"/>
        <v>429</v>
      </c>
      <c r="AK293" s="643">
        <f t="shared" si="786"/>
        <v>521</v>
      </c>
      <c r="AL293" s="667">
        <f t="shared" si="786"/>
        <v>950</v>
      </c>
      <c r="AM293" s="46">
        <f t="shared" si="786"/>
        <v>529</v>
      </c>
      <c r="AN293" s="643">
        <f t="shared" si="786"/>
        <v>525</v>
      </c>
      <c r="AO293" s="667">
        <f t="shared" si="786"/>
        <v>1054</v>
      </c>
      <c r="AP293" s="46">
        <f t="shared" si="786"/>
        <v>668</v>
      </c>
      <c r="AQ293" s="643">
        <f t="shared" si="786"/>
        <v>578</v>
      </c>
      <c r="AR293" s="667">
        <f t="shared" si="786"/>
        <v>1246</v>
      </c>
      <c r="AS293" s="46">
        <f t="shared" si="786"/>
        <v>653</v>
      </c>
      <c r="AT293" s="643">
        <f t="shared" si="786"/>
        <v>592</v>
      </c>
      <c r="AU293" s="667">
        <f t="shared" si="786"/>
        <v>1245</v>
      </c>
      <c r="AV293" s="46">
        <f t="shared" si="786"/>
        <v>736</v>
      </c>
      <c r="AW293" s="250">
        <f t="shared" ref="AW293:BJ293" si="787">AW326/AW374</f>
        <v>670.29565217391325</v>
      </c>
      <c r="AX293" s="615">
        <f>AX326/AX374</f>
        <v>1406.2956521739131</v>
      </c>
      <c r="AY293" s="249">
        <f t="shared" si="787"/>
        <v>814.40444444444438</v>
      </c>
      <c r="AZ293" s="250">
        <f t="shared" si="787"/>
        <v>743.64355555555574</v>
      </c>
      <c r="BA293" s="615">
        <f t="shared" si="787"/>
        <v>1558.048</v>
      </c>
      <c r="BB293" s="249">
        <f t="shared" si="787"/>
        <v>902.71863636363639</v>
      </c>
      <c r="BC293" s="250">
        <f t="shared" si="787"/>
        <v>826.30354545454566</v>
      </c>
      <c r="BD293" s="615">
        <f t="shared" si="787"/>
        <v>1729.0221818181819</v>
      </c>
      <c r="BE293" s="249">
        <f t="shared" si="787"/>
        <v>979.50413636363658</v>
      </c>
      <c r="BF293" s="250">
        <f t="shared" si="787"/>
        <v>898.63844545454549</v>
      </c>
      <c r="BG293" s="615">
        <f t="shared" si="787"/>
        <v>1878.1425818181822</v>
      </c>
      <c r="BH293" s="249">
        <f t="shared" si="787"/>
        <v>1063.9681863636367</v>
      </c>
      <c r="BI293" s="250">
        <f t="shared" si="787"/>
        <v>978.20683545454563</v>
      </c>
      <c r="BJ293" s="615">
        <f t="shared" si="787"/>
        <v>2042.1750218181824</v>
      </c>
    </row>
    <row r="294" spans="1:63">
      <c r="A294" s="66" t="s">
        <v>761</v>
      </c>
      <c r="C294" s="40"/>
      <c r="D294" s="40"/>
      <c r="E294" s="40"/>
      <c r="F294" s="40"/>
      <c r="G294" s="40"/>
      <c r="H294" s="40"/>
      <c r="I294" s="40"/>
      <c r="J294" s="40"/>
      <c r="K294" s="40"/>
      <c r="L294" s="40"/>
      <c r="M294" s="40"/>
      <c r="N294" s="40"/>
      <c r="O294" s="40"/>
      <c r="P294" s="40"/>
      <c r="Q294" s="40"/>
      <c r="R294" s="40"/>
      <c r="S294" s="630"/>
      <c r="T294" s="653"/>
      <c r="U294" s="40"/>
      <c r="V294" s="630"/>
      <c r="W294" s="653">
        <f>W20</f>
        <v>396</v>
      </c>
      <c r="X294" s="40"/>
      <c r="Y294" s="630"/>
      <c r="Z294" s="653">
        <f t="shared" ref="Z294:AS294" si="788">Z20</f>
        <v>464</v>
      </c>
      <c r="AA294" s="40">
        <f t="shared" si="788"/>
        <v>261</v>
      </c>
      <c r="AB294" s="630">
        <f t="shared" si="788"/>
        <v>216</v>
      </c>
      <c r="AC294" s="653">
        <f t="shared" si="788"/>
        <v>477</v>
      </c>
      <c r="AD294" s="40">
        <f t="shared" si="788"/>
        <v>207</v>
      </c>
      <c r="AE294" s="630">
        <f t="shared" si="788"/>
        <v>237</v>
      </c>
      <c r="AF294" s="653">
        <f t="shared" si="788"/>
        <v>444</v>
      </c>
      <c r="AG294" s="40">
        <f t="shared" si="788"/>
        <v>295</v>
      </c>
      <c r="AH294" s="630">
        <f t="shared" si="788"/>
        <v>359</v>
      </c>
      <c r="AI294" s="653">
        <f t="shared" si="788"/>
        <v>654</v>
      </c>
      <c r="AJ294" s="40">
        <f t="shared" si="788"/>
        <v>329</v>
      </c>
      <c r="AK294" s="630">
        <f t="shared" si="788"/>
        <v>392</v>
      </c>
      <c r="AL294" s="653">
        <f t="shared" si="788"/>
        <v>721</v>
      </c>
      <c r="AM294" s="40">
        <f t="shared" si="788"/>
        <v>407</v>
      </c>
      <c r="AN294" s="630">
        <f t="shared" si="788"/>
        <v>383</v>
      </c>
      <c r="AO294" s="653">
        <f t="shared" si="788"/>
        <v>790</v>
      </c>
      <c r="AP294" s="40">
        <f t="shared" si="788"/>
        <v>551</v>
      </c>
      <c r="AQ294" s="630">
        <f t="shared" si="788"/>
        <v>482</v>
      </c>
      <c r="AR294" s="653">
        <f t="shared" si="788"/>
        <v>1033</v>
      </c>
      <c r="AS294" s="40">
        <f t="shared" si="788"/>
        <v>551</v>
      </c>
      <c r="AT294" s="630">
        <f t="shared" ref="AT294:AV294" si="789">AT20</f>
        <v>476</v>
      </c>
      <c r="AU294" s="653">
        <f t="shared" si="789"/>
        <v>1027</v>
      </c>
      <c r="AV294" s="40">
        <f t="shared" si="789"/>
        <v>607</v>
      </c>
      <c r="AW294" s="236">
        <f t="shared" ref="AW294:BJ294" si="790">+AW328/AW374</f>
        <v>571.81739130434789</v>
      </c>
      <c r="AX294" s="605">
        <f>+AX328/AX374</f>
        <v>1178.8173913043479</v>
      </c>
      <c r="AY294" s="56">
        <f t="shared" si="790"/>
        <v>682.53777777777782</v>
      </c>
      <c r="AZ294" s="236">
        <f t="shared" si="790"/>
        <v>642.97688888888899</v>
      </c>
      <c r="BA294" s="605">
        <f t="shared" si="790"/>
        <v>1325.5146666666667</v>
      </c>
      <c r="BB294" s="56">
        <f t="shared" si="790"/>
        <v>767.85500000000013</v>
      </c>
      <c r="BC294" s="236">
        <f t="shared" si="790"/>
        <v>723.34900000000005</v>
      </c>
      <c r="BD294" s="605">
        <f t="shared" si="790"/>
        <v>1491.2040000000002</v>
      </c>
      <c r="BE294" s="56">
        <f t="shared" si="790"/>
        <v>844.6405000000002</v>
      </c>
      <c r="BF294" s="236">
        <f t="shared" si="790"/>
        <v>795.68389999999999</v>
      </c>
      <c r="BG294" s="605">
        <f t="shared" si="790"/>
        <v>1640.3244000000002</v>
      </c>
      <c r="BH294" s="56">
        <f t="shared" si="790"/>
        <v>929.10455000000036</v>
      </c>
      <c r="BI294" s="236">
        <f t="shared" si="790"/>
        <v>875.25229000000013</v>
      </c>
      <c r="BJ294" s="605">
        <f t="shared" si="790"/>
        <v>1804.3568400000006</v>
      </c>
    </row>
    <row r="295" spans="1:63">
      <c r="A295" s="66" t="s">
        <v>762</v>
      </c>
      <c r="C295" s="40"/>
      <c r="D295" s="40"/>
      <c r="E295" s="40"/>
      <c r="F295" s="40"/>
      <c r="G295" s="40"/>
      <c r="H295" s="40"/>
      <c r="I295" s="40"/>
      <c r="J295" s="40"/>
      <c r="K295" s="40"/>
      <c r="L295" s="40"/>
      <c r="M295" s="40"/>
      <c r="N295" s="40"/>
      <c r="O295" s="40"/>
      <c r="P295" s="40"/>
      <c r="Q295" s="40"/>
      <c r="R295" s="40"/>
      <c r="S295" s="630"/>
      <c r="T295" s="653"/>
      <c r="U295" s="40"/>
      <c r="V295" s="630"/>
      <c r="W295" s="653">
        <f>+W21</f>
        <v>277</v>
      </c>
      <c r="X295" s="40"/>
      <c r="Y295" s="630"/>
      <c r="Z295" s="653">
        <f t="shared" ref="Z295:AS295" si="791">+Z21</f>
        <v>292</v>
      </c>
      <c r="AA295" s="40">
        <f t="shared" si="791"/>
        <v>163</v>
      </c>
      <c r="AB295" s="630">
        <f t="shared" si="791"/>
        <v>192</v>
      </c>
      <c r="AC295" s="653">
        <f t="shared" si="791"/>
        <v>355</v>
      </c>
      <c r="AD295" s="40">
        <f t="shared" si="791"/>
        <v>126</v>
      </c>
      <c r="AE295" s="630">
        <f t="shared" si="791"/>
        <v>58</v>
      </c>
      <c r="AF295" s="653">
        <f t="shared" si="791"/>
        <v>184</v>
      </c>
      <c r="AG295" s="40">
        <f t="shared" si="791"/>
        <v>63</v>
      </c>
      <c r="AH295" s="630">
        <f t="shared" si="791"/>
        <v>124</v>
      </c>
      <c r="AI295" s="653">
        <f t="shared" si="791"/>
        <v>187</v>
      </c>
      <c r="AJ295" s="40">
        <f t="shared" si="791"/>
        <v>100</v>
      </c>
      <c r="AK295" s="630">
        <f t="shared" si="791"/>
        <v>129</v>
      </c>
      <c r="AL295" s="653">
        <f t="shared" si="791"/>
        <v>229</v>
      </c>
      <c r="AM295" s="40">
        <f t="shared" si="791"/>
        <v>122</v>
      </c>
      <c r="AN295" s="630">
        <f t="shared" si="791"/>
        <v>142</v>
      </c>
      <c r="AO295" s="653">
        <f t="shared" si="791"/>
        <v>264</v>
      </c>
      <c r="AP295" s="40">
        <f t="shared" si="791"/>
        <v>117</v>
      </c>
      <c r="AQ295" s="630">
        <f t="shared" si="791"/>
        <v>96</v>
      </c>
      <c r="AR295" s="653">
        <f t="shared" si="791"/>
        <v>213</v>
      </c>
      <c r="AS295" s="40">
        <f t="shared" si="791"/>
        <v>102</v>
      </c>
      <c r="AT295" s="630">
        <f t="shared" ref="AT295:AV295" si="792">+AT21</f>
        <v>116</v>
      </c>
      <c r="AU295" s="653">
        <f t="shared" si="792"/>
        <v>218</v>
      </c>
      <c r="AV295" s="40">
        <f t="shared" si="792"/>
        <v>129</v>
      </c>
      <c r="AW295" s="236">
        <f>+AW293-AW294</f>
        <v>98.478260869565361</v>
      </c>
      <c r="AX295" s="605">
        <f t="shared" ref="AX295:BJ295" si="793">+AX293-AX294</f>
        <v>227.47826086956525</v>
      </c>
      <c r="AY295" s="56">
        <f>+AY293-AY294</f>
        <v>131.86666666666656</v>
      </c>
      <c r="AZ295" s="236">
        <f>+AZ293-AZ294</f>
        <v>100.66666666666674</v>
      </c>
      <c r="BA295" s="605">
        <f t="shared" si="793"/>
        <v>232.5333333333333</v>
      </c>
      <c r="BB295" s="56">
        <f>+BB293-BB294</f>
        <v>134.86363636363626</v>
      </c>
      <c r="BC295" s="236">
        <f>+BC293-BC294</f>
        <v>102.95454545454561</v>
      </c>
      <c r="BD295" s="605">
        <f t="shared" si="793"/>
        <v>237.81818181818176</v>
      </c>
      <c r="BE295" s="56">
        <f>+BE293-BE294</f>
        <v>134.86363636363637</v>
      </c>
      <c r="BF295" s="236">
        <f>+BF293-BF294</f>
        <v>102.9545454545455</v>
      </c>
      <c r="BG295" s="605">
        <f t="shared" si="793"/>
        <v>237.81818181818198</v>
      </c>
      <c r="BH295" s="56">
        <f>+BH293-BH294</f>
        <v>134.86363636363637</v>
      </c>
      <c r="BI295" s="236">
        <f>+BI293-BI294</f>
        <v>102.9545454545455</v>
      </c>
      <c r="BJ295" s="605">
        <f t="shared" si="793"/>
        <v>237.81818181818176</v>
      </c>
    </row>
    <row r="296" spans="1:63">
      <c r="S296" s="595"/>
      <c r="T296" s="619"/>
      <c r="V296" s="595"/>
      <c r="W296" s="619"/>
      <c r="Y296" s="595"/>
      <c r="Z296" s="619"/>
      <c r="AB296" s="595"/>
      <c r="AC296" s="619"/>
      <c r="AE296" s="595"/>
      <c r="AF296" s="619"/>
      <c r="AH296" s="595"/>
      <c r="AI296" s="619"/>
      <c r="AK296" s="595"/>
      <c r="AL296" s="619"/>
      <c r="AN296" s="539"/>
      <c r="AO296" s="550"/>
      <c r="AP296"/>
      <c r="AQ296" s="539"/>
      <c r="AR296" s="550"/>
      <c r="AS296"/>
      <c r="AT296" s="539"/>
      <c r="AU296" s="550"/>
      <c r="AV296"/>
      <c r="AW296" s="539"/>
      <c r="AX296" s="550"/>
      <c r="AY296"/>
      <c r="AZ296" s="539"/>
      <c r="BA296" s="550"/>
      <c r="BB296"/>
      <c r="BC296" s="539"/>
      <c r="BD296" s="550"/>
      <c r="BE296"/>
      <c r="BF296" s="539"/>
      <c r="BG296" s="550"/>
      <c r="BH296"/>
      <c r="BI296" s="539"/>
      <c r="BJ296" s="550"/>
    </row>
    <row r="297" spans="1:63">
      <c r="A297" s="25" t="s">
        <v>540</v>
      </c>
      <c r="Q297" s="81">
        <f>Q293/Q351</f>
        <v>5.988698021027985</v>
      </c>
      <c r="R297" s="81"/>
      <c r="S297" s="636"/>
      <c r="T297" s="659">
        <f>T293/T351</f>
        <v>5.1767863834830887</v>
      </c>
      <c r="U297" s="81"/>
      <c r="V297" s="636"/>
      <c r="W297" s="659">
        <f>W293/W351</f>
        <v>5.7415859744913194</v>
      </c>
      <c r="X297" s="81"/>
      <c r="Y297" s="636"/>
      <c r="Z297" s="659">
        <f t="shared" ref="Z297:BJ297" si="794">Z293/Z351</f>
        <v>6.3433195866773513</v>
      </c>
      <c r="AA297" s="81">
        <f t="shared" si="794"/>
        <v>3.4742707309078993</v>
      </c>
      <c r="AB297" s="636">
        <f t="shared" si="794"/>
        <v>3.3431661750245825</v>
      </c>
      <c r="AC297" s="659">
        <f t="shared" si="794"/>
        <v>6.8438359206789556</v>
      </c>
      <c r="AD297" s="81">
        <f t="shared" si="794"/>
        <v>2.7074381374776921</v>
      </c>
      <c r="AE297" s="636">
        <f t="shared" si="794"/>
        <v>2.3984812329006582</v>
      </c>
      <c r="AF297" s="659">
        <f t="shared" si="794"/>
        <v>5.0861836816923711</v>
      </c>
      <c r="AG297" s="81">
        <f t="shared" si="794"/>
        <v>2.9116816995111954</v>
      </c>
      <c r="AH297" s="636">
        <f t="shared" si="794"/>
        <v>3.9283303376086796</v>
      </c>
      <c r="AI297" s="659">
        <f t="shared" si="794"/>
        <v>6.8400120371198749</v>
      </c>
      <c r="AJ297" s="81">
        <f t="shared" si="794"/>
        <v>3.5020836989840691</v>
      </c>
      <c r="AK297" s="636">
        <f t="shared" si="794"/>
        <v>4.2531133034282051</v>
      </c>
      <c r="AL297" s="659">
        <f t="shared" si="794"/>
        <v>7.7551970024122738</v>
      </c>
      <c r="AM297" s="81">
        <f t="shared" si="794"/>
        <v>4.2989780784624445</v>
      </c>
      <c r="AN297" s="636">
        <f t="shared" si="794"/>
        <v>4.2584083286355652</v>
      </c>
      <c r="AO297" s="659">
        <f t="shared" si="794"/>
        <v>8.5492616731083526</v>
      </c>
      <c r="AP297" s="81">
        <f t="shared" ref="AP297:AR297" si="795">AP293/AP351</f>
        <v>5.4212858510931845</v>
      </c>
      <c r="AQ297" s="636">
        <f t="shared" si="795"/>
        <v>4.7043694476435416</v>
      </c>
      <c r="AR297" s="659">
        <f t="shared" si="795"/>
        <v>10.141253169141615</v>
      </c>
      <c r="AS297" s="81">
        <f t="shared" ref="AS297:AU297" si="796">AS293/AS351</f>
        <v>5.3294593414485849</v>
      </c>
      <c r="AT297" s="636">
        <f t="shared" si="796"/>
        <v>4.8751363926461204</v>
      </c>
      <c r="AU297" s="659">
        <f t="shared" si="796"/>
        <v>10.252609474399357</v>
      </c>
      <c r="AV297" s="81">
        <f t="shared" ref="AV297" si="797">AV293/AV351</f>
        <v>6.0802828653333005</v>
      </c>
      <c r="AW297" s="235">
        <f t="shared" si="794"/>
        <v>5.559966424103961</v>
      </c>
      <c r="AX297" s="611">
        <f t="shared" si="794"/>
        <v>11.664937081259259</v>
      </c>
      <c r="AY297" s="173">
        <f t="shared" si="794"/>
        <v>6.8015821646889609</v>
      </c>
      <c r="AZ297" s="235">
        <f t="shared" si="794"/>
        <v>6.2096818564120717</v>
      </c>
      <c r="BA297" s="611">
        <f t="shared" si="794"/>
        <v>13.010241700798712</v>
      </c>
      <c r="BB297" s="173">
        <f t="shared" si="794"/>
        <v>7.6262129192969228</v>
      </c>
      <c r="BC297" s="235">
        <f t="shared" si="794"/>
        <v>6.9806543476165572</v>
      </c>
      <c r="BD297" s="611">
        <f t="shared" si="794"/>
        <v>14.606867266913479</v>
      </c>
      <c r="BE297" s="173">
        <f t="shared" si="794"/>
        <v>8.3728678884446062</v>
      </c>
      <c r="BF297" s="235">
        <f t="shared" si="794"/>
        <v>7.6816224699176008</v>
      </c>
      <c r="BG297" s="611">
        <f t="shared" si="794"/>
        <v>16.054490358362209</v>
      </c>
      <c r="BH297" s="173">
        <f t="shared" si="794"/>
        <v>9.2038372356835527</v>
      </c>
      <c r="BI297" s="235">
        <f t="shared" si="794"/>
        <v>8.4619602463185331</v>
      </c>
      <c r="BJ297" s="611">
        <f t="shared" si="794"/>
        <v>17.665797482002088</v>
      </c>
    </row>
    <row r="298" spans="1:63">
      <c r="A298" s="25" t="s">
        <v>541</v>
      </c>
      <c r="Q298" s="81"/>
      <c r="R298" s="81"/>
      <c r="S298" s="636"/>
      <c r="T298" s="659"/>
      <c r="U298" s="81"/>
      <c r="V298" s="636"/>
      <c r="W298" s="659"/>
      <c r="X298" s="81"/>
      <c r="Y298" s="636"/>
      <c r="Z298" s="659"/>
      <c r="AA298" s="81"/>
      <c r="AB298" s="636"/>
      <c r="AC298" s="659">
        <f t="shared" ref="AC298:BJ298" si="798">AC326/AC351</f>
        <v>10.471068958638803</v>
      </c>
      <c r="AD298" s="81">
        <f t="shared" si="798"/>
        <v>3.3572232904723385</v>
      </c>
      <c r="AE298" s="636">
        <f t="shared" si="798"/>
        <v>3.6456914740090003</v>
      </c>
      <c r="AF298" s="659">
        <f t="shared" si="798"/>
        <v>7.7309991961724043</v>
      </c>
      <c r="AG298" s="81">
        <f t="shared" si="798"/>
        <v>4.0472375623205608</v>
      </c>
      <c r="AH298" s="636">
        <f t="shared" si="798"/>
        <v>6.4031784503021481</v>
      </c>
      <c r="AI298" s="659">
        <f t="shared" si="798"/>
        <v>10.328418176051011</v>
      </c>
      <c r="AJ298" s="81">
        <f t="shared" si="798"/>
        <v>5.2531255484761035</v>
      </c>
      <c r="AK298" s="636">
        <f t="shared" si="798"/>
        <v>6.3796699551423073</v>
      </c>
      <c r="AL298" s="659">
        <f t="shared" si="798"/>
        <v>11.632795503618411</v>
      </c>
      <c r="AM298" s="81">
        <f t="shared" si="798"/>
        <v>6.4484671176936672</v>
      </c>
      <c r="AN298" s="636">
        <f t="shared" si="798"/>
        <v>6.3876124929533473</v>
      </c>
      <c r="AO298" s="659">
        <f t="shared" si="798"/>
        <v>12.82389250966253</v>
      </c>
      <c r="AP298" s="81">
        <f t="shared" ref="AP298:AR298" si="799">AP326/AP351</f>
        <v>8.0235030596179122</v>
      </c>
      <c r="AQ298" s="636">
        <f t="shared" si="799"/>
        <v>6.9624667825124416</v>
      </c>
      <c r="AR298" s="659">
        <f t="shared" si="799"/>
        <v>15.00905469032959</v>
      </c>
      <c r="AS298" s="81">
        <f t="shared" ref="AS298:AU298" si="800">AS326/AS351</f>
        <v>7.6744214516859612</v>
      </c>
      <c r="AT298" s="636">
        <f t="shared" si="800"/>
        <v>7.0201964054104131</v>
      </c>
      <c r="AU298" s="659">
        <f t="shared" si="800"/>
        <v>14.763757643135074</v>
      </c>
      <c r="AV298" s="81">
        <f t="shared" ref="AV298" si="801">AV326/AV351</f>
        <v>8.3907903541599538</v>
      </c>
      <c r="AW298" s="235">
        <f t="shared" si="798"/>
        <v>7.672753665263464</v>
      </c>
      <c r="AX298" s="611">
        <f t="shared" si="798"/>
        <v>16.097613172137777</v>
      </c>
      <c r="AY298" s="173">
        <f t="shared" si="798"/>
        <v>9.1821359223300973</v>
      </c>
      <c r="AZ298" s="235">
        <f t="shared" si="798"/>
        <v>8.3830705061562973</v>
      </c>
      <c r="BA298" s="611">
        <f t="shared" si="798"/>
        <v>17.563826296078265</v>
      </c>
      <c r="BB298" s="173">
        <f t="shared" si="798"/>
        <v>10.066601053471938</v>
      </c>
      <c r="BC298" s="235">
        <f t="shared" si="798"/>
        <v>9.2144637388538566</v>
      </c>
      <c r="BD298" s="611">
        <f t="shared" si="798"/>
        <v>19.281064792325797</v>
      </c>
      <c r="BE298" s="173">
        <f t="shared" si="798"/>
        <v>11.052185612746882</v>
      </c>
      <c r="BF298" s="235">
        <f t="shared" si="798"/>
        <v>10.139741660291234</v>
      </c>
      <c r="BG298" s="611">
        <f t="shared" si="798"/>
        <v>21.191927273038115</v>
      </c>
      <c r="BH298" s="173">
        <f t="shared" si="798"/>
        <v>12.149065151102292</v>
      </c>
      <c r="BI298" s="235">
        <f t="shared" si="798"/>
        <v>11.169787525140464</v>
      </c>
      <c r="BJ298" s="611">
        <f t="shared" si="798"/>
        <v>23.318852676242756</v>
      </c>
    </row>
    <row r="299" spans="1:63">
      <c r="S299" s="595"/>
      <c r="T299" s="619"/>
      <c r="V299" s="595"/>
      <c r="W299" s="619"/>
      <c r="Y299" s="595"/>
      <c r="Z299" s="619"/>
      <c r="AB299" s="595"/>
      <c r="AC299" s="619"/>
      <c r="AE299" s="595"/>
      <c r="AF299" s="619"/>
      <c r="AH299" s="595"/>
      <c r="AI299" s="619"/>
      <c r="AK299" s="595"/>
      <c r="AL299" s="619"/>
      <c r="AN299" s="539"/>
      <c r="AO299" s="550"/>
      <c r="AP299"/>
      <c r="AQ299" s="539"/>
      <c r="AR299" s="550"/>
      <c r="AS299"/>
      <c r="AT299" s="539"/>
      <c r="AU299" s="550"/>
      <c r="AV299"/>
      <c r="AW299" s="539"/>
      <c r="AX299" s="550"/>
      <c r="AY299"/>
      <c r="AZ299" s="539"/>
      <c r="BA299" s="550"/>
      <c r="BB299"/>
      <c r="BC299" s="539"/>
      <c r="BD299" s="550"/>
      <c r="BE299"/>
      <c r="BF299" s="539"/>
      <c r="BG299" s="550"/>
      <c r="BH299"/>
      <c r="BI299" s="539"/>
      <c r="BJ299" s="550"/>
    </row>
    <row r="300" spans="1:63">
      <c r="A300" s="25" t="s">
        <v>1016</v>
      </c>
      <c r="S300" s="595"/>
      <c r="T300" s="619"/>
      <c r="V300" s="595"/>
      <c r="W300" s="619"/>
      <c r="Y300" s="595"/>
      <c r="Z300" s="619"/>
      <c r="AB300" s="595"/>
      <c r="AC300" s="550">
        <f>AC293-AC301</f>
        <v>-228.39999999999986</v>
      </c>
      <c r="AE300" s="595"/>
      <c r="AF300" s="550">
        <f>AF293-AF301</f>
        <v>-159.83000000000004</v>
      </c>
      <c r="AH300" s="595"/>
      <c r="AI300" s="550">
        <f>AI293-AI301</f>
        <v>-295.7199999999998</v>
      </c>
      <c r="AK300" s="595"/>
      <c r="AL300" s="550">
        <f>AL293-AL301</f>
        <v>-334</v>
      </c>
      <c r="AN300" s="539"/>
      <c r="AO300" s="550">
        <f>AO293-AO301</f>
        <v>-372.79999999999995</v>
      </c>
      <c r="AP300"/>
      <c r="AQ300" s="539"/>
      <c r="AR300" s="550">
        <f>AR293-AR301</f>
        <v>-315.34999999999991</v>
      </c>
      <c r="AS300"/>
      <c r="AT300" s="539"/>
      <c r="AU300" s="556">
        <f>AU293-AU301</f>
        <v>-260.25</v>
      </c>
      <c r="AV300"/>
      <c r="AW300" s="539"/>
      <c r="AX300" s="605">
        <f>AX293-AX301</f>
        <v>-318.89739130434805</v>
      </c>
      <c r="AY300"/>
      <c r="AZ300" s="539"/>
      <c r="BA300" s="605">
        <f>BA293-BA301</f>
        <v>-335.30222400000002</v>
      </c>
      <c r="BB300"/>
      <c r="BC300" s="539"/>
      <c r="BD300" s="605">
        <f>BD293-BD301</f>
        <v>-350.44889103818218</v>
      </c>
      <c r="BE300"/>
      <c r="BF300" s="539"/>
      <c r="BG300" s="605">
        <f>BG293-BG301</f>
        <v>-355.56089348371074</v>
      </c>
      <c r="BH300"/>
      <c r="BI300" s="539"/>
      <c r="BJ300" s="605">
        <f>BJ293-BJ301</f>
        <v>-357.79247940287269</v>
      </c>
    </row>
    <row r="301" spans="1:63" s="31" customFormat="1">
      <c r="A301" s="31" t="s">
        <v>1021</v>
      </c>
      <c r="S301" s="793"/>
      <c r="T301" s="824"/>
      <c r="V301" s="793"/>
      <c r="W301" s="824"/>
      <c r="Y301" s="793"/>
      <c r="Z301" s="824"/>
      <c r="AB301" s="793"/>
      <c r="AC301" s="578">
        <f>AC303+AC336</f>
        <v>1060.3999999999999</v>
      </c>
      <c r="AD301" s="2"/>
      <c r="AE301" s="541"/>
      <c r="AF301" s="578">
        <f>AF303+AF336</f>
        <v>787.83</v>
      </c>
      <c r="AG301" s="2"/>
      <c r="AH301" s="541"/>
      <c r="AI301" s="578">
        <f>AI303+AI336</f>
        <v>1136.7199999999998</v>
      </c>
      <c r="AJ301" s="2"/>
      <c r="AK301" s="541"/>
      <c r="AL301" s="578">
        <f>AL303+AL336</f>
        <v>1284</v>
      </c>
      <c r="AM301" s="2"/>
      <c r="AN301" s="541"/>
      <c r="AO301" s="578">
        <f>AO303+AO336</f>
        <v>1426.8</v>
      </c>
      <c r="AP301" s="2"/>
      <c r="AQ301" s="541"/>
      <c r="AR301" s="578">
        <f>AR303+AR336</f>
        <v>1561.35</v>
      </c>
      <c r="AS301" s="2"/>
      <c r="AT301" s="541"/>
      <c r="AU301" s="553">
        <f>AU303+AU336</f>
        <v>1505.25</v>
      </c>
      <c r="AV301" s="2"/>
      <c r="AW301" s="541"/>
      <c r="AX301" s="576">
        <f>AX303+AX336</f>
        <v>1725.1930434782612</v>
      </c>
      <c r="AY301" s="2"/>
      <c r="AZ301" s="541"/>
      <c r="BA301" s="576">
        <f>BA303+BA336</f>
        <v>1893.350224</v>
      </c>
      <c r="BB301" s="2"/>
      <c r="BC301" s="541"/>
      <c r="BD301" s="576">
        <f>BD303+BD336</f>
        <v>2079.4710728563641</v>
      </c>
      <c r="BE301" s="2"/>
      <c r="BF301" s="541"/>
      <c r="BG301" s="576">
        <f>BG303+BG336</f>
        <v>2233.7034753018929</v>
      </c>
      <c r="BH301" s="2"/>
      <c r="BI301" s="541"/>
      <c r="BJ301" s="576">
        <f>BJ303+BJ336</f>
        <v>2399.967501221055</v>
      </c>
      <c r="BK301" s="2"/>
    </row>
    <row r="302" spans="1:63">
      <c r="S302" s="595"/>
      <c r="T302" s="619"/>
      <c r="V302" s="595"/>
      <c r="W302" s="619"/>
      <c r="Y302" s="595"/>
      <c r="Z302" s="619"/>
      <c r="AB302" s="595"/>
      <c r="AC302" s="619"/>
      <c r="AE302" s="595"/>
      <c r="AF302" s="619"/>
      <c r="AH302" s="595"/>
      <c r="AI302" s="619"/>
      <c r="AK302" s="595"/>
      <c r="AL302" s="619"/>
      <c r="AN302" s="539"/>
      <c r="AO302" s="550"/>
      <c r="AP302"/>
      <c r="AQ302" s="539"/>
      <c r="AR302" s="550"/>
      <c r="AS302"/>
      <c r="AT302" s="539"/>
      <c r="AU302" s="550"/>
      <c r="AV302"/>
      <c r="AW302" s="539"/>
      <c r="AX302" s="550"/>
      <c r="AY302"/>
      <c r="AZ302" s="539"/>
      <c r="BA302" s="550"/>
      <c r="BB302"/>
      <c r="BC302" s="539"/>
      <c r="BD302" s="550"/>
      <c r="BE302"/>
      <c r="BF302" s="539"/>
      <c r="BG302" s="550"/>
      <c r="BH302"/>
      <c r="BI302" s="539"/>
      <c r="BJ302" s="550"/>
    </row>
    <row r="303" spans="1:63" s="31" customFormat="1">
      <c r="A303" s="144" t="s">
        <v>1020</v>
      </c>
      <c r="S303" s="793"/>
      <c r="T303" s="824"/>
      <c r="V303" s="793"/>
      <c r="W303" s="824"/>
      <c r="Y303" s="793"/>
      <c r="Z303" s="824"/>
      <c r="AB303" s="793"/>
      <c r="AC303" s="578">
        <f>AC306/AC374</f>
        <v>893.99999999999989</v>
      </c>
      <c r="AE303" s="793"/>
      <c r="AF303" s="578">
        <f>AF306/AF374</f>
        <v>662.23</v>
      </c>
      <c r="AH303" s="793"/>
      <c r="AI303" s="578">
        <f>AI306/AI374</f>
        <v>968.51999999999987</v>
      </c>
      <c r="AK303" s="793"/>
      <c r="AL303" s="578">
        <f>AL306/AL374</f>
        <v>1094</v>
      </c>
      <c r="AN303" s="541"/>
      <c r="AO303" s="578">
        <f>AO306/AO374</f>
        <v>1216</v>
      </c>
      <c r="AP303" s="2"/>
      <c r="AQ303" s="541"/>
      <c r="AR303" s="578">
        <f>AR306/AR374</f>
        <v>1281</v>
      </c>
      <c r="AS303" s="2"/>
      <c r="AT303" s="541"/>
      <c r="AU303" s="553">
        <f>AU306/AU374</f>
        <v>1194</v>
      </c>
      <c r="AV303" s="2"/>
      <c r="AW303" s="541"/>
      <c r="AX303" s="576">
        <f>AX306/AX374</f>
        <v>1373.6191304347828</v>
      </c>
      <c r="AY303" s="2"/>
      <c r="AZ303" s="541"/>
      <c r="BA303" s="576">
        <f>BA306/BA374</f>
        <v>1503.8382240000001</v>
      </c>
      <c r="BB303" s="2"/>
      <c r="BC303" s="541"/>
      <c r="BD303" s="576">
        <f>BD306/BD374</f>
        <v>1647.2155274018187</v>
      </c>
      <c r="BE303" s="2"/>
      <c r="BF303" s="541"/>
      <c r="BG303" s="576">
        <f>BG306/BG374</f>
        <v>1764.1678298473475</v>
      </c>
      <c r="BH303" s="2"/>
      <c r="BI303" s="541"/>
      <c r="BJ303" s="576">
        <f>BJ306/BJ374</f>
        <v>1889.4237457665095</v>
      </c>
      <c r="BK303" s="2"/>
    </row>
    <row r="304" spans="1:63">
      <c r="A304" s="148" t="s">
        <v>1001</v>
      </c>
      <c r="S304" s="595"/>
      <c r="T304" s="619"/>
      <c r="V304" s="595"/>
      <c r="W304" s="619"/>
      <c r="Y304" s="595"/>
      <c r="Z304" s="619"/>
      <c r="AB304" s="595"/>
      <c r="AC304" s="836">
        <f>AC303/(AC311*100)</f>
        <v>8.94</v>
      </c>
      <c r="AD304"/>
      <c r="AE304" s="539"/>
      <c r="AF304" s="836">
        <f>AF303/(AF311*100)</f>
        <v>9.3625620689655165</v>
      </c>
      <c r="AG304"/>
      <c r="AH304" s="539"/>
      <c r="AI304" s="836">
        <f>AI303/(AI311*100)</f>
        <v>13.692868965517238</v>
      </c>
      <c r="AJ304"/>
      <c r="AK304" s="539"/>
      <c r="AL304" s="836">
        <f>AL303/(AL311*100)</f>
        <v>14.016875000000001</v>
      </c>
      <c r="AM304"/>
      <c r="AN304" s="539"/>
      <c r="AO304" s="836">
        <f>AO303/(AO311*100)</f>
        <v>16.618666666666666</v>
      </c>
      <c r="AP304"/>
      <c r="AQ304" s="539"/>
      <c r="AR304" s="836">
        <f>AR303/(AR311*100)</f>
        <v>17.507000000000001</v>
      </c>
      <c r="AS304"/>
      <c r="AT304" s="539"/>
      <c r="AU304" s="561">
        <f>AU303/(AU311*100)</f>
        <v>16.318000000000001</v>
      </c>
      <c r="AV304"/>
      <c r="AW304" s="539"/>
      <c r="AX304" s="611">
        <f>AX303/(AX311*100)</f>
        <v>17.878852173913046</v>
      </c>
      <c r="AY304"/>
      <c r="AZ304" s="539"/>
      <c r="BA304" s="611">
        <f>BA303/(BA311*100)</f>
        <v>19.189968</v>
      </c>
      <c r="BB304"/>
      <c r="BC304" s="539"/>
      <c r="BD304" s="611">
        <f>BD303/(BD311*100)</f>
        <v>20.607408818181824</v>
      </c>
      <c r="BE304"/>
      <c r="BF304" s="539"/>
      <c r="BG304" s="611">
        <f>BG303/(BG311*100)</f>
        <v>21.637779259090912</v>
      </c>
      <c r="BH304"/>
      <c r="BI304" s="539"/>
      <c r="BJ304" s="611">
        <f>BJ303/(BJ311*100)</f>
        <v>22.71966822204546</v>
      </c>
    </row>
    <row r="305" spans="1:65">
      <c r="S305" s="595"/>
      <c r="T305" s="619"/>
      <c r="V305" s="595"/>
      <c r="W305" s="619"/>
      <c r="Y305" s="595"/>
      <c r="Z305" s="619"/>
      <c r="AB305" s="595"/>
      <c r="AC305" s="619"/>
      <c r="AE305" s="595"/>
      <c r="AF305" s="619"/>
      <c r="AH305" s="595"/>
      <c r="AI305" s="619"/>
      <c r="AK305" s="595"/>
      <c r="AL305" s="619"/>
      <c r="AN305" s="539"/>
      <c r="AO305" s="550"/>
      <c r="AP305"/>
      <c r="AQ305" s="539"/>
      <c r="AR305" s="550"/>
      <c r="AS305"/>
      <c r="AT305" s="539"/>
      <c r="AU305" s="550"/>
      <c r="AV305"/>
      <c r="AW305" s="539"/>
      <c r="AX305" s="550"/>
      <c r="AY305"/>
      <c r="AZ305" s="539"/>
      <c r="BA305" s="550"/>
      <c r="BB305"/>
      <c r="BC305" s="539"/>
      <c r="BD305" s="550"/>
      <c r="BE305"/>
      <c r="BF305" s="539"/>
      <c r="BG305" s="550"/>
      <c r="BH305"/>
      <c r="BI305" s="539"/>
      <c r="BJ305" s="550"/>
    </row>
    <row r="306" spans="1:65" s="31" customFormat="1">
      <c r="A306" s="31" t="s">
        <v>772</v>
      </c>
      <c r="Q306" s="51"/>
      <c r="R306" s="51"/>
      <c r="S306" s="629"/>
      <c r="T306" s="652"/>
      <c r="U306" s="51"/>
      <c r="V306" s="629"/>
      <c r="W306" s="652"/>
      <c r="X306" s="51"/>
      <c r="Y306" s="629"/>
      <c r="Z306" s="652"/>
      <c r="AA306" s="51"/>
      <c r="AB306" s="629"/>
      <c r="AC306" s="578">
        <f>AC80</f>
        <v>1367.82</v>
      </c>
      <c r="AD306" s="51">
        <f>AD74</f>
        <v>-88.04838709677415</v>
      </c>
      <c r="AE306" s="629">
        <f>AE74</f>
        <v>750.27838709677417</v>
      </c>
      <c r="AF306" s="578">
        <f>AF80</f>
        <v>1006.5896</v>
      </c>
      <c r="AG306" s="51">
        <f>AG74</f>
        <v>311.35251798561148</v>
      </c>
      <c r="AH306" s="629">
        <f>AH74</f>
        <v>657.1674820143885</v>
      </c>
      <c r="AI306" s="578">
        <f>AI80</f>
        <v>1462.4651999999999</v>
      </c>
      <c r="AJ306" s="51">
        <f>AJ74</f>
        <v>728.12</v>
      </c>
      <c r="AK306" s="629">
        <f>AK74</f>
        <v>365.88000000000011</v>
      </c>
      <c r="AL306" s="578">
        <f>AL80</f>
        <v>1641</v>
      </c>
      <c r="AM306" s="51">
        <f>AM74</f>
        <v>760.82222222222208</v>
      </c>
      <c r="AN306" s="541">
        <f>AN74</f>
        <v>455.17777777777792</v>
      </c>
      <c r="AO306" s="578">
        <f>AO80</f>
        <v>1824</v>
      </c>
      <c r="AP306" s="51">
        <f>AP74</f>
        <v>862.68354430379736</v>
      </c>
      <c r="AQ306" s="541">
        <f>AQ74</f>
        <v>418.31645569620287</v>
      </c>
      <c r="AR306" s="578">
        <f>AR80</f>
        <v>1895.8799999999999</v>
      </c>
      <c r="AS306" s="51">
        <f>AS74</f>
        <v>673.37647058823586</v>
      </c>
      <c r="AT306" s="541">
        <f>AT74</f>
        <v>520.62352941176414</v>
      </c>
      <c r="AU306" s="578">
        <f>AU80</f>
        <v>1719.36</v>
      </c>
      <c r="AV306" s="51">
        <f>AV74</f>
        <v>675</v>
      </c>
      <c r="AW306" s="237">
        <f>AW74</f>
        <v>698.61913043478285</v>
      </c>
      <c r="AX306" s="576">
        <f>AX307*AX309/1000</f>
        <v>1895.5944000000002</v>
      </c>
      <c r="AY306" s="48"/>
      <c r="AZ306" s="237"/>
      <c r="BA306" s="576">
        <f>BA307*BA309/1000</f>
        <v>2030.1816024000002</v>
      </c>
      <c r="BB306" s="48"/>
      <c r="BC306" s="237"/>
      <c r="BD306" s="576">
        <f>BD307*BD309/1000</f>
        <v>2174.3244961704008</v>
      </c>
      <c r="BE306" s="48"/>
      <c r="BF306" s="237"/>
      <c r="BG306" s="576">
        <f>BG307*BG309/1000</f>
        <v>2328.7015353984989</v>
      </c>
      <c r="BH306" s="48"/>
      <c r="BI306" s="237"/>
      <c r="BJ306" s="576">
        <f>BJ307*BJ309/1000</f>
        <v>2494.0393444117926</v>
      </c>
      <c r="BK306" s="48"/>
    </row>
    <row r="307" spans="1:65" s="31" customFormat="1">
      <c r="A307" s="455" t="s">
        <v>1017</v>
      </c>
      <c r="Q307" s="51"/>
      <c r="R307" s="51"/>
      <c r="S307" s="629"/>
      <c r="T307" s="652"/>
      <c r="U307" s="51"/>
      <c r="V307" s="629"/>
      <c r="W307" s="652"/>
      <c r="X307" s="51"/>
      <c r="Y307" s="629"/>
      <c r="Z307" s="652"/>
      <c r="AA307" s="27">
        <v>2100</v>
      </c>
      <c r="AB307" s="218">
        <f>AC307-AA307</f>
        <v>2000</v>
      </c>
      <c r="AC307" s="652">
        <f>19400-AC117</f>
        <v>4100</v>
      </c>
      <c r="AD307" s="27">
        <v>1800</v>
      </c>
      <c r="AE307" s="218">
        <f>AF307-AD307</f>
        <v>1100</v>
      </c>
      <c r="AF307" s="652">
        <v>2900</v>
      </c>
      <c r="AG307" s="27">
        <v>1430</v>
      </c>
      <c r="AH307" s="218">
        <f>AI307-AG307</f>
        <v>1470</v>
      </c>
      <c r="AI307" s="652">
        <f>10300-AI117</f>
        <v>2900</v>
      </c>
      <c r="AJ307" s="27">
        <f>6117-AJ117</f>
        <v>1593</v>
      </c>
      <c r="AK307" s="218">
        <f>AL307-AJ307</f>
        <v>1607</v>
      </c>
      <c r="AL307" s="652">
        <f>13200-AL117</f>
        <v>3200</v>
      </c>
      <c r="AM307" s="27">
        <f>7700-AM117</f>
        <v>1500</v>
      </c>
      <c r="AN307" s="218">
        <f>AO307-AM307</f>
        <v>1500</v>
      </c>
      <c r="AO307" s="652">
        <f>16500-AO117</f>
        <v>3000</v>
      </c>
      <c r="AP307" s="27">
        <f>9000-AP117</f>
        <v>1400</v>
      </c>
      <c r="AQ307" s="218">
        <f>AR307-AP307</f>
        <v>1600</v>
      </c>
      <c r="AR307" s="652">
        <f>18800-AR117</f>
        <v>3000</v>
      </c>
      <c r="AS307" s="27">
        <f>9600-AS117</f>
        <v>1500</v>
      </c>
      <c r="AT307" s="218">
        <f>AU307-AS307</f>
        <v>1500</v>
      </c>
      <c r="AU307" s="652">
        <f>20000-AU117</f>
        <v>3000</v>
      </c>
      <c r="AV307" s="27">
        <f>10000-AV117</f>
        <v>1600</v>
      </c>
      <c r="AW307" s="237">
        <f>AX307-AV307</f>
        <v>1550</v>
      </c>
      <c r="AX307" s="576">
        <f>AU307*(1+AX308)</f>
        <v>3150</v>
      </c>
      <c r="AY307" s="48">
        <f>AV307*(1+AY308)</f>
        <v>1632</v>
      </c>
      <c r="AZ307" s="237">
        <f>BA307-AY307</f>
        <v>1581</v>
      </c>
      <c r="BA307" s="576">
        <f>AX307*(1+BA308)</f>
        <v>3213</v>
      </c>
      <c r="BB307" s="48">
        <f>AY307*(1+BB308)</f>
        <v>1664.64</v>
      </c>
      <c r="BC307" s="237">
        <f>BD307-BB307</f>
        <v>1612.6200000000001</v>
      </c>
      <c r="BD307" s="576">
        <f>BA307*(1+BD308)</f>
        <v>3277.26</v>
      </c>
      <c r="BE307" s="48">
        <f>BB307*(1+BE308)</f>
        <v>1697.9328</v>
      </c>
      <c r="BF307" s="237">
        <f>BG307-BE307</f>
        <v>1644.8724000000002</v>
      </c>
      <c r="BG307" s="576">
        <f>BD307*(1+BG308)</f>
        <v>3342.8052000000002</v>
      </c>
      <c r="BH307" s="48">
        <f>BE307*(1+BH308)</f>
        <v>1731.8914560000001</v>
      </c>
      <c r="BI307" s="237">
        <f>BJ307-BH307</f>
        <v>1677.7698480000001</v>
      </c>
      <c r="BJ307" s="576">
        <f t="shared" ref="BJ307" si="802">BG307*(1+BJ308)</f>
        <v>3409.6613040000002</v>
      </c>
      <c r="BK307" s="264">
        <f>(BJ307/AL307)^(1/8)-1</f>
        <v>7.9643168045262502E-3</v>
      </c>
      <c r="BL307" s="1033"/>
      <c r="BM307" s="1033"/>
    </row>
    <row r="308" spans="1:65">
      <c r="A308" s="66" t="s">
        <v>613</v>
      </c>
      <c r="Q308" s="40"/>
      <c r="R308" s="40"/>
      <c r="S308" s="630"/>
      <c r="T308" s="653"/>
      <c r="U308" s="40"/>
      <c r="V308" s="630"/>
      <c r="W308" s="653"/>
      <c r="X308" s="40"/>
      <c r="Y308" s="630"/>
      <c r="Z308" s="653"/>
      <c r="AA308" s="952"/>
      <c r="AB308" s="647"/>
      <c r="AC308" s="671"/>
      <c r="AD308" s="952">
        <f t="shared" ref="AD308:AJ308" si="803">AD307/AA307-1</f>
        <v>-0.1428571428571429</v>
      </c>
      <c r="AE308" s="647">
        <f t="shared" si="803"/>
        <v>-0.44999999999999996</v>
      </c>
      <c r="AF308" s="671">
        <f t="shared" si="803"/>
        <v>-0.29268292682926833</v>
      </c>
      <c r="AG308" s="952">
        <f t="shared" si="803"/>
        <v>-0.2055555555555556</v>
      </c>
      <c r="AH308" s="647">
        <f t="shared" si="803"/>
        <v>0.33636363636363642</v>
      </c>
      <c r="AI308" s="671">
        <f t="shared" si="803"/>
        <v>0</v>
      </c>
      <c r="AJ308" s="952">
        <f t="shared" si="803"/>
        <v>0.11398601398601405</v>
      </c>
      <c r="AK308" s="638">
        <f>IFERROR(AK307/AH307-1,"NM")</f>
        <v>9.3197278911564707E-2</v>
      </c>
      <c r="AL308" s="671">
        <f>AL307/AI307-1</f>
        <v>0.10344827586206895</v>
      </c>
      <c r="AM308" s="952">
        <f>AM307/AJ307-1</f>
        <v>-5.8380414312617757E-2</v>
      </c>
      <c r="AN308" s="638">
        <f>IFERROR(AN307/AK307-1,"NM")</f>
        <v>-6.6583696328562536E-2</v>
      </c>
      <c r="AO308" s="671">
        <f>AO307/AL307-1</f>
        <v>-6.25E-2</v>
      </c>
      <c r="AP308" s="952">
        <f>AP307/AM307-1</f>
        <v>-6.6666666666666652E-2</v>
      </c>
      <c r="AQ308" s="638">
        <f>IFERROR(AQ307/AN307-1,"NM")</f>
        <v>6.6666666666666652E-2</v>
      </c>
      <c r="AR308" s="671">
        <f t="shared" ref="AR308:AW308" si="804">AR307/AO307-1</f>
        <v>0</v>
      </c>
      <c r="AS308" s="952">
        <f t="shared" si="804"/>
        <v>7.1428571428571397E-2</v>
      </c>
      <c r="AT308" s="647">
        <f t="shared" si="804"/>
        <v>-6.25E-2</v>
      </c>
      <c r="AU308" s="671">
        <f t="shared" si="804"/>
        <v>0</v>
      </c>
      <c r="AV308" s="952">
        <f t="shared" si="804"/>
        <v>6.6666666666666652E-2</v>
      </c>
      <c r="AW308" s="599">
        <f t="shared" si="804"/>
        <v>3.3333333333333437E-2</v>
      </c>
      <c r="AX308" s="837">
        <v>0.05</v>
      </c>
      <c r="AY308" s="435">
        <f>BA308</f>
        <v>0.02</v>
      </c>
      <c r="AZ308" s="599">
        <f>AZ307/AW307-1</f>
        <v>2.0000000000000018E-2</v>
      </c>
      <c r="BA308" s="837">
        <v>0.02</v>
      </c>
      <c r="BB308" s="435">
        <f>BD308</f>
        <v>0.02</v>
      </c>
      <c r="BC308" s="599">
        <f>BC307/AZ307-1</f>
        <v>2.0000000000000018E-2</v>
      </c>
      <c r="BD308" s="623">
        <f>BA308</f>
        <v>0.02</v>
      </c>
      <c r="BE308" s="435">
        <f>BG308</f>
        <v>0.02</v>
      </c>
      <c r="BF308" s="599">
        <f>BF307/BC307-1</f>
        <v>2.0000000000000018E-2</v>
      </c>
      <c r="BG308" s="623">
        <f>BD308</f>
        <v>0.02</v>
      </c>
      <c r="BH308" s="435">
        <f>BJ308</f>
        <v>0.02</v>
      </c>
      <c r="BI308" s="599">
        <f>BI307/BF307-1</f>
        <v>2.0000000000000018E-2</v>
      </c>
      <c r="BJ308" s="623">
        <f t="shared" ref="BJ308" si="805">BG308</f>
        <v>0.02</v>
      </c>
      <c r="BK308" s="437"/>
      <c r="BL308" s="131"/>
      <c r="BM308" s="131"/>
    </row>
    <row r="309" spans="1:65">
      <c r="A309" s="25" t="s">
        <v>557</v>
      </c>
      <c r="S309" s="595"/>
      <c r="T309" s="619"/>
      <c r="V309" s="595"/>
      <c r="W309" s="619"/>
      <c r="Y309" s="595"/>
      <c r="Z309" s="619"/>
      <c r="AB309" s="595"/>
      <c r="AC309" s="550">
        <f>AC306/AC307*1000</f>
        <v>333.61463414634147</v>
      </c>
      <c r="AE309" s="595"/>
      <c r="AF309" s="550">
        <f>AF306/AF307*1000</f>
        <v>347.09986206896554</v>
      </c>
      <c r="AH309" s="595"/>
      <c r="AI309" s="550">
        <f>AI306/AI307*1000</f>
        <v>504.29834482758616</v>
      </c>
      <c r="AK309" s="595"/>
      <c r="AL309" s="550">
        <f>AL306/AL307*1000</f>
        <v>512.8125</v>
      </c>
      <c r="AN309" s="539"/>
      <c r="AO309" s="550">
        <f>AO306/AO307*1000</f>
        <v>608</v>
      </c>
      <c r="AP309"/>
      <c r="AQ309" s="539"/>
      <c r="AR309" s="550">
        <f>AR306/AR307*1000</f>
        <v>631.95999999999992</v>
      </c>
      <c r="AS309"/>
      <c r="AT309" s="539"/>
      <c r="AU309" s="550">
        <f>AU306/AU307*1000</f>
        <v>573.12</v>
      </c>
      <c r="AV309"/>
      <c r="AW309" s="539"/>
      <c r="AX309" s="605">
        <f>AU309*(1+AX310)</f>
        <v>601.77600000000007</v>
      </c>
      <c r="AY309"/>
      <c r="AZ309" s="539"/>
      <c r="BA309" s="605">
        <f>AX309*(1+BA310)</f>
        <v>631.86480000000006</v>
      </c>
      <c r="BB309"/>
      <c r="BC309" s="539"/>
      <c r="BD309" s="605">
        <f>BA309*(1+BD310)</f>
        <v>663.4580400000001</v>
      </c>
      <c r="BE309"/>
      <c r="BF309" s="539"/>
      <c r="BG309" s="605">
        <f>BD309*(1+BG310)</f>
        <v>696.63094200000012</v>
      </c>
      <c r="BH309"/>
      <c r="BI309" s="539"/>
      <c r="BJ309" s="605">
        <f>BG309*(1+BJ310)</f>
        <v>731.4624891000002</v>
      </c>
    </row>
    <row r="310" spans="1:65">
      <c r="A310" s="66" t="s">
        <v>613</v>
      </c>
      <c r="Q310" s="40"/>
      <c r="R310" s="40"/>
      <c r="S310" s="630"/>
      <c r="T310" s="653"/>
      <c r="U310" s="40"/>
      <c r="V310" s="630"/>
      <c r="W310" s="653"/>
      <c r="X310" s="40"/>
      <c r="Y310" s="630"/>
      <c r="Z310" s="653"/>
      <c r="AA310" s="952"/>
      <c r="AB310" s="647"/>
      <c r="AC310" s="671"/>
      <c r="AD310" s="960"/>
      <c r="AE310" s="638"/>
      <c r="AF310" s="671">
        <f t="shared" ref="AF310" si="806">AF309/AC309-1</f>
        <v>4.0421571904752485E-2</v>
      </c>
      <c r="AG310" s="960" t="str">
        <f>IFERROR(AG309/AD309-1,"NM")</f>
        <v>NM</v>
      </c>
      <c r="AH310" s="638" t="str">
        <f>IFERROR(AH309/AE309-1,"NM")</f>
        <v>NM</v>
      </c>
      <c r="AI310" s="671">
        <f t="shared" ref="AI310" si="807">AI309/AF309-1</f>
        <v>0.45289122796420678</v>
      </c>
      <c r="AJ310" s="960" t="str">
        <f>IFERROR(AJ309/AG309-1,"NM")</f>
        <v>NM</v>
      </c>
      <c r="AK310" s="638" t="str">
        <f>IFERROR(AK309/AH309-1,"NM")</f>
        <v>NM</v>
      </c>
      <c r="AL310" s="671">
        <f>AL309/AI309-1</f>
        <v>1.6883170963657879E-2</v>
      </c>
      <c r="AM310" s="960" t="str">
        <f>IFERROR(AM309/AJ309-1,"NM")</f>
        <v>NM</v>
      </c>
      <c r="AN310" s="638" t="str">
        <f>IFERROR(AN309/AK309-1,"NM")</f>
        <v>NM</v>
      </c>
      <c r="AO310" s="671">
        <f>AO309/AL309-1</f>
        <v>0.18561852528945755</v>
      </c>
      <c r="AP310" s="435"/>
      <c r="AQ310" s="995"/>
      <c r="AR310" s="671">
        <f>AR309/AO309-1</f>
        <v>3.940789473684192E-2</v>
      </c>
      <c r="AS310" s="952">
        <v>0.05</v>
      </c>
      <c r="AT310" s="638" t="str">
        <f>IFERROR(AT309/AQ309-1,"NM")</f>
        <v>NM</v>
      </c>
      <c r="AU310" s="671">
        <f>AU309/AR309-1</f>
        <v>-9.3107158680929003E-2</v>
      </c>
      <c r="AV310" s="952">
        <v>0.05</v>
      </c>
      <c r="AW310" s="995" t="str">
        <f>IFERROR(AW309/AT309-1,"NM")</f>
        <v>NM</v>
      </c>
      <c r="AX310" s="837">
        <v>0.05</v>
      </c>
      <c r="AY310" s="435">
        <f>BA310</f>
        <v>0.05</v>
      </c>
      <c r="AZ310" s="995" t="str">
        <f>IFERROR(AZ309/AW309-1,"NM")</f>
        <v>NM</v>
      </c>
      <c r="BA310" s="623">
        <f>AX310</f>
        <v>0.05</v>
      </c>
      <c r="BB310" s="435">
        <f>BD310</f>
        <v>0.05</v>
      </c>
      <c r="BC310" s="995" t="str">
        <f>IFERROR(BC309/AZ309-1,"NM")</f>
        <v>NM</v>
      </c>
      <c r="BD310" s="623">
        <f>BA310</f>
        <v>0.05</v>
      </c>
      <c r="BE310" s="435">
        <f>BG310</f>
        <v>0.05</v>
      </c>
      <c r="BF310" s="995" t="str">
        <f>IFERROR(BF309/BC309-1,"NM")</f>
        <v>NM</v>
      </c>
      <c r="BG310" s="623">
        <f>BD310</f>
        <v>0.05</v>
      </c>
      <c r="BH310" s="435">
        <f>BJ310</f>
        <v>0.05</v>
      </c>
      <c r="BI310" s="995" t="str">
        <f>IFERROR(BI309/BF309-1,"NM")</f>
        <v>NM</v>
      </c>
      <c r="BJ310" s="623">
        <f t="shared" ref="BJ310" si="808">BG310</f>
        <v>0.05</v>
      </c>
      <c r="BK310" s="437"/>
      <c r="BL310" s="131"/>
      <c r="BM310" s="131"/>
    </row>
    <row r="311" spans="1:65">
      <c r="A311" s="25" t="s">
        <v>803</v>
      </c>
      <c r="S311" s="595"/>
      <c r="T311" s="619"/>
      <c r="V311" s="595"/>
      <c r="W311" s="619"/>
      <c r="Y311" s="595"/>
      <c r="Z311" s="619"/>
      <c r="AB311" s="595"/>
      <c r="AC311" s="740">
        <f>AC307/$AC$307</f>
        <v>1</v>
      </c>
      <c r="AE311" s="595"/>
      <c r="AF311" s="740">
        <f>AF307/$AC$307</f>
        <v>0.70731707317073167</v>
      </c>
      <c r="AH311" s="595"/>
      <c r="AI311" s="740">
        <f>AI307/$AC$307</f>
        <v>0.70731707317073167</v>
      </c>
      <c r="AK311" s="595"/>
      <c r="AL311" s="740">
        <f>AL307/$AC$307</f>
        <v>0.78048780487804881</v>
      </c>
      <c r="AN311" s="539"/>
      <c r="AO311" s="740">
        <f>AO307/$AC$307</f>
        <v>0.73170731707317072</v>
      </c>
      <c r="AP311"/>
      <c r="AQ311" s="539"/>
      <c r="AR311" s="740">
        <f>AR307/$AC$307</f>
        <v>0.73170731707317072</v>
      </c>
      <c r="AS311" s="10"/>
      <c r="AT311" s="539"/>
      <c r="AU311" s="740">
        <f>AU307/$AC$307</f>
        <v>0.73170731707317072</v>
      </c>
      <c r="AV311"/>
      <c r="AW311" s="539"/>
      <c r="AX311" s="577">
        <f>AX307/$AC$307</f>
        <v>0.76829268292682928</v>
      </c>
      <c r="AY311"/>
      <c r="AZ311" s="539"/>
      <c r="BA311" s="577">
        <f>BA307/$AC$307</f>
        <v>0.78365853658536588</v>
      </c>
      <c r="BB311"/>
      <c r="BC311" s="539"/>
      <c r="BD311" s="577">
        <f>BD307/$AC$307</f>
        <v>0.79933170731707326</v>
      </c>
      <c r="BE311"/>
      <c r="BF311" s="539"/>
      <c r="BG311" s="577">
        <f>BG307/$AC$307</f>
        <v>0.81531834146341464</v>
      </c>
      <c r="BH311"/>
      <c r="BI311" s="539"/>
      <c r="BJ311" s="577">
        <f>BJ307/$AC$307</f>
        <v>0.83162470829268298</v>
      </c>
    </row>
    <row r="312" spans="1:65">
      <c r="A312" s="66" t="s">
        <v>1012</v>
      </c>
      <c r="Q312" s="40"/>
      <c r="R312" s="40"/>
      <c r="S312" s="630"/>
      <c r="T312" s="653"/>
      <c r="U312" s="40"/>
      <c r="V312" s="630"/>
      <c r="W312" s="653"/>
      <c r="X312" s="40"/>
      <c r="Y312" s="630"/>
      <c r="Z312" s="653"/>
      <c r="AA312" s="952"/>
      <c r="AB312" s="647"/>
      <c r="AC312" s="671">
        <f t="shared" ref="AC312:BJ312" si="809">AC400/Z400-1</f>
        <v>8.8754307194318649E-3</v>
      </c>
      <c r="AD312" s="952">
        <f t="shared" si="809"/>
        <v>2.0608947804473976E-2</v>
      </c>
      <c r="AE312" s="647">
        <f t="shared" si="809"/>
        <v>2.0608947804473976E-2</v>
      </c>
      <c r="AF312" s="671">
        <f t="shared" si="809"/>
        <v>1.9975160422272875E-2</v>
      </c>
      <c r="AG312" s="952">
        <f t="shared" si="809"/>
        <v>-1.7554540842212085E-2</v>
      </c>
      <c r="AH312" s="647">
        <f t="shared" si="809"/>
        <v>-1.7554540842212085E-2</v>
      </c>
      <c r="AI312" s="671">
        <f t="shared" si="809"/>
        <v>-1.7554540842212085E-2</v>
      </c>
      <c r="AJ312" s="952">
        <f t="shared" si="809"/>
        <v>1.1361288989878204E-2</v>
      </c>
      <c r="AK312" s="638">
        <f t="shared" si="809"/>
        <v>1.1361288989878204E-2</v>
      </c>
      <c r="AL312" s="671">
        <f t="shared" si="809"/>
        <v>1.1361288989878204E-2</v>
      </c>
      <c r="AM312" s="952">
        <f t="shared" si="809"/>
        <v>1.4297385620916092E-3</v>
      </c>
      <c r="AN312" s="638">
        <f t="shared" si="809"/>
        <v>5.7189542483659928E-3</v>
      </c>
      <c r="AO312" s="671">
        <f t="shared" si="809"/>
        <v>5.7189542483659928E-3</v>
      </c>
      <c r="AP312" s="435"/>
      <c r="AQ312" s="599"/>
      <c r="AR312" s="671">
        <f t="shared" si="809"/>
        <v>4.0617384240460019E-4</v>
      </c>
      <c r="AS312" s="952">
        <f t="shared" si="809"/>
        <v>-1.2138377503539965E-3</v>
      </c>
      <c r="AT312" s="647">
        <f t="shared" si="809"/>
        <v>6.9021518473406651E-3</v>
      </c>
      <c r="AU312" s="671">
        <f>AU400/AR400-1</f>
        <v>6.9021518473406651E-3</v>
      </c>
      <c r="AV312" s="952">
        <f t="shared" si="809"/>
        <v>1.3773546688272242E-2</v>
      </c>
      <c r="AW312" s="599">
        <f t="shared" si="809"/>
        <v>1.0685483870967794E-2</v>
      </c>
      <c r="AX312" s="623">
        <f t="shared" si="809"/>
        <v>1.0685483870967794E-2</v>
      </c>
      <c r="AY312" s="435">
        <f t="shared" si="809"/>
        <v>1.3986013986013957E-2</v>
      </c>
      <c r="AZ312" s="599">
        <f t="shared" si="809"/>
        <v>1.2367843606622797E-2</v>
      </c>
      <c r="BA312" s="623">
        <f t="shared" si="809"/>
        <v>1.2367843606622797E-2</v>
      </c>
      <c r="BB312" s="435">
        <f t="shared" si="809"/>
        <v>1.3201970443349698E-2</v>
      </c>
      <c r="BC312" s="599">
        <f t="shared" si="809"/>
        <v>1.3201970443349698E-2</v>
      </c>
      <c r="BD312" s="623">
        <f t="shared" si="809"/>
        <v>1.3201970443349698E-2</v>
      </c>
      <c r="BE312" s="435">
        <f t="shared" si="809"/>
        <v>1.4196810579541141E-2</v>
      </c>
      <c r="BF312" s="599">
        <f t="shared" si="809"/>
        <v>1.4196810579541141E-2</v>
      </c>
      <c r="BG312" s="623">
        <f t="shared" si="809"/>
        <v>1.4196810579541141E-2</v>
      </c>
      <c r="BH312" s="435">
        <f t="shared" si="809"/>
        <v>1.5148609779482181E-2</v>
      </c>
      <c r="BI312" s="599">
        <f t="shared" si="809"/>
        <v>1.5148609779482181E-2</v>
      </c>
      <c r="BJ312" s="623">
        <f t="shared" si="809"/>
        <v>1.5148609779482181E-2</v>
      </c>
      <c r="BK312" s="437"/>
      <c r="BL312" s="131"/>
      <c r="BM312" s="131"/>
    </row>
    <row r="313" spans="1:65">
      <c r="S313" s="595"/>
      <c r="T313" s="619"/>
      <c r="V313" s="595"/>
      <c r="W313" s="619"/>
      <c r="Y313" s="595"/>
      <c r="Z313" s="619"/>
      <c r="AB313" s="595"/>
      <c r="AC313" s="619"/>
      <c r="AE313" s="595"/>
      <c r="AF313" s="619"/>
      <c r="AH313" s="595"/>
      <c r="AI313" s="619"/>
      <c r="AK313" s="595"/>
      <c r="AL313" s="619"/>
      <c r="AN313" s="539"/>
      <c r="AO313" s="550"/>
      <c r="AP313"/>
      <c r="AQ313" s="539"/>
      <c r="AR313" s="550"/>
      <c r="AS313"/>
      <c r="AT313" s="539"/>
      <c r="AU313" s="550"/>
      <c r="AV313"/>
      <c r="AW313" s="539"/>
      <c r="AX313" s="550"/>
      <c r="AY313"/>
      <c r="AZ313" s="539"/>
      <c r="BA313" s="550"/>
      <c r="BB313"/>
      <c r="BC313" s="539"/>
      <c r="BD313" s="550"/>
      <c r="BE313"/>
      <c r="BF313" s="539"/>
      <c r="BG313" s="550"/>
      <c r="BH313"/>
      <c r="BI313" s="539"/>
      <c r="BJ313" s="550"/>
    </row>
    <row r="314" spans="1:65">
      <c r="S314" s="595"/>
      <c r="T314" s="619"/>
      <c r="V314" s="595"/>
      <c r="W314" s="619"/>
      <c r="Y314" s="595"/>
      <c r="Z314" s="619"/>
      <c r="AB314" s="595"/>
      <c r="AC314" s="619"/>
      <c r="AE314" s="595"/>
      <c r="AF314" s="619"/>
      <c r="AH314" s="595"/>
      <c r="AI314" s="619"/>
      <c r="AK314" s="595"/>
      <c r="AL314" s="619"/>
      <c r="AN314" s="539"/>
      <c r="AO314" s="550"/>
      <c r="AP314"/>
      <c r="AQ314" s="539"/>
      <c r="AR314" s="550"/>
      <c r="AS314"/>
      <c r="AT314" s="539"/>
      <c r="AU314" s="550"/>
      <c r="AV314"/>
      <c r="AW314" s="539"/>
      <c r="AX314" s="550"/>
      <c r="AY314"/>
      <c r="AZ314" s="539"/>
      <c r="BA314" s="550"/>
      <c r="BB314"/>
      <c r="BC314" s="539"/>
      <c r="BD314" s="550"/>
      <c r="BE314"/>
      <c r="BF314" s="539"/>
      <c r="BG314" s="550"/>
      <c r="BH314"/>
      <c r="BI314" s="539"/>
      <c r="BJ314" s="550"/>
    </row>
    <row r="315" spans="1:65">
      <c r="A315" s="72" t="s">
        <v>1015</v>
      </c>
      <c r="S315" s="595"/>
      <c r="T315" s="619"/>
      <c r="V315" s="595"/>
      <c r="W315" s="619"/>
      <c r="Y315" s="595"/>
      <c r="Z315" s="619"/>
      <c r="AB315" s="595"/>
      <c r="AC315" s="619"/>
      <c r="AE315" s="595"/>
      <c r="AF315" s="619"/>
      <c r="AH315" s="595"/>
      <c r="AI315" s="619"/>
      <c r="AK315" s="595"/>
      <c r="AL315" s="619"/>
      <c r="AN315" s="539"/>
      <c r="AO315" s="550"/>
      <c r="AP315"/>
      <c r="AQ315" s="539"/>
      <c r="AR315" s="550"/>
      <c r="AS315"/>
      <c r="AT315" s="539"/>
      <c r="AU315" s="550"/>
      <c r="AV315"/>
      <c r="AW315" s="539"/>
      <c r="AX315" s="550"/>
      <c r="AY315"/>
      <c r="AZ315" s="539"/>
      <c r="BA315" s="550"/>
      <c r="BB315"/>
      <c r="BC315" s="539"/>
      <c r="BD315" s="550"/>
      <c r="BE315"/>
      <c r="BF315" s="539"/>
      <c r="BG315" s="550"/>
      <c r="BH315"/>
      <c r="BI315" s="539"/>
      <c r="BJ315" s="550"/>
    </row>
    <row r="316" spans="1:65" s="31" customFormat="1">
      <c r="A316" s="31" t="s">
        <v>687</v>
      </c>
      <c r="S316" s="793"/>
      <c r="T316" s="824"/>
      <c r="V316" s="793"/>
      <c r="W316" s="824"/>
      <c r="Y316" s="793"/>
      <c r="Z316" s="824"/>
      <c r="AB316" s="793"/>
      <c r="AC316" s="1036">
        <v>560</v>
      </c>
      <c r="AD316" s="1037">
        <v>220</v>
      </c>
      <c r="AE316" s="1035">
        <f>AF316-AD316</f>
        <v>187</v>
      </c>
      <c r="AF316" s="1036">
        <v>407</v>
      </c>
      <c r="AG316" s="1037">
        <v>160</v>
      </c>
      <c r="AH316" s="1035">
        <f>AI316-AG316</f>
        <v>168</v>
      </c>
      <c r="AI316" s="1036">
        <v>328</v>
      </c>
      <c r="AJ316" s="2">
        <v>150</v>
      </c>
      <c r="AK316" s="793">
        <f>AL316-AJ316</f>
        <v>178</v>
      </c>
      <c r="AL316" s="578">
        <v>328</v>
      </c>
      <c r="AM316" s="2">
        <v>187</v>
      </c>
      <c r="AN316" s="793">
        <f>AO316-AM316</f>
        <v>176</v>
      </c>
      <c r="AO316" s="578">
        <v>363</v>
      </c>
      <c r="AP316" s="2">
        <v>199</v>
      </c>
      <c r="AQ316" s="793">
        <f>AR316-AP316</f>
        <v>185</v>
      </c>
      <c r="AR316" s="578">
        <v>384</v>
      </c>
      <c r="AS316" s="2">
        <v>189</v>
      </c>
      <c r="AT316" s="629">
        <f>AU316-AS316</f>
        <v>141</v>
      </c>
      <c r="AU316" s="553">
        <v>330</v>
      </c>
      <c r="AV316" s="27">
        <v>140</v>
      </c>
      <c r="AW316" s="600">
        <f>AX316-AV316</f>
        <v>193.3</v>
      </c>
      <c r="AX316" s="576">
        <f>AU316*(1+AX317)</f>
        <v>333.3</v>
      </c>
      <c r="AY316" s="48">
        <f>AV316*(1+AY317)</f>
        <v>141.4</v>
      </c>
      <c r="AZ316" s="600">
        <f>BA316-AY316</f>
        <v>195.23300000000003</v>
      </c>
      <c r="BA316" s="576">
        <f>AX316*(1+BA317)</f>
        <v>336.63300000000004</v>
      </c>
      <c r="BB316" s="48">
        <f>AY316*(1+BB317)</f>
        <v>142.81399999999999</v>
      </c>
      <c r="BC316" s="600">
        <f>BD316-BB316</f>
        <v>197.18533000000005</v>
      </c>
      <c r="BD316" s="576">
        <f>BA316*(1+BD317)</f>
        <v>339.99933000000004</v>
      </c>
      <c r="BE316" s="48">
        <f>BB316*(1+BE317)</f>
        <v>144.24214000000001</v>
      </c>
      <c r="BF316" s="600">
        <f>BG316-BE316</f>
        <v>199.15718330000004</v>
      </c>
      <c r="BG316" s="576">
        <f>BD316*(1+BG317)</f>
        <v>343.39932330000005</v>
      </c>
      <c r="BH316" s="48">
        <f>BE316*(1+BH317)</f>
        <v>145.68456140000001</v>
      </c>
      <c r="BI316" s="600">
        <f>BJ316-BH316</f>
        <v>201.14875513300007</v>
      </c>
      <c r="BJ316" s="576">
        <f>BG316*(1+BJ317)</f>
        <v>346.83331653300007</v>
      </c>
      <c r="BK316" s="2"/>
    </row>
    <row r="317" spans="1:65" s="33" customFormat="1">
      <c r="A317" s="1011" t="s">
        <v>948</v>
      </c>
      <c r="S317" s="866"/>
      <c r="T317" s="890"/>
      <c r="V317" s="866"/>
      <c r="W317" s="890"/>
      <c r="Y317" s="866"/>
      <c r="Z317" s="890"/>
      <c r="AB317" s="866"/>
      <c r="AC317" s="833"/>
      <c r="AD317" s="1043"/>
      <c r="AE317" s="1042"/>
      <c r="AF317" s="833">
        <f t="shared" ref="AF317:AP317" si="810">AF316/AC316-1</f>
        <v>-0.27321428571428574</v>
      </c>
      <c r="AG317" s="169">
        <f t="shared" si="810"/>
        <v>-0.27272727272727271</v>
      </c>
      <c r="AH317" s="802">
        <f t="shared" si="810"/>
        <v>-0.10160427807486627</v>
      </c>
      <c r="AI317" s="833">
        <f t="shared" si="810"/>
        <v>-0.1941031941031941</v>
      </c>
      <c r="AJ317" s="33">
        <f t="shared" si="810"/>
        <v>-6.25E-2</v>
      </c>
      <c r="AK317" s="866">
        <f t="shared" si="810"/>
        <v>5.9523809523809534E-2</v>
      </c>
      <c r="AL317" s="890">
        <f t="shared" si="810"/>
        <v>0</v>
      </c>
      <c r="AM317" s="33">
        <f t="shared" si="810"/>
        <v>0.24666666666666659</v>
      </c>
      <c r="AN317" s="802">
        <f t="shared" si="810"/>
        <v>-1.1235955056179803E-2</v>
      </c>
      <c r="AO317" s="833">
        <f>AO316/AL316-1</f>
        <v>0.10670731707317072</v>
      </c>
      <c r="AP317" s="33">
        <f t="shared" si="810"/>
        <v>6.4171122994652441E-2</v>
      </c>
      <c r="AQ317" s="802">
        <f t="shared" ref="AQ317" si="811">AQ316/AN316-1</f>
        <v>5.1136363636363535E-2</v>
      </c>
      <c r="AR317" s="833">
        <f>AR316/AO316-1</f>
        <v>5.7851239669421517E-2</v>
      </c>
      <c r="AS317" s="33">
        <f t="shared" ref="AS317" si="812">AS316/AP316-1</f>
        <v>-5.0251256281407031E-2</v>
      </c>
      <c r="AT317" s="802">
        <f t="shared" ref="AT317" si="813">AT316/AQ316-1</f>
        <v>-0.23783783783783785</v>
      </c>
      <c r="AU317" s="833">
        <f>AU316/AR316-1</f>
        <v>-0.140625</v>
      </c>
      <c r="AV317" s="33">
        <f t="shared" ref="AV317" si="814">AV316/AS316-1</f>
        <v>-0.2592592592592593</v>
      </c>
      <c r="AW317" s="752">
        <f>AX317</f>
        <v>0.01</v>
      </c>
      <c r="AX317" s="610">
        <v>0.01</v>
      </c>
      <c r="AY317" s="324">
        <f>BA317</f>
        <v>0.01</v>
      </c>
      <c r="AZ317" s="752">
        <f>BA317</f>
        <v>0.01</v>
      </c>
      <c r="BA317" s="610">
        <v>0.01</v>
      </c>
      <c r="BB317" s="324">
        <f>BD317</f>
        <v>0.01</v>
      </c>
      <c r="BC317" s="752">
        <f>BD317</f>
        <v>0.01</v>
      </c>
      <c r="BD317" s="765">
        <f>BA317</f>
        <v>0.01</v>
      </c>
      <c r="BE317" s="324">
        <f>BG317</f>
        <v>0.01</v>
      </c>
      <c r="BF317" s="752">
        <f>BG317</f>
        <v>0.01</v>
      </c>
      <c r="BG317" s="765">
        <f>BD317</f>
        <v>0.01</v>
      </c>
      <c r="BH317" s="324">
        <f>BJ317</f>
        <v>0.01</v>
      </c>
      <c r="BI317" s="752">
        <f>BJ317</f>
        <v>0.01</v>
      </c>
      <c r="BJ317" s="765">
        <f>BG317</f>
        <v>0.01</v>
      </c>
      <c r="BK317" s="169"/>
    </row>
    <row r="318" spans="1:65" s="33" customFormat="1">
      <c r="A318" s="1011" t="s">
        <v>781</v>
      </c>
      <c r="S318" s="866"/>
      <c r="T318" s="890"/>
      <c r="V318" s="866"/>
      <c r="W318" s="890"/>
      <c r="Y318" s="866"/>
      <c r="Z318" s="890"/>
      <c r="AB318" s="866"/>
      <c r="AC318" s="833">
        <f t="shared" ref="AC318:AN318" si="815">AC316/AC322</f>
        <v>0.95238095238095233</v>
      </c>
      <c r="AD318" s="169">
        <f t="shared" si="815"/>
        <v>0.94420600858369097</v>
      </c>
      <c r="AE318" s="802">
        <f t="shared" si="815"/>
        <v>0.96391752577319589</v>
      </c>
      <c r="AF318" s="833">
        <f t="shared" si="815"/>
        <v>0.95316159250585475</v>
      </c>
      <c r="AG318" s="169">
        <f t="shared" si="815"/>
        <v>0.96385542168674698</v>
      </c>
      <c r="AH318" s="802">
        <f t="shared" si="815"/>
        <v>0.94915254237288138</v>
      </c>
      <c r="AI318" s="833">
        <f t="shared" si="815"/>
        <v>0.95626822157434399</v>
      </c>
      <c r="AJ318" s="33">
        <f t="shared" si="815"/>
        <v>0.96153846153846156</v>
      </c>
      <c r="AK318" s="866">
        <f t="shared" si="815"/>
        <v>0.96216216216216222</v>
      </c>
      <c r="AL318" s="890">
        <f t="shared" si="815"/>
        <v>0.96187683284457481</v>
      </c>
      <c r="AM318" s="33">
        <f t="shared" si="815"/>
        <v>0.949238578680203</v>
      </c>
      <c r="AN318" s="802">
        <f t="shared" si="815"/>
        <v>0.92146596858638741</v>
      </c>
      <c r="AO318" s="833">
        <f>AO316/AO322</f>
        <v>0.93556701030927836</v>
      </c>
      <c r="AP318" s="33">
        <f t="shared" ref="AP318:AQ318" si="816">AP316/AP322</f>
        <v>0.94312796208530802</v>
      </c>
      <c r="AQ318" s="802">
        <f t="shared" si="816"/>
        <v>0.92964824120603018</v>
      </c>
      <c r="AR318" s="833">
        <f>AR316/AR322</f>
        <v>0.93658536585365859</v>
      </c>
      <c r="AS318" s="33">
        <f t="shared" ref="AS318" si="817">AS316/AS322</f>
        <v>0.9356435643564357</v>
      </c>
      <c r="AT318" s="931">
        <f t="shared" ref="AT318:BJ318" si="818">AT316/AT322</f>
        <v>0.8867924528301887</v>
      </c>
      <c r="AU318" s="937">
        <f t="shared" si="818"/>
        <v>0.91412742382271472</v>
      </c>
      <c r="AV318" s="262">
        <f t="shared" si="818"/>
        <v>0.89743589743589747</v>
      </c>
      <c r="AW318" s="752">
        <f t="shared" si="818"/>
        <v>0.93246502653159669</v>
      </c>
      <c r="AX318" s="765">
        <f t="shared" si="818"/>
        <v>0.91742361684558216</v>
      </c>
      <c r="AY318" s="324">
        <f t="shared" si="818"/>
        <v>0.90409207161125316</v>
      </c>
      <c r="AZ318" s="752">
        <f t="shared" si="818"/>
        <v>0.92865059243791415</v>
      </c>
      <c r="BA318" s="765">
        <f t="shared" si="818"/>
        <v>0.91817430509528608</v>
      </c>
      <c r="BB318" s="324">
        <f t="shared" si="818"/>
        <v>0.90495139848175699</v>
      </c>
      <c r="BC318" s="752">
        <f t="shared" si="818"/>
        <v>0.92930708263384654</v>
      </c>
      <c r="BD318" s="765">
        <f t="shared" si="818"/>
        <v>0.91891877209615491</v>
      </c>
      <c r="BE318" s="324">
        <f t="shared" si="818"/>
        <v>0.90580382805707083</v>
      </c>
      <c r="BF318" s="752">
        <f t="shared" si="818"/>
        <v>0.92995798801206964</v>
      </c>
      <c r="BG318" s="765">
        <f t="shared" si="818"/>
        <v>0.91965705846794721</v>
      </c>
      <c r="BH318" s="324">
        <f t="shared" si="818"/>
        <v>0.90664940135312844</v>
      </c>
      <c r="BI318" s="752">
        <f t="shared" si="818"/>
        <v>0.93060334772332953</v>
      </c>
      <c r="BJ318" s="765">
        <f t="shared" si="818"/>
        <v>0.92038920476562258</v>
      </c>
      <c r="BK318" s="169"/>
    </row>
    <row r="319" spans="1:65" s="31" customFormat="1">
      <c r="A319" s="455" t="s">
        <v>949</v>
      </c>
      <c r="S319" s="793"/>
      <c r="T319" s="824"/>
      <c r="V319" s="793"/>
      <c r="W319" s="824"/>
      <c r="Y319" s="793"/>
      <c r="Z319" s="824"/>
      <c r="AB319" s="793"/>
      <c r="AC319" s="578">
        <f>AC322-AC316</f>
        <v>28</v>
      </c>
      <c r="AD319" s="2">
        <f>AD322-AD316</f>
        <v>13</v>
      </c>
      <c r="AE319" s="541">
        <f>AF319-AD319</f>
        <v>7</v>
      </c>
      <c r="AF319" s="578">
        <f>AF322-AF316</f>
        <v>20</v>
      </c>
      <c r="AG319" s="2">
        <f>AG322-AG316</f>
        <v>6</v>
      </c>
      <c r="AH319" s="541">
        <f>AI319-AG319</f>
        <v>9</v>
      </c>
      <c r="AI319" s="578">
        <v>15</v>
      </c>
      <c r="AJ319" s="31">
        <f>AJ322-AJ316</f>
        <v>6</v>
      </c>
      <c r="AK319" s="793">
        <f>AL319-AJ319</f>
        <v>7</v>
      </c>
      <c r="AL319" s="578">
        <f>AL322-AL316</f>
        <v>13</v>
      </c>
      <c r="AM319" s="31">
        <f>AM322-AM316</f>
        <v>10</v>
      </c>
      <c r="AN319" s="793">
        <f>AO319-AM319</f>
        <v>15</v>
      </c>
      <c r="AO319" s="578">
        <f>AO322-AO316</f>
        <v>25</v>
      </c>
      <c r="AP319" s="31">
        <f>AP322-AP316</f>
        <v>12</v>
      </c>
      <c r="AQ319" s="793">
        <f>AR319-AP319</f>
        <v>14</v>
      </c>
      <c r="AR319" s="578">
        <f>AR322-AR316</f>
        <v>26</v>
      </c>
      <c r="AS319" s="31">
        <f>AS322-AS316</f>
        <v>13</v>
      </c>
      <c r="AT319" s="218">
        <f>AU319-AS319</f>
        <v>18</v>
      </c>
      <c r="AU319" s="553">
        <f>AU322-AU316</f>
        <v>31</v>
      </c>
      <c r="AV319" s="31">
        <f>AV322-AV316</f>
        <v>16</v>
      </c>
      <c r="AW319" s="237">
        <f>AX319-AV319</f>
        <v>14</v>
      </c>
      <c r="AX319" s="586">
        <v>30</v>
      </c>
      <c r="AY319" s="48">
        <f>BA319/2</f>
        <v>15</v>
      </c>
      <c r="AZ319" s="237">
        <f>BA319-AY319</f>
        <v>15</v>
      </c>
      <c r="BA319" s="576">
        <f>AX319</f>
        <v>30</v>
      </c>
      <c r="BB319" s="48">
        <f>BD319/2</f>
        <v>15</v>
      </c>
      <c r="BC319" s="237">
        <f>BD319-BB319</f>
        <v>15</v>
      </c>
      <c r="BD319" s="576">
        <f>BA319</f>
        <v>30</v>
      </c>
      <c r="BE319" s="48">
        <f>BG319/2</f>
        <v>15</v>
      </c>
      <c r="BF319" s="237">
        <f>BG319-BE319</f>
        <v>15</v>
      </c>
      <c r="BG319" s="576">
        <f>BD319</f>
        <v>30</v>
      </c>
      <c r="BH319" s="48">
        <f>BJ319/2</f>
        <v>15</v>
      </c>
      <c r="BI319" s="237">
        <f>BJ319-BH319</f>
        <v>15</v>
      </c>
      <c r="BJ319" s="576">
        <f>BG319</f>
        <v>30</v>
      </c>
      <c r="BK319" s="2"/>
    </row>
    <row r="320" spans="1:65">
      <c r="A320" s="66" t="s">
        <v>948</v>
      </c>
      <c r="S320" s="595"/>
      <c r="T320" s="619"/>
      <c r="V320" s="595"/>
      <c r="W320" s="619"/>
      <c r="Y320" s="595"/>
      <c r="Z320" s="619"/>
      <c r="AB320" s="595"/>
      <c r="AC320" s="833"/>
      <c r="AD320" s="169"/>
      <c r="AE320" s="802"/>
      <c r="AF320" s="833">
        <f t="shared" ref="AF320" si="819">AF319/AC319-1</f>
        <v>-0.2857142857142857</v>
      </c>
      <c r="AG320" s="169">
        <f t="shared" ref="AG320" si="820">AG319/AD319-1</f>
        <v>-0.53846153846153844</v>
      </c>
      <c r="AH320" s="802">
        <f t="shared" ref="AH320" si="821">AH319/AE319-1</f>
        <v>0.28571428571428581</v>
      </c>
      <c r="AI320" s="833">
        <f t="shared" ref="AI320" si="822">AI319/AF319-1</f>
        <v>-0.25</v>
      </c>
      <c r="AJ320" s="33">
        <f t="shared" ref="AJ320" si="823">AJ319/AG319-1</f>
        <v>0</v>
      </c>
      <c r="AK320" s="866">
        <f t="shared" ref="AK320" si="824">AK319/AH319-1</f>
        <v>-0.22222222222222221</v>
      </c>
      <c r="AL320" s="890">
        <f t="shared" ref="AL320" si="825">AL319/AI319-1</f>
        <v>-0.1333333333333333</v>
      </c>
      <c r="AM320" s="33">
        <f t="shared" ref="AM320" si="826">AM319/AJ319-1</f>
        <v>0.66666666666666674</v>
      </c>
      <c r="AN320" s="802">
        <f t="shared" ref="AN320" si="827">AN319/AK319-1</f>
        <v>1.1428571428571428</v>
      </c>
      <c r="AO320" s="833">
        <f>AO319/AL319-1</f>
        <v>0.92307692307692313</v>
      </c>
      <c r="AP320" s="33">
        <f t="shared" ref="AP320" si="828">AP319/AM319-1</f>
        <v>0.19999999999999996</v>
      </c>
      <c r="AQ320" s="802">
        <f t="shared" ref="AQ320" si="829">AQ319/AN319-1</f>
        <v>-6.6666666666666652E-2</v>
      </c>
      <c r="AR320" s="833">
        <f>AR319/AO319-1</f>
        <v>4.0000000000000036E-2</v>
      </c>
      <c r="AS320" s="33">
        <f t="shared" ref="AS320" si="830">AS319/AP319-1</f>
        <v>8.3333333333333259E-2</v>
      </c>
      <c r="AT320" s="802">
        <f t="shared" ref="AT320" si="831">AT319/AQ319-1</f>
        <v>0.28571428571428581</v>
      </c>
      <c r="AU320" s="833">
        <f>AU319/AR319-1</f>
        <v>0.19230769230769229</v>
      </c>
      <c r="AV320" s="262">
        <f t="shared" ref="AV320" si="832">AV319/AS319-1</f>
        <v>0.23076923076923084</v>
      </c>
      <c r="AW320" s="752">
        <f t="shared" ref="AW320" si="833">AW319/AT319-1</f>
        <v>-0.22222222222222221</v>
      </c>
      <c r="AX320" s="765">
        <f t="shared" ref="AX320" si="834">AX319/AU319-1</f>
        <v>-3.2258064516129004E-2</v>
      </c>
      <c r="AY320" s="324">
        <f t="shared" ref="AY320" si="835">AY319/AV319-1</f>
        <v>-6.25E-2</v>
      </c>
      <c r="AZ320" s="752">
        <f t="shared" ref="AZ320" si="836">AZ319/AW319-1</f>
        <v>7.1428571428571397E-2</v>
      </c>
      <c r="BA320" s="765">
        <f t="shared" ref="BA320" si="837">BA319/AX319-1</f>
        <v>0</v>
      </c>
      <c r="BB320" s="324">
        <f t="shared" ref="BB320" si="838">BB319/AY319-1</f>
        <v>0</v>
      </c>
      <c r="BC320" s="752">
        <f t="shared" ref="BC320" si="839">BC319/AZ319-1</f>
        <v>0</v>
      </c>
      <c r="BD320" s="765">
        <f t="shared" ref="BD320" si="840">BD319/BA319-1</f>
        <v>0</v>
      </c>
      <c r="BE320" s="324">
        <f t="shared" ref="BE320" si="841">BE319/BB319-1</f>
        <v>0</v>
      </c>
      <c r="BF320" s="752">
        <f t="shared" ref="BF320" si="842">BF319/BC319-1</f>
        <v>0</v>
      </c>
      <c r="BG320" s="765">
        <f t="shared" ref="BG320" si="843">BG319/BD319-1</f>
        <v>0</v>
      </c>
      <c r="BH320" s="324">
        <f t="shared" ref="BH320" si="844">BH319/BE319-1</f>
        <v>0</v>
      </c>
      <c r="BI320" s="752">
        <f t="shared" ref="BI320" si="845">BI319/BF319-1</f>
        <v>0</v>
      </c>
      <c r="BJ320" s="765">
        <f t="shared" ref="BJ320" si="846">BJ319/BG319-1</f>
        <v>0</v>
      </c>
    </row>
    <row r="321" spans="1:63">
      <c r="A321" s="80" t="s">
        <v>781</v>
      </c>
      <c r="S321" s="595"/>
      <c r="T321" s="619"/>
      <c r="V321" s="595"/>
      <c r="W321" s="619"/>
      <c r="Y321" s="595"/>
      <c r="Z321" s="619"/>
      <c r="AB321" s="595"/>
      <c r="AC321" s="609">
        <f>AC319/AC322</f>
        <v>4.7619047619047616E-2</v>
      </c>
      <c r="AD321" s="1038">
        <f t="shared" ref="AD321:BJ321" si="847">AD319/AD322</f>
        <v>5.5793991416309016E-2</v>
      </c>
      <c r="AE321" s="590">
        <f t="shared" si="847"/>
        <v>3.608247422680412E-2</v>
      </c>
      <c r="AF321" s="609">
        <f t="shared" si="847"/>
        <v>4.6838407494145202E-2</v>
      </c>
      <c r="AG321" s="1038">
        <f t="shared" si="847"/>
        <v>3.614457831325301E-2</v>
      </c>
      <c r="AH321" s="590">
        <f t="shared" si="847"/>
        <v>5.0847457627118647E-2</v>
      </c>
      <c r="AI321" s="609">
        <f t="shared" si="847"/>
        <v>4.3731778425655975E-2</v>
      </c>
      <c r="AJ321" s="114">
        <f t="shared" si="847"/>
        <v>3.8461538461538464E-2</v>
      </c>
      <c r="AK321" s="736">
        <f t="shared" si="847"/>
        <v>3.783783783783784E-2</v>
      </c>
      <c r="AL321" s="740">
        <f t="shared" si="847"/>
        <v>3.8123167155425221E-2</v>
      </c>
      <c r="AM321" s="114">
        <f t="shared" si="847"/>
        <v>5.0761421319796954E-2</v>
      </c>
      <c r="AN321" s="590">
        <f t="shared" si="847"/>
        <v>7.8534031413612565E-2</v>
      </c>
      <c r="AO321" s="609">
        <f t="shared" si="847"/>
        <v>6.4432989690721643E-2</v>
      </c>
      <c r="AP321" s="114">
        <f t="shared" ref="AP321:AR321" si="848">AP319/AP322</f>
        <v>5.6872037914691941E-2</v>
      </c>
      <c r="AQ321" s="590">
        <f t="shared" si="848"/>
        <v>7.0351758793969849E-2</v>
      </c>
      <c r="AR321" s="609">
        <f t="shared" si="848"/>
        <v>6.3414634146341464E-2</v>
      </c>
      <c r="AS321" s="114">
        <f t="shared" ref="AS321:AU321" si="849">AS319/AS322</f>
        <v>6.4356435643564358E-2</v>
      </c>
      <c r="AT321" s="590">
        <f t="shared" si="849"/>
        <v>0.11320754716981132</v>
      </c>
      <c r="AU321" s="609">
        <f t="shared" si="849"/>
        <v>8.5872576177285317E-2</v>
      </c>
      <c r="AV321" s="211">
        <f t="shared" si="847"/>
        <v>0.10256410256410256</v>
      </c>
      <c r="AW321" s="252">
        <f t="shared" si="847"/>
        <v>6.7534973468403273E-2</v>
      </c>
      <c r="AX321" s="577">
        <f t="shared" si="847"/>
        <v>8.2576383154417829E-2</v>
      </c>
      <c r="AY321" s="251">
        <f t="shared" si="847"/>
        <v>9.5907928388746802E-2</v>
      </c>
      <c r="AZ321" s="252">
        <f t="shared" si="847"/>
        <v>7.1349407562085868E-2</v>
      </c>
      <c r="BA321" s="577">
        <f t="shared" si="847"/>
        <v>8.1825694904713975E-2</v>
      </c>
      <c r="BB321" s="251">
        <f t="shared" si="847"/>
        <v>9.5048601518243001E-2</v>
      </c>
      <c r="BC321" s="252">
        <f t="shared" si="847"/>
        <v>7.0692917366153435E-2</v>
      </c>
      <c r="BD321" s="577">
        <f t="shared" si="847"/>
        <v>8.1081227903845116E-2</v>
      </c>
      <c r="BE321" s="251">
        <f t="shared" si="847"/>
        <v>9.4196171942929174E-2</v>
      </c>
      <c r="BF321" s="252">
        <f t="shared" si="847"/>
        <v>7.004201198793035E-2</v>
      </c>
      <c r="BG321" s="577">
        <f t="shared" si="847"/>
        <v>8.0342941532052847E-2</v>
      </c>
      <c r="BH321" s="251">
        <f t="shared" si="847"/>
        <v>9.3350598646871619E-2</v>
      </c>
      <c r="BI321" s="252">
        <f t="shared" si="847"/>
        <v>6.9396652276670481E-2</v>
      </c>
      <c r="BJ321" s="577">
        <f t="shared" si="847"/>
        <v>7.9610795234377418E-2</v>
      </c>
    </row>
    <row r="322" spans="1:63" s="31" customFormat="1">
      <c r="A322" s="455" t="s">
        <v>1023</v>
      </c>
      <c r="Q322" s="51"/>
      <c r="R322" s="51"/>
      <c r="S322" s="629"/>
      <c r="T322" s="652"/>
      <c r="U322" s="51"/>
      <c r="V322" s="629"/>
      <c r="W322" s="652"/>
      <c r="X322" s="51"/>
      <c r="Y322" s="629"/>
      <c r="Z322" s="652"/>
      <c r="AA322" s="27">
        <v>292</v>
      </c>
      <c r="AB322" s="218">
        <f>AC322-AA322</f>
        <v>296</v>
      </c>
      <c r="AC322" s="553">
        <f>1554-AC221-AC224</f>
        <v>588</v>
      </c>
      <c r="AD322" s="27">
        <v>233</v>
      </c>
      <c r="AE322" s="218">
        <f>AF322-AD322</f>
        <v>194</v>
      </c>
      <c r="AF322" s="553">
        <f>1258-AF221-AF224</f>
        <v>427</v>
      </c>
      <c r="AG322" s="27">
        <v>166</v>
      </c>
      <c r="AH322" s="218">
        <f>AI322-AG322</f>
        <v>177</v>
      </c>
      <c r="AI322" s="553">
        <f>953-AI221-AI224</f>
        <v>343</v>
      </c>
      <c r="AJ322" s="27">
        <v>156</v>
      </c>
      <c r="AK322" s="629">
        <f>AL322-AJ322</f>
        <v>185</v>
      </c>
      <c r="AL322" s="652">
        <v>341</v>
      </c>
      <c r="AM322" s="51">
        <v>197</v>
      </c>
      <c r="AN322" s="629">
        <f>AO322-AM322</f>
        <v>191</v>
      </c>
      <c r="AO322" s="652">
        <v>388</v>
      </c>
      <c r="AP322" s="51">
        <v>211</v>
      </c>
      <c r="AQ322" s="629">
        <f>AR322-AP322</f>
        <v>199</v>
      </c>
      <c r="AR322" s="652">
        <v>410</v>
      </c>
      <c r="AS322" s="51">
        <v>202</v>
      </c>
      <c r="AT322" s="218">
        <f>AU322-AS322</f>
        <v>159</v>
      </c>
      <c r="AU322" s="553">
        <v>361</v>
      </c>
      <c r="AV322" s="27">
        <v>156</v>
      </c>
      <c r="AW322" s="237">
        <f>AX322-AV322</f>
        <v>207.3</v>
      </c>
      <c r="AX322" s="576">
        <f>AX316+AX319</f>
        <v>363.3</v>
      </c>
      <c r="AY322" s="48">
        <f>AY316+AY319</f>
        <v>156.4</v>
      </c>
      <c r="AZ322" s="237">
        <f>BA322-AY322</f>
        <v>210.23300000000003</v>
      </c>
      <c r="BA322" s="576">
        <f>BA316+BA319</f>
        <v>366.63300000000004</v>
      </c>
      <c r="BB322" s="48">
        <f>BB316+BB319</f>
        <v>157.81399999999999</v>
      </c>
      <c r="BC322" s="237">
        <f>BD322-BB322</f>
        <v>212.18533000000005</v>
      </c>
      <c r="BD322" s="576">
        <f>BD316+BD319</f>
        <v>369.99933000000004</v>
      </c>
      <c r="BE322" s="48">
        <f>BE316+BE319</f>
        <v>159.24214000000001</v>
      </c>
      <c r="BF322" s="237">
        <f>BG322-BE322</f>
        <v>214.15718330000004</v>
      </c>
      <c r="BG322" s="576">
        <f>BG316+BG319</f>
        <v>373.39932330000005</v>
      </c>
      <c r="BH322" s="48">
        <f>BH316+BH319</f>
        <v>160.68456140000001</v>
      </c>
      <c r="BI322" s="237">
        <f>BJ322-BH322</f>
        <v>216.14875513300007</v>
      </c>
      <c r="BJ322" s="576">
        <f>BJ316+BJ319</f>
        <v>376.83331653300007</v>
      </c>
      <c r="BK322" s="2"/>
    </row>
    <row r="323" spans="1:63">
      <c r="A323" s="66" t="s">
        <v>948</v>
      </c>
      <c r="Q323" s="40"/>
      <c r="R323" s="40"/>
      <c r="S323" s="630"/>
      <c r="T323" s="653"/>
      <c r="U323" s="40"/>
      <c r="V323" s="630"/>
      <c r="W323" s="653"/>
      <c r="X323" s="40"/>
      <c r="Y323" s="630"/>
      <c r="Z323" s="653"/>
      <c r="AA323" s="952"/>
      <c r="AB323" s="647"/>
      <c r="AC323" s="671"/>
      <c r="AD323" s="952">
        <f t="shared" ref="AD323:AM323" si="850">AD322/AA322-1</f>
        <v>-0.20205479452054798</v>
      </c>
      <c r="AE323" s="647">
        <f t="shared" si="850"/>
        <v>-0.34459459459459463</v>
      </c>
      <c r="AF323" s="671">
        <f t="shared" si="850"/>
        <v>-0.27380952380952384</v>
      </c>
      <c r="AG323" s="952">
        <f t="shared" si="850"/>
        <v>-0.28755364806866957</v>
      </c>
      <c r="AH323" s="647">
        <f t="shared" si="850"/>
        <v>-8.7628865979381465E-2</v>
      </c>
      <c r="AI323" s="671">
        <f t="shared" si="850"/>
        <v>-0.19672131147540983</v>
      </c>
      <c r="AJ323" s="952">
        <f t="shared" si="850"/>
        <v>-6.0240963855421659E-2</v>
      </c>
      <c r="AK323" s="647">
        <f t="shared" si="850"/>
        <v>4.5197740112994378E-2</v>
      </c>
      <c r="AL323" s="671">
        <f t="shared" si="850"/>
        <v>-5.8309037900874383E-3</v>
      </c>
      <c r="AM323" s="952">
        <f t="shared" si="850"/>
        <v>0.26282051282051277</v>
      </c>
      <c r="AN323" s="647">
        <f t="shared" ref="AN323" si="851">AN322/AK322-1</f>
        <v>3.2432432432432323E-2</v>
      </c>
      <c r="AO323" s="671">
        <f t="shared" ref="AO323:AP323" si="852">AO322/AL322-1</f>
        <v>0.13782991202346051</v>
      </c>
      <c r="AP323" s="952">
        <f t="shared" si="852"/>
        <v>7.1065989847715727E-2</v>
      </c>
      <c r="AQ323" s="647">
        <f t="shared" ref="AQ323" si="853">AQ322/AN322-1</f>
        <v>4.1884816753926746E-2</v>
      </c>
      <c r="AR323" s="671">
        <f t="shared" ref="AR323:AS323" si="854">AR322/AO322-1</f>
        <v>5.6701030927835072E-2</v>
      </c>
      <c r="AS323" s="952">
        <f t="shared" si="854"/>
        <v>-4.2654028436018954E-2</v>
      </c>
      <c r="AT323" s="647">
        <f t="shared" ref="AT323:BJ323" si="855">AT322/AQ322-1</f>
        <v>-0.20100502512562812</v>
      </c>
      <c r="AU323" s="671">
        <f t="shared" si="855"/>
        <v>-0.11951219512195121</v>
      </c>
      <c r="AV323" s="952">
        <f t="shared" si="855"/>
        <v>-0.2277227722772277</v>
      </c>
      <c r="AW323" s="599">
        <f t="shared" si="855"/>
        <v>0.30377358490566042</v>
      </c>
      <c r="AX323" s="623">
        <f t="shared" si="855"/>
        <v>6.3711911357340334E-3</v>
      </c>
      <c r="AY323" s="435">
        <f t="shared" si="855"/>
        <v>2.564102564102555E-3</v>
      </c>
      <c r="AZ323" s="599">
        <f t="shared" si="855"/>
        <v>1.414857694163052E-2</v>
      </c>
      <c r="BA323" s="623">
        <f t="shared" si="855"/>
        <v>9.1742361684559182E-3</v>
      </c>
      <c r="BB323" s="435">
        <f t="shared" si="855"/>
        <v>9.0409207161123994E-3</v>
      </c>
      <c r="BC323" s="599">
        <f t="shared" si="855"/>
        <v>9.2865059243791848E-3</v>
      </c>
      <c r="BD323" s="623">
        <f t="shared" si="855"/>
        <v>9.181743050952873E-3</v>
      </c>
      <c r="BE323" s="435">
        <f t="shared" si="855"/>
        <v>9.0495139848176809E-3</v>
      </c>
      <c r="BF323" s="599">
        <f t="shared" si="855"/>
        <v>9.2930708263383455E-3</v>
      </c>
      <c r="BG323" s="623">
        <f t="shared" si="855"/>
        <v>9.1891877209615558E-3</v>
      </c>
      <c r="BH323" s="435">
        <f t="shared" si="855"/>
        <v>9.0580382805707238E-3</v>
      </c>
      <c r="BI323" s="599">
        <f t="shared" si="855"/>
        <v>9.2995798801207563E-3</v>
      </c>
      <c r="BJ323" s="623">
        <f t="shared" si="855"/>
        <v>9.1965705846794865E-3</v>
      </c>
    </row>
    <row r="324" spans="1:63">
      <c r="A324" s="66"/>
      <c r="Q324" s="40"/>
      <c r="R324" s="40"/>
      <c r="S324" s="630"/>
      <c r="T324" s="653"/>
      <c r="U324" s="40"/>
      <c r="V324" s="630"/>
      <c r="W324" s="653"/>
      <c r="X324" s="40"/>
      <c r="Y324" s="630"/>
      <c r="Z324" s="653"/>
      <c r="AA324" s="952"/>
      <c r="AB324" s="647"/>
      <c r="AC324" s="671"/>
      <c r="AD324" s="952"/>
      <c r="AE324" s="647"/>
      <c r="AF324" s="671"/>
      <c r="AG324" s="952"/>
      <c r="AH324" s="647"/>
      <c r="AI324" s="671"/>
      <c r="AJ324" s="952"/>
      <c r="AK324" s="647"/>
      <c r="AL324" s="671"/>
      <c r="AM324" s="952"/>
      <c r="AN324" s="647"/>
      <c r="AO324" s="671"/>
      <c r="AP324" s="1039"/>
      <c r="AQ324" s="1040"/>
      <c r="AR324" s="1041"/>
      <c r="AS324" s="1039"/>
      <c r="AT324" s="1040"/>
      <c r="AU324" s="1041"/>
      <c r="AV324" s="1039"/>
      <c r="AW324" s="1040"/>
      <c r="AX324" s="1041"/>
      <c r="AY324" s="1039"/>
      <c r="AZ324" s="1040"/>
      <c r="BA324" s="1041"/>
      <c r="BB324" s="1039"/>
      <c r="BC324" s="1040"/>
      <c r="BD324" s="1041"/>
      <c r="BE324" s="1039"/>
      <c r="BF324" s="1040"/>
      <c r="BG324" s="1041"/>
      <c r="BH324" s="1039"/>
      <c r="BI324" s="1040"/>
      <c r="BJ324" s="1041"/>
    </row>
    <row r="325" spans="1:63">
      <c r="S325" s="595"/>
      <c r="T325" s="619"/>
      <c r="V325" s="595"/>
      <c r="W325" s="619"/>
      <c r="Y325" s="595"/>
      <c r="Z325" s="619"/>
      <c r="AB325" s="595"/>
      <c r="AC325" s="619"/>
      <c r="AE325" s="595"/>
      <c r="AF325" s="619"/>
      <c r="AH325" s="595"/>
      <c r="AI325" s="619"/>
      <c r="AK325" s="595"/>
      <c r="AL325" s="619"/>
      <c r="AN325" s="539"/>
      <c r="AO325" s="550"/>
      <c r="AP325"/>
      <c r="AQ325" s="539"/>
      <c r="AR325" s="550"/>
      <c r="AS325"/>
      <c r="AT325" s="539"/>
      <c r="AU325" s="550"/>
      <c r="AV325"/>
      <c r="AW325" s="539"/>
      <c r="AX325" s="550"/>
      <c r="AY325"/>
      <c r="AZ325" s="539"/>
      <c r="BA325" s="550"/>
      <c r="BB325"/>
      <c r="BC325" s="539"/>
      <c r="BD325" s="550"/>
      <c r="BE325"/>
      <c r="BF325" s="539"/>
      <c r="BG325" s="550"/>
      <c r="BH325"/>
      <c r="BI325" s="539"/>
      <c r="BJ325" s="550"/>
    </row>
    <row r="326" spans="1:63" s="31" customFormat="1">
      <c r="A326" s="31" t="s">
        <v>1011</v>
      </c>
      <c r="C326" s="51"/>
      <c r="D326" s="51"/>
      <c r="E326" s="51"/>
      <c r="F326" s="51"/>
      <c r="G326" s="51"/>
      <c r="H326" s="51"/>
      <c r="I326" s="51"/>
      <c r="J326" s="51"/>
      <c r="K326" s="51"/>
      <c r="L326" s="51"/>
      <c r="M326" s="51"/>
      <c r="N326" s="51" t="s">
        <v>397</v>
      </c>
      <c r="O326" s="51"/>
      <c r="P326" s="51">
        <f>P285*P375</f>
        <v>1316.25</v>
      </c>
      <c r="Q326" s="51">
        <f>Q285*Q375</f>
        <v>1216.75</v>
      </c>
      <c r="R326" s="51"/>
      <c r="S326" s="629"/>
      <c r="T326" s="652">
        <f>T285*T375</f>
        <v>1191</v>
      </c>
      <c r="U326" s="51"/>
      <c r="V326" s="629"/>
      <c r="W326" s="652">
        <f>+W285*W375</f>
        <v>1230.528</v>
      </c>
      <c r="X326" s="51"/>
      <c r="Y326" s="629"/>
      <c r="Z326" s="652">
        <f>+Z285*Z375</f>
        <v>1398.6577280000001</v>
      </c>
      <c r="AA326" s="51">
        <f>+AA285*AA374</f>
        <v>648.72</v>
      </c>
      <c r="AB326" s="629">
        <f>+AB285*AB374</f>
        <v>624.24</v>
      </c>
      <c r="AC326" s="652">
        <f t="shared" ref="AC326:AO326" si="856">+AC293*AC374</f>
        <v>1272.96</v>
      </c>
      <c r="AD326" s="51">
        <f t="shared" si="856"/>
        <v>412.92</v>
      </c>
      <c r="AE326" s="629">
        <f t="shared" si="856"/>
        <v>448.4</v>
      </c>
      <c r="AF326" s="652">
        <f t="shared" si="856"/>
        <v>954.56000000000006</v>
      </c>
      <c r="AG326" s="51">
        <f t="shared" si="856"/>
        <v>497.61999999999995</v>
      </c>
      <c r="AH326" s="629">
        <f t="shared" si="856"/>
        <v>787.29000000000008</v>
      </c>
      <c r="AI326" s="652">
        <f t="shared" si="856"/>
        <v>1269.9100000000001</v>
      </c>
      <c r="AJ326" s="51">
        <f t="shared" si="856"/>
        <v>643.5</v>
      </c>
      <c r="AK326" s="629">
        <f t="shared" si="856"/>
        <v>781.5</v>
      </c>
      <c r="AL326" s="652">
        <f t="shared" si="856"/>
        <v>1425</v>
      </c>
      <c r="AM326" s="51">
        <f t="shared" si="856"/>
        <v>793.5</v>
      </c>
      <c r="AN326" s="629">
        <f t="shared" si="856"/>
        <v>787.5</v>
      </c>
      <c r="AO326" s="652">
        <f t="shared" si="856"/>
        <v>1581</v>
      </c>
      <c r="AP326" s="51">
        <f t="shared" ref="AP326:AT326" si="857">+AP293*AP374</f>
        <v>988.64</v>
      </c>
      <c r="AQ326" s="629">
        <f t="shared" si="857"/>
        <v>855.43999999999994</v>
      </c>
      <c r="AR326" s="652">
        <f t="shared" si="857"/>
        <v>1844.08</v>
      </c>
      <c r="AS326" s="51">
        <f t="shared" ref="AS326" si="858">+AS293*AS374</f>
        <v>940.31999999999994</v>
      </c>
      <c r="AT326" s="629">
        <f t="shared" si="857"/>
        <v>852.48</v>
      </c>
      <c r="AU326" s="652">
        <f>+AU293*AU374</f>
        <v>1792.8</v>
      </c>
      <c r="AV326" s="51">
        <f t="shared" ref="AV326" si="859">+AV293*AV374</f>
        <v>1015.68</v>
      </c>
      <c r="AW326" s="237">
        <f>AX326-AV326</f>
        <v>925.00800000000015</v>
      </c>
      <c r="AX326" s="576">
        <f>AX328+AX330</f>
        <v>1940.6880000000001</v>
      </c>
      <c r="AY326" s="48">
        <f>AY328+AY330</f>
        <v>1099.4459999999999</v>
      </c>
      <c r="AZ326" s="237">
        <f>BA326-AY326</f>
        <v>1003.9188000000004</v>
      </c>
      <c r="BA326" s="576">
        <f>BA328+BA330</f>
        <v>2103.3648000000003</v>
      </c>
      <c r="BB326" s="48">
        <f>BB328+BB330</f>
        <v>1191.5886</v>
      </c>
      <c r="BC326" s="237">
        <f>BD326-BB326</f>
        <v>1090.7206800000004</v>
      </c>
      <c r="BD326" s="576">
        <f>BD328+BD330</f>
        <v>2282.3092800000004</v>
      </c>
      <c r="BE326" s="48">
        <f>BE328+BE330</f>
        <v>1292.9454600000004</v>
      </c>
      <c r="BF326" s="237">
        <f>BG326-BE326</f>
        <v>1186.2027480000002</v>
      </c>
      <c r="BG326" s="576">
        <f>BG328+BG330</f>
        <v>2479.1482080000005</v>
      </c>
      <c r="BH326" s="48">
        <f>BH328+BH330</f>
        <v>1404.4380060000005</v>
      </c>
      <c r="BI326" s="237">
        <f>BJ326-BH326</f>
        <v>1291.2330228000003</v>
      </c>
      <c r="BJ326" s="576">
        <f>BJ328+BJ330</f>
        <v>2695.6710288000008</v>
      </c>
      <c r="BK326" s="2"/>
    </row>
    <row r="327" spans="1:63">
      <c r="A327" s="25" t="s">
        <v>613</v>
      </c>
      <c r="C327" s="40"/>
      <c r="D327" s="40"/>
      <c r="E327" s="40"/>
      <c r="F327" s="40"/>
      <c r="G327" s="40"/>
      <c r="H327" s="40"/>
      <c r="I327" s="40"/>
      <c r="J327" s="40"/>
      <c r="K327" s="40"/>
      <c r="L327" s="40"/>
      <c r="M327" s="40"/>
      <c r="N327" s="40"/>
      <c r="O327" s="40"/>
      <c r="P327" s="40"/>
      <c r="Q327" s="50">
        <f t="shared" ref="Q327" si="860">+Q326/P326-1</f>
        <v>-7.5593542260208979E-2</v>
      </c>
      <c r="R327" s="50"/>
      <c r="S327" s="647"/>
      <c r="T327" s="671">
        <f>+T326/Q326-1</f>
        <v>-2.1162934045613313E-2</v>
      </c>
      <c r="U327" s="50"/>
      <c r="V327" s="647"/>
      <c r="W327" s="671">
        <f>+W326/T326-1</f>
        <v>3.3188916876574215E-2</v>
      </c>
      <c r="X327" s="50"/>
      <c r="Y327" s="647"/>
      <c r="Z327" s="671">
        <f>+Z326/W326-1</f>
        <v>0.13663218390804599</v>
      </c>
      <c r="AA327" s="952"/>
      <c r="AB327" s="647"/>
      <c r="AC327" s="671">
        <f t="shared" ref="AC327:BJ327" si="861">+AC326/Z326-1</f>
        <v>-8.9870255948709232E-2</v>
      </c>
      <c r="AD327" s="952">
        <f t="shared" si="861"/>
        <v>-0.36348501664816868</v>
      </c>
      <c r="AE327" s="647">
        <f t="shared" si="861"/>
        <v>-0.28168653082147899</v>
      </c>
      <c r="AF327" s="671">
        <f t="shared" si="861"/>
        <v>-0.25012569130216189</v>
      </c>
      <c r="AG327" s="952">
        <f t="shared" si="861"/>
        <v>0.20512447931802757</v>
      </c>
      <c r="AH327" s="647">
        <f t="shared" si="861"/>
        <v>0.75577609277430891</v>
      </c>
      <c r="AI327" s="671">
        <f t="shared" si="861"/>
        <v>0.33036163258464635</v>
      </c>
      <c r="AJ327" s="952">
        <f t="shared" si="861"/>
        <v>0.29315541979823978</v>
      </c>
      <c r="AK327" s="647">
        <f t="shared" si="861"/>
        <v>-7.354342110277079E-3</v>
      </c>
      <c r="AL327" s="671">
        <f t="shared" si="861"/>
        <v>0.12212676488885021</v>
      </c>
      <c r="AM327" s="952">
        <f t="shared" si="861"/>
        <v>0.2331002331002332</v>
      </c>
      <c r="AN327" s="647">
        <f t="shared" ref="AN327" si="862">+AN326/AK326-1</f>
        <v>7.6775431861804133E-3</v>
      </c>
      <c r="AO327" s="671">
        <f t="shared" ref="AO327" si="863">+AO326/AL326-1</f>
        <v>0.10947368421052639</v>
      </c>
      <c r="AP327" s="952">
        <f t="shared" si="861"/>
        <v>0.24592312539382477</v>
      </c>
      <c r="AQ327" s="647">
        <f t="shared" ref="AQ327" si="864">+AQ326/AN326-1</f>
        <v>8.6273015873015835E-2</v>
      </c>
      <c r="AR327" s="671">
        <f t="shared" ref="AR327" si="865">+AR326/AO326-1</f>
        <v>0.16640101201771018</v>
      </c>
      <c r="AS327" s="952">
        <f t="shared" si="861"/>
        <v>-4.8875222527917206E-2</v>
      </c>
      <c r="AT327" s="647">
        <f t="shared" ref="AT327" si="866">+AT326/AQ326-1</f>
        <v>-3.4602076124566894E-3</v>
      </c>
      <c r="AU327" s="671">
        <f t="shared" ref="AU327" si="867">+AU326/AR326-1</f>
        <v>-2.7807904212398538E-2</v>
      </c>
      <c r="AV327" s="211">
        <f t="shared" si="861"/>
        <v>8.0142930066360307E-2</v>
      </c>
      <c r="AW327" s="252">
        <f t="shared" si="861"/>
        <v>8.507882882882889E-2</v>
      </c>
      <c r="AX327" s="577">
        <f t="shared" si="861"/>
        <v>8.2489959839357585E-2</v>
      </c>
      <c r="AY327" s="251">
        <f t="shared" si="861"/>
        <v>8.2472826086956497E-2</v>
      </c>
      <c r="AZ327" s="252">
        <f t="shared" si="861"/>
        <v>8.5308235172020463E-2</v>
      </c>
      <c r="BA327" s="577">
        <f t="shared" si="861"/>
        <v>8.3824293240335468E-2</v>
      </c>
      <c r="BB327" s="251">
        <f t="shared" si="861"/>
        <v>8.3808208861553934E-2</v>
      </c>
      <c r="BC327" s="252">
        <f t="shared" si="861"/>
        <v>8.6463048605126103E-2</v>
      </c>
      <c r="BD327" s="577">
        <f t="shared" si="861"/>
        <v>8.5075342137512333E-2</v>
      </c>
      <c r="BE327" s="251">
        <f t="shared" si="861"/>
        <v>8.5060280032890789E-2</v>
      </c>
      <c r="BF327" s="252">
        <f t="shared" si="861"/>
        <v>8.7540348093519071E-2</v>
      </c>
      <c r="BG327" s="577">
        <f t="shared" si="861"/>
        <v>8.6245510073902132E-2</v>
      </c>
      <c r="BH327" s="251">
        <f t="shared" si="861"/>
        <v>8.6231437790113885E-2</v>
      </c>
      <c r="BI327" s="252">
        <f t="shared" si="861"/>
        <v>8.8543273885587137E-2</v>
      </c>
      <c r="BJ327" s="577">
        <f t="shared" si="861"/>
        <v>8.7337586394108824E-2</v>
      </c>
    </row>
    <row r="328" spans="1:63">
      <c r="A328" s="66" t="s">
        <v>612</v>
      </c>
      <c r="C328" s="40"/>
      <c r="D328" s="40"/>
      <c r="E328" s="40"/>
      <c r="F328" s="40"/>
      <c r="G328" s="40"/>
      <c r="H328" s="40"/>
      <c r="I328" s="40"/>
      <c r="J328" s="40"/>
      <c r="K328" s="40"/>
      <c r="L328" s="40"/>
      <c r="M328" s="40"/>
      <c r="N328" s="40"/>
      <c r="O328" s="40"/>
      <c r="P328" s="40">
        <f>+P286*P$375</f>
        <v>622.375</v>
      </c>
      <c r="Q328" s="40">
        <f>+Q286*Q$375</f>
        <v>658.75</v>
      </c>
      <c r="R328" s="40"/>
      <c r="S328" s="630"/>
      <c r="T328" s="653">
        <f>+T286*T$375</f>
        <v>678</v>
      </c>
      <c r="U328" s="40"/>
      <c r="V328" s="630"/>
      <c r="W328" s="653">
        <f>+W286*W$375</f>
        <v>745.38880000000006</v>
      </c>
      <c r="X328" s="40"/>
      <c r="Y328" s="630"/>
      <c r="Z328" s="653">
        <f>+W328*(1+Z329)</f>
        <v>879.55878400000006</v>
      </c>
      <c r="AA328" s="40">
        <f>+AA286*AA$374</f>
        <v>399.33</v>
      </c>
      <c r="AB328" s="630">
        <f>+AB286*AB$374</f>
        <v>330.48</v>
      </c>
      <c r="AC328" s="653">
        <f t="shared" ref="AC328:AO328" si="868">+AC294*AC$374</f>
        <v>729.81000000000006</v>
      </c>
      <c r="AD328" s="40">
        <f t="shared" si="868"/>
        <v>256.68</v>
      </c>
      <c r="AE328" s="630">
        <f t="shared" si="868"/>
        <v>360.24</v>
      </c>
      <c r="AF328" s="653">
        <f t="shared" si="868"/>
        <v>674.88</v>
      </c>
      <c r="AG328" s="40">
        <f t="shared" si="868"/>
        <v>410.04999999999995</v>
      </c>
      <c r="AH328" s="630">
        <f t="shared" si="868"/>
        <v>585.17000000000007</v>
      </c>
      <c r="AI328" s="653">
        <f t="shared" si="868"/>
        <v>987.54</v>
      </c>
      <c r="AJ328" s="40">
        <f t="shared" si="868"/>
        <v>493.5</v>
      </c>
      <c r="AK328" s="630">
        <f t="shared" si="868"/>
        <v>588</v>
      </c>
      <c r="AL328" s="653">
        <f t="shared" si="868"/>
        <v>1081.5</v>
      </c>
      <c r="AM328" s="40">
        <f t="shared" si="868"/>
        <v>610.5</v>
      </c>
      <c r="AN328" s="630">
        <f t="shared" si="868"/>
        <v>574.5</v>
      </c>
      <c r="AO328" s="653">
        <f t="shared" si="868"/>
        <v>1185</v>
      </c>
      <c r="AP328" s="40">
        <f t="shared" ref="AP328:AV328" si="869">+AP294*AP$374</f>
        <v>815.48</v>
      </c>
      <c r="AQ328" s="630">
        <f t="shared" si="869"/>
        <v>713.36</v>
      </c>
      <c r="AR328" s="653">
        <f t="shared" si="869"/>
        <v>1528.84</v>
      </c>
      <c r="AS328" s="40">
        <f t="shared" ref="AS328" si="870">+AS294*AS$374</f>
        <v>793.43999999999994</v>
      </c>
      <c r="AT328" s="630">
        <f t="shared" si="869"/>
        <v>685.43999999999994</v>
      </c>
      <c r="AU328" s="653">
        <f t="shared" si="869"/>
        <v>1478.8799999999999</v>
      </c>
      <c r="AV328" s="40">
        <f t="shared" si="869"/>
        <v>837.66</v>
      </c>
      <c r="AW328" s="236">
        <f>AX328-AV328</f>
        <v>789.10800000000006</v>
      </c>
      <c r="AX328" s="605">
        <f>+AU328*(1+AX329)</f>
        <v>1626.768</v>
      </c>
      <c r="AY328" s="56">
        <f>+AV328*(1+AY329)</f>
        <v>921.42600000000004</v>
      </c>
      <c r="AZ328" s="236">
        <f>BA328-AY328</f>
        <v>868.01880000000017</v>
      </c>
      <c r="BA328" s="605">
        <f>+AX328*(1+BA329)</f>
        <v>1789.4448000000002</v>
      </c>
      <c r="BB328" s="56">
        <f>+AY328*(1+BB329)</f>
        <v>1013.5686000000002</v>
      </c>
      <c r="BC328" s="236">
        <f>BD328-BB328</f>
        <v>954.82068000000015</v>
      </c>
      <c r="BD328" s="605">
        <f>+BA328*(1+BD329)</f>
        <v>1968.3892800000003</v>
      </c>
      <c r="BE328" s="56">
        <f>+BB328*(1+BE329)</f>
        <v>1114.9254600000004</v>
      </c>
      <c r="BF328" s="236">
        <f>BG328-BE328</f>
        <v>1050.3027480000001</v>
      </c>
      <c r="BG328" s="605">
        <f>+BD328*(1+BG329)</f>
        <v>2165.2282080000004</v>
      </c>
      <c r="BH328" s="56">
        <f>+BE328*(1+BH329)</f>
        <v>1226.4180060000006</v>
      </c>
      <c r="BI328" s="236">
        <f>BJ328-BH328</f>
        <v>1155.3330228000002</v>
      </c>
      <c r="BJ328" s="605">
        <f t="shared" ref="BJ328" si="871">+BG328*(1+BJ329)</f>
        <v>2381.7510288000008</v>
      </c>
    </row>
    <row r="329" spans="1:63">
      <c r="A329" s="66" t="s">
        <v>613</v>
      </c>
      <c r="C329" s="40"/>
      <c r="D329" s="40"/>
      <c r="E329" s="40"/>
      <c r="F329" s="40"/>
      <c r="G329" s="40"/>
      <c r="H329" s="40"/>
      <c r="I329" s="40"/>
      <c r="J329" s="40"/>
      <c r="K329" s="40"/>
      <c r="L329" s="40"/>
      <c r="M329" s="40"/>
      <c r="N329" s="40"/>
      <c r="O329" s="40"/>
      <c r="P329" s="40"/>
      <c r="Q329" s="50"/>
      <c r="R329" s="50"/>
      <c r="S329" s="647"/>
      <c r="T329" s="671">
        <f>+T328/Q328-1</f>
        <v>2.9222011385199309E-2</v>
      </c>
      <c r="U329" s="50"/>
      <c r="V329" s="647"/>
      <c r="W329" s="671">
        <f>+W328/T328-1</f>
        <v>9.9393510324483847E-2</v>
      </c>
      <c r="X329" s="50"/>
      <c r="Y329" s="647"/>
      <c r="Z329" s="671">
        <v>0.18</v>
      </c>
      <c r="AA329" s="952"/>
      <c r="AB329" s="647"/>
      <c r="AC329" s="671">
        <v>1.4999999999999999E-2</v>
      </c>
      <c r="AD329" s="952">
        <f t="shared" ref="AD329:AK329" si="872">+AD328/AA328-1</f>
        <v>-0.35722334910975884</v>
      </c>
      <c r="AE329" s="647">
        <f t="shared" si="872"/>
        <v>9.0050835148874242E-2</v>
      </c>
      <c r="AF329" s="671">
        <f t="shared" si="872"/>
        <v>-7.5266165166276267E-2</v>
      </c>
      <c r="AG329" s="952">
        <f t="shared" si="872"/>
        <v>0.59751441483559264</v>
      </c>
      <c r="AH329" s="647">
        <f t="shared" si="872"/>
        <v>0.62438929602487248</v>
      </c>
      <c r="AI329" s="671">
        <f t="shared" si="872"/>
        <v>0.46328236130867695</v>
      </c>
      <c r="AJ329" s="952">
        <f t="shared" si="872"/>
        <v>0.20351176685770045</v>
      </c>
      <c r="AK329" s="647">
        <f t="shared" si="872"/>
        <v>4.8362014457334901E-3</v>
      </c>
      <c r="AL329" s="671">
        <v>0.08</v>
      </c>
      <c r="AM329" s="952">
        <f>+AM328/AJ328-1</f>
        <v>0.237082066869301</v>
      </c>
      <c r="AN329" s="647">
        <f t="shared" ref="AN329:AO329" si="873">+AN328/AK328-1</f>
        <v>-2.2959183673469385E-2</v>
      </c>
      <c r="AO329" s="554">
        <f t="shared" si="873"/>
        <v>9.5700416088765561E-2</v>
      </c>
      <c r="AP329" s="952">
        <f>+AP328/AM328-1</f>
        <v>0.3357575757575757</v>
      </c>
      <c r="AQ329" s="647">
        <f t="shared" ref="AQ329" si="874">+AQ328/AN328-1</f>
        <v>0.24170583115752842</v>
      </c>
      <c r="AR329" s="554">
        <f t="shared" ref="AR329" si="875">+AR328/AO328-1</f>
        <v>0.29016033755274262</v>
      </c>
      <c r="AS329" s="952">
        <f>+AS328/AP328-1</f>
        <v>-2.7027027027027084E-2</v>
      </c>
      <c r="AT329" s="647">
        <f t="shared" ref="AT329" si="876">+AT328/AQ328-1</f>
        <v>-3.9138723786026786E-2</v>
      </c>
      <c r="AU329" s="554">
        <f t="shared" ref="AU329" si="877">+AU328/AR328-1</f>
        <v>-3.2678370529290235E-2</v>
      </c>
      <c r="AV329" s="952">
        <f>+AV328/AS328-1</f>
        <v>5.5732002419842663E-2</v>
      </c>
      <c r="AW329" s="252">
        <f>+AW328/AT328-1</f>
        <v>0.15124299719887979</v>
      </c>
      <c r="AX329" s="618">
        <v>0.1</v>
      </c>
      <c r="AY329" s="251">
        <f>BA329</f>
        <v>0.1</v>
      </c>
      <c r="AZ329" s="252">
        <f>+AZ328/AW328-1</f>
        <v>0.10000000000000009</v>
      </c>
      <c r="BA329" s="618">
        <v>0.1</v>
      </c>
      <c r="BB329" s="251">
        <f>BD329</f>
        <v>0.1</v>
      </c>
      <c r="BC329" s="252">
        <f>+BC328/AZ328-1</f>
        <v>9.9999999999999867E-2</v>
      </c>
      <c r="BD329" s="577">
        <f>BA329</f>
        <v>0.1</v>
      </c>
      <c r="BE329" s="251">
        <f>BG329</f>
        <v>0.1</v>
      </c>
      <c r="BF329" s="252">
        <f>+BF328/BC328-1</f>
        <v>9.9999999999999867E-2</v>
      </c>
      <c r="BG329" s="577">
        <f>BD329</f>
        <v>0.1</v>
      </c>
      <c r="BH329" s="251">
        <f>BJ329</f>
        <v>0.1</v>
      </c>
      <c r="BI329" s="252">
        <f>+BI328/BF328-1</f>
        <v>0.10000000000000009</v>
      </c>
      <c r="BJ329" s="577">
        <f>BG329</f>
        <v>0.1</v>
      </c>
    </row>
    <row r="330" spans="1:63">
      <c r="A330" s="66" t="s">
        <v>611</v>
      </c>
      <c r="C330" s="40"/>
      <c r="D330" s="40"/>
      <c r="E330" s="40"/>
      <c r="F330" s="40"/>
      <c r="G330" s="40"/>
      <c r="H330" s="40"/>
      <c r="I330" s="40"/>
      <c r="J330" s="40"/>
      <c r="K330" s="40"/>
      <c r="L330" s="40"/>
      <c r="M330" s="40"/>
      <c r="N330" s="40"/>
      <c r="O330" s="40"/>
      <c r="P330" s="40">
        <f>+P287*P$375</f>
        <v>693.875</v>
      </c>
      <c r="Q330" s="40">
        <f>+Q287*Q$375</f>
        <v>558</v>
      </c>
      <c r="R330" s="40"/>
      <c r="S330" s="630"/>
      <c r="T330" s="653">
        <f>+T287*T$375</f>
        <v>513</v>
      </c>
      <c r="U330" s="40"/>
      <c r="V330" s="630"/>
      <c r="W330" s="653">
        <f>+W287*W$375</f>
        <v>485.13920000000002</v>
      </c>
      <c r="X330" s="40"/>
      <c r="Y330" s="630"/>
      <c r="Z330" s="653">
        <f>+W330*(1+Z331)</f>
        <v>519.09894400000007</v>
      </c>
      <c r="AA330" s="40">
        <f>+AA287*AA$374</f>
        <v>249.39000000000001</v>
      </c>
      <c r="AB330" s="630">
        <f>+AB287*AB$374</f>
        <v>293.76</v>
      </c>
      <c r="AC330" s="653">
        <f>+AC295*AC$374</f>
        <v>543.15</v>
      </c>
      <c r="AD330" s="40">
        <f>+AD287*AD$374</f>
        <v>156.24</v>
      </c>
      <c r="AE330" s="630">
        <f>+AE287*AE$374</f>
        <v>88.16</v>
      </c>
      <c r="AF330" s="653">
        <f>+AF295*AF$374</f>
        <v>279.68</v>
      </c>
      <c r="AG330" s="40">
        <f>+AG287*AG$374</f>
        <v>87.57</v>
      </c>
      <c r="AH330" s="630">
        <f>+AH287*AH$374</f>
        <v>202.12</v>
      </c>
      <c r="AI330" s="653">
        <f>+AI295*AI$374</f>
        <v>282.37</v>
      </c>
      <c r="AJ330" s="40">
        <f>+AJ287*AJ$374</f>
        <v>150</v>
      </c>
      <c r="AK330" s="630">
        <f>+AK287*AK$374</f>
        <v>193.5</v>
      </c>
      <c r="AL330" s="653">
        <f>+AL295*AL$374</f>
        <v>343.5</v>
      </c>
      <c r="AM330" s="40">
        <f>+AM287*AM$374</f>
        <v>183</v>
      </c>
      <c r="AN330" s="630">
        <f>+AN287*AN$374</f>
        <v>213</v>
      </c>
      <c r="AO330" s="653">
        <f>+AO295*AO$374</f>
        <v>396</v>
      </c>
      <c r="AP330" s="40">
        <f>+AP287*AP$374</f>
        <v>173.16</v>
      </c>
      <c r="AQ330" s="630">
        <f>+AQ287*AQ$374</f>
        <v>142.07999999999998</v>
      </c>
      <c r="AR330" s="653">
        <f>+AR295*AR$374</f>
        <v>315.24</v>
      </c>
      <c r="AS330" s="40">
        <f>+AS287*AS$374</f>
        <v>146.88</v>
      </c>
      <c r="AT330" s="630">
        <f>+AT287*AT$374</f>
        <v>167.04</v>
      </c>
      <c r="AU330" s="653">
        <f>+AU295*AU$374</f>
        <v>313.92</v>
      </c>
      <c r="AV330" s="40">
        <f>+AV287*AV$374</f>
        <v>178.01999999999998</v>
      </c>
      <c r="AW330" s="236">
        <f>+AW326-AW328</f>
        <v>135.90000000000009</v>
      </c>
      <c r="AX330" s="605">
        <f>+AU330*(1+AX331)</f>
        <v>313.92</v>
      </c>
      <c r="AY330" s="56">
        <f>+AV330*(1+AY331)</f>
        <v>178.01999999999998</v>
      </c>
      <c r="AZ330" s="236">
        <f>+AZ326-AZ328</f>
        <v>135.9000000000002</v>
      </c>
      <c r="BA330" s="605">
        <f>+AX330*(1+BA331)</f>
        <v>313.92</v>
      </c>
      <c r="BB330" s="56">
        <f>+AY330*(1+BB331)</f>
        <v>178.01999999999998</v>
      </c>
      <c r="BC330" s="236">
        <f>+BC326-BC328</f>
        <v>135.9000000000002</v>
      </c>
      <c r="BD330" s="605">
        <f>+BA330*(1+BD331)</f>
        <v>313.92</v>
      </c>
      <c r="BE330" s="56">
        <f>+BB330*(1+BE331)</f>
        <v>178.01999999999998</v>
      </c>
      <c r="BF330" s="236">
        <f>+BF326-BF328</f>
        <v>135.90000000000009</v>
      </c>
      <c r="BG330" s="605">
        <f>+BD330*(1+BG331)</f>
        <v>313.92</v>
      </c>
      <c r="BH330" s="56">
        <f>+BE330*(1+BH331)</f>
        <v>178.01999999999998</v>
      </c>
      <c r="BI330" s="236">
        <f>+BI326-BI328</f>
        <v>135.90000000000009</v>
      </c>
      <c r="BJ330" s="605">
        <f>+BG330*(1+BJ331)</f>
        <v>313.92</v>
      </c>
    </row>
    <row r="331" spans="1:63">
      <c r="A331" s="66" t="s">
        <v>613</v>
      </c>
      <c r="C331" s="40"/>
      <c r="D331" s="40"/>
      <c r="E331" s="40"/>
      <c r="F331" s="40"/>
      <c r="G331" s="40"/>
      <c r="H331" s="40"/>
      <c r="I331" s="40"/>
      <c r="J331" s="40"/>
      <c r="K331" s="40"/>
      <c r="L331" s="40"/>
      <c r="M331" s="40"/>
      <c r="N331" s="40"/>
      <c r="O331" s="40"/>
      <c r="P331" s="40"/>
      <c r="Q331" s="50"/>
      <c r="R331" s="50"/>
      <c r="S331" s="647"/>
      <c r="T331" s="671">
        <f>+T330/Q330-1</f>
        <v>-8.064516129032262E-2</v>
      </c>
      <c r="U331" s="50"/>
      <c r="V331" s="647"/>
      <c r="W331" s="671">
        <f>+W330/T330-1</f>
        <v>-5.4309551656920085E-2</v>
      </c>
      <c r="X331" s="50"/>
      <c r="Y331" s="647"/>
      <c r="Z331" s="671">
        <v>7.0000000000000007E-2</v>
      </c>
      <c r="AA331" s="952"/>
      <c r="AB331" s="647"/>
      <c r="AC331" s="671">
        <v>-0.02</v>
      </c>
      <c r="AD331" s="952">
        <f t="shared" ref="AD331" si="878">+AD330/AA330-1</f>
        <v>-0.373511367737279</v>
      </c>
      <c r="AE331" s="647">
        <f t="shared" ref="AE331" si="879">+AE330/AB330-1</f>
        <v>-0.69989106753812635</v>
      </c>
      <c r="AF331" s="671">
        <f>+AF330/AC330-1</f>
        <v>-0.48507778698333792</v>
      </c>
      <c r="AG331" s="952">
        <f t="shared" ref="AG331" si="880">+AG330/AD330-1</f>
        <v>-0.43951612903225812</v>
      </c>
      <c r="AH331" s="647">
        <f t="shared" ref="AH331" si="881">+AH330/AE330-1</f>
        <v>1.2926497277676954</v>
      </c>
      <c r="AI331" s="671">
        <f>+AI330/AF330-1</f>
        <v>9.6181350114417086E-3</v>
      </c>
      <c r="AJ331" s="952">
        <f t="shared" ref="AJ331:AM331" si="882">+AJ330/AG330-1</f>
        <v>0.71291538198013038</v>
      </c>
      <c r="AK331" s="647">
        <f t="shared" si="882"/>
        <v>-4.2647931921630744E-2</v>
      </c>
      <c r="AL331" s="671">
        <f t="shared" si="882"/>
        <v>0.21648900378935432</v>
      </c>
      <c r="AM331" s="952">
        <f t="shared" si="882"/>
        <v>0.21999999999999997</v>
      </c>
      <c r="AN331" s="647">
        <f t="shared" ref="AN331" si="883">+AN330/AK330-1</f>
        <v>0.10077519379844957</v>
      </c>
      <c r="AO331" s="671">
        <f t="shared" ref="AO331:AP331" si="884">+AO330/AL330-1</f>
        <v>0.15283842794759828</v>
      </c>
      <c r="AP331" s="952">
        <f t="shared" si="884"/>
        <v>-5.3770491803278753E-2</v>
      </c>
      <c r="AQ331" s="647">
        <f t="shared" ref="AQ331" si="885">+AQ330/AN330-1</f>
        <v>-0.33295774647887333</v>
      </c>
      <c r="AR331" s="671">
        <f t="shared" ref="AR331:AS331" si="886">+AR330/AO330-1</f>
        <v>-0.20393939393939386</v>
      </c>
      <c r="AS331" s="952">
        <f t="shared" si="886"/>
        <v>-0.15176715176715183</v>
      </c>
      <c r="AT331" s="647">
        <f t="shared" ref="AT331" si="887">+AT330/AQ330-1</f>
        <v>0.17567567567567566</v>
      </c>
      <c r="AU331" s="671">
        <f t="shared" ref="AU331:AV331" si="888">+AU330/AR330-1</f>
        <v>-4.1872858774266719E-3</v>
      </c>
      <c r="AV331" s="952">
        <f t="shared" si="888"/>
        <v>0.21200980392156854</v>
      </c>
      <c r="AW331" s="252">
        <f t="shared" ref="AW331:BI331" si="889">+AW330/AT330-1</f>
        <v>-0.18642241379310287</v>
      </c>
      <c r="AX331" s="618">
        <v>0</v>
      </c>
      <c r="AY331" s="251">
        <f>BA331</f>
        <v>0</v>
      </c>
      <c r="AZ331" s="252">
        <f t="shared" si="889"/>
        <v>0</v>
      </c>
      <c r="BA331" s="577">
        <f>AX331</f>
        <v>0</v>
      </c>
      <c r="BB331" s="251">
        <f>BD331</f>
        <v>0</v>
      </c>
      <c r="BC331" s="252">
        <f t="shared" si="889"/>
        <v>0</v>
      </c>
      <c r="BD331" s="577">
        <f>BA331</f>
        <v>0</v>
      </c>
      <c r="BE331" s="251">
        <f>BG331</f>
        <v>0</v>
      </c>
      <c r="BF331" s="252">
        <f t="shared" si="889"/>
        <v>-8.8817841970012523E-16</v>
      </c>
      <c r="BG331" s="577">
        <f>BD331</f>
        <v>0</v>
      </c>
      <c r="BH331" s="251">
        <f>BJ331</f>
        <v>0</v>
      </c>
      <c r="BI331" s="252">
        <f t="shared" si="889"/>
        <v>0</v>
      </c>
      <c r="BJ331" s="577">
        <f>BG331</f>
        <v>0</v>
      </c>
    </row>
    <row r="332" spans="1:63">
      <c r="Q332" s="40"/>
      <c r="R332" s="40"/>
      <c r="S332" s="630"/>
      <c r="T332" s="653"/>
      <c r="U332" s="40"/>
      <c r="V332" s="630"/>
      <c r="W332" s="653"/>
      <c r="X332" s="40"/>
      <c r="Y332" s="630"/>
      <c r="Z332" s="653"/>
      <c r="AA332" s="40"/>
      <c r="AB332" s="630"/>
      <c r="AC332" s="653"/>
      <c r="AD332" s="40"/>
      <c r="AE332" s="630"/>
      <c r="AF332" s="653"/>
      <c r="AG332" s="40"/>
      <c r="AH332" s="630"/>
      <c r="AI332" s="653"/>
      <c r="AJ332" s="40"/>
      <c r="AK332" s="630"/>
      <c r="AL332" s="653"/>
      <c r="AM332" s="40"/>
      <c r="AN332" s="630"/>
      <c r="AO332" s="653"/>
      <c r="AP332" s="56"/>
      <c r="AQ332" s="236"/>
      <c r="AR332" s="605"/>
      <c r="AS332" s="56"/>
      <c r="AT332" s="236"/>
      <c r="AU332" s="605"/>
      <c r="AV332" s="56"/>
      <c r="AW332" s="236"/>
      <c r="AX332" s="605"/>
      <c r="AY332" s="56"/>
      <c r="AZ332" s="236"/>
      <c r="BA332" s="605"/>
      <c r="BB332" s="56"/>
      <c r="BC332" s="236"/>
      <c r="BD332" s="605"/>
      <c r="BE332" s="56"/>
      <c r="BF332" s="236"/>
      <c r="BG332" s="605"/>
      <c r="BH332" s="56"/>
      <c r="BI332" s="236"/>
      <c r="BJ332" s="605"/>
    </row>
    <row r="333" spans="1:63">
      <c r="A333" s="25" t="s">
        <v>819</v>
      </c>
      <c r="Q333" s="40"/>
      <c r="R333" s="40"/>
      <c r="S333" s="630"/>
      <c r="T333" s="653"/>
      <c r="U333" s="40"/>
      <c r="V333" s="630"/>
      <c r="W333" s="653"/>
      <c r="X333" s="40"/>
      <c r="Y333" s="630"/>
      <c r="Z333" s="653"/>
      <c r="AA333" s="81"/>
      <c r="AB333" s="636"/>
      <c r="AC333" s="659">
        <f t="shared" ref="AC333:BJ333" si="890">+AC326/AC322</f>
        <v>2.1648979591836737</v>
      </c>
      <c r="AD333" s="81">
        <f t="shared" si="890"/>
        <v>1.7721888412017168</v>
      </c>
      <c r="AE333" s="636">
        <f t="shared" si="890"/>
        <v>2.3113402061855668</v>
      </c>
      <c r="AF333" s="659">
        <f t="shared" si="890"/>
        <v>2.235503512880562</v>
      </c>
      <c r="AG333" s="81">
        <f t="shared" si="890"/>
        <v>2.9977108433734938</v>
      </c>
      <c r="AH333" s="636">
        <f t="shared" si="890"/>
        <v>4.4479661016949157</v>
      </c>
      <c r="AI333" s="659">
        <f t="shared" si="890"/>
        <v>3.7023615160349856</v>
      </c>
      <c r="AJ333" s="81">
        <f t="shared" si="890"/>
        <v>4.125</v>
      </c>
      <c r="AK333" s="636">
        <f t="shared" si="890"/>
        <v>4.224324324324324</v>
      </c>
      <c r="AL333" s="659">
        <f t="shared" si="890"/>
        <v>4.1788856304985336</v>
      </c>
      <c r="AM333" s="81">
        <f t="shared" si="890"/>
        <v>4.0279187817258881</v>
      </c>
      <c r="AN333" s="636">
        <f t="shared" si="890"/>
        <v>4.1230366492146597</v>
      </c>
      <c r="AO333" s="659">
        <f t="shared" si="890"/>
        <v>4.0747422680412368</v>
      </c>
      <c r="AP333" s="81">
        <f t="shared" ref="AP333:AR333" si="891">+AP326/AP322</f>
        <v>4.6854976303317537</v>
      </c>
      <c r="AQ333" s="636">
        <f t="shared" si="891"/>
        <v>4.2986934673366832</v>
      </c>
      <c r="AR333" s="659">
        <f t="shared" si="891"/>
        <v>4.4977560975609752</v>
      </c>
      <c r="AS333" s="81">
        <f t="shared" ref="AS333" si="892">+AS326/AS322</f>
        <v>4.6550495049504947</v>
      </c>
      <c r="AT333" s="234">
        <f t="shared" si="890"/>
        <v>5.3615094339622642</v>
      </c>
      <c r="AU333" s="561">
        <f t="shared" si="890"/>
        <v>4.9662049861495845</v>
      </c>
      <c r="AV333" s="203">
        <f t="shared" si="890"/>
        <v>6.5107692307692302</v>
      </c>
      <c r="AW333" s="235">
        <f t="shared" si="890"/>
        <v>4.4621707670043422</v>
      </c>
      <c r="AX333" s="611">
        <f t="shared" si="890"/>
        <v>5.3418331957060285</v>
      </c>
      <c r="AY333" s="173">
        <f t="shared" si="890"/>
        <v>7.0297058823529408</v>
      </c>
      <c r="AZ333" s="235">
        <f t="shared" si="890"/>
        <v>4.7752674413626792</v>
      </c>
      <c r="BA333" s="611">
        <f t="shared" si="890"/>
        <v>5.7369762132704913</v>
      </c>
      <c r="BB333" s="173">
        <f t="shared" si="890"/>
        <v>7.5505886676720699</v>
      </c>
      <c r="BC333" s="235">
        <f t="shared" si="890"/>
        <v>5.1404151267196472</v>
      </c>
      <c r="BD333" s="611">
        <f t="shared" si="890"/>
        <v>6.1684146292913562</v>
      </c>
      <c r="BE333" s="173">
        <f t="shared" si="890"/>
        <v>8.119367524199312</v>
      </c>
      <c r="BF333" s="235">
        <f t="shared" si="890"/>
        <v>5.5389351397021285</v>
      </c>
      <c r="BG333" s="611">
        <f t="shared" si="890"/>
        <v>6.6394019841545875</v>
      </c>
      <c r="BH333" s="173">
        <f t="shared" si="890"/>
        <v>8.740341908167915</v>
      </c>
      <c r="BI333" s="235">
        <f t="shared" si="890"/>
        <v>5.9738166060937168</v>
      </c>
      <c r="BJ333" s="611">
        <f t="shared" si="890"/>
        <v>7.1534838097680131</v>
      </c>
    </row>
    <row r="334" spans="1:63" s="33" customFormat="1">
      <c r="A334" s="33" t="s">
        <v>937</v>
      </c>
      <c r="Q334" s="103"/>
      <c r="R334" s="103"/>
      <c r="S334" s="637"/>
      <c r="T334" s="660"/>
      <c r="U334" s="103"/>
      <c r="V334" s="637"/>
      <c r="W334" s="660"/>
      <c r="X334" s="103"/>
      <c r="Y334" s="637"/>
      <c r="Z334" s="660"/>
      <c r="AA334" s="952"/>
      <c r="AB334" s="647"/>
      <c r="AC334" s="660"/>
      <c r="AD334" s="952"/>
      <c r="AE334" s="647"/>
      <c r="AF334" s="671">
        <f>AF333/AC333-1</f>
        <v>3.2613802141285175E-2</v>
      </c>
      <c r="AG334" s="952">
        <f>AG333/AD333-1</f>
        <v>0.69153014265723156</v>
      </c>
      <c r="AH334" s="647">
        <f>AH333/AE333-1</f>
        <v>0.92440995479218047</v>
      </c>
      <c r="AI334" s="671">
        <f t="shared" ref="AI334" si="893">AI333/AF333-1</f>
        <v>0.65616448138088646</v>
      </c>
      <c r="AJ334" s="952">
        <f t="shared" ref="AJ334:AP334" si="894">AJ333/AG333-1</f>
        <v>0.37604999799043459</v>
      </c>
      <c r="AK334" s="647">
        <f t="shared" si="894"/>
        <v>-5.0279559748751645E-2</v>
      </c>
      <c r="AL334" s="671">
        <f t="shared" si="894"/>
        <v>0.12870815353922471</v>
      </c>
      <c r="AM334" s="952">
        <f t="shared" si="894"/>
        <v>-2.3534840793724143E-2</v>
      </c>
      <c r="AN334" s="647">
        <f t="shared" si="894"/>
        <v>-2.3977248746369639E-2</v>
      </c>
      <c r="AO334" s="671">
        <f t="shared" si="894"/>
        <v>-2.4921323928377648E-2</v>
      </c>
      <c r="AP334" s="952">
        <f t="shared" si="894"/>
        <v>0.16325524029660432</v>
      </c>
      <c r="AQ334" s="647">
        <f t="shared" ref="AQ334" si="895">AQ333/AN333-1</f>
        <v>4.2603748903246252E-2</v>
      </c>
      <c r="AR334" s="671">
        <f t="shared" ref="AR334:AS334" si="896">AR333/AO333-1</f>
        <v>0.10381364064115028</v>
      </c>
      <c r="AS334" s="952">
        <f t="shared" si="896"/>
        <v>-6.4983760068838547E-3</v>
      </c>
      <c r="AT334" s="931">
        <f>AT333/AQ333-1</f>
        <v>0.24724162695044738</v>
      </c>
      <c r="AU334" s="937">
        <f t="shared" ref="AU334" si="897">AU333/AR333-1</f>
        <v>0.1041516877366111</v>
      </c>
      <c r="AV334" s="952">
        <f>AV333/AS333-1</f>
        <v>0.39864661457310757</v>
      </c>
      <c r="AW334" s="752">
        <f>AW333/AT333-1</f>
        <v>-0.16773982738165072</v>
      </c>
      <c r="AX334" s="765">
        <f t="shared" ref="AX334" si="898">AX333/AU333-1</f>
        <v>7.5636871736878719E-2</v>
      </c>
      <c r="AY334" s="435">
        <f>AY333/AV333-1</f>
        <v>7.9704353385966931E-2</v>
      </c>
      <c r="AZ334" s="752">
        <f>AZ333/AW333-1</f>
        <v>7.0166896496552722E-2</v>
      </c>
      <c r="BA334" s="765">
        <f t="shared" ref="BA334" si="899">BA333/AX333-1</f>
        <v>7.3971425742401342E-2</v>
      </c>
      <c r="BB334" s="435">
        <f>BB333/AY333-1</f>
        <v>7.409737961110574E-2</v>
      </c>
      <c r="BC334" s="752">
        <f>BC333/AZ333-1</f>
        <v>7.6466436663653825E-2</v>
      </c>
      <c r="BD334" s="765">
        <f t="shared" ref="BD334" si="900">BD333/BA333-1</f>
        <v>7.5203103513464598E-2</v>
      </c>
      <c r="BE334" s="435">
        <f>BE333/BB333-1</f>
        <v>7.5329074534608909E-2</v>
      </c>
      <c r="BF334" s="752">
        <f>BF333/BC333-1</f>
        <v>7.7526815083667433E-2</v>
      </c>
      <c r="BG334" s="765">
        <f t="shared" ref="BG334" si="901">BG333/BD333-1</f>
        <v>7.6354684820747698E-2</v>
      </c>
      <c r="BH334" s="435">
        <f>BH333/BE333-1</f>
        <v>7.648063499008062E-2</v>
      </c>
      <c r="BI334" s="752">
        <f>BI333/BF333-1</f>
        <v>7.8513550966580858E-2</v>
      </c>
      <c r="BJ334" s="765">
        <f t="shared" ref="BJ334" si="902">BJ333/BG333-1</f>
        <v>7.7428935142098476E-2</v>
      </c>
      <c r="BK334" s="169"/>
    </row>
    <row r="335" spans="1:63">
      <c r="Q335" s="40"/>
      <c r="R335" s="40"/>
      <c r="S335" s="630"/>
      <c r="T335" s="653"/>
      <c r="U335" s="40"/>
      <c r="V335" s="630"/>
      <c r="W335" s="653"/>
      <c r="X335" s="40"/>
      <c r="Y335" s="630"/>
      <c r="Z335" s="653"/>
      <c r="AA335" s="40"/>
      <c r="AB335" s="630"/>
      <c r="AC335" s="653"/>
      <c r="AD335" s="40"/>
      <c r="AE335" s="630"/>
      <c r="AF335" s="653"/>
      <c r="AG335" s="40"/>
      <c r="AH335" s="630"/>
      <c r="AI335" s="653"/>
      <c r="AJ335" s="40"/>
      <c r="AK335" s="630"/>
      <c r="AL335" s="653"/>
      <c r="AM335" s="40"/>
      <c r="AN335" s="630"/>
      <c r="AO335" s="653"/>
      <c r="AP335" s="56"/>
      <c r="AQ335" s="236"/>
      <c r="AR335" s="605"/>
      <c r="AS335" s="56"/>
      <c r="AT335" s="236"/>
      <c r="AU335" s="605"/>
      <c r="AV335" s="56"/>
      <c r="AW335" s="236"/>
      <c r="AX335" s="605"/>
      <c r="AY335" s="56"/>
      <c r="AZ335" s="236"/>
      <c r="BA335" s="605"/>
      <c r="BB335" s="56"/>
      <c r="BC335" s="236"/>
      <c r="BD335" s="605"/>
      <c r="BE335" s="56"/>
      <c r="BF335" s="236"/>
      <c r="BG335" s="605"/>
      <c r="BH335" s="56"/>
      <c r="BI335" s="236"/>
      <c r="BJ335" s="605"/>
    </row>
    <row r="336" spans="1:63" s="31" customFormat="1">
      <c r="A336" s="31" t="s">
        <v>1019</v>
      </c>
      <c r="Q336" s="51"/>
      <c r="R336" s="51"/>
      <c r="S336" s="629"/>
      <c r="T336" s="652"/>
      <c r="U336" s="51"/>
      <c r="V336" s="629"/>
      <c r="W336" s="652"/>
      <c r="X336" s="51"/>
      <c r="Y336" s="629"/>
      <c r="Z336" s="652"/>
      <c r="AA336" s="51"/>
      <c r="AB336" s="629"/>
      <c r="AC336" s="578">
        <f>AC339+AC342</f>
        <v>166.4</v>
      </c>
      <c r="AD336" s="51">
        <f>AD339+AD342</f>
        <v>66.600000000000009</v>
      </c>
      <c r="AE336" s="629">
        <f>AF336-AD336</f>
        <v>59.000000000000014</v>
      </c>
      <c r="AF336" s="578">
        <f>AF339+AF342</f>
        <v>125.60000000000002</v>
      </c>
      <c r="AG336" s="51">
        <f>AG339+AG342</f>
        <v>71.599999999999994</v>
      </c>
      <c r="AH336" s="629">
        <f>AI336-AG336</f>
        <v>96.600000000000023</v>
      </c>
      <c r="AI336" s="578">
        <f>AI339+AI342</f>
        <v>168.20000000000002</v>
      </c>
      <c r="AJ336" s="51">
        <f>AJ339+AJ342</f>
        <v>85.8</v>
      </c>
      <c r="AK336" s="629">
        <f>AL336-AJ336</f>
        <v>104.20000000000003</v>
      </c>
      <c r="AL336" s="578">
        <f>AL339+AL342</f>
        <v>190.00000000000003</v>
      </c>
      <c r="AM336" s="51">
        <f>AM339+AM342</f>
        <v>105.80000000000001</v>
      </c>
      <c r="AN336" s="629">
        <f>AO336-AM336</f>
        <v>105</v>
      </c>
      <c r="AO336" s="578">
        <f>AO339+AO342</f>
        <v>210.8</v>
      </c>
      <c r="AP336" s="51">
        <f>AP339+AP342</f>
        <v>115.64800000000002</v>
      </c>
      <c r="AQ336" s="218">
        <f>AR336-AP336</f>
        <v>164.702</v>
      </c>
      <c r="AR336" s="578">
        <f>AR339+AR342</f>
        <v>280.35000000000002</v>
      </c>
      <c r="AS336" s="51">
        <f>AS339+AS342</f>
        <v>127.36172000000005</v>
      </c>
      <c r="AT336" s="218">
        <f>AU336-AS336</f>
        <v>183.88827999999995</v>
      </c>
      <c r="AU336" s="578">
        <f>AU339+AU342</f>
        <v>311.25</v>
      </c>
      <c r="AV336" s="27">
        <f>AV339+AV342</f>
        <v>135.76487040000004</v>
      </c>
      <c r="AW336" s="237">
        <f>AX336-AV336</f>
        <v>215.80904264347825</v>
      </c>
      <c r="AX336" s="576">
        <f>AX338*AX293</f>
        <v>351.57391304347829</v>
      </c>
      <c r="AY336" s="48">
        <f>AY339+AY342</f>
        <v>149.49611881912307</v>
      </c>
      <c r="AZ336" s="237">
        <f>BA336-AY336</f>
        <v>240.01588118087693</v>
      </c>
      <c r="BA336" s="576">
        <f>BA338*BA293</f>
        <v>389.512</v>
      </c>
      <c r="BB336" s="48">
        <f>BB339+BB342</f>
        <v>164.97784414178054</v>
      </c>
      <c r="BC336" s="237">
        <f>BD336-BB336</f>
        <v>267.27770131276498</v>
      </c>
      <c r="BD336" s="576">
        <f>BD338*BD293</f>
        <v>432.25554545454548</v>
      </c>
      <c r="BE336" s="48">
        <f>BE339+BE342</f>
        <v>178.27033902622568</v>
      </c>
      <c r="BF336" s="237">
        <f>BG336-BE336</f>
        <v>291.26530642831983</v>
      </c>
      <c r="BG336" s="576">
        <f>BG338*BG293</f>
        <v>469.53564545454554</v>
      </c>
      <c r="BH336" s="48">
        <f>BH339+BH342</f>
        <v>192.89208339911536</v>
      </c>
      <c r="BI336" s="237">
        <f>BJ336-BH336</f>
        <v>317.65167205543025</v>
      </c>
      <c r="BJ336" s="576">
        <f>BJ338*BJ293</f>
        <v>510.54375545454559</v>
      </c>
      <c r="BK336" s="2"/>
    </row>
    <row r="337" spans="1:68" s="33" customFormat="1">
      <c r="A337" s="66" t="s">
        <v>613</v>
      </c>
      <c r="Q337" s="103"/>
      <c r="R337" s="103"/>
      <c r="S337" s="637"/>
      <c r="T337" s="660"/>
      <c r="U337" s="103"/>
      <c r="V337" s="637"/>
      <c r="W337" s="660"/>
      <c r="X337" s="103"/>
      <c r="Y337" s="637"/>
      <c r="Z337" s="660"/>
      <c r="AA337" s="103"/>
      <c r="AB337" s="637"/>
      <c r="AC337" s="833"/>
      <c r="AD337" s="103"/>
      <c r="AE337" s="637"/>
      <c r="AF337" s="833">
        <f t="shared" ref="AF337:AH337" si="903">AF336/AC336-1</f>
        <v>-0.2451923076923076</v>
      </c>
      <c r="AG337" s="103">
        <f t="shared" si="903"/>
        <v>7.5075075075074826E-2</v>
      </c>
      <c r="AH337" s="637">
        <f t="shared" si="903"/>
        <v>0.63728813559322028</v>
      </c>
      <c r="AI337" s="833">
        <f>AI336/AF336-1</f>
        <v>0.33917197452229297</v>
      </c>
      <c r="AJ337" s="103">
        <f t="shared" ref="AJ337:BJ337" si="904">AJ336/AG336-1</f>
        <v>0.1983240223463687</v>
      </c>
      <c r="AK337" s="637">
        <f t="shared" si="904"/>
        <v>7.8674948240165632E-2</v>
      </c>
      <c r="AL337" s="833">
        <f t="shared" si="904"/>
        <v>0.12960760998810938</v>
      </c>
      <c r="AM337" s="103">
        <f t="shared" si="904"/>
        <v>0.2331002331002332</v>
      </c>
      <c r="AN337" s="802">
        <f t="shared" si="904"/>
        <v>7.6775431861801913E-3</v>
      </c>
      <c r="AO337" s="833">
        <f t="shared" si="904"/>
        <v>0.10947368421052617</v>
      </c>
      <c r="AP337" s="103">
        <f t="shared" si="904"/>
        <v>9.3081285444234441E-2</v>
      </c>
      <c r="AQ337" s="931">
        <f t="shared" si="904"/>
        <v>0.56859047619047609</v>
      </c>
      <c r="AR337" s="937">
        <f t="shared" si="904"/>
        <v>0.32993358633776104</v>
      </c>
      <c r="AS337" s="103">
        <f t="shared" si="904"/>
        <v>0.10128770060874404</v>
      </c>
      <c r="AT337" s="931">
        <f t="shared" si="904"/>
        <v>0.11649087442775419</v>
      </c>
      <c r="AU337" s="937">
        <f t="shared" si="904"/>
        <v>0.11021936864633486</v>
      </c>
      <c r="AV337" s="262">
        <f t="shared" si="904"/>
        <v>6.5978619007343697E-2</v>
      </c>
      <c r="AW337" s="752">
        <f t="shared" si="904"/>
        <v>0.17358780365708082</v>
      </c>
      <c r="AX337" s="765">
        <f t="shared" si="904"/>
        <v>0.12955474070193818</v>
      </c>
      <c r="AY337" s="324">
        <f t="shared" si="904"/>
        <v>0.10113992212173195</v>
      </c>
      <c r="AZ337" s="752">
        <f t="shared" si="904"/>
        <v>0.1121678602568521</v>
      </c>
      <c r="BA337" s="765">
        <f t="shared" si="904"/>
        <v>0.10790927753456492</v>
      </c>
      <c r="BB337" s="324">
        <f t="shared" si="904"/>
        <v>0.1035593796343901</v>
      </c>
      <c r="BC337" s="752">
        <f t="shared" si="904"/>
        <v>0.11358340122228583</v>
      </c>
      <c r="BD337" s="765">
        <f t="shared" si="904"/>
        <v>0.10973614536791021</v>
      </c>
      <c r="BE337" s="324">
        <f t="shared" si="904"/>
        <v>8.0571394017136644E-2</v>
      </c>
      <c r="BF337" s="752">
        <f t="shared" si="904"/>
        <v>8.9747872709683651E-2</v>
      </c>
      <c r="BG337" s="765">
        <f t="shared" si="904"/>
        <v>8.6245510073902132E-2</v>
      </c>
      <c r="BH337" s="324">
        <f t="shared" si="904"/>
        <v>8.2020062634977409E-2</v>
      </c>
      <c r="BI337" s="752">
        <f t="shared" si="904"/>
        <v>9.0592202520364706E-2</v>
      </c>
      <c r="BJ337" s="765">
        <f t="shared" si="904"/>
        <v>8.7337586394108824E-2</v>
      </c>
      <c r="BK337" s="169"/>
      <c r="BP337" s="72"/>
    </row>
    <row r="338" spans="1:68" s="33" customFormat="1">
      <c r="A338" s="66" t="s">
        <v>1018</v>
      </c>
      <c r="Q338" s="103"/>
      <c r="R338" s="103"/>
      <c r="S338" s="637"/>
      <c r="T338" s="660"/>
      <c r="U338" s="103"/>
      <c r="V338" s="637"/>
      <c r="W338" s="660"/>
      <c r="X338" s="103"/>
      <c r="Y338" s="637"/>
      <c r="Z338" s="660"/>
      <c r="AA338" s="103"/>
      <c r="AB338" s="637"/>
      <c r="AC338" s="833">
        <f>AC336/AC293</f>
        <v>0.2</v>
      </c>
      <c r="AD338" s="103"/>
      <c r="AE338" s="637"/>
      <c r="AF338" s="833">
        <f>AF336/AF293</f>
        <v>0.20000000000000004</v>
      </c>
      <c r="AG338" s="103"/>
      <c r="AH338" s="637"/>
      <c r="AI338" s="833">
        <f>AI336/AI293</f>
        <v>0.2</v>
      </c>
      <c r="AJ338" s="103"/>
      <c r="AK338" s="637"/>
      <c r="AL338" s="833">
        <f>AL336/AL293</f>
        <v>0.20000000000000004</v>
      </c>
      <c r="AM338" s="103"/>
      <c r="AN338" s="802"/>
      <c r="AO338" s="833">
        <f>AO336/AO293</f>
        <v>0.2</v>
      </c>
      <c r="AP338" s="324"/>
      <c r="AQ338" s="931"/>
      <c r="AR338" s="833">
        <f>AR336/AR293</f>
        <v>0.22500000000000001</v>
      </c>
      <c r="AS338" s="324"/>
      <c r="AT338" s="931"/>
      <c r="AU338" s="833">
        <f>AU336/AU293</f>
        <v>0.25</v>
      </c>
      <c r="AV338" s="262"/>
      <c r="AW338" s="752"/>
      <c r="AX338" s="610">
        <v>0.25</v>
      </c>
      <c r="AY338" s="324"/>
      <c r="AZ338" s="752"/>
      <c r="BA338" s="765">
        <f>AX338</f>
        <v>0.25</v>
      </c>
      <c r="BB338" s="324"/>
      <c r="BC338" s="752"/>
      <c r="BD338" s="765">
        <f>BA338</f>
        <v>0.25</v>
      </c>
      <c r="BE338" s="324"/>
      <c r="BF338" s="752"/>
      <c r="BG338" s="765">
        <f>BD338</f>
        <v>0.25</v>
      </c>
      <c r="BH338" s="324"/>
      <c r="BI338" s="752"/>
      <c r="BJ338" s="765">
        <f>BG338</f>
        <v>0.25</v>
      </c>
      <c r="BK338" s="169"/>
      <c r="BP338" s="72"/>
    </row>
    <row r="339" spans="1:68" s="170" customFormat="1">
      <c r="A339" s="520" t="str">
        <f>A328</f>
        <v>o/w business aviation</v>
      </c>
      <c r="Q339" s="270"/>
      <c r="R339" s="270"/>
      <c r="S339" s="742"/>
      <c r="T339" s="746"/>
      <c r="U339" s="270"/>
      <c r="V339" s="742"/>
      <c r="W339" s="746"/>
      <c r="X339" s="270"/>
      <c r="Y339" s="742"/>
      <c r="Z339" s="746"/>
      <c r="AA339" s="270"/>
      <c r="AB339" s="742"/>
      <c r="AC339" s="945">
        <f>AC294*0.2</f>
        <v>95.4</v>
      </c>
      <c r="AD339" s="270">
        <f>AD294*0.2</f>
        <v>41.400000000000006</v>
      </c>
      <c r="AE339" s="742">
        <f>AF339-AD339</f>
        <v>47.400000000000006</v>
      </c>
      <c r="AF339" s="945">
        <f>AF294*0.2</f>
        <v>88.800000000000011</v>
      </c>
      <c r="AG339" s="270">
        <f>AG294*0.2</f>
        <v>59</v>
      </c>
      <c r="AH339" s="742">
        <f>AI339-AG339</f>
        <v>71.800000000000011</v>
      </c>
      <c r="AI339" s="945">
        <f>AI294*0.2</f>
        <v>130.80000000000001</v>
      </c>
      <c r="AJ339" s="270">
        <f>AJ294*0.2</f>
        <v>65.8</v>
      </c>
      <c r="AK339" s="742">
        <f>AL339-AJ339</f>
        <v>78.40000000000002</v>
      </c>
      <c r="AL339" s="945">
        <f>AL294*0.2</f>
        <v>144.20000000000002</v>
      </c>
      <c r="AM339" s="270">
        <f>AM294*0.2</f>
        <v>81.400000000000006</v>
      </c>
      <c r="AN339" s="742">
        <f>AO339-AM339</f>
        <v>76.599999999999994</v>
      </c>
      <c r="AO339" s="945">
        <f>AO294*0.2</f>
        <v>158</v>
      </c>
      <c r="AP339" s="167">
        <f>AM339*(1+AP340+AP341)</f>
        <v>89.54000000000002</v>
      </c>
      <c r="AQ339" s="873">
        <f>AR339-AP339</f>
        <v>142.88499999999999</v>
      </c>
      <c r="AR339" s="945">
        <f>AR294*0.225</f>
        <v>232.42500000000001</v>
      </c>
      <c r="AS339" s="167">
        <f>AP339*(1+AS340+AS341)</f>
        <v>97.598600000000033</v>
      </c>
      <c r="AT339" s="873">
        <f>AU339-AS339</f>
        <v>159.15139999999997</v>
      </c>
      <c r="AU339" s="945">
        <f>AU294*0.25</f>
        <v>256.75</v>
      </c>
      <c r="AV339" s="167">
        <f>AS339*(1+AV340+AV341)</f>
        <v>105.40648800000004</v>
      </c>
      <c r="AW339" s="704">
        <f>AX339-AV339</f>
        <v>189.85601200000002</v>
      </c>
      <c r="AX339" s="698">
        <f>AU339*(1+AX340+AX341)</f>
        <v>295.26250000000005</v>
      </c>
      <c r="AY339" s="978">
        <f>AV339*(1+AY340+AY341)</f>
        <v>118.58229900000005</v>
      </c>
      <c r="AZ339" s="704">
        <f>BA339-AY339</f>
        <v>213.58801349999999</v>
      </c>
      <c r="BA339" s="698">
        <f>AX339*(1+BA340+BA341)</f>
        <v>332.17031250000002</v>
      </c>
      <c r="BB339" s="978">
        <f>AY339*(1+BB340+BB341)</f>
        <v>133.40508637500005</v>
      </c>
      <c r="BC339" s="704">
        <f>BD339-BB339</f>
        <v>240.28651518749996</v>
      </c>
      <c r="BD339" s="698">
        <f>BA339*(1+BD340+BD341)</f>
        <v>373.69160156250001</v>
      </c>
      <c r="BE339" s="978">
        <f>BB339*(1+BE340+BE341)</f>
        <v>146.74559501250008</v>
      </c>
      <c r="BF339" s="704">
        <f>BG339-BE339</f>
        <v>264.31516670624995</v>
      </c>
      <c r="BG339" s="698">
        <f>BD339*(1+BG340+BG341)</f>
        <v>411.06076171875003</v>
      </c>
      <c r="BH339" s="978">
        <f>BE339*(1+BH340+BH341)</f>
        <v>161.42015451375011</v>
      </c>
      <c r="BI339" s="704">
        <f>BJ339-BH339</f>
        <v>290.74668337687496</v>
      </c>
      <c r="BJ339" s="698">
        <f>BG339*(1+BJ340+BJ341)</f>
        <v>452.16683789062506</v>
      </c>
      <c r="BK339" s="265"/>
      <c r="BP339" s="31"/>
    </row>
    <row r="340" spans="1:68" s="33" customFormat="1">
      <c r="A340" s="1024" t="s">
        <v>1013</v>
      </c>
      <c r="Q340" s="103"/>
      <c r="R340" s="103"/>
      <c r="S340" s="637"/>
      <c r="T340" s="660"/>
      <c r="U340" s="103"/>
      <c r="V340" s="637"/>
      <c r="W340" s="660"/>
      <c r="X340" s="103"/>
      <c r="Y340" s="637"/>
      <c r="Z340" s="660"/>
      <c r="AA340" s="103"/>
      <c r="AB340" s="637"/>
      <c r="AC340" s="660"/>
      <c r="AD340" s="103"/>
      <c r="AE340" s="637"/>
      <c r="AF340" s="660"/>
      <c r="AG340" s="103"/>
      <c r="AH340" s="637"/>
      <c r="AI340" s="660"/>
      <c r="AJ340" s="103"/>
      <c r="AK340" s="637"/>
      <c r="AL340" s="660"/>
      <c r="AM340" s="103"/>
      <c r="AN340" s="637"/>
      <c r="AO340" s="833"/>
      <c r="AP340" s="262">
        <v>0.05</v>
      </c>
      <c r="AQ340" s="931"/>
      <c r="AR340" s="937">
        <v>0.05</v>
      </c>
      <c r="AS340" s="262">
        <v>0.04</v>
      </c>
      <c r="AT340" s="931"/>
      <c r="AU340" s="937">
        <v>0.04</v>
      </c>
      <c r="AV340" s="262">
        <v>0.03</v>
      </c>
      <c r="AW340" s="802"/>
      <c r="AX340" s="610">
        <v>0.1</v>
      </c>
      <c r="AY340" s="324">
        <f>BA340</f>
        <v>7.4999999999999997E-2</v>
      </c>
      <c r="AZ340" s="802"/>
      <c r="BA340" s="610">
        <v>7.4999999999999997E-2</v>
      </c>
      <c r="BB340" s="324">
        <f>BD340</f>
        <v>7.4999999999999997E-2</v>
      </c>
      <c r="BC340" s="802"/>
      <c r="BD340" s="610">
        <v>7.4999999999999997E-2</v>
      </c>
      <c r="BE340" s="324">
        <f>BG340</f>
        <v>0.05</v>
      </c>
      <c r="BF340" s="802"/>
      <c r="BG340" s="610">
        <v>0.05</v>
      </c>
      <c r="BH340" s="324">
        <f>BJ340</f>
        <v>0.05</v>
      </c>
      <c r="BI340" s="802"/>
      <c r="BJ340" s="610">
        <v>0.05</v>
      </c>
      <c r="BK340" s="169"/>
      <c r="BP340" s="66"/>
    </row>
    <row r="341" spans="1:68" s="33" customFormat="1">
      <c r="A341" s="1024" t="s">
        <v>1014</v>
      </c>
      <c r="Q341" s="103"/>
      <c r="R341" s="103"/>
      <c r="S341" s="637"/>
      <c r="T341" s="660"/>
      <c r="U341" s="103"/>
      <c r="V341" s="637"/>
      <c r="W341" s="660"/>
      <c r="X341" s="103"/>
      <c r="Y341" s="637"/>
      <c r="Z341" s="660"/>
      <c r="AA341" s="103"/>
      <c r="AB341" s="637"/>
      <c r="AC341" s="660"/>
      <c r="AD341" s="103"/>
      <c r="AE341" s="637"/>
      <c r="AF341" s="660"/>
      <c r="AG341" s="103"/>
      <c r="AH341" s="637"/>
      <c r="AI341" s="660"/>
      <c r="AJ341" s="103"/>
      <c r="AK341" s="637"/>
      <c r="AL341" s="660"/>
      <c r="AM341" s="103"/>
      <c r="AN341" s="637"/>
      <c r="AO341" s="833"/>
      <c r="AP341" s="262">
        <v>0.05</v>
      </c>
      <c r="AQ341" s="931"/>
      <c r="AR341" s="937">
        <v>0.05</v>
      </c>
      <c r="AS341" s="262">
        <v>0.05</v>
      </c>
      <c r="AT341" s="931"/>
      <c r="AU341" s="937">
        <v>0.05</v>
      </c>
      <c r="AV341" s="262">
        <v>0.05</v>
      </c>
      <c r="AW341" s="802"/>
      <c r="AX341" s="610">
        <v>0.05</v>
      </c>
      <c r="AY341" s="324">
        <f>BA341</f>
        <v>0.05</v>
      </c>
      <c r="AZ341" s="802"/>
      <c r="BA341" s="765">
        <f>AX341</f>
        <v>0.05</v>
      </c>
      <c r="BB341" s="324">
        <f>BD341</f>
        <v>0.05</v>
      </c>
      <c r="BC341" s="802"/>
      <c r="BD341" s="765">
        <f>BA341</f>
        <v>0.05</v>
      </c>
      <c r="BE341" s="324">
        <f>BG341</f>
        <v>0.05</v>
      </c>
      <c r="BF341" s="802"/>
      <c r="BG341" s="765">
        <f>BD341</f>
        <v>0.05</v>
      </c>
      <c r="BH341" s="324">
        <f>BJ341</f>
        <v>0.05</v>
      </c>
      <c r="BI341" s="802"/>
      <c r="BJ341" s="765">
        <f>BG341</f>
        <v>0.05</v>
      </c>
      <c r="BK341" s="169"/>
      <c r="BP341" s="66"/>
    </row>
    <row r="342" spans="1:68" s="170" customFormat="1">
      <c r="A342" s="520" t="s">
        <v>611</v>
      </c>
      <c r="Q342" s="270"/>
      <c r="R342" s="270"/>
      <c r="S342" s="742"/>
      <c r="T342" s="746"/>
      <c r="U342" s="270"/>
      <c r="V342" s="742"/>
      <c r="W342" s="746"/>
      <c r="X342" s="270"/>
      <c r="Y342" s="742"/>
      <c r="Z342" s="746"/>
      <c r="AA342" s="270"/>
      <c r="AB342" s="742"/>
      <c r="AC342" s="746">
        <f>AC295*0.2</f>
        <v>71</v>
      </c>
      <c r="AD342" s="270">
        <f>AD295*0.2</f>
        <v>25.200000000000003</v>
      </c>
      <c r="AE342" s="742">
        <f>AF342-AD342</f>
        <v>11.600000000000001</v>
      </c>
      <c r="AF342" s="746">
        <f>AF295*0.2</f>
        <v>36.800000000000004</v>
      </c>
      <c r="AG342" s="270">
        <f>AG295*0.2</f>
        <v>12.600000000000001</v>
      </c>
      <c r="AH342" s="742">
        <f>AI342-AG342</f>
        <v>24.799999999999997</v>
      </c>
      <c r="AI342" s="746">
        <f>AI295*0.2</f>
        <v>37.4</v>
      </c>
      <c r="AJ342" s="270">
        <f>AJ295*0.2</f>
        <v>20</v>
      </c>
      <c r="AK342" s="742">
        <f>AL342-AJ342</f>
        <v>25.800000000000004</v>
      </c>
      <c r="AL342" s="746">
        <f>AL295*0.2</f>
        <v>45.800000000000004</v>
      </c>
      <c r="AM342" s="270">
        <f>AM295*0.2</f>
        <v>24.400000000000002</v>
      </c>
      <c r="AN342" s="742">
        <f>AO342-AM342</f>
        <v>28.400000000000002</v>
      </c>
      <c r="AO342" s="746">
        <f>AO295*0.2</f>
        <v>52.800000000000004</v>
      </c>
      <c r="AP342" s="167">
        <f>AM342*(1+AP343+AP344)</f>
        <v>26.108000000000004</v>
      </c>
      <c r="AQ342" s="873">
        <f>AR342-AP342</f>
        <v>21.817</v>
      </c>
      <c r="AR342" s="746">
        <f>AR295*0.225</f>
        <v>47.925000000000004</v>
      </c>
      <c r="AS342" s="167">
        <f>AP342*(1+AS343+AS344)</f>
        <v>29.763120000000008</v>
      </c>
      <c r="AT342" s="873">
        <f>AU342-AS342</f>
        <v>24.736879999999992</v>
      </c>
      <c r="AU342" s="746">
        <f>AU295*0.25</f>
        <v>54.5</v>
      </c>
      <c r="AV342" s="167">
        <f>AS342*(1+AV343+AV344)</f>
        <v>30.358382400000007</v>
      </c>
      <c r="AW342" s="704">
        <f>AX342-AV342</f>
        <v>25.953030643478233</v>
      </c>
      <c r="AX342" s="698">
        <f>AX336-AX339</f>
        <v>56.31141304347824</v>
      </c>
      <c r="AY342" s="978">
        <f>AV342*(1+AY343+AY344)</f>
        <v>30.913819819123013</v>
      </c>
      <c r="AZ342" s="704">
        <f>BA342-AY342</f>
        <v>26.427867680876965</v>
      </c>
      <c r="BA342" s="698">
        <f>BA336-BA339</f>
        <v>57.341687499999978</v>
      </c>
      <c r="BB342" s="978">
        <f>AY342*(1+BB343+BB344)</f>
        <v>31.572757766780477</v>
      </c>
      <c r="BC342" s="704">
        <f>BD342-BB342</f>
        <v>26.991186125264996</v>
      </c>
      <c r="BD342" s="698">
        <f>BD336-BD339</f>
        <v>58.563943892045472</v>
      </c>
      <c r="BE342" s="978">
        <f>BB342*(1+BE343+BE344)</f>
        <v>31.524744013725613</v>
      </c>
      <c r="BF342" s="704">
        <f>BG342-BE342</f>
        <v>26.950139722069903</v>
      </c>
      <c r="BG342" s="698">
        <f>BG336-BG339</f>
        <v>58.474883735795515</v>
      </c>
      <c r="BH342" s="978">
        <f>BE342*(1+BH343+BH344)</f>
        <v>31.471928885365248</v>
      </c>
      <c r="BI342" s="704">
        <f>BJ342-BH342</f>
        <v>26.904988678555281</v>
      </c>
      <c r="BJ342" s="698">
        <f>BJ336-BJ339</f>
        <v>58.376917563920529</v>
      </c>
      <c r="BK342" s="265"/>
      <c r="BP342" s="455"/>
    </row>
    <row r="343" spans="1:68" s="33" customFormat="1">
      <c r="A343" s="1024" t="s">
        <v>1013</v>
      </c>
      <c r="Q343" s="103"/>
      <c r="R343" s="103"/>
      <c r="S343" s="637"/>
      <c r="T343" s="660"/>
      <c r="U343" s="103"/>
      <c r="V343" s="637"/>
      <c r="W343" s="660"/>
      <c r="X343" s="103"/>
      <c r="Y343" s="637"/>
      <c r="Z343" s="660"/>
      <c r="AA343" s="103"/>
      <c r="AB343" s="637"/>
      <c r="AC343" s="660"/>
      <c r="AD343" s="103"/>
      <c r="AE343" s="637"/>
      <c r="AF343" s="660"/>
      <c r="AG343" s="103"/>
      <c r="AH343" s="637"/>
      <c r="AI343" s="660"/>
      <c r="AJ343" s="103"/>
      <c r="AK343" s="637"/>
      <c r="AL343" s="660"/>
      <c r="AM343" s="103"/>
      <c r="AN343" s="802"/>
      <c r="AO343" s="833"/>
      <c r="AP343" s="262">
        <v>7.0000000000000007E-2</v>
      </c>
      <c r="AQ343" s="931"/>
      <c r="AR343" s="937">
        <v>0.43</v>
      </c>
      <c r="AS343" s="262">
        <v>0.14000000000000001</v>
      </c>
      <c r="AT343" s="931"/>
      <c r="AU343" s="937">
        <v>0</v>
      </c>
      <c r="AV343" s="262">
        <v>0.02</v>
      </c>
      <c r="AW343" s="802"/>
      <c r="AX343" s="765">
        <f>(AX342/AU342-1)-AX344</f>
        <v>3.3236936577582421E-2</v>
      </c>
      <c r="AY343" s="324">
        <f>BA343</f>
        <v>1.8296014978815389E-2</v>
      </c>
      <c r="AZ343" s="802"/>
      <c r="BA343" s="765">
        <f>(BA342/AX342-1)-BA344</f>
        <v>1.8296014978815389E-2</v>
      </c>
      <c r="BB343" s="324">
        <f>BD343</f>
        <v>2.1315319540351707E-2</v>
      </c>
      <c r="BC343" s="802"/>
      <c r="BD343" s="765">
        <f>(BD342/BA342-1)-BD344</f>
        <v>2.1315319540351707E-2</v>
      </c>
      <c r="BE343" s="324">
        <f>BG343</f>
        <v>-1.5207335833482549E-3</v>
      </c>
      <c r="BF343" s="802"/>
      <c r="BG343" s="765">
        <f>(BG342/BD342-1)-BG344</f>
        <v>-1.5207335833482549E-3</v>
      </c>
      <c r="BH343" s="324">
        <f>BJ343</f>
        <v>-1.6753547098549149E-3</v>
      </c>
      <c r="BI343" s="802"/>
      <c r="BJ343" s="765">
        <f>(BJ342/BG342-1)-BJ344</f>
        <v>-1.6753547098549149E-3</v>
      </c>
      <c r="BK343" s="169"/>
      <c r="BP343" s="66"/>
    </row>
    <row r="344" spans="1:68" s="33" customFormat="1">
      <c r="A344" s="1024" t="s">
        <v>1014</v>
      </c>
      <c r="Q344" s="103"/>
      <c r="R344" s="103"/>
      <c r="S344" s="637"/>
      <c r="T344" s="660"/>
      <c r="U344" s="103"/>
      <c r="V344" s="637"/>
      <c r="W344" s="660"/>
      <c r="X344" s="103"/>
      <c r="Y344" s="637"/>
      <c r="Z344" s="660"/>
      <c r="AA344" s="103"/>
      <c r="AB344" s="637"/>
      <c r="AC344" s="660"/>
      <c r="AD344" s="103"/>
      <c r="AE344" s="637"/>
      <c r="AF344" s="660"/>
      <c r="AG344" s="103"/>
      <c r="AH344" s="637"/>
      <c r="AI344" s="660"/>
      <c r="AJ344" s="103"/>
      <c r="AK344" s="637"/>
      <c r="AL344" s="660"/>
      <c r="AM344" s="103"/>
      <c r="AN344" s="802"/>
      <c r="AO344" s="833"/>
      <c r="AP344" s="262">
        <v>0</v>
      </c>
      <c r="AQ344" s="931"/>
      <c r="AR344" s="937">
        <v>0</v>
      </c>
      <c r="AS344" s="262">
        <v>0</v>
      </c>
      <c r="AT344" s="931"/>
      <c r="AU344" s="937">
        <v>0</v>
      </c>
      <c r="AV344" s="262">
        <v>0</v>
      </c>
      <c r="AW344" s="802"/>
      <c r="AX344" s="610">
        <v>0</v>
      </c>
      <c r="AY344" s="324">
        <f>BA344</f>
        <v>0</v>
      </c>
      <c r="AZ344" s="802"/>
      <c r="BA344" s="765">
        <f>AX344</f>
        <v>0</v>
      </c>
      <c r="BB344" s="324">
        <f>BD344</f>
        <v>0</v>
      </c>
      <c r="BC344" s="802"/>
      <c r="BD344" s="765">
        <f>BA344</f>
        <v>0</v>
      </c>
      <c r="BE344" s="324">
        <f>BG344</f>
        <v>0</v>
      </c>
      <c r="BF344" s="802"/>
      <c r="BG344" s="765">
        <f>BD344</f>
        <v>0</v>
      </c>
      <c r="BH344" s="324">
        <f>BJ344</f>
        <v>0</v>
      </c>
      <c r="BI344" s="802"/>
      <c r="BJ344" s="765">
        <f>BG344</f>
        <v>0</v>
      </c>
      <c r="BK344" s="169"/>
      <c r="BP344" s="80"/>
    </row>
    <row r="345" spans="1:68">
      <c r="Q345" s="40"/>
      <c r="R345" s="40"/>
      <c r="S345" s="630"/>
      <c r="T345" s="653"/>
      <c r="U345" s="40"/>
      <c r="V345" s="630"/>
      <c r="W345" s="653"/>
      <c r="X345" s="40"/>
      <c r="Y345" s="630"/>
      <c r="Z345" s="653"/>
      <c r="AA345" s="40"/>
      <c r="AB345" s="630"/>
      <c r="AC345" s="653"/>
      <c r="AD345" s="40"/>
      <c r="AE345" s="630"/>
      <c r="AF345" s="653"/>
      <c r="AG345" s="40"/>
      <c r="AH345" s="630"/>
      <c r="AI345" s="653"/>
      <c r="AJ345" s="40"/>
      <c r="AK345" s="630"/>
      <c r="AL345" s="653"/>
      <c r="AM345" s="40"/>
      <c r="AN345" s="539"/>
      <c r="AO345" s="550"/>
      <c r="AP345"/>
      <c r="AQ345" s="539"/>
      <c r="AR345" s="550"/>
      <c r="AS345"/>
      <c r="AT345" s="539"/>
      <c r="AU345" s="550"/>
      <c r="AV345"/>
      <c r="AW345" s="539"/>
      <c r="AX345" s="550"/>
      <c r="AY345"/>
      <c r="AZ345" s="539"/>
      <c r="BA345" s="550"/>
      <c r="BB345"/>
      <c r="BC345" s="539"/>
      <c r="BD345" s="550"/>
      <c r="BE345"/>
      <c r="BF345" s="539"/>
      <c r="BG345" s="550"/>
      <c r="BH345"/>
      <c r="BI345" s="539"/>
      <c r="BJ345" s="550"/>
      <c r="BP345" s="455"/>
    </row>
    <row r="346" spans="1:68">
      <c r="A346" s="31"/>
      <c r="Q346" s="40"/>
      <c r="R346" s="40"/>
      <c r="S346" s="630"/>
      <c r="T346" s="653"/>
      <c r="U346" s="40"/>
      <c r="V346" s="630"/>
      <c r="W346" s="653"/>
      <c r="X346" s="40"/>
      <c r="Y346" s="630"/>
      <c r="Z346" s="653"/>
      <c r="AA346" s="40"/>
      <c r="AB346" s="630"/>
      <c r="AC346" s="653"/>
      <c r="AD346" s="40"/>
      <c r="AE346" s="630"/>
      <c r="AF346" s="653"/>
      <c r="AG346" s="40"/>
      <c r="AH346" s="630"/>
      <c r="AI346" s="653"/>
      <c r="AJ346" s="40"/>
      <c r="AK346" s="630"/>
      <c r="AL346" s="653"/>
      <c r="AM346" s="40"/>
      <c r="AN346" s="539"/>
      <c r="AO346" s="550"/>
      <c r="AP346"/>
      <c r="AQ346" s="539"/>
      <c r="AR346" s="550"/>
      <c r="AS346"/>
      <c r="AT346" s="539"/>
      <c r="AU346" s="550"/>
      <c r="AV346"/>
      <c r="AW346" s="539"/>
      <c r="AX346" s="550"/>
      <c r="AY346"/>
      <c r="AZ346" s="539"/>
      <c r="BA346" s="550"/>
      <c r="BB346"/>
      <c r="BC346" s="539"/>
      <c r="BD346" s="550"/>
      <c r="BE346"/>
      <c r="BF346" s="539"/>
      <c r="BG346" s="550"/>
      <c r="BH346"/>
      <c r="BI346" s="539"/>
      <c r="BJ346" s="550"/>
    </row>
    <row r="347" spans="1:68">
      <c r="A347" s="25" t="s">
        <v>547</v>
      </c>
      <c r="Q347" s="40">
        <v>-120</v>
      </c>
      <c r="R347" s="40"/>
      <c r="S347" s="630"/>
      <c r="T347" s="653">
        <v>-100</v>
      </c>
      <c r="U347" s="40"/>
      <c r="V347" s="630"/>
      <c r="W347" s="653">
        <v>-118</v>
      </c>
      <c r="X347" s="40"/>
      <c r="Y347" s="630"/>
      <c r="Z347" s="653">
        <f t="shared" ref="Z347:BJ347" si="905">Z348-Z289</f>
        <v>-184.08964452173916</v>
      </c>
      <c r="AA347" s="40">
        <f t="shared" si="905"/>
        <v>-42.399999999999977</v>
      </c>
      <c r="AB347" s="630">
        <f t="shared" si="905"/>
        <v>-40.800000000000011</v>
      </c>
      <c r="AC347" s="653">
        <f t="shared" si="905"/>
        <v>-83.199999999999989</v>
      </c>
      <c r="AD347" s="40">
        <f t="shared" si="905"/>
        <v>0</v>
      </c>
      <c r="AE347" s="630">
        <f t="shared" si="905"/>
        <v>0</v>
      </c>
      <c r="AF347" s="653">
        <f t="shared" si="905"/>
        <v>0</v>
      </c>
      <c r="AG347" s="40">
        <f t="shared" si="905"/>
        <v>107.39999999999999</v>
      </c>
      <c r="AH347" s="630">
        <f t="shared" si="905"/>
        <v>144.89999999999998</v>
      </c>
      <c r="AI347" s="653">
        <f t="shared" si="905"/>
        <v>252.29999999999998</v>
      </c>
      <c r="AJ347" s="40">
        <f t="shared" si="905"/>
        <v>64.350000000000023</v>
      </c>
      <c r="AK347" s="630">
        <f t="shared" si="905"/>
        <v>78.149999999999977</v>
      </c>
      <c r="AL347" s="653">
        <f t="shared" si="905"/>
        <v>142.5</v>
      </c>
      <c r="AM347" s="40">
        <f t="shared" si="905"/>
        <v>0</v>
      </c>
      <c r="AN347" s="630">
        <f t="shared" si="905"/>
        <v>0</v>
      </c>
      <c r="AO347" s="653">
        <f t="shared" si="905"/>
        <v>0</v>
      </c>
      <c r="AP347" s="40">
        <f t="shared" ref="AP347:AR347" si="906">AP348-AP289</f>
        <v>0</v>
      </c>
      <c r="AQ347" s="630">
        <f t="shared" si="906"/>
        <v>0</v>
      </c>
      <c r="AR347" s="653">
        <f t="shared" si="906"/>
        <v>0</v>
      </c>
      <c r="AS347" s="40">
        <f>AS348-AS289</f>
        <v>0</v>
      </c>
      <c r="AT347" s="216">
        <f t="shared" si="905"/>
        <v>0</v>
      </c>
      <c r="AU347" s="556">
        <f t="shared" si="905"/>
        <v>0</v>
      </c>
      <c r="AV347" s="10">
        <f t="shared" si="905"/>
        <v>0</v>
      </c>
      <c r="AW347" s="236">
        <f t="shared" si="905"/>
        <v>0</v>
      </c>
      <c r="AX347" s="605">
        <f t="shared" si="905"/>
        <v>0</v>
      </c>
      <c r="AY347" s="56">
        <f t="shared" si="905"/>
        <v>0</v>
      </c>
      <c r="AZ347" s="236">
        <f t="shared" si="905"/>
        <v>0</v>
      </c>
      <c r="BA347" s="605">
        <f t="shared" si="905"/>
        <v>0</v>
      </c>
      <c r="BB347" s="56">
        <f t="shared" si="905"/>
        <v>0</v>
      </c>
      <c r="BC347" s="236">
        <f t="shared" si="905"/>
        <v>0</v>
      </c>
      <c r="BD347" s="605">
        <f t="shared" si="905"/>
        <v>0</v>
      </c>
      <c r="BE347" s="56">
        <f t="shared" si="905"/>
        <v>0</v>
      </c>
      <c r="BF347" s="236">
        <f t="shared" si="905"/>
        <v>0</v>
      </c>
      <c r="BG347" s="605">
        <f t="shared" si="905"/>
        <v>0</v>
      </c>
      <c r="BH347" s="56">
        <f t="shared" si="905"/>
        <v>0</v>
      </c>
      <c r="BI347" s="236">
        <f t="shared" si="905"/>
        <v>0</v>
      </c>
      <c r="BJ347" s="605">
        <f t="shared" si="905"/>
        <v>0</v>
      </c>
    </row>
    <row r="348" spans="1:68">
      <c r="A348" s="68" t="s">
        <v>763</v>
      </c>
      <c r="B348" s="78"/>
      <c r="C348" s="78"/>
      <c r="D348" s="78"/>
      <c r="E348" s="78"/>
      <c r="F348" s="78"/>
      <c r="G348" s="78"/>
      <c r="H348" s="78"/>
      <c r="I348" s="78"/>
      <c r="J348" s="78"/>
      <c r="K348" s="78"/>
      <c r="L348" s="78"/>
      <c r="M348" s="78"/>
      <c r="N348" s="78"/>
      <c r="O348" s="78"/>
      <c r="P348" s="78"/>
      <c r="Q348" s="46">
        <f>Q289+Q347</f>
        <v>272.5</v>
      </c>
      <c r="R348" s="46"/>
      <c r="S348" s="643"/>
      <c r="T348" s="667">
        <f>T289+T347</f>
        <v>297</v>
      </c>
      <c r="U348" s="46"/>
      <c r="V348" s="643"/>
      <c r="W348" s="667">
        <f>W289+W347</f>
        <v>317</v>
      </c>
      <c r="X348" s="46"/>
      <c r="Y348" s="643"/>
      <c r="Z348" s="667">
        <f>Z349*Z293</f>
        <v>302.40000000000003</v>
      </c>
      <c r="AA348" s="46">
        <f>AA349*AA293</f>
        <v>169.60000000000002</v>
      </c>
      <c r="AB348" s="643">
        <f>AC348-AA348</f>
        <v>163.19999999999999</v>
      </c>
      <c r="AC348" s="667">
        <f>AC349*AC293</f>
        <v>332.8</v>
      </c>
      <c r="AD348" s="46">
        <f>AD349*AD293</f>
        <v>99.899999999999991</v>
      </c>
      <c r="AE348" s="643">
        <f>AF348-AD348</f>
        <v>88.500000000000014</v>
      </c>
      <c r="AF348" s="667">
        <f>AF349*AF293</f>
        <v>188.4</v>
      </c>
      <c r="AG348" s="46">
        <f>AG349*AG293</f>
        <v>214.79999999999998</v>
      </c>
      <c r="AH348" s="643">
        <f>AI348-AG348</f>
        <v>289.79999999999995</v>
      </c>
      <c r="AI348" s="667">
        <f>AI349*AI293</f>
        <v>504.59999999999997</v>
      </c>
      <c r="AJ348" s="46">
        <f>AJ349*AJ293</f>
        <v>214.5</v>
      </c>
      <c r="AK348" s="643">
        <f>AL348-AJ348</f>
        <v>260.5</v>
      </c>
      <c r="AL348" s="667">
        <f>AL349*AL293</f>
        <v>475</v>
      </c>
      <c r="AM348" s="46">
        <f>AM349*AM293</f>
        <v>211.60000000000002</v>
      </c>
      <c r="AN348" s="643">
        <f>AO348-AM348</f>
        <v>210</v>
      </c>
      <c r="AO348" s="667">
        <f>AO349*AO293</f>
        <v>421.6</v>
      </c>
      <c r="AP348" s="46">
        <f>AP349*AP293</f>
        <v>267.2</v>
      </c>
      <c r="AQ348" s="643">
        <f>AR348-AP348</f>
        <v>231.20000000000005</v>
      </c>
      <c r="AR348" s="667">
        <f>AR349*AR293</f>
        <v>498.40000000000003</v>
      </c>
      <c r="AS348" s="46">
        <f>AS349*AS293</f>
        <v>261.2</v>
      </c>
      <c r="AT348" s="232">
        <f>AU348-AS348</f>
        <v>299.05</v>
      </c>
      <c r="AU348" s="552">
        <f>AU349*AU293</f>
        <v>560.25</v>
      </c>
      <c r="AV348" s="184">
        <f>AV349*AV293</f>
        <v>368</v>
      </c>
      <c r="AW348" s="250">
        <f>AX348-AV348</f>
        <v>335.14782608695657</v>
      </c>
      <c r="AX348" s="615">
        <f>AX349*AX293</f>
        <v>703.14782608695657</v>
      </c>
      <c r="AY348" s="249">
        <f>AY349*AY293</f>
        <v>407.20222222222219</v>
      </c>
      <c r="AZ348" s="250">
        <f>BA348-AY348</f>
        <v>371.82177777777781</v>
      </c>
      <c r="BA348" s="615">
        <f>BA349*BA293</f>
        <v>779.024</v>
      </c>
      <c r="BB348" s="249">
        <f>BB349*BB293</f>
        <v>451.3593181818182</v>
      </c>
      <c r="BC348" s="250">
        <f>BD348-BB348</f>
        <v>413.15177272727277</v>
      </c>
      <c r="BD348" s="615">
        <f>BD349*BD293</f>
        <v>864.51109090909097</v>
      </c>
      <c r="BE348" s="249">
        <f>BE349*BE293</f>
        <v>489.75206818181829</v>
      </c>
      <c r="BF348" s="250">
        <f>BG348-BE348</f>
        <v>449.3192227272728</v>
      </c>
      <c r="BG348" s="615">
        <f>BG349*BG293</f>
        <v>939.07129090909109</v>
      </c>
      <c r="BH348" s="249">
        <f>BH349*BH293</f>
        <v>531.98409318181837</v>
      </c>
      <c r="BI348" s="250">
        <f>BJ348-BH348</f>
        <v>489.10341772727281</v>
      </c>
      <c r="BJ348" s="615">
        <f>BJ349*BJ293</f>
        <v>1021.0875109090912</v>
      </c>
    </row>
    <row r="349" spans="1:68">
      <c r="A349" s="25" t="s">
        <v>552</v>
      </c>
      <c r="Q349" s="50">
        <f>Q348/Q293</f>
        <v>0.40977443609022557</v>
      </c>
      <c r="R349" s="50"/>
      <c r="S349" s="647"/>
      <c r="T349" s="671">
        <f>T348/T293</f>
        <v>0.5</v>
      </c>
      <c r="U349" s="50"/>
      <c r="V349" s="647"/>
      <c r="W349" s="671">
        <f>W348/W293</f>
        <v>0.47102526002971767</v>
      </c>
      <c r="X349" s="50"/>
      <c r="Y349" s="647"/>
      <c r="Z349" s="671">
        <v>0.4</v>
      </c>
      <c r="AA349" s="952">
        <f>AC349</f>
        <v>0.4</v>
      </c>
      <c r="AB349" s="217">
        <f>AB348/AB293</f>
        <v>0.39999999999999997</v>
      </c>
      <c r="AC349" s="671">
        <f>Z349</f>
        <v>0.4</v>
      </c>
      <c r="AD349" s="952">
        <f>AF349</f>
        <v>0.3</v>
      </c>
      <c r="AE349" s="217">
        <f>AE348/AE293</f>
        <v>0.30000000000000004</v>
      </c>
      <c r="AF349" s="671">
        <v>0.3</v>
      </c>
      <c r="AG349" s="952">
        <f>AI349</f>
        <v>0.6</v>
      </c>
      <c r="AH349" s="217">
        <f>AH348/AH293</f>
        <v>0.59999999999999987</v>
      </c>
      <c r="AI349" s="671">
        <v>0.6</v>
      </c>
      <c r="AJ349" s="952">
        <f>AL349</f>
        <v>0.5</v>
      </c>
      <c r="AK349" s="217">
        <f>AK348/AK293</f>
        <v>0.5</v>
      </c>
      <c r="AL349" s="671">
        <v>0.5</v>
      </c>
      <c r="AM349" s="952">
        <v>0.4</v>
      </c>
      <c r="AN349" s="217">
        <f>AN348/AN293</f>
        <v>0.4</v>
      </c>
      <c r="AO349" s="554">
        <v>0.4</v>
      </c>
      <c r="AP349" s="952">
        <v>0.4</v>
      </c>
      <c r="AQ349" s="217">
        <f>AQ348/AQ293</f>
        <v>0.40000000000000008</v>
      </c>
      <c r="AR349" s="554">
        <v>0.4</v>
      </c>
      <c r="AS349" s="952">
        <v>0.4</v>
      </c>
      <c r="AT349" s="217">
        <f>AT348/AT293</f>
        <v>0.505152027027027</v>
      </c>
      <c r="AU349" s="554">
        <v>0.45</v>
      </c>
      <c r="AV349" s="211">
        <v>0.5</v>
      </c>
      <c r="AW349" s="252">
        <f>AW348/AW293</f>
        <v>0.49999999999999989</v>
      </c>
      <c r="AX349" s="618">
        <v>0.5</v>
      </c>
      <c r="AY349" s="251">
        <f>BA349</f>
        <v>0.5</v>
      </c>
      <c r="AZ349" s="252">
        <f>AZ348/AZ293</f>
        <v>0.49999999999999994</v>
      </c>
      <c r="BA349" s="577">
        <f>AX349</f>
        <v>0.5</v>
      </c>
      <c r="BB349" s="251">
        <f>BD349</f>
        <v>0.5</v>
      </c>
      <c r="BC349" s="252">
        <f>BC348/BC293</f>
        <v>0.49999999999999994</v>
      </c>
      <c r="BD349" s="577">
        <f>BA349</f>
        <v>0.5</v>
      </c>
      <c r="BE349" s="251">
        <f>BG349</f>
        <v>0.5</v>
      </c>
      <c r="BF349" s="252">
        <f>BF348/BF293</f>
        <v>0.50000000000000011</v>
      </c>
      <c r="BG349" s="577">
        <f>BD349</f>
        <v>0.5</v>
      </c>
      <c r="BH349" s="251">
        <f>BJ349</f>
        <v>0.5</v>
      </c>
      <c r="BI349" s="252">
        <f>BI348/BI293</f>
        <v>0.5</v>
      </c>
      <c r="BJ349" s="577">
        <f t="shared" ref="BJ349" si="907">BG349</f>
        <v>0.5</v>
      </c>
    </row>
    <row r="350" spans="1:68">
      <c r="Q350" s="26"/>
      <c r="S350" s="595"/>
      <c r="T350" s="619"/>
      <c r="V350" s="595"/>
      <c r="W350" s="619"/>
      <c r="Y350" s="595"/>
      <c r="Z350" s="619"/>
      <c r="AB350" s="595"/>
      <c r="AC350" s="740"/>
      <c r="AE350" s="595"/>
      <c r="AF350" s="619"/>
      <c r="AH350" s="595"/>
      <c r="AI350" s="619"/>
      <c r="AK350" s="595"/>
      <c r="AL350" s="619"/>
      <c r="AN350" s="539"/>
      <c r="AO350" s="550"/>
      <c r="AQ350" s="539"/>
      <c r="AR350" s="550"/>
      <c r="AT350" s="539"/>
      <c r="AU350" s="550"/>
      <c r="AV350"/>
      <c r="AW350" s="539"/>
      <c r="AX350" s="550"/>
      <c r="AY350"/>
      <c r="AZ350" s="539"/>
      <c r="BA350" s="550"/>
      <c r="BB350"/>
      <c r="BC350" s="539"/>
      <c r="BD350" s="550"/>
      <c r="BE350"/>
      <c r="BF350" s="539"/>
      <c r="BG350" s="550"/>
      <c r="BH350"/>
      <c r="BI350" s="539"/>
      <c r="BJ350" s="550"/>
    </row>
    <row r="351" spans="1:68">
      <c r="A351" s="25" t="s">
        <v>542</v>
      </c>
      <c r="C351" s="40">
        <f t="shared" ref="C351:Q351" si="908">AVERAGE(B453:C453)</f>
        <v>58.3795</v>
      </c>
      <c r="D351" s="40">
        <f t="shared" si="908"/>
        <v>64.342500000000001</v>
      </c>
      <c r="E351" s="40">
        <f t="shared" si="908"/>
        <v>68.861999999999995</v>
      </c>
      <c r="F351" s="40">
        <f t="shared" si="908"/>
        <v>72.47399999999999</v>
      </c>
      <c r="G351" s="40">
        <f t="shared" si="908"/>
        <v>75.494</v>
      </c>
      <c r="H351" s="40">
        <f t="shared" si="908"/>
        <v>78.387499999999989</v>
      </c>
      <c r="I351" s="40">
        <f t="shared" si="908"/>
        <v>81.398499999999999</v>
      </c>
      <c r="J351" s="40">
        <f t="shared" si="908"/>
        <v>84.872500000000002</v>
      </c>
      <c r="K351" s="40">
        <f t="shared" si="908"/>
        <v>88.503999999999991</v>
      </c>
      <c r="L351" s="40">
        <f t="shared" si="908"/>
        <v>91.828000000000003</v>
      </c>
      <c r="M351" s="40">
        <f t="shared" si="908"/>
        <v>94.586000000000013</v>
      </c>
      <c r="N351" s="40">
        <f t="shared" si="908"/>
        <v>97.642499999999998</v>
      </c>
      <c r="O351" s="40">
        <f t="shared" si="908"/>
        <v>101.80549999999999</v>
      </c>
      <c r="P351" s="40">
        <f t="shared" si="908"/>
        <v>106.44149999999999</v>
      </c>
      <c r="Q351" s="40">
        <f t="shared" si="908"/>
        <v>111.04249999999999</v>
      </c>
      <c r="R351" s="40"/>
      <c r="S351" s="630"/>
      <c r="T351" s="653">
        <f>AVERAGE(Q453:T453)</f>
        <v>114.74299999999999</v>
      </c>
      <c r="U351" s="40"/>
      <c r="V351" s="630"/>
      <c r="W351" s="653">
        <f>AVERAGE(T453:W453)</f>
        <v>117.215</v>
      </c>
      <c r="X351" s="40"/>
      <c r="Y351" s="630"/>
      <c r="Z351" s="653">
        <f>AVERAGE(W453:Z453)</f>
        <v>119.18049999999999</v>
      </c>
      <c r="AA351" s="40">
        <f>AVERAGE(X453,AA453)</f>
        <v>122.03999999999999</v>
      </c>
      <c r="AB351" s="630">
        <f>AVERAGE(Y453,AB453)</f>
        <v>122.03999999999999</v>
      </c>
      <c r="AC351" s="653">
        <f>AVERAGE(Z453:AC453)</f>
        <v>121.56924999999998</v>
      </c>
      <c r="AD351" s="40">
        <f>AVERAGE(AA453,AD453)</f>
        <v>122.9945</v>
      </c>
      <c r="AE351" s="630">
        <f>AVERAGE(AB453,AE453)</f>
        <v>122.9945</v>
      </c>
      <c r="AF351" s="653">
        <f>AVERAGE(AC453:AF453)</f>
        <v>123.47175</v>
      </c>
      <c r="AG351" s="40">
        <f t="shared" ref="AG351:BJ351" si="909">AVERAGE(AD453,AG453)</f>
        <v>122.953</v>
      </c>
      <c r="AH351" s="630">
        <f t="shared" si="909"/>
        <v>122.953</v>
      </c>
      <c r="AI351" s="653">
        <f t="shared" si="909"/>
        <v>122.953</v>
      </c>
      <c r="AJ351" s="40">
        <f t="shared" si="909"/>
        <v>122.49850000000001</v>
      </c>
      <c r="AK351" s="630">
        <f t="shared" si="909"/>
        <v>122.49850000000001</v>
      </c>
      <c r="AL351" s="653">
        <f t="shared" si="909"/>
        <v>122.49850000000001</v>
      </c>
      <c r="AM351" s="40">
        <f t="shared" si="909"/>
        <v>123.05250000000001</v>
      </c>
      <c r="AN351" s="216">
        <f t="shared" si="909"/>
        <v>123.28550000000001</v>
      </c>
      <c r="AO351" s="556">
        <f t="shared" si="909"/>
        <v>123.28550000000001</v>
      </c>
      <c r="AP351" s="40">
        <f t="shared" si="909"/>
        <v>123.218</v>
      </c>
      <c r="AQ351" s="216">
        <f t="shared" ref="AQ351" si="910">AVERAGE(AN453,AQ453)</f>
        <v>122.86450000000001</v>
      </c>
      <c r="AR351" s="556">
        <f t="shared" ref="AR351" si="911">AVERAGE(AO453,AR453)</f>
        <v>122.86450000000001</v>
      </c>
      <c r="AS351" s="40">
        <f t="shared" si="909"/>
        <v>122.5265</v>
      </c>
      <c r="AT351" s="216">
        <f t="shared" si="909"/>
        <v>121.4325</v>
      </c>
      <c r="AU351" s="556">
        <f t="shared" si="909"/>
        <v>121.4325</v>
      </c>
      <c r="AV351" s="10">
        <f t="shared" si="909"/>
        <v>121.047</v>
      </c>
      <c r="AW351" s="236">
        <f t="shared" si="909"/>
        <v>120.5575</v>
      </c>
      <c r="AX351" s="605">
        <f t="shared" si="909"/>
        <v>120.5575</v>
      </c>
      <c r="AY351" s="56">
        <f t="shared" si="909"/>
        <v>119.73749999999998</v>
      </c>
      <c r="AZ351" s="236">
        <f t="shared" si="909"/>
        <v>119.75549999999998</v>
      </c>
      <c r="BA351" s="605">
        <f t="shared" si="909"/>
        <v>119.75549999999998</v>
      </c>
      <c r="BB351" s="56">
        <f t="shared" si="909"/>
        <v>118.37049999999999</v>
      </c>
      <c r="BC351" s="236">
        <f t="shared" si="909"/>
        <v>118.37049999999999</v>
      </c>
      <c r="BD351" s="605">
        <f t="shared" si="909"/>
        <v>118.37049999999999</v>
      </c>
      <c r="BE351" s="56">
        <f t="shared" si="909"/>
        <v>116.9855</v>
      </c>
      <c r="BF351" s="236">
        <f t="shared" si="909"/>
        <v>116.9855</v>
      </c>
      <c r="BG351" s="605">
        <f t="shared" si="909"/>
        <v>116.9855</v>
      </c>
      <c r="BH351" s="56">
        <f t="shared" si="909"/>
        <v>115.60050000000001</v>
      </c>
      <c r="BI351" s="236">
        <f t="shared" si="909"/>
        <v>115.60050000000001</v>
      </c>
      <c r="BJ351" s="605">
        <f t="shared" si="909"/>
        <v>115.60050000000001</v>
      </c>
      <c r="BL351"/>
    </row>
    <row r="352" spans="1:68">
      <c r="Q352" s="26"/>
      <c r="S352" s="595"/>
      <c r="T352" s="619"/>
      <c r="V352" s="595"/>
      <c r="W352" s="619"/>
      <c r="Y352" s="595"/>
      <c r="Z352" s="619"/>
      <c r="AB352" s="595"/>
      <c r="AC352" s="740"/>
      <c r="AE352" s="595"/>
      <c r="AF352" s="619"/>
      <c r="AH352" s="595"/>
      <c r="AI352" s="619"/>
      <c r="AK352" s="595"/>
      <c r="AL352" s="619"/>
      <c r="AN352" s="539"/>
      <c r="AO352" s="550"/>
      <c r="AP352"/>
      <c r="AQ352" s="539"/>
      <c r="AR352" s="550"/>
      <c r="AS352"/>
      <c r="AT352" s="539"/>
      <c r="AU352" s="550"/>
      <c r="AV352"/>
      <c r="AW352" s="539"/>
      <c r="AX352" s="550"/>
      <c r="AY352"/>
      <c r="AZ352" s="539"/>
      <c r="BA352" s="550"/>
      <c r="BB352"/>
      <c r="BC352" s="539"/>
      <c r="BD352" s="550"/>
      <c r="BE352"/>
      <c r="BF352" s="539"/>
      <c r="BG352" s="550"/>
      <c r="BH352"/>
      <c r="BI352" s="539"/>
      <c r="BJ352" s="550"/>
    </row>
    <row r="353" spans="1:66">
      <c r="S353" s="595"/>
      <c r="T353" s="619"/>
      <c r="V353" s="595"/>
      <c r="W353" s="619"/>
      <c r="Y353" s="595"/>
      <c r="Z353" s="619"/>
      <c r="AB353" s="595"/>
      <c r="AC353" s="619"/>
      <c r="AE353" s="595"/>
      <c r="AF353" s="619"/>
      <c r="AH353" s="595"/>
      <c r="AI353" s="619"/>
      <c r="AK353" s="595"/>
      <c r="AL353" s="619"/>
      <c r="AN353" s="539"/>
      <c r="AO353" s="550"/>
      <c r="AP353"/>
      <c r="AQ353" s="539"/>
      <c r="AR353" s="550"/>
      <c r="AS353"/>
      <c r="AT353" s="539"/>
      <c r="AU353" s="550"/>
      <c r="AV353"/>
      <c r="AW353" s="539"/>
      <c r="AX353" s="550"/>
      <c r="AY353"/>
      <c r="AZ353" s="539"/>
      <c r="BA353" s="550"/>
      <c r="BB353"/>
      <c r="BC353" s="539"/>
      <c r="BD353" s="550"/>
      <c r="BE353"/>
      <c r="BF353" s="539"/>
      <c r="BG353" s="550"/>
      <c r="BH353"/>
      <c r="BI353" s="539"/>
      <c r="BJ353" s="550"/>
    </row>
    <row r="354" spans="1:66">
      <c r="A354" s="310" t="s">
        <v>268</v>
      </c>
      <c r="B354" s="311"/>
      <c r="C354" s="311"/>
      <c r="D354" s="311"/>
      <c r="E354" s="311"/>
      <c r="F354" s="311"/>
      <c r="G354" s="311"/>
      <c r="H354" s="311"/>
      <c r="I354" s="311"/>
      <c r="J354" s="311"/>
      <c r="K354" s="311"/>
      <c r="L354" s="311"/>
      <c r="M354" s="311"/>
      <c r="N354" s="311"/>
      <c r="O354" s="311"/>
      <c r="P354" s="311"/>
      <c r="Q354" s="311"/>
      <c r="R354" s="525"/>
      <c r="S354" s="317"/>
      <c r="T354" s="551"/>
      <c r="U354" s="525"/>
      <c r="V354" s="317"/>
      <c r="W354" s="551"/>
      <c r="X354" s="525"/>
      <c r="Y354" s="317"/>
      <c r="Z354" s="551"/>
      <c r="AA354" s="525"/>
      <c r="AB354" s="317"/>
      <c r="AC354" s="551"/>
      <c r="AD354" s="525"/>
      <c r="AE354" s="317"/>
      <c r="AF354" s="551"/>
      <c r="AG354" s="525"/>
      <c r="AH354" s="317"/>
      <c r="AI354" s="551"/>
      <c r="AJ354" s="525"/>
      <c r="AK354" s="317"/>
      <c r="AL354" s="551"/>
      <c r="AM354" s="525"/>
      <c r="AN354" s="317"/>
      <c r="AO354" s="551"/>
      <c r="AP354" s="525"/>
      <c r="AQ354" s="317"/>
      <c r="AR354" s="551"/>
      <c r="AS354" s="525"/>
      <c r="AT354" s="317"/>
      <c r="AU354" s="551"/>
      <c r="AV354" s="525"/>
      <c r="AW354" s="814"/>
      <c r="AX354" s="846"/>
      <c r="AY354" s="536"/>
      <c r="AZ354" s="814"/>
      <c r="BA354" s="846"/>
      <c r="BB354" s="536"/>
      <c r="BC354" s="814"/>
      <c r="BD354" s="846"/>
      <c r="BE354" s="536"/>
      <c r="BF354" s="814"/>
      <c r="BG354" s="846"/>
      <c r="BH354" s="536"/>
      <c r="BI354" s="814"/>
      <c r="BJ354" s="846"/>
    </row>
    <row r="355" spans="1:66">
      <c r="S355" s="595"/>
      <c r="T355" s="619"/>
      <c r="V355" s="595"/>
      <c r="W355" s="619"/>
      <c r="Y355" s="595"/>
      <c r="Z355" s="619"/>
      <c r="AB355" s="595"/>
      <c r="AC355" s="619"/>
      <c r="AE355" s="595"/>
      <c r="AF355" s="619"/>
      <c r="AH355" s="595"/>
      <c r="AI355" s="619"/>
      <c r="AK355" s="595"/>
      <c r="AL355" s="619"/>
      <c r="AN355" s="539"/>
      <c r="AO355" s="550"/>
      <c r="AP355"/>
      <c r="AQ355" s="539"/>
      <c r="AR355" s="550"/>
      <c r="AS355"/>
      <c r="AT355" s="539"/>
      <c r="AU355" s="550"/>
      <c r="AV355"/>
      <c r="AW355" s="539"/>
      <c r="AX355" s="550"/>
      <c r="AY355"/>
      <c r="AZ355" s="539"/>
      <c r="BA355" s="550"/>
      <c r="BB355"/>
      <c r="BC355" s="539"/>
      <c r="BD355" s="550"/>
      <c r="BE355"/>
      <c r="BF355" s="539"/>
      <c r="BG355" s="550"/>
      <c r="BH355"/>
      <c r="BI355" s="539"/>
      <c r="BJ355" s="550"/>
    </row>
    <row r="356" spans="1:66">
      <c r="A356" s="25" t="s">
        <v>522</v>
      </c>
      <c r="Q356" s="40">
        <f>Q358-Q357</f>
        <v>269</v>
      </c>
      <c r="R356" s="40"/>
      <c r="S356" s="630"/>
      <c r="T356" s="653">
        <f>T358-T357</f>
        <v>377</v>
      </c>
      <c r="U356" s="40"/>
      <c r="V356" s="630"/>
      <c r="W356" s="653">
        <f>W358-W357</f>
        <v>443.86990950226249</v>
      </c>
      <c r="X356" s="40"/>
      <c r="Y356" s="630"/>
      <c r="Z356" s="653">
        <f>Z360/Z375</f>
        <v>480.41082434782624</v>
      </c>
      <c r="AA356" s="40">
        <f t="shared" ref="AA356:BJ356" si="912">AA360/AA374</f>
        <v>330.96078431372547</v>
      </c>
      <c r="AB356" s="630">
        <f t="shared" si="912"/>
        <v>296.96078431372553</v>
      </c>
      <c r="AC356" s="653">
        <f t="shared" si="912"/>
        <v>627.92156862745094</v>
      </c>
      <c r="AD356" s="40">
        <f t="shared" si="912"/>
        <v>306.67741935483866</v>
      </c>
      <c r="AE356" s="630">
        <f t="shared" si="912"/>
        <v>174.10526315789474</v>
      </c>
      <c r="AF356" s="653">
        <f t="shared" si="912"/>
        <v>488.21052631578948</v>
      </c>
      <c r="AG356" s="40">
        <f t="shared" si="912"/>
        <v>-1.9568345323741001</v>
      </c>
      <c r="AH356" s="630">
        <f t="shared" si="912"/>
        <v>26.987730061349698</v>
      </c>
      <c r="AI356" s="653">
        <f t="shared" si="912"/>
        <v>25.662251655629138</v>
      </c>
      <c r="AJ356" s="40">
        <f t="shared" si="912"/>
        <v>31.666666666666668</v>
      </c>
      <c r="AK356" s="630">
        <f t="shared" si="912"/>
        <v>63.666666666666664</v>
      </c>
      <c r="AL356" s="653">
        <f t="shared" si="912"/>
        <v>95.333333333333329</v>
      </c>
      <c r="AM356" s="40">
        <f t="shared" si="912"/>
        <v>34.333333333333336</v>
      </c>
      <c r="AN356" s="630">
        <f t="shared" si="912"/>
        <v>74.333333333333329</v>
      </c>
      <c r="AO356" s="653">
        <f t="shared" si="912"/>
        <v>108.66666666666667</v>
      </c>
      <c r="AP356" s="40">
        <f t="shared" ref="AP356:AR356" si="913">AP360/AP374</f>
        <v>54.202702702702702</v>
      </c>
      <c r="AQ356" s="630">
        <f t="shared" si="913"/>
        <v>75.202702702702709</v>
      </c>
      <c r="AR356" s="653">
        <f t="shared" si="913"/>
        <v>129.40540540540539</v>
      </c>
      <c r="AS356" s="40">
        <f t="shared" ref="AS356" si="914">AS360/AS374</f>
        <v>60.777777777777764</v>
      </c>
      <c r="AT356" s="216">
        <f t="shared" si="912"/>
        <v>29.888888888888886</v>
      </c>
      <c r="AU356" s="556">
        <f t="shared" si="912"/>
        <v>90.666666666666671</v>
      </c>
      <c r="AV356" s="40">
        <f t="shared" si="912"/>
        <v>56.797101449275367</v>
      </c>
      <c r="AW356" s="236">
        <f t="shared" si="912"/>
        <v>33.782608695652179</v>
      </c>
      <c r="AX356" s="605">
        <f t="shared" si="912"/>
        <v>90.579710144927546</v>
      </c>
      <c r="AY356" s="56">
        <f t="shared" si="912"/>
        <v>46.296296296296291</v>
      </c>
      <c r="AZ356" s="236">
        <f t="shared" si="912"/>
        <v>46.296296296296291</v>
      </c>
      <c r="BA356" s="605">
        <f t="shared" si="912"/>
        <v>92.592592592592581</v>
      </c>
      <c r="BB356" s="56">
        <f t="shared" si="912"/>
        <v>47.348484848484844</v>
      </c>
      <c r="BC356" s="236">
        <f t="shared" si="912"/>
        <v>47.348484848484844</v>
      </c>
      <c r="BD356" s="605">
        <f t="shared" si="912"/>
        <v>94.696969696969688</v>
      </c>
      <c r="BE356" s="56">
        <f t="shared" si="912"/>
        <v>47.348484848484844</v>
      </c>
      <c r="BF356" s="236">
        <f t="shared" si="912"/>
        <v>47.348484848484844</v>
      </c>
      <c r="BG356" s="605">
        <f t="shared" si="912"/>
        <v>94.696969696969688</v>
      </c>
      <c r="BH356" s="56">
        <f t="shared" si="912"/>
        <v>47.348484848484844</v>
      </c>
      <c r="BI356" s="236">
        <f t="shared" si="912"/>
        <v>47.348484848484844</v>
      </c>
      <c r="BJ356" s="605">
        <f t="shared" si="912"/>
        <v>94.696969696969688</v>
      </c>
    </row>
    <row r="357" spans="1:66">
      <c r="A357" s="25" t="s">
        <v>523</v>
      </c>
      <c r="Q357" s="40">
        <v>250</v>
      </c>
      <c r="R357" s="40"/>
      <c r="S357" s="630"/>
      <c r="T357" s="653">
        <v>250</v>
      </c>
      <c r="U357" s="40"/>
      <c r="V357" s="630"/>
      <c r="W357" s="653">
        <f>W361/W375</f>
        <v>265.13009049773751</v>
      </c>
      <c r="X357" s="40"/>
      <c r="Y357" s="630"/>
      <c r="Z357" s="653">
        <f>Z361/Z375</f>
        <v>273.91304347826087</v>
      </c>
      <c r="AA357" s="40">
        <f t="shared" ref="AA357:BJ357" si="915">AA361/AA374</f>
        <v>98.039215686274503</v>
      </c>
      <c r="AB357" s="630">
        <f t="shared" si="915"/>
        <v>98.039215686274503</v>
      </c>
      <c r="AC357" s="653">
        <f t="shared" si="915"/>
        <v>196.07843137254901</v>
      </c>
      <c r="AD357" s="40">
        <f t="shared" si="915"/>
        <v>40.322580645161288</v>
      </c>
      <c r="AE357" s="630">
        <f t="shared" si="915"/>
        <v>32.89473684210526</v>
      </c>
      <c r="AF357" s="653">
        <f t="shared" si="915"/>
        <v>65.78947368421052</v>
      </c>
      <c r="AG357" s="40">
        <f t="shared" si="915"/>
        <v>53.956834532374103</v>
      </c>
      <c r="AH357" s="630">
        <f t="shared" si="915"/>
        <v>46.012269938650306</v>
      </c>
      <c r="AI357" s="653">
        <f t="shared" si="915"/>
        <v>99.337748344370866</v>
      </c>
      <c r="AJ357" s="40">
        <f t="shared" si="915"/>
        <v>83.333333333333329</v>
      </c>
      <c r="AK357" s="630">
        <f t="shared" si="915"/>
        <v>83.333333333333329</v>
      </c>
      <c r="AL357" s="653">
        <f t="shared" si="915"/>
        <v>166.66666666666666</v>
      </c>
      <c r="AM357" s="40">
        <f t="shared" si="915"/>
        <v>91.666666666666671</v>
      </c>
      <c r="AN357" s="630">
        <f t="shared" si="915"/>
        <v>91.666666666666671</v>
      </c>
      <c r="AO357" s="653">
        <f t="shared" si="915"/>
        <v>183.33333333333334</v>
      </c>
      <c r="AP357" s="40">
        <f t="shared" ref="AP357:AR357" si="916">AP361/AP374</f>
        <v>109.79729729729731</v>
      </c>
      <c r="AQ357" s="630">
        <f t="shared" si="916"/>
        <v>109.79729729729731</v>
      </c>
      <c r="AR357" s="653">
        <f t="shared" si="916"/>
        <v>219.59459459459461</v>
      </c>
      <c r="AS357" s="40">
        <f t="shared" ref="AS357" si="917">AS361/AS374</f>
        <v>97.222222222222229</v>
      </c>
      <c r="AT357" s="216">
        <f t="shared" si="915"/>
        <v>111.11111111111111</v>
      </c>
      <c r="AU357" s="556">
        <f t="shared" si="915"/>
        <v>208.33333333333334</v>
      </c>
      <c r="AV357" s="40">
        <f t="shared" si="915"/>
        <v>94.20289855072464</v>
      </c>
      <c r="AW357" s="236">
        <f t="shared" si="915"/>
        <v>105.07246376811595</v>
      </c>
      <c r="AX357" s="605">
        <f t="shared" si="915"/>
        <v>199.27536231884059</v>
      </c>
      <c r="AY357" s="56">
        <f t="shared" si="915"/>
        <v>92.592592592592581</v>
      </c>
      <c r="AZ357" s="236">
        <f t="shared" si="915"/>
        <v>92.592592592592581</v>
      </c>
      <c r="BA357" s="605">
        <f t="shared" si="915"/>
        <v>185.18518518518516</v>
      </c>
      <c r="BB357" s="56">
        <f t="shared" si="915"/>
        <v>0</v>
      </c>
      <c r="BC357" s="236">
        <f t="shared" si="915"/>
        <v>0</v>
      </c>
      <c r="BD357" s="605">
        <f t="shared" si="915"/>
        <v>0</v>
      </c>
      <c r="BE357" s="56">
        <f t="shared" si="915"/>
        <v>0</v>
      </c>
      <c r="BF357" s="236">
        <f t="shared" si="915"/>
        <v>0</v>
      </c>
      <c r="BG357" s="605">
        <f t="shared" si="915"/>
        <v>0</v>
      </c>
      <c r="BH357" s="56">
        <f t="shared" si="915"/>
        <v>0</v>
      </c>
      <c r="BI357" s="236">
        <f t="shared" si="915"/>
        <v>0</v>
      </c>
      <c r="BJ357" s="605">
        <f t="shared" si="915"/>
        <v>0</v>
      </c>
    </row>
    <row r="358" spans="1:66">
      <c r="A358" s="68" t="s">
        <v>524</v>
      </c>
      <c r="B358" s="78"/>
      <c r="C358" s="78"/>
      <c r="D358" s="78"/>
      <c r="E358" s="78"/>
      <c r="F358" s="78"/>
      <c r="G358" s="78"/>
      <c r="H358" s="78"/>
      <c r="I358" s="78"/>
      <c r="J358" s="78"/>
      <c r="K358" s="78"/>
      <c r="L358" s="78"/>
      <c r="M358" s="78"/>
      <c r="N358" s="78"/>
      <c r="O358" s="78"/>
      <c r="P358" s="78"/>
      <c r="Q358" s="46">
        <f>Q7</f>
        <v>519</v>
      </c>
      <c r="R358" s="46"/>
      <c r="S358" s="643"/>
      <c r="T358" s="667">
        <f>T7</f>
        <v>627</v>
      </c>
      <c r="U358" s="46"/>
      <c r="V358" s="643"/>
      <c r="W358" s="667">
        <f>W7</f>
        <v>709</v>
      </c>
      <c r="X358" s="46"/>
      <c r="Y358" s="643"/>
      <c r="Z358" s="667">
        <f t="shared" ref="Z358" si="918">Z356+Z357</f>
        <v>754.32386782608705</v>
      </c>
      <c r="AA358" s="46">
        <f t="shared" ref="AA358:AV358" si="919">AA22</f>
        <v>429</v>
      </c>
      <c r="AB358" s="643">
        <f t="shared" si="919"/>
        <v>395</v>
      </c>
      <c r="AC358" s="667">
        <f t="shared" si="919"/>
        <v>824</v>
      </c>
      <c r="AD358" s="46">
        <f t="shared" si="919"/>
        <v>347</v>
      </c>
      <c r="AE358" s="643">
        <f t="shared" si="919"/>
        <v>207</v>
      </c>
      <c r="AF358" s="667">
        <f t="shared" si="919"/>
        <v>554</v>
      </c>
      <c r="AG358" s="46">
        <f t="shared" si="919"/>
        <v>52</v>
      </c>
      <c r="AH358" s="643">
        <f t="shared" si="919"/>
        <v>73</v>
      </c>
      <c r="AI358" s="667">
        <f t="shared" si="919"/>
        <v>125</v>
      </c>
      <c r="AJ358" s="46">
        <f t="shared" si="919"/>
        <v>115</v>
      </c>
      <c r="AK358" s="643">
        <f t="shared" si="919"/>
        <v>147</v>
      </c>
      <c r="AL358" s="667">
        <f t="shared" si="919"/>
        <v>262</v>
      </c>
      <c r="AM358" s="46">
        <f t="shared" si="919"/>
        <v>126</v>
      </c>
      <c r="AN358" s="643">
        <f t="shared" si="919"/>
        <v>166</v>
      </c>
      <c r="AO358" s="667">
        <f t="shared" si="919"/>
        <v>292</v>
      </c>
      <c r="AP358" s="46">
        <f t="shared" si="919"/>
        <v>164</v>
      </c>
      <c r="AQ358" s="643">
        <f t="shared" si="919"/>
        <v>185</v>
      </c>
      <c r="AR358" s="667">
        <f t="shared" si="919"/>
        <v>349</v>
      </c>
      <c r="AS358" s="46">
        <f t="shared" si="919"/>
        <v>158</v>
      </c>
      <c r="AT358" s="643">
        <f t="shared" si="919"/>
        <v>141</v>
      </c>
      <c r="AU358" s="667">
        <f t="shared" si="919"/>
        <v>299</v>
      </c>
      <c r="AV358" s="46">
        <f t="shared" si="919"/>
        <v>151</v>
      </c>
      <c r="AW358" s="250">
        <f t="shared" ref="AW358:BJ358" si="920">AW362/AW374</f>
        <v>138.85507246376812</v>
      </c>
      <c r="AX358" s="615">
        <f t="shared" si="920"/>
        <v>289.85507246376812</v>
      </c>
      <c r="AY358" s="249">
        <f t="shared" si="920"/>
        <v>138.88888888888889</v>
      </c>
      <c r="AZ358" s="250">
        <f t="shared" si="920"/>
        <v>138.88888888888889</v>
      </c>
      <c r="BA358" s="615">
        <f t="shared" si="920"/>
        <v>277.77777777777777</v>
      </c>
      <c r="BB358" s="249">
        <f t="shared" si="920"/>
        <v>47.348484848484844</v>
      </c>
      <c r="BC358" s="250">
        <f t="shared" si="920"/>
        <v>47.348484848484844</v>
      </c>
      <c r="BD358" s="615">
        <f t="shared" si="920"/>
        <v>94.696969696969688</v>
      </c>
      <c r="BE358" s="249">
        <f t="shared" si="920"/>
        <v>47.348484848484844</v>
      </c>
      <c r="BF358" s="250">
        <f t="shared" si="920"/>
        <v>47.348484848484844</v>
      </c>
      <c r="BG358" s="615">
        <f t="shared" si="920"/>
        <v>94.696969696969688</v>
      </c>
      <c r="BH358" s="249">
        <f t="shared" si="920"/>
        <v>47.348484848484844</v>
      </c>
      <c r="BI358" s="250">
        <f t="shared" si="920"/>
        <v>47.348484848484844</v>
      </c>
      <c r="BJ358" s="615">
        <f t="shared" si="920"/>
        <v>94.696969696969688</v>
      </c>
    </row>
    <row r="359" spans="1:66">
      <c r="Q359" s="40"/>
      <c r="R359" s="50"/>
      <c r="S359" s="647"/>
      <c r="T359" s="671"/>
      <c r="U359" s="50"/>
      <c r="V359" s="647"/>
      <c r="W359" s="671"/>
      <c r="X359" s="50"/>
      <c r="Y359" s="647"/>
      <c r="Z359" s="671"/>
      <c r="AA359" s="40"/>
      <c r="AB359" s="630"/>
      <c r="AC359" s="671"/>
      <c r="AD359" s="40"/>
      <c r="AE359" s="630"/>
      <c r="AF359" s="653"/>
      <c r="AG359" s="40"/>
      <c r="AH359" s="630"/>
      <c r="AI359" s="653"/>
      <c r="AJ359" s="40"/>
      <c r="AK359" s="630"/>
      <c r="AL359" s="653"/>
      <c r="AM359" s="40"/>
      <c r="AN359" s="539"/>
      <c r="AO359" s="550"/>
      <c r="AP359"/>
      <c r="AQ359" s="539"/>
      <c r="AR359" s="550"/>
      <c r="AS359"/>
      <c r="AT359" s="539"/>
      <c r="AU359" s="550"/>
      <c r="AV359"/>
      <c r="AW359" s="539"/>
      <c r="AX359" s="550"/>
      <c r="AY359"/>
      <c r="AZ359" s="539"/>
      <c r="BA359" s="550"/>
      <c r="BB359"/>
      <c r="BC359" s="539"/>
      <c r="BD359" s="550"/>
      <c r="BE359"/>
      <c r="BF359" s="539"/>
      <c r="BG359" s="550"/>
      <c r="BH359"/>
      <c r="BI359" s="539"/>
      <c r="BJ359" s="550"/>
      <c r="BN359" s="32"/>
    </row>
    <row r="360" spans="1:66">
      <c r="A360" s="25" t="s">
        <v>522</v>
      </c>
      <c r="Q360" s="40">
        <f>Q356*Q375</f>
        <v>416.95</v>
      </c>
      <c r="R360" s="40"/>
      <c r="S360" s="630"/>
      <c r="T360" s="653">
        <f>T356*T375</f>
        <v>565.5</v>
      </c>
      <c r="U360" s="40"/>
      <c r="V360" s="630"/>
      <c r="W360" s="653">
        <f>W356*W375</f>
        <v>627.80960000000016</v>
      </c>
      <c r="X360" s="40"/>
      <c r="Y360" s="630"/>
      <c r="Z360" s="653">
        <f>W360*1.1</f>
        <v>690.59056000000021</v>
      </c>
      <c r="AA360" s="40">
        <f t="shared" ref="AA360:AB360" si="921">AA362-AA361</f>
        <v>506.37</v>
      </c>
      <c r="AB360" s="630">
        <f t="shared" si="921"/>
        <v>454.35</v>
      </c>
      <c r="AC360" s="653">
        <f>AC362-AC361</f>
        <v>960.72</v>
      </c>
      <c r="AD360" s="40">
        <f t="shared" ref="AD360:AE360" si="922">AD362-AD361</f>
        <v>380.28</v>
      </c>
      <c r="AE360" s="630">
        <f t="shared" si="922"/>
        <v>264.64</v>
      </c>
      <c r="AF360" s="653">
        <f t="shared" ref="AF360:AL360" si="923">AF362-AF361</f>
        <v>742.08</v>
      </c>
      <c r="AG360" s="40">
        <f t="shared" ref="AG360:AH360" si="924">AG362-AG361</f>
        <v>-2.7199999999999989</v>
      </c>
      <c r="AH360" s="630">
        <f t="shared" si="924"/>
        <v>43.990000000000009</v>
      </c>
      <c r="AI360" s="653">
        <f t="shared" si="923"/>
        <v>38.75</v>
      </c>
      <c r="AJ360" s="40">
        <f t="shared" si="923"/>
        <v>47.5</v>
      </c>
      <c r="AK360" s="630">
        <f t="shared" ref="AK360" si="925">AK362-AK361</f>
        <v>95.5</v>
      </c>
      <c r="AL360" s="653">
        <f t="shared" si="923"/>
        <v>143</v>
      </c>
      <c r="AM360" s="40">
        <f t="shared" ref="AM360:AV360" si="926">AM362-AM361</f>
        <v>51.5</v>
      </c>
      <c r="AN360" s="630">
        <f t="shared" si="926"/>
        <v>111.5</v>
      </c>
      <c r="AO360" s="653">
        <f t="shared" si="926"/>
        <v>163</v>
      </c>
      <c r="AP360" s="40">
        <f t="shared" ref="AP360" si="927">AP362-AP361</f>
        <v>80.22</v>
      </c>
      <c r="AQ360" s="630">
        <f t="shared" si="926"/>
        <v>111.30000000000001</v>
      </c>
      <c r="AR360" s="653">
        <f t="shared" si="926"/>
        <v>191.51999999999998</v>
      </c>
      <c r="AS360" s="40">
        <f t="shared" si="926"/>
        <v>87.519999999999982</v>
      </c>
      <c r="AT360" s="216">
        <f t="shared" si="926"/>
        <v>43.039999999999992</v>
      </c>
      <c r="AU360" s="556">
        <f t="shared" si="926"/>
        <v>130.56</v>
      </c>
      <c r="AV360" s="40">
        <f t="shared" si="926"/>
        <v>78.38</v>
      </c>
      <c r="AW360" s="236">
        <f>AX360-AV360</f>
        <v>46.620000000000005</v>
      </c>
      <c r="AX360" s="580">
        <v>125</v>
      </c>
      <c r="AY360" s="56">
        <f>BA360/2</f>
        <v>62.5</v>
      </c>
      <c r="AZ360" s="236">
        <f>BA360-AY360</f>
        <v>62.5</v>
      </c>
      <c r="BA360" s="605">
        <f>AX360</f>
        <v>125</v>
      </c>
      <c r="BB360" s="56">
        <f>BD360/2</f>
        <v>62.5</v>
      </c>
      <c r="BC360" s="236">
        <f>BD360-BB360</f>
        <v>62.5</v>
      </c>
      <c r="BD360" s="605">
        <f>BA360</f>
        <v>125</v>
      </c>
      <c r="BE360" s="56">
        <f>BG360/2</f>
        <v>62.5</v>
      </c>
      <c r="BF360" s="236">
        <f>BG360-BE360</f>
        <v>62.5</v>
      </c>
      <c r="BG360" s="605">
        <f>BD360</f>
        <v>125</v>
      </c>
      <c r="BH360" s="56">
        <f>BJ360/2</f>
        <v>62.5</v>
      </c>
      <c r="BI360" s="236">
        <f>BJ360-BH360</f>
        <v>62.5</v>
      </c>
      <c r="BJ360" s="605">
        <f t="shared" ref="BJ360" si="928">BG360</f>
        <v>125</v>
      </c>
    </row>
    <row r="361" spans="1:66">
      <c r="A361" s="25" t="s">
        <v>523</v>
      </c>
      <c r="Q361" s="40">
        <f>Q357*Q375</f>
        <v>387.5</v>
      </c>
      <c r="R361" s="40"/>
      <c r="S361" s="630"/>
      <c r="T361" s="653">
        <f>T357*T375</f>
        <v>375</v>
      </c>
      <c r="U361" s="40"/>
      <c r="V361" s="630"/>
      <c r="W361" s="653">
        <f>+T361</f>
        <v>375</v>
      </c>
      <c r="X361" s="40"/>
      <c r="Y361" s="630"/>
      <c r="Z361" s="653">
        <f>W361*1.05</f>
        <v>393.75</v>
      </c>
      <c r="AA361" s="40">
        <f>AC361/2</f>
        <v>150</v>
      </c>
      <c r="AB361" s="630">
        <f>AC361-AA361</f>
        <v>150</v>
      </c>
      <c r="AC361" s="653">
        <v>300</v>
      </c>
      <c r="AD361" s="40">
        <f>AF361/2</f>
        <v>50</v>
      </c>
      <c r="AE361" s="630">
        <f>AF361-AD361</f>
        <v>50</v>
      </c>
      <c r="AF361" s="653">
        <v>100</v>
      </c>
      <c r="AG361" s="40">
        <f>AI361/2</f>
        <v>75</v>
      </c>
      <c r="AH361" s="630">
        <f>AI361-AG361</f>
        <v>75</v>
      </c>
      <c r="AI361" s="653">
        <v>150</v>
      </c>
      <c r="AJ361" s="40">
        <f>AL361/2</f>
        <v>125</v>
      </c>
      <c r="AK361" s="630">
        <f>AL361-AJ361</f>
        <v>125</v>
      </c>
      <c r="AL361" s="653">
        <v>250</v>
      </c>
      <c r="AM361" s="40">
        <f>AO361/2</f>
        <v>137.5</v>
      </c>
      <c r="AN361" s="630">
        <f>AO361-AM361</f>
        <v>137.5</v>
      </c>
      <c r="AO361" s="653">
        <v>275</v>
      </c>
      <c r="AP361" s="40">
        <f>AR361/2</f>
        <v>162.5</v>
      </c>
      <c r="AQ361" s="630">
        <f>AR361-AP361</f>
        <v>162.5</v>
      </c>
      <c r="AR361" s="653">
        <v>325</v>
      </c>
      <c r="AS361" s="40">
        <v>140</v>
      </c>
      <c r="AT361" s="216">
        <f>AU361-AS361</f>
        <v>160</v>
      </c>
      <c r="AU361" s="556">
        <v>300</v>
      </c>
      <c r="AV361" s="10">
        <v>130</v>
      </c>
      <c r="AW361" s="236">
        <f>AX361-AV361</f>
        <v>145</v>
      </c>
      <c r="AX361" s="580">
        <v>275</v>
      </c>
      <c r="AY361" s="56">
        <f>BA361/2</f>
        <v>125</v>
      </c>
      <c r="AZ361" s="236">
        <f>BA361-AY361</f>
        <v>125</v>
      </c>
      <c r="BA361" s="580">
        <v>250</v>
      </c>
      <c r="BB361" s="56">
        <f>BD361/2</f>
        <v>0</v>
      </c>
      <c r="BC361" s="236">
        <f>BD361-BB361</f>
        <v>0</v>
      </c>
      <c r="BD361" s="580">
        <v>0</v>
      </c>
      <c r="BE361" s="56">
        <f>BG361/2</f>
        <v>0</v>
      </c>
      <c r="BF361" s="236">
        <f>BG361-BE361</f>
        <v>0</v>
      </c>
      <c r="BG361" s="580">
        <f>BD361</f>
        <v>0</v>
      </c>
      <c r="BH361" s="56">
        <f>BJ361/2</f>
        <v>0</v>
      </c>
      <c r="BI361" s="236">
        <f>BJ361-BH361</f>
        <v>0</v>
      </c>
      <c r="BJ361" s="580">
        <f t="shared" ref="BJ361" si="929">BG361</f>
        <v>0</v>
      </c>
    </row>
    <row r="362" spans="1:66">
      <c r="A362" s="68" t="s">
        <v>525</v>
      </c>
      <c r="B362" s="68"/>
      <c r="C362" s="68"/>
      <c r="D362" s="68"/>
      <c r="E362" s="68"/>
      <c r="F362" s="68"/>
      <c r="G362" s="68"/>
      <c r="H362" s="68"/>
      <c r="I362" s="68"/>
      <c r="J362" s="68"/>
      <c r="K362" s="68"/>
      <c r="L362" s="68"/>
      <c r="M362" s="68"/>
      <c r="N362" s="68"/>
      <c r="O362" s="68"/>
      <c r="P362" s="68"/>
      <c r="Q362" s="46">
        <f>Q360+Q361</f>
        <v>804.45</v>
      </c>
      <c r="R362" s="46"/>
      <c r="S362" s="643"/>
      <c r="T362" s="667">
        <f>T360+T361</f>
        <v>940.5</v>
      </c>
      <c r="U362" s="46"/>
      <c r="V362" s="643"/>
      <c r="W362" s="667">
        <f>W360+W361</f>
        <v>1002.8096000000002</v>
      </c>
      <c r="X362" s="46"/>
      <c r="Y362" s="643"/>
      <c r="Z362" s="667">
        <f t="shared" ref="Z362:BJ362" si="930">Z360+Z361</f>
        <v>1084.3405600000001</v>
      </c>
      <c r="AA362" s="46">
        <f t="shared" ref="AA362:AO362" si="931">AA358*AA374</f>
        <v>656.37</v>
      </c>
      <c r="AB362" s="643">
        <f t="shared" si="931"/>
        <v>604.35</v>
      </c>
      <c r="AC362" s="667">
        <f t="shared" si="931"/>
        <v>1260.72</v>
      </c>
      <c r="AD362" s="46">
        <f t="shared" si="931"/>
        <v>430.28</v>
      </c>
      <c r="AE362" s="643">
        <f t="shared" si="931"/>
        <v>314.64</v>
      </c>
      <c r="AF362" s="667">
        <f t="shared" si="931"/>
        <v>842.08</v>
      </c>
      <c r="AG362" s="46">
        <f t="shared" si="931"/>
        <v>72.28</v>
      </c>
      <c r="AH362" s="643">
        <f t="shared" si="931"/>
        <v>118.99000000000001</v>
      </c>
      <c r="AI362" s="667">
        <f t="shared" si="931"/>
        <v>188.75</v>
      </c>
      <c r="AJ362" s="46">
        <f t="shared" si="931"/>
        <v>172.5</v>
      </c>
      <c r="AK362" s="643">
        <f t="shared" si="931"/>
        <v>220.5</v>
      </c>
      <c r="AL362" s="667">
        <f t="shared" si="931"/>
        <v>393</v>
      </c>
      <c r="AM362" s="46">
        <f t="shared" si="931"/>
        <v>189</v>
      </c>
      <c r="AN362" s="643">
        <f t="shared" si="931"/>
        <v>249</v>
      </c>
      <c r="AO362" s="667">
        <f t="shared" si="931"/>
        <v>438</v>
      </c>
      <c r="AP362" s="46">
        <f t="shared" ref="AP362:AV362" si="932">AP358*AP374</f>
        <v>242.72</v>
      </c>
      <c r="AQ362" s="643">
        <f t="shared" si="932"/>
        <v>273.8</v>
      </c>
      <c r="AR362" s="667">
        <f t="shared" si="932"/>
        <v>516.52</v>
      </c>
      <c r="AS362" s="46">
        <f t="shared" si="932"/>
        <v>227.51999999999998</v>
      </c>
      <c r="AT362" s="643">
        <f t="shared" si="932"/>
        <v>203.04</v>
      </c>
      <c r="AU362" s="667">
        <f t="shared" si="932"/>
        <v>430.56</v>
      </c>
      <c r="AV362" s="46">
        <f t="shared" si="932"/>
        <v>208.38</v>
      </c>
      <c r="AW362" s="250">
        <f t="shared" ref="AW362" si="933">AW360+AW361</f>
        <v>191.62</v>
      </c>
      <c r="AX362" s="615">
        <f t="shared" si="930"/>
        <v>400</v>
      </c>
      <c r="AY362" s="249">
        <f t="shared" si="930"/>
        <v>187.5</v>
      </c>
      <c r="AZ362" s="250">
        <f t="shared" ref="AZ362" si="934">AZ360+AZ361</f>
        <v>187.5</v>
      </c>
      <c r="BA362" s="615">
        <f t="shared" si="930"/>
        <v>375</v>
      </c>
      <c r="BB362" s="249">
        <f t="shared" si="930"/>
        <v>62.5</v>
      </c>
      <c r="BC362" s="250">
        <f t="shared" ref="BC362" si="935">BC360+BC361</f>
        <v>62.5</v>
      </c>
      <c r="BD362" s="615">
        <f t="shared" si="930"/>
        <v>125</v>
      </c>
      <c r="BE362" s="249">
        <f t="shared" si="930"/>
        <v>62.5</v>
      </c>
      <c r="BF362" s="250">
        <f t="shared" ref="BF362" si="936">BF360+BF361</f>
        <v>62.5</v>
      </c>
      <c r="BG362" s="615">
        <f t="shared" si="930"/>
        <v>125</v>
      </c>
      <c r="BH362" s="249">
        <f t="shared" si="930"/>
        <v>62.5</v>
      </c>
      <c r="BI362" s="250">
        <f t="shared" ref="BI362" si="937">BI360+BI361</f>
        <v>62.5</v>
      </c>
      <c r="BJ362" s="615">
        <f t="shared" si="930"/>
        <v>125</v>
      </c>
    </row>
    <row r="363" spans="1:66">
      <c r="Q363" s="40"/>
      <c r="R363" s="40"/>
      <c r="S363" s="630"/>
      <c r="T363" s="653"/>
      <c r="U363" s="40"/>
      <c r="V363" s="630"/>
      <c r="W363" s="653"/>
      <c r="X363" s="40"/>
      <c r="Y363" s="630"/>
      <c r="Z363" s="653"/>
      <c r="AA363" s="40"/>
      <c r="AB363" s="630"/>
      <c r="AC363" s="653"/>
      <c r="AD363" s="40"/>
      <c r="AE363" s="630"/>
      <c r="AF363" s="653"/>
      <c r="AG363" s="40"/>
      <c r="AH363" s="630"/>
      <c r="AI363" s="653"/>
      <c r="AJ363" s="40"/>
      <c r="AK363" s="630"/>
      <c r="AL363" s="653"/>
      <c r="AM363" s="40"/>
      <c r="AN363" s="539"/>
      <c r="AO363" s="550"/>
      <c r="AP363"/>
      <c r="AQ363" s="539"/>
      <c r="AR363" s="550"/>
      <c r="AS363"/>
      <c r="AT363" s="539"/>
      <c r="AU363" s="550"/>
      <c r="AV363"/>
      <c r="AW363" s="539"/>
      <c r="AX363" s="550"/>
      <c r="AY363"/>
      <c r="AZ363" s="539"/>
      <c r="BA363" s="550"/>
      <c r="BB363"/>
      <c r="BC363" s="539"/>
      <c r="BD363" s="550"/>
      <c r="BE363"/>
      <c r="BF363" s="539"/>
      <c r="BG363" s="550"/>
      <c r="BH363"/>
      <c r="BI363" s="539"/>
      <c r="BJ363" s="550"/>
    </row>
    <row r="364" spans="1:66">
      <c r="A364" s="25" t="s">
        <v>538</v>
      </c>
      <c r="Q364" s="50">
        <v>0.2</v>
      </c>
      <c r="R364" s="50"/>
      <c r="S364" s="647"/>
      <c r="T364" s="671">
        <v>0.2</v>
      </c>
      <c r="U364" s="50"/>
      <c r="V364" s="647"/>
      <c r="W364" s="671">
        <v>0.2</v>
      </c>
      <c r="X364" s="50"/>
      <c r="Y364" s="647"/>
      <c r="Z364" s="671">
        <v>0.2</v>
      </c>
      <c r="AA364" s="952">
        <f>AC364</f>
        <v>0.2</v>
      </c>
      <c r="AB364" s="647">
        <f>AB367/AB356</f>
        <v>0.19999999999999998</v>
      </c>
      <c r="AC364" s="671">
        <v>0.2</v>
      </c>
      <c r="AD364" s="952">
        <f>AF364</f>
        <v>0.2</v>
      </c>
      <c r="AE364" s="647">
        <f>AE367/AE356</f>
        <v>0.20853258961656987</v>
      </c>
      <c r="AF364" s="671">
        <v>0.2</v>
      </c>
      <c r="AG364" s="952">
        <f>AI364</f>
        <v>0.2</v>
      </c>
      <c r="AH364" s="647">
        <f>AH367/AH356</f>
        <v>0.20467883831073094</v>
      </c>
      <c r="AI364" s="671">
        <v>0.2</v>
      </c>
      <c r="AJ364" s="952">
        <f>AL364</f>
        <v>0.2</v>
      </c>
      <c r="AK364" s="647">
        <f>AK367/AK356</f>
        <v>0.19999999999999998</v>
      </c>
      <c r="AL364" s="671">
        <v>0.2</v>
      </c>
      <c r="AM364" s="952">
        <f>AO364</f>
        <v>0.2</v>
      </c>
      <c r="AN364" s="647">
        <f>AN367/AN356</f>
        <v>0.2</v>
      </c>
      <c r="AO364" s="671">
        <v>0.2</v>
      </c>
      <c r="AP364" s="211">
        <f>AR364</f>
        <v>0.2</v>
      </c>
      <c r="AQ364" s="647">
        <f>AQ367/AQ356</f>
        <v>0.19999999999999993</v>
      </c>
      <c r="AR364" s="671">
        <v>0.2</v>
      </c>
      <c r="AS364" s="211">
        <f>AU364</f>
        <v>0.2</v>
      </c>
      <c r="AT364" s="217">
        <f>AT367/AT356</f>
        <v>0.20000000000000021</v>
      </c>
      <c r="AU364" s="554">
        <v>0.2</v>
      </c>
      <c r="AV364" s="211">
        <f>AX364</f>
        <v>0.2</v>
      </c>
      <c r="AW364" s="252">
        <f>AW367/AW356</f>
        <v>0.20000000000000007</v>
      </c>
      <c r="AX364" s="577">
        <f>+AU364</f>
        <v>0.2</v>
      </c>
      <c r="AY364" s="251">
        <f>BA364</f>
        <v>0.2</v>
      </c>
      <c r="AZ364" s="252">
        <f>AZ367/AZ356</f>
        <v>0.19999999999999998</v>
      </c>
      <c r="BA364" s="577">
        <f>+AX364</f>
        <v>0.2</v>
      </c>
      <c r="BB364" s="251">
        <f>BD364</f>
        <v>0.2</v>
      </c>
      <c r="BC364" s="252">
        <f>BC367/BC356</f>
        <v>0.2</v>
      </c>
      <c r="BD364" s="577">
        <f>+BA364</f>
        <v>0.2</v>
      </c>
      <c r="BE364" s="251">
        <f>BG364</f>
        <v>0.2</v>
      </c>
      <c r="BF364" s="252">
        <f>BF367/BF356</f>
        <v>0.2</v>
      </c>
      <c r="BG364" s="577">
        <f>+BD364</f>
        <v>0.2</v>
      </c>
      <c r="BH364" s="251">
        <f>BJ364</f>
        <v>0.2</v>
      </c>
      <c r="BI364" s="252">
        <f>BI367/BI356</f>
        <v>0.2</v>
      </c>
      <c r="BJ364" s="577">
        <f t="shared" ref="BJ364:BJ365" si="938">+BG364</f>
        <v>0.2</v>
      </c>
    </row>
    <row r="365" spans="1:66">
      <c r="A365" s="25" t="s">
        <v>539</v>
      </c>
      <c r="Q365" s="50">
        <v>0.8</v>
      </c>
      <c r="R365" s="50"/>
      <c r="S365" s="647"/>
      <c r="T365" s="671">
        <f>+Q365</f>
        <v>0.8</v>
      </c>
      <c r="U365" s="50"/>
      <c r="V365" s="647"/>
      <c r="W365" s="671">
        <f>+T365</f>
        <v>0.8</v>
      </c>
      <c r="X365" s="50"/>
      <c r="Y365" s="647"/>
      <c r="Z365" s="671">
        <f>+W365</f>
        <v>0.8</v>
      </c>
      <c r="AA365" s="952">
        <f>AC365</f>
        <v>0.8</v>
      </c>
      <c r="AB365" s="647">
        <f>AB368/AB357</f>
        <v>0.80000000000000016</v>
      </c>
      <c r="AC365" s="671">
        <f t="shared" ref="AC365" si="939">+Z365</f>
        <v>0.8</v>
      </c>
      <c r="AD365" s="952">
        <f>AF365</f>
        <v>0.8</v>
      </c>
      <c r="AE365" s="647">
        <f>AE368/AE357</f>
        <v>0.61935483870967734</v>
      </c>
      <c r="AF365" s="671">
        <f>+AC365</f>
        <v>0.8</v>
      </c>
      <c r="AG365" s="952">
        <f>AI365</f>
        <v>0.8</v>
      </c>
      <c r="AH365" s="647">
        <f>AH368/AH357</f>
        <v>0.78902282147791736</v>
      </c>
      <c r="AI365" s="671">
        <f>+AF365</f>
        <v>0.8</v>
      </c>
      <c r="AJ365" s="952">
        <f>AL365</f>
        <v>0.8</v>
      </c>
      <c r="AK365" s="647">
        <f>AK368/AK357</f>
        <v>0.80000000000000016</v>
      </c>
      <c r="AL365" s="671">
        <f>+AI365</f>
        <v>0.8</v>
      </c>
      <c r="AM365" s="952">
        <f>AO365</f>
        <v>0.8</v>
      </c>
      <c r="AN365" s="647">
        <f>AN368/AN357</f>
        <v>0.8</v>
      </c>
      <c r="AO365" s="671">
        <f>+AL365</f>
        <v>0.8</v>
      </c>
      <c r="AP365" s="211">
        <f>AR365</f>
        <v>0.8</v>
      </c>
      <c r="AQ365" s="647">
        <f>AQ368/AQ357</f>
        <v>0.8</v>
      </c>
      <c r="AR365" s="671">
        <f>+AO365</f>
        <v>0.8</v>
      </c>
      <c r="AS365" s="211">
        <f>AU365</f>
        <v>0.8</v>
      </c>
      <c r="AT365" s="217">
        <f>AT368/AT357</f>
        <v>0.8</v>
      </c>
      <c r="AU365" s="554">
        <f>+AR365</f>
        <v>0.8</v>
      </c>
      <c r="AV365" s="211">
        <f>AX365</f>
        <v>0.8</v>
      </c>
      <c r="AW365" s="252">
        <f>AW368/AW357</f>
        <v>0.80000000000000016</v>
      </c>
      <c r="AX365" s="577">
        <f>+AU365</f>
        <v>0.8</v>
      </c>
      <c r="AY365" s="251">
        <f>BA365</f>
        <v>0.8</v>
      </c>
      <c r="AZ365" s="252">
        <f>AZ368/AZ357</f>
        <v>0.79999999999999993</v>
      </c>
      <c r="BA365" s="577">
        <f>+AX365</f>
        <v>0.8</v>
      </c>
      <c r="BB365" s="251">
        <f>BD365</f>
        <v>0.8</v>
      </c>
      <c r="BC365" s="964" t="str">
        <f>IFERROR(BC368/BC357,"NM")</f>
        <v>NM</v>
      </c>
      <c r="BD365" s="577">
        <f>+BA365</f>
        <v>0.8</v>
      </c>
      <c r="BE365" s="251">
        <f>BG365</f>
        <v>0.8</v>
      </c>
      <c r="BF365" s="964" t="str">
        <f>IFERROR(BF368/BF357,"NM")</f>
        <v>NM</v>
      </c>
      <c r="BG365" s="577">
        <f>+BD365</f>
        <v>0.8</v>
      </c>
      <c r="BH365" s="251">
        <f>BJ365</f>
        <v>0.8</v>
      </c>
      <c r="BI365" s="964" t="str">
        <f>IFERROR(BI368/BI357,"NM")</f>
        <v>NM</v>
      </c>
      <c r="BJ365" s="577">
        <f t="shared" si="938"/>
        <v>0.8</v>
      </c>
    </row>
    <row r="366" spans="1:66">
      <c r="Q366" s="40"/>
      <c r="R366" s="40"/>
      <c r="S366" s="630"/>
      <c r="T366" s="653"/>
      <c r="U366" s="40"/>
      <c r="V366" s="630"/>
      <c r="W366" s="653"/>
      <c r="X366" s="40"/>
      <c r="Y366" s="630"/>
      <c r="Z366" s="653"/>
      <c r="AA366" s="40"/>
      <c r="AB366" s="630"/>
      <c r="AC366" s="653"/>
      <c r="AD366" s="40"/>
      <c r="AE366" s="630"/>
      <c r="AF366" s="653"/>
      <c r="AG366" s="40"/>
      <c r="AH366" s="630"/>
      <c r="AI366" s="653"/>
      <c r="AJ366" s="40"/>
      <c r="AK366" s="630"/>
      <c r="AL366" s="653"/>
      <c r="AM366" s="40"/>
      <c r="AN366" s="539"/>
      <c r="AO366" s="550"/>
      <c r="AP366"/>
      <c r="AQ366" s="539"/>
      <c r="AR366" s="550"/>
      <c r="AS366"/>
      <c r="AT366" s="539"/>
      <c r="AU366" s="550"/>
      <c r="AV366"/>
      <c r="AW366" s="539"/>
      <c r="AX366" s="550"/>
      <c r="AY366"/>
      <c r="AZ366" s="539"/>
      <c r="BA366" s="550"/>
      <c r="BB366"/>
      <c r="BC366" s="539"/>
      <c r="BD366" s="550"/>
      <c r="BE366"/>
      <c r="BF366" s="539"/>
      <c r="BG366" s="550"/>
      <c r="BH366"/>
      <c r="BI366" s="539"/>
      <c r="BJ366" s="550"/>
    </row>
    <row r="367" spans="1:66">
      <c r="A367" s="25" t="s">
        <v>522</v>
      </c>
      <c r="Q367" s="40">
        <f t="shared" ref="Q367:BJ368" si="940">Q356*Q364</f>
        <v>53.800000000000004</v>
      </c>
      <c r="R367" s="40"/>
      <c r="S367" s="630"/>
      <c r="T367" s="653">
        <f t="shared" si="940"/>
        <v>75.400000000000006</v>
      </c>
      <c r="U367" s="40"/>
      <c r="V367" s="630"/>
      <c r="W367" s="653">
        <f t="shared" si="940"/>
        <v>88.773981900452497</v>
      </c>
      <c r="X367" s="40"/>
      <c r="Y367" s="630"/>
      <c r="Z367" s="653">
        <f t="shared" si="940"/>
        <v>96.082164869565247</v>
      </c>
      <c r="AA367" s="40">
        <f t="shared" si="940"/>
        <v>66.192156862745094</v>
      </c>
      <c r="AB367" s="630">
        <f>AC367-AA367</f>
        <v>59.392156862745097</v>
      </c>
      <c r="AC367" s="653">
        <f t="shared" si="940"/>
        <v>125.58431372549019</v>
      </c>
      <c r="AD367" s="40">
        <f t="shared" si="940"/>
        <v>61.335483870967735</v>
      </c>
      <c r="AE367" s="630">
        <f>AF367-AD367</f>
        <v>36.306621392190166</v>
      </c>
      <c r="AF367" s="653">
        <f>AF356*AF364</f>
        <v>97.642105263157902</v>
      </c>
      <c r="AG367" s="40">
        <f t="shared" ref="AG367" si="941">AG356*AG364</f>
        <v>-0.39136690647482003</v>
      </c>
      <c r="AH367" s="630">
        <f>AI367-AG367</f>
        <v>5.5238172376006478</v>
      </c>
      <c r="AI367" s="653">
        <f t="shared" si="940"/>
        <v>5.1324503311258276</v>
      </c>
      <c r="AJ367" s="40">
        <f t="shared" si="940"/>
        <v>6.3333333333333339</v>
      </c>
      <c r="AK367" s="630">
        <f>AL367-AJ367</f>
        <v>12.733333333333333</v>
      </c>
      <c r="AL367" s="653">
        <f t="shared" si="940"/>
        <v>19.066666666666666</v>
      </c>
      <c r="AM367" s="40">
        <f t="shared" ref="AM367" si="942">AM356*AM364</f>
        <v>6.8666666666666671</v>
      </c>
      <c r="AN367" s="630">
        <f>AO367-AM367</f>
        <v>14.866666666666667</v>
      </c>
      <c r="AO367" s="653">
        <f t="shared" ref="AO367:AP368" si="943">AO356*AO364</f>
        <v>21.733333333333334</v>
      </c>
      <c r="AP367" s="40">
        <f t="shared" si="943"/>
        <v>10.840540540540541</v>
      </c>
      <c r="AQ367" s="630">
        <f>AR367-AP367</f>
        <v>15.040540540540537</v>
      </c>
      <c r="AR367" s="653">
        <f t="shared" ref="AR367:AS368" si="944">AR356*AR364</f>
        <v>25.881081081081078</v>
      </c>
      <c r="AS367" s="40">
        <f t="shared" si="944"/>
        <v>12.155555555555553</v>
      </c>
      <c r="AT367" s="216">
        <f>AU367-AS367</f>
        <v>5.9777777777777832</v>
      </c>
      <c r="AU367" s="556">
        <f t="shared" si="940"/>
        <v>18.133333333333336</v>
      </c>
      <c r="AV367" s="10">
        <f t="shared" si="940"/>
        <v>11.359420289855073</v>
      </c>
      <c r="AW367" s="236">
        <f>AX367-AV367</f>
        <v>6.756521739130438</v>
      </c>
      <c r="AX367" s="605">
        <f t="shared" si="940"/>
        <v>18.115942028985511</v>
      </c>
      <c r="AY367" s="56">
        <f t="shared" si="940"/>
        <v>9.2592592592592577</v>
      </c>
      <c r="AZ367" s="236">
        <f>BA367-AY367</f>
        <v>9.2592592592592577</v>
      </c>
      <c r="BA367" s="605">
        <f t="shared" si="940"/>
        <v>18.518518518518515</v>
      </c>
      <c r="BB367" s="56">
        <f t="shared" si="940"/>
        <v>9.4696969696969688</v>
      </c>
      <c r="BC367" s="236">
        <f>BD367-BB367</f>
        <v>9.4696969696969688</v>
      </c>
      <c r="BD367" s="605">
        <f t="shared" si="940"/>
        <v>18.939393939393938</v>
      </c>
      <c r="BE367" s="56">
        <f t="shared" si="940"/>
        <v>9.4696969696969688</v>
      </c>
      <c r="BF367" s="236">
        <f>BG367-BE367</f>
        <v>9.4696969696969688</v>
      </c>
      <c r="BG367" s="605">
        <f t="shared" si="940"/>
        <v>18.939393939393938</v>
      </c>
      <c r="BH367" s="56">
        <f t="shared" si="940"/>
        <v>9.4696969696969688</v>
      </c>
      <c r="BI367" s="236">
        <f>BJ367-BH367</f>
        <v>9.4696969696969688</v>
      </c>
      <c r="BJ367" s="605">
        <f t="shared" si="940"/>
        <v>18.939393939393938</v>
      </c>
    </row>
    <row r="368" spans="1:66">
      <c r="A368" s="25" t="s">
        <v>523</v>
      </c>
      <c r="Q368" s="40">
        <f t="shared" si="940"/>
        <v>200</v>
      </c>
      <c r="R368" s="40"/>
      <c r="S368" s="630"/>
      <c r="T368" s="653">
        <f t="shared" si="940"/>
        <v>200</v>
      </c>
      <c r="U368" s="40"/>
      <c r="V368" s="630"/>
      <c r="W368" s="653">
        <f t="shared" si="940"/>
        <v>212.10407239819003</v>
      </c>
      <c r="X368" s="40"/>
      <c r="Y368" s="630"/>
      <c r="Z368" s="653">
        <f t="shared" si="940"/>
        <v>219.13043478260872</v>
      </c>
      <c r="AA368" s="40">
        <f t="shared" si="940"/>
        <v>78.431372549019613</v>
      </c>
      <c r="AB368" s="630">
        <f>AC368-AA368</f>
        <v>78.431372549019613</v>
      </c>
      <c r="AC368" s="653">
        <f t="shared" si="940"/>
        <v>156.86274509803923</v>
      </c>
      <c r="AD368" s="40">
        <f t="shared" si="940"/>
        <v>32.258064516129032</v>
      </c>
      <c r="AE368" s="630">
        <f>AF368-AD368</f>
        <v>20.373514431239386</v>
      </c>
      <c r="AF368" s="653">
        <f>AF357*AF365</f>
        <v>52.631578947368418</v>
      </c>
      <c r="AG368" s="40">
        <f t="shared" ref="AG368" si="945">AG357*AG365</f>
        <v>43.165467625899282</v>
      </c>
      <c r="AH368" s="630">
        <f>AI368-AG368</f>
        <v>36.304731049597422</v>
      </c>
      <c r="AI368" s="653">
        <f t="shared" si="940"/>
        <v>79.470198675496704</v>
      </c>
      <c r="AJ368" s="40">
        <f t="shared" si="940"/>
        <v>66.666666666666671</v>
      </c>
      <c r="AK368" s="630">
        <f>AL368-AJ368</f>
        <v>66.666666666666671</v>
      </c>
      <c r="AL368" s="653">
        <f t="shared" si="940"/>
        <v>133.33333333333334</v>
      </c>
      <c r="AM368" s="40">
        <f t="shared" ref="AM368" si="946">AM357*AM365</f>
        <v>73.333333333333343</v>
      </c>
      <c r="AN368" s="630">
        <f>AO368-AM368</f>
        <v>73.333333333333343</v>
      </c>
      <c r="AO368" s="653">
        <f t="shared" ref="AO368" si="947">AO357*AO365</f>
        <v>146.66666666666669</v>
      </c>
      <c r="AP368" s="40">
        <f t="shared" si="943"/>
        <v>87.837837837837853</v>
      </c>
      <c r="AQ368" s="630">
        <f>AR368-AP368</f>
        <v>87.837837837837853</v>
      </c>
      <c r="AR368" s="653">
        <f t="shared" si="944"/>
        <v>175.67567567567571</v>
      </c>
      <c r="AS368" s="40">
        <f t="shared" si="944"/>
        <v>77.777777777777786</v>
      </c>
      <c r="AT368" s="216">
        <f>AU368-AS368</f>
        <v>88.8888888888889</v>
      </c>
      <c r="AU368" s="556">
        <f t="shared" si="940"/>
        <v>166.66666666666669</v>
      </c>
      <c r="AV368" s="10">
        <f t="shared" si="940"/>
        <v>75.362318840579718</v>
      </c>
      <c r="AW368" s="236">
        <f>AX368-AV368</f>
        <v>84.057971014492779</v>
      </c>
      <c r="AX368" s="605">
        <f>AX357*AX365</f>
        <v>159.4202898550725</v>
      </c>
      <c r="AY368" s="56">
        <f t="shared" si="940"/>
        <v>74.074074074074062</v>
      </c>
      <c r="AZ368" s="236">
        <f>BA368-AY368</f>
        <v>74.074074074074062</v>
      </c>
      <c r="BA368" s="605">
        <f t="shared" si="940"/>
        <v>148.14814814814812</v>
      </c>
      <c r="BB368" s="56">
        <f t="shared" si="940"/>
        <v>0</v>
      </c>
      <c r="BC368" s="236">
        <f>BD368-BB368</f>
        <v>0</v>
      </c>
      <c r="BD368" s="605">
        <f t="shared" si="940"/>
        <v>0</v>
      </c>
      <c r="BE368" s="56">
        <f t="shared" si="940"/>
        <v>0</v>
      </c>
      <c r="BF368" s="236">
        <f>BG368-BE368</f>
        <v>0</v>
      </c>
      <c r="BG368" s="605">
        <f t="shared" si="940"/>
        <v>0</v>
      </c>
      <c r="BH368" s="56">
        <f t="shared" si="940"/>
        <v>0</v>
      </c>
      <c r="BI368" s="236">
        <f>BJ368-BH368</f>
        <v>0</v>
      </c>
      <c r="BJ368" s="605">
        <f t="shared" si="940"/>
        <v>0</v>
      </c>
    </row>
    <row r="369" spans="1:68">
      <c r="A369" s="68" t="s">
        <v>764</v>
      </c>
      <c r="B369" s="78"/>
      <c r="C369" s="78"/>
      <c r="D369" s="78"/>
      <c r="E369" s="78"/>
      <c r="F369" s="78"/>
      <c r="G369" s="78"/>
      <c r="H369" s="78"/>
      <c r="I369" s="78"/>
      <c r="J369" s="78"/>
      <c r="K369" s="78"/>
      <c r="L369" s="78"/>
      <c r="M369" s="78"/>
      <c r="N369" s="78"/>
      <c r="O369" s="78"/>
      <c r="P369" s="78"/>
      <c r="Q369" s="46">
        <f t="shared" ref="Q369:BJ369" si="948">Q367+Q368</f>
        <v>253.8</v>
      </c>
      <c r="R369" s="46"/>
      <c r="S369" s="643"/>
      <c r="T369" s="667">
        <f t="shared" si="948"/>
        <v>275.39999999999998</v>
      </c>
      <c r="U369" s="46"/>
      <c r="V369" s="643"/>
      <c r="W369" s="667">
        <f t="shared" si="948"/>
        <v>300.8780542986425</v>
      </c>
      <c r="X369" s="46"/>
      <c r="Y369" s="643"/>
      <c r="Z369" s="667">
        <f>Z367+Z368</f>
        <v>315.21259965217394</v>
      </c>
      <c r="AA369" s="46">
        <f t="shared" ref="AA369:AB369" si="949">AA367+AA368</f>
        <v>144.62352941176471</v>
      </c>
      <c r="AB369" s="643">
        <f t="shared" si="949"/>
        <v>137.8235294117647</v>
      </c>
      <c r="AC369" s="667">
        <f t="shared" si="948"/>
        <v>282.4470588235294</v>
      </c>
      <c r="AD369" s="46">
        <f t="shared" si="948"/>
        <v>93.593548387096774</v>
      </c>
      <c r="AE369" s="643">
        <f t="shared" si="948"/>
        <v>56.680135823429552</v>
      </c>
      <c r="AF369" s="667">
        <f t="shared" si="948"/>
        <v>150.27368421052631</v>
      </c>
      <c r="AG369" s="46">
        <f t="shared" ref="AG369:AH369" si="950">AG367+AG368</f>
        <v>42.77410071942446</v>
      </c>
      <c r="AH369" s="643">
        <f t="shared" si="950"/>
        <v>41.828548287198068</v>
      </c>
      <c r="AI369" s="667">
        <f t="shared" si="948"/>
        <v>84.602649006622528</v>
      </c>
      <c r="AJ369" s="46">
        <f t="shared" si="948"/>
        <v>73</v>
      </c>
      <c r="AK369" s="643">
        <f t="shared" si="948"/>
        <v>79.400000000000006</v>
      </c>
      <c r="AL369" s="667">
        <f t="shared" si="948"/>
        <v>152.4</v>
      </c>
      <c r="AM369" s="46">
        <f t="shared" ref="AM369:AO369" si="951">AM367+AM368</f>
        <v>80.200000000000017</v>
      </c>
      <c r="AN369" s="643">
        <f t="shared" si="951"/>
        <v>88.200000000000017</v>
      </c>
      <c r="AO369" s="667">
        <f t="shared" si="951"/>
        <v>168.40000000000003</v>
      </c>
      <c r="AP369" s="46">
        <f t="shared" ref="AP369:AR369" si="952">AP367+AP368</f>
        <v>98.678378378378397</v>
      </c>
      <c r="AQ369" s="643">
        <f t="shared" si="952"/>
        <v>102.87837837837839</v>
      </c>
      <c r="AR369" s="667">
        <f t="shared" si="952"/>
        <v>201.55675675675678</v>
      </c>
      <c r="AS369" s="46">
        <f t="shared" ref="AS369" si="953">AS367+AS368</f>
        <v>89.933333333333337</v>
      </c>
      <c r="AT369" s="232">
        <f t="shared" ref="AT369" si="954">AT367+AT368</f>
        <v>94.866666666666688</v>
      </c>
      <c r="AU369" s="552">
        <f t="shared" si="948"/>
        <v>184.8</v>
      </c>
      <c r="AV369" s="184">
        <f t="shared" si="948"/>
        <v>86.721739130434798</v>
      </c>
      <c r="AW369" s="250">
        <f t="shared" ref="AW369" si="955">AW367+AW368</f>
        <v>90.814492753623213</v>
      </c>
      <c r="AX369" s="615">
        <f t="shared" si="948"/>
        <v>177.536231884058</v>
      </c>
      <c r="AY369" s="249">
        <f t="shared" si="948"/>
        <v>83.333333333333314</v>
      </c>
      <c r="AZ369" s="250">
        <f t="shared" ref="AZ369" si="956">AZ367+AZ368</f>
        <v>83.333333333333314</v>
      </c>
      <c r="BA369" s="615">
        <f t="shared" si="948"/>
        <v>166.66666666666663</v>
      </c>
      <c r="BB369" s="249">
        <f t="shared" si="948"/>
        <v>9.4696969696969688</v>
      </c>
      <c r="BC369" s="250">
        <f t="shared" ref="BC369" si="957">BC367+BC368</f>
        <v>9.4696969696969688</v>
      </c>
      <c r="BD369" s="615">
        <f t="shared" si="948"/>
        <v>18.939393939393938</v>
      </c>
      <c r="BE369" s="249">
        <f t="shared" si="948"/>
        <v>9.4696969696969688</v>
      </c>
      <c r="BF369" s="250">
        <f t="shared" ref="BF369" si="958">BF367+BF368</f>
        <v>9.4696969696969688</v>
      </c>
      <c r="BG369" s="615">
        <f t="shared" si="948"/>
        <v>18.939393939393938</v>
      </c>
      <c r="BH369" s="249">
        <f t="shared" si="948"/>
        <v>9.4696969696969688</v>
      </c>
      <c r="BI369" s="250">
        <f t="shared" ref="BI369" si="959">BI367+BI368</f>
        <v>9.4696969696969688</v>
      </c>
      <c r="BJ369" s="615">
        <f t="shared" si="948"/>
        <v>18.939393939393938</v>
      </c>
    </row>
    <row r="370" spans="1:68">
      <c r="S370" s="595"/>
      <c r="T370" s="619"/>
      <c r="V370" s="595"/>
      <c r="W370" s="619"/>
      <c r="Y370" s="595"/>
      <c r="Z370" s="619"/>
      <c r="AB370" s="595"/>
      <c r="AC370" s="619"/>
      <c r="AE370" s="595"/>
      <c r="AF370" s="619"/>
      <c r="AH370" s="595"/>
      <c r="AI370" s="619"/>
      <c r="AK370" s="595"/>
      <c r="AL370" s="619"/>
      <c r="AN370" s="539"/>
      <c r="AO370" s="550"/>
      <c r="AP370"/>
      <c r="AQ370" s="539"/>
      <c r="AR370" s="550"/>
      <c r="AS370"/>
      <c r="AT370" s="539"/>
      <c r="AU370" s="550"/>
      <c r="AV370"/>
      <c r="AW370" s="539"/>
      <c r="AX370" s="550"/>
      <c r="AY370"/>
      <c r="AZ370" s="539"/>
      <c r="BA370" s="550"/>
      <c r="BB370"/>
      <c r="BC370" s="539"/>
      <c r="BD370" s="550"/>
      <c r="BE370"/>
      <c r="BF370" s="539"/>
      <c r="BG370" s="550"/>
      <c r="BH370"/>
      <c r="BI370" s="539"/>
      <c r="BJ370" s="550"/>
    </row>
    <row r="371" spans="1:68">
      <c r="S371" s="595"/>
      <c r="T371" s="619"/>
      <c r="V371" s="595"/>
      <c r="W371" s="619"/>
      <c r="Y371" s="595"/>
      <c r="Z371" s="619"/>
      <c r="AB371" s="595"/>
      <c r="AC371" s="619"/>
      <c r="AE371" s="595"/>
      <c r="AF371" s="619"/>
      <c r="AH371" s="595"/>
      <c r="AI371" s="619"/>
      <c r="AK371" s="595"/>
      <c r="AL371" s="619"/>
      <c r="AN371" s="539"/>
      <c r="AO371" s="550"/>
      <c r="AP371"/>
      <c r="AQ371" s="539"/>
      <c r="AR371" s="550"/>
      <c r="AS371"/>
      <c r="AT371" s="539"/>
      <c r="AU371" s="550"/>
      <c r="AV371"/>
      <c r="AW371" s="539"/>
      <c r="AX371" s="550"/>
      <c r="AY371"/>
      <c r="AZ371" s="539"/>
      <c r="BA371" s="550"/>
      <c r="BB371"/>
      <c r="BC371" s="539"/>
      <c r="BD371" s="550"/>
      <c r="BE371"/>
      <c r="BF371" s="539"/>
      <c r="BG371" s="550"/>
      <c r="BH371"/>
      <c r="BI371" s="539"/>
      <c r="BJ371" s="550"/>
    </row>
    <row r="372" spans="1:68" ht="11.4">
      <c r="A372" s="310" t="s">
        <v>244</v>
      </c>
      <c r="B372" s="311"/>
      <c r="C372" s="311"/>
      <c r="D372" s="311"/>
      <c r="E372" s="311"/>
      <c r="F372" s="311"/>
      <c r="G372" s="311"/>
      <c r="H372" s="311"/>
      <c r="I372" s="311"/>
      <c r="J372" s="311"/>
      <c r="K372" s="311"/>
      <c r="L372" s="311"/>
      <c r="M372" s="311"/>
      <c r="N372" s="311"/>
      <c r="O372" s="311"/>
      <c r="P372" s="311"/>
      <c r="Q372" s="311"/>
      <c r="R372" s="525"/>
      <c r="S372" s="317"/>
      <c r="T372" s="551"/>
      <c r="U372" s="525"/>
      <c r="V372" s="317"/>
      <c r="W372" s="551"/>
      <c r="X372" s="525"/>
      <c r="Y372" s="317"/>
      <c r="Z372" s="551"/>
      <c r="AA372" s="525"/>
      <c r="AB372" s="317"/>
      <c r="AC372" s="551"/>
      <c r="AD372" s="525"/>
      <c r="AE372" s="317"/>
      <c r="AF372" s="551"/>
      <c r="AG372" s="525"/>
      <c r="AH372" s="317"/>
      <c r="AI372" s="551"/>
      <c r="AJ372" s="525"/>
      <c r="AK372" s="317"/>
      <c r="AL372" s="551"/>
      <c r="AM372" s="525"/>
      <c r="AN372" s="317"/>
      <c r="AO372" s="551"/>
      <c r="AP372" s="525"/>
      <c r="AQ372" s="317"/>
      <c r="AR372" s="551"/>
      <c r="AS372" s="525"/>
      <c r="AT372" s="317"/>
      <c r="AU372" s="551"/>
      <c r="AV372" s="525"/>
      <c r="AW372" s="814"/>
      <c r="AX372" s="846"/>
      <c r="AY372" s="536"/>
      <c r="AZ372" s="814"/>
      <c r="BA372" s="846"/>
      <c r="BB372" s="536"/>
      <c r="BC372" s="814"/>
      <c r="BD372" s="846"/>
      <c r="BE372" s="536"/>
      <c r="BF372" s="814"/>
      <c r="BG372" s="846"/>
      <c r="BH372" s="536"/>
      <c r="BI372" s="814"/>
      <c r="BJ372" s="846"/>
      <c r="BL372" s="438"/>
      <c r="BM372" s="107"/>
    </row>
    <row r="373" spans="1:68">
      <c r="A373" s="128" t="str">
        <f>+'Civil OE'!A67</f>
        <v>Spot FX (GBP:USD)</v>
      </c>
      <c r="B373" s="23">
        <f>+'Civil OE'!B67</f>
        <v>0</v>
      </c>
      <c r="C373" s="23">
        <f>+'Civil OE'!C67</f>
        <v>0</v>
      </c>
      <c r="D373" s="23">
        <f>+'Civil OE'!D67</f>
        <v>0</v>
      </c>
      <c r="E373" s="23">
        <f>+'Civil OE'!E67</f>
        <v>0</v>
      </c>
      <c r="F373" s="23">
        <f>+'Civil OE'!F67</f>
        <v>0</v>
      </c>
      <c r="G373" s="23">
        <f>+'Civil OE'!G67</f>
        <v>1.7759375000000002</v>
      </c>
      <c r="H373" s="23">
        <f>+'Civil OE'!H67</f>
        <v>1.9213650000000002</v>
      </c>
      <c r="I373" s="23">
        <f>+'Civil OE'!I67</f>
        <v>2.0054799999999999</v>
      </c>
      <c r="J373" s="23">
        <f>+'Civil OE'!J67</f>
        <v>1.641005</v>
      </c>
      <c r="K373" s="23">
        <f>+'Civil OE'!K67</f>
        <v>1.5957325</v>
      </c>
      <c r="L373" s="23">
        <f>+'Civil OE'!L67</f>
        <v>1.5782</v>
      </c>
      <c r="M373" s="23">
        <f>+'Civil OE'!M67</f>
        <v>1.5893675000000003</v>
      </c>
      <c r="N373" s="23">
        <f>+'Civil OE'!N67</f>
        <v>1.5695025</v>
      </c>
      <c r="O373" s="23">
        <f>+'Civil OE'!O67</f>
        <v>1.56</v>
      </c>
      <c r="P373" s="23">
        <f>+'Civil OE'!P67</f>
        <v>1.65</v>
      </c>
      <c r="Q373" s="23">
        <f>+'Civil OE'!Q67</f>
        <v>1.53</v>
      </c>
      <c r="R373" s="23">
        <f>+'Civil OE'!R67</f>
        <v>1.2599650000000002</v>
      </c>
      <c r="S373" s="875">
        <f>+'Civil OE'!S67</f>
        <v>1.3252450000000002</v>
      </c>
      <c r="T373" s="899">
        <f>+'Civil OE'!T67</f>
        <v>1.36</v>
      </c>
      <c r="U373" s="23">
        <f>+'Civil OE'!U67</f>
        <v>1.2599650000000002</v>
      </c>
      <c r="V373" s="875">
        <f>+'Civil OE'!V67</f>
        <v>1.3252450000000002</v>
      </c>
      <c r="W373" s="899">
        <f>+'Civil OE'!W67</f>
        <v>1.2887999999999999</v>
      </c>
      <c r="X373" s="23">
        <f>+'Civil OE'!X67</f>
        <v>1.37</v>
      </c>
      <c r="Y373" s="875">
        <f>+'Civil OE'!Y67</f>
        <v>1.33</v>
      </c>
      <c r="Z373" s="899">
        <f>+'Civil OE'!Z67</f>
        <v>1.335</v>
      </c>
      <c r="AA373" s="23">
        <f>+'Civil OE'!AA67</f>
        <v>1.29</v>
      </c>
      <c r="AB373" s="875">
        <f>+'Civil OE'!AB67</f>
        <v>1.3</v>
      </c>
      <c r="AC373" s="899">
        <f>+'Civil OE'!AC67</f>
        <v>1.2766</v>
      </c>
      <c r="AD373" s="23">
        <f>+'Civil OE'!AD67</f>
        <v>1.26</v>
      </c>
      <c r="AE373" s="875">
        <f>+'Civil OE'!AE67</f>
        <v>1.3</v>
      </c>
      <c r="AF373" s="899">
        <f>+'Civil OE'!AF67</f>
        <v>1.2837000000000001</v>
      </c>
      <c r="AG373" s="23">
        <f>+'Civil OE'!AG67</f>
        <v>1.4</v>
      </c>
      <c r="AH373" s="875">
        <f>+'Civil OE'!AH67</f>
        <v>1.3513999999999999</v>
      </c>
      <c r="AI373" s="899">
        <f>+'Civil OE'!AI67</f>
        <v>1.3756999999999999</v>
      </c>
      <c r="AJ373" s="23">
        <f>+'Civil OE'!AJ67</f>
        <v>1.31</v>
      </c>
      <c r="AK373" s="875">
        <f>+'Civil OE'!AK67</f>
        <v>1.1623999999999999</v>
      </c>
      <c r="AL373" s="899">
        <f>+'Civil OE'!AL67</f>
        <v>1.2362</v>
      </c>
      <c r="AM373" s="23">
        <f>+'Civil OE'!AM67</f>
        <v>1.23</v>
      </c>
      <c r="AN373" s="231">
        <f>+'Civil OE'!AN67</f>
        <v>1.25</v>
      </c>
      <c r="AO373" s="1000">
        <f>+'Civil OE'!AO67</f>
        <v>1.24</v>
      </c>
      <c r="AP373" s="23">
        <f>+'Civil OE'!AP67</f>
        <v>1.27</v>
      </c>
      <c r="AQ373" s="231">
        <f>+'Civil OE'!AQ67</f>
        <v>1.2879999999999998</v>
      </c>
      <c r="AR373" s="1000">
        <f>+'Civil OE'!AR67</f>
        <v>1.2789999999999999</v>
      </c>
      <c r="AS373" s="23">
        <f>+'Civil OE'!AS67</f>
        <v>1.3</v>
      </c>
      <c r="AT373" s="231">
        <f>+'Civil OE'!AT67</f>
        <v>1.34</v>
      </c>
      <c r="AU373" s="1000">
        <f>+'Civil OE'!AU67</f>
        <v>1.32</v>
      </c>
      <c r="AV373" s="223">
        <f>+'Civil OE'!AV67</f>
        <v>1.35</v>
      </c>
      <c r="AW373" s="238">
        <f>+'Civil OE'!AW67</f>
        <v>1.33</v>
      </c>
      <c r="AX373" s="613">
        <f>+'Civil OE'!AX67</f>
        <v>1.34</v>
      </c>
      <c r="AY373" s="180">
        <f>+'Civil OE'!AY67</f>
        <v>1.34</v>
      </c>
      <c r="AZ373" s="238">
        <f>+'Civil OE'!AZ67</f>
        <v>1.34</v>
      </c>
      <c r="BA373" s="613">
        <f>+'Civil OE'!BA67</f>
        <v>1.34</v>
      </c>
      <c r="BB373" s="180">
        <f>+'Civil OE'!BB67</f>
        <v>1.34</v>
      </c>
      <c r="BC373" s="238">
        <f>+'Civil OE'!BC67</f>
        <v>1.34</v>
      </c>
      <c r="BD373" s="613">
        <f>+'Civil OE'!BD67</f>
        <v>1.34</v>
      </c>
      <c r="BE373" s="180">
        <f>+'Civil OE'!BE67</f>
        <v>1.34</v>
      </c>
      <c r="BF373" s="238">
        <f>+'Civil OE'!BF67</f>
        <v>1.34</v>
      </c>
      <c r="BG373" s="613">
        <f>+'Civil OE'!BG67</f>
        <v>1.34</v>
      </c>
      <c r="BH373" s="180">
        <f>+'Civil OE'!BH67</f>
        <v>1.34</v>
      </c>
      <c r="BI373" s="238">
        <f>+'Civil OE'!BI67</f>
        <v>1.34</v>
      </c>
      <c r="BJ373" s="613">
        <f>+'Civil OE'!BJ67</f>
        <v>1.34</v>
      </c>
      <c r="BL373"/>
    </row>
    <row r="374" spans="1:68">
      <c r="A374" s="128" t="str">
        <f>+'Civil OE'!A68</f>
        <v>Blended / conversion rate FX (GBP:USD)</v>
      </c>
      <c r="B374" s="23">
        <f>+'Civil OE'!B68</f>
        <v>0</v>
      </c>
      <c r="C374" s="23">
        <f>+'Civil OE'!C68</f>
        <v>0</v>
      </c>
      <c r="D374" s="23">
        <f>+'Civil OE'!D68</f>
        <v>0</v>
      </c>
      <c r="E374" s="23">
        <f>+'Civil OE'!E68</f>
        <v>0</v>
      </c>
      <c r="F374" s="23">
        <f>+'Civil OE'!F68</f>
        <v>0</v>
      </c>
      <c r="G374" s="23">
        <f>+'Civil OE'!G68</f>
        <v>0</v>
      </c>
      <c r="H374" s="23">
        <f>+'Civil OE'!H68</f>
        <v>0</v>
      </c>
      <c r="I374" s="23">
        <f>+'Civil OE'!I68</f>
        <v>0</v>
      </c>
      <c r="J374" s="23">
        <f>+'Civil OE'!J68</f>
        <v>0</v>
      </c>
      <c r="K374" s="23">
        <f>+'Civil OE'!K68</f>
        <v>0</v>
      </c>
      <c r="L374" s="23">
        <f>+'Civil OE'!L68</f>
        <v>0</v>
      </c>
      <c r="M374" s="23">
        <f>+'Civil OE'!M68</f>
        <v>0</v>
      </c>
      <c r="N374" s="23">
        <f>+'Civil OE'!N68</f>
        <v>0</v>
      </c>
      <c r="O374" s="23">
        <f>+'Civil OE'!O68</f>
        <v>0</v>
      </c>
      <c r="P374" s="23">
        <f>+'Civil OE'!P68</f>
        <v>1.6</v>
      </c>
      <c r="Q374" s="23">
        <f>+'Civil OE'!Q68</f>
        <v>1.57</v>
      </c>
      <c r="R374" s="23">
        <f>+'Civil OE'!R68</f>
        <v>1.55</v>
      </c>
      <c r="S374" s="875">
        <f>+'Civil OE'!S68</f>
        <v>1.55</v>
      </c>
      <c r="T374" s="899">
        <f>+'Civil OE'!T68</f>
        <v>1.5449999999999999</v>
      </c>
      <c r="U374" s="23">
        <f>+'Civil OE'!U68</f>
        <v>1.55</v>
      </c>
      <c r="V374" s="875">
        <f>+'Civil OE'!V68</f>
        <v>1.55</v>
      </c>
      <c r="W374" s="899">
        <f>+'Civil OE'!W68</f>
        <v>1.54</v>
      </c>
      <c r="X374" s="23">
        <f>+'Civil OE'!X68</f>
        <v>1.55</v>
      </c>
      <c r="Y374" s="875">
        <f>+'Civil OE'!Y68</f>
        <v>1.55</v>
      </c>
      <c r="Z374" s="899">
        <f>+'Civil OE'!Z68</f>
        <v>1.54</v>
      </c>
      <c r="AA374" s="23">
        <f>+'Civil OE'!AA68</f>
        <v>1.53</v>
      </c>
      <c r="AB374" s="875">
        <f>+'Civil OE'!AB68</f>
        <v>1.53</v>
      </c>
      <c r="AC374" s="899">
        <f>+'Civil OE'!AC68</f>
        <v>1.53</v>
      </c>
      <c r="AD374" s="23">
        <f>+'Civil OE'!AD68</f>
        <v>1.24</v>
      </c>
      <c r="AE374" s="875">
        <f>+'Civil OE'!AE68</f>
        <v>1.52</v>
      </c>
      <c r="AF374" s="899">
        <f>+'Civil OE'!AF68</f>
        <v>1.52</v>
      </c>
      <c r="AG374" s="23">
        <f>+'Civil OE'!AG68</f>
        <v>1.39</v>
      </c>
      <c r="AH374" s="875">
        <f>+'Civil OE'!AH68</f>
        <v>1.6300000000000001</v>
      </c>
      <c r="AI374" s="899">
        <f>+'Civil OE'!AI68</f>
        <v>1.51</v>
      </c>
      <c r="AJ374" s="23">
        <f>+'Civil OE'!AJ68</f>
        <v>1.5</v>
      </c>
      <c r="AK374" s="875">
        <f>+'Civil OE'!AK68</f>
        <v>1.5</v>
      </c>
      <c r="AL374" s="899">
        <f>+'Civil OE'!AL68</f>
        <v>1.5</v>
      </c>
      <c r="AM374" s="23">
        <f>+'Civil OE'!AM68</f>
        <v>1.5</v>
      </c>
      <c r="AN374" s="231">
        <f>+'Civil OE'!AN68</f>
        <v>1.5</v>
      </c>
      <c r="AO374" s="1000">
        <f>+'Civil OE'!AO68</f>
        <v>1.5</v>
      </c>
      <c r="AP374" s="23">
        <f>+'Civil OE'!AP68</f>
        <v>1.48</v>
      </c>
      <c r="AQ374" s="231">
        <f>+'Civil OE'!AQ68</f>
        <v>1.48</v>
      </c>
      <c r="AR374" s="1000">
        <f>+'Civil OE'!AR68</f>
        <v>1.48</v>
      </c>
      <c r="AS374" s="23">
        <f>+'Civil OE'!AS68</f>
        <v>1.44</v>
      </c>
      <c r="AT374" s="231">
        <f>+'Civil OE'!AT68</f>
        <v>1.44</v>
      </c>
      <c r="AU374" s="1000">
        <f>+'Civil OE'!AU68</f>
        <v>1.44</v>
      </c>
      <c r="AV374" s="223">
        <f>+'Civil OE'!AV68</f>
        <v>1.38</v>
      </c>
      <c r="AW374" s="238">
        <f>+'Civil OE'!AW68</f>
        <v>1.38</v>
      </c>
      <c r="AX374" s="613">
        <f>+'Civil OE'!AX68</f>
        <v>1.38</v>
      </c>
      <c r="AY374" s="180">
        <f>+'Civil OE'!AY68</f>
        <v>1.35</v>
      </c>
      <c r="AZ374" s="238">
        <f>+'Civil OE'!AZ68</f>
        <v>1.35</v>
      </c>
      <c r="BA374" s="613">
        <f>+'Civil OE'!BA68</f>
        <v>1.35</v>
      </c>
      <c r="BB374" s="180">
        <f>+'Civil OE'!BB68</f>
        <v>1.32</v>
      </c>
      <c r="BC374" s="238">
        <f>+'Civil OE'!BC68</f>
        <v>1.32</v>
      </c>
      <c r="BD374" s="613">
        <f>+'Civil OE'!BD68</f>
        <v>1.32</v>
      </c>
      <c r="BE374" s="180">
        <f>+'Civil OE'!BE68</f>
        <v>1.32</v>
      </c>
      <c r="BF374" s="238">
        <f>+'Civil OE'!BF68</f>
        <v>1.32</v>
      </c>
      <c r="BG374" s="613">
        <f>+'Civil OE'!BG68</f>
        <v>1.32</v>
      </c>
      <c r="BH374" s="180">
        <f>+'Civil OE'!BH68</f>
        <v>1.32</v>
      </c>
      <c r="BI374" s="238">
        <f>+'Civil OE'!BI68</f>
        <v>1.32</v>
      </c>
      <c r="BJ374" s="613">
        <f>+'Civil OE'!BJ68</f>
        <v>1.32</v>
      </c>
      <c r="BL374"/>
    </row>
    <row r="375" spans="1:68" hidden="1" outlineLevel="1">
      <c r="A375" s="483" t="str">
        <f>+'Civil OE'!A69</f>
        <v>Effective rate (GBP:USD)</v>
      </c>
      <c r="B375" s="484">
        <f>+'Civil OE'!B69</f>
        <v>0</v>
      </c>
      <c r="C375" s="484">
        <f>+'Civil OE'!C69</f>
        <v>0</v>
      </c>
      <c r="D375" s="484">
        <f>+'Civil OE'!D69</f>
        <v>0</v>
      </c>
      <c r="E375" s="484">
        <f>+'Civil OE'!E69</f>
        <v>0</v>
      </c>
      <c r="F375" s="484">
        <f>+'Civil OE'!F69</f>
        <v>0</v>
      </c>
      <c r="G375" s="484">
        <f>+'Civil OE'!G69</f>
        <v>0</v>
      </c>
      <c r="H375" s="484">
        <f>+'Civil OE'!H69</f>
        <v>0</v>
      </c>
      <c r="I375" s="484">
        <f>+'Civil OE'!I69</f>
        <v>0</v>
      </c>
      <c r="J375" s="484">
        <f>+'Civil OE'!J69</f>
        <v>0</v>
      </c>
      <c r="K375" s="484">
        <f>+'Civil OE'!K69</f>
        <v>0</v>
      </c>
      <c r="L375" s="484">
        <f>+'Civil OE'!L69</f>
        <v>0</v>
      </c>
      <c r="M375" s="484">
        <f>+'Civil OE'!M69</f>
        <v>0</v>
      </c>
      <c r="N375" s="484">
        <f>+'Civil OE'!N69</f>
        <v>0</v>
      </c>
      <c r="O375" s="484">
        <f>+'Civil OE'!O69</f>
        <v>0</v>
      </c>
      <c r="P375" s="484">
        <f>+'Civil OE'!P69</f>
        <v>1.625</v>
      </c>
      <c r="Q375" s="484">
        <f>+'Civil OE'!Q69</f>
        <v>1.55</v>
      </c>
      <c r="R375" s="955">
        <f>+'Civil OE'!R69</f>
        <v>1.4049825</v>
      </c>
      <c r="S375" s="876">
        <f>+'Civil OE'!S69</f>
        <v>1.4376225000000002</v>
      </c>
      <c r="T375" s="924">
        <f>+'Civil OE'!T69</f>
        <v>1.5</v>
      </c>
      <c r="U375" s="955">
        <f>+'Civil OE'!U69</f>
        <v>1.4049825</v>
      </c>
      <c r="V375" s="876">
        <f>+'Civil OE'!V69</f>
        <v>1.4376225000000002</v>
      </c>
      <c r="W375" s="924">
        <f>+'Civil OE'!W69</f>
        <v>1.4144000000000001</v>
      </c>
      <c r="X375" s="955">
        <f>+'Civil OE'!X69</f>
        <v>1.46</v>
      </c>
      <c r="Y375" s="876">
        <f>+'Civil OE'!Y69</f>
        <v>1.44</v>
      </c>
      <c r="Z375" s="924">
        <f>+'Civil OE'!Z69</f>
        <v>1.4375</v>
      </c>
      <c r="AA375" s="955">
        <f>+'Civil OE'!AA69</f>
        <v>1.4100000000000001</v>
      </c>
      <c r="AB375" s="876">
        <f>+'Civil OE'!AB69</f>
        <v>1.415</v>
      </c>
      <c r="AC375" s="900">
        <f>+'Civil OE'!AC69</f>
        <v>1.4033</v>
      </c>
      <c r="AD375" s="955">
        <f>+'Civil OE'!AD69</f>
        <v>1.25</v>
      </c>
      <c r="AE375" s="876">
        <f>+'Civil OE'!AE69</f>
        <v>1.4100000000000001</v>
      </c>
      <c r="AF375" s="900">
        <f>+'Civil OE'!AF69</f>
        <v>1.40185</v>
      </c>
      <c r="AG375" s="955">
        <f>+'Civil OE'!AG69</f>
        <v>1.395</v>
      </c>
      <c r="AH375" s="876">
        <f>+'Civil OE'!AH69</f>
        <v>1.4906999999999999</v>
      </c>
      <c r="AI375" s="900">
        <f>+'Civil OE'!AI69</f>
        <v>1.44285</v>
      </c>
      <c r="AJ375" s="955">
        <f>+'Civil OE'!AJ69</f>
        <v>1.405</v>
      </c>
      <c r="AK375" s="876">
        <f>+'Civil OE'!AK69</f>
        <v>1.3311999999999999</v>
      </c>
      <c r="AL375" s="900">
        <f>+'Civil OE'!AL69</f>
        <v>1.3681000000000001</v>
      </c>
      <c r="AM375" s="955">
        <f>+'Civil OE'!AM69</f>
        <v>1.365</v>
      </c>
      <c r="AN375" s="778">
        <f>+'Civil OE'!AN69</f>
        <v>1.3750000000000002</v>
      </c>
      <c r="AO375" s="785">
        <f>+'Civil OE'!AO69</f>
        <v>1.37</v>
      </c>
      <c r="AP375" s="955">
        <f>+'Civil OE'!AP69</f>
        <v>1.375</v>
      </c>
      <c r="AQ375" s="778">
        <f>+'Civil OE'!AQ69</f>
        <v>1.3839999999999999</v>
      </c>
      <c r="AR375" s="785">
        <f>+'Civil OE'!AR69</f>
        <v>1.3794999999999999</v>
      </c>
      <c r="AS375" s="955">
        <f>+'Civil OE'!AS69</f>
        <v>1.37</v>
      </c>
      <c r="AT375" s="778">
        <f>+'Civil OE'!AT69</f>
        <v>1.3899999999999997</v>
      </c>
      <c r="AU375" s="785">
        <f>+'Civil OE'!AU69</f>
        <v>1.38</v>
      </c>
      <c r="AV375" s="488">
        <f>+'Civil OE'!AV69</f>
        <v>1.365</v>
      </c>
      <c r="AW375" s="751">
        <f>+'Civil OE'!AW69</f>
        <v>1.3549999999999998</v>
      </c>
      <c r="AX375" s="764">
        <f>+'Civil OE'!AX69</f>
        <v>1.3599999999999999</v>
      </c>
      <c r="AY375" s="485">
        <f>+'Civil OE'!AY69</f>
        <v>1.3450000000000002</v>
      </c>
      <c r="AZ375" s="751">
        <f>+'Civil OE'!AZ69</f>
        <v>1.3450000000000002</v>
      </c>
      <c r="BA375" s="764">
        <f>+'Civil OE'!BA69</f>
        <v>1.3450000000000002</v>
      </c>
      <c r="BB375" s="485">
        <f>+'Civil OE'!BB69</f>
        <v>1.33</v>
      </c>
      <c r="BC375" s="751">
        <f>+'Civil OE'!BC69</f>
        <v>1.33</v>
      </c>
      <c r="BD375" s="764">
        <f>+'Civil OE'!BD69</f>
        <v>1.33</v>
      </c>
      <c r="BE375" s="485">
        <f>+'Civil OE'!BE69</f>
        <v>1.33</v>
      </c>
      <c r="BF375" s="751">
        <f>+'Civil OE'!BF69</f>
        <v>1.33</v>
      </c>
      <c r="BG375" s="764">
        <f>+'Civil OE'!BG69</f>
        <v>1.33</v>
      </c>
      <c r="BH375" s="485">
        <f>+'Civil OE'!BH69</f>
        <v>1.33</v>
      </c>
      <c r="BI375" s="751">
        <f>+'Civil OE'!BI69</f>
        <v>1.33</v>
      </c>
      <c r="BJ375" s="764">
        <f>+'Civil OE'!BJ69</f>
        <v>1.33</v>
      </c>
      <c r="BL375"/>
    </row>
    <row r="376" spans="1:68" ht="11.4" collapsed="1">
      <c r="A376" s="93" t="s">
        <v>619</v>
      </c>
      <c r="P376" s="23"/>
      <c r="Q376" s="32">
        <f>(1/(Q375/P375)-1)</f>
        <v>4.8387096774193505E-2</v>
      </c>
      <c r="R376" s="103"/>
      <c r="S376" s="637"/>
      <c r="T376" s="660">
        <f t="shared" ref="T376" si="960">(1/(T375/Q375)-1)</f>
        <v>3.3333333333333437E-2</v>
      </c>
      <c r="U376" s="103"/>
      <c r="V376" s="637"/>
      <c r="W376" s="660">
        <f>(1/(W375/T375)-1)</f>
        <v>6.0520361990950233E-2</v>
      </c>
      <c r="X376" s="103"/>
      <c r="Y376" s="637"/>
      <c r="Z376" s="660">
        <f>(1/(Z375/W375)-1)</f>
        <v>-1.6069565217391224E-2</v>
      </c>
      <c r="AA376" s="103"/>
      <c r="AB376" s="637"/>
      <c r="AC376" s="660">
        <f>(1/(AC374/Z374)-1)</f>
        <v>6.5359477124182774E-3</v>
      </c>
      <c r="AD376" s="103">
        <f>(1/(AD374/AA374)-1)</f>
        <v>0.2338709677419355</v>
      </c>
      <c r="AE376" s="637">
        <f>(1/(AE374/AB374)-1)</f>
        <v>6.5789473684210176E-3</v>
      </c>
      <c r="AF376" s="660">
        <f t="shared" ref="AF376" si="961">(1/(AF374/AC374)-1)</f>
        <v>6.5789473684210176E-3</v>
      </c>
      <c r="AG376" s="103">
        <f t="shared" ref="AG376:BJ376" si="962">(1/(AG374/AD374)-1)</f>
        <v>-0.10791366906474809</v>
      </c>
      <c r="AH376" s="637">
        <f t="shared" si="962"/>
        <v>-6.7484662576687171E-2</v>
      </c>
      <c r="AI376" s="660">
        <f t="shared" si="962"/>
        <v>6.6225165562914245E-3</v>
      </c>
      <c r="AJ376" s="103">
        <f t="shared" si="962"/>
        <v>-7.3333333333333472E-2</v>
      </c>
      <c r="AK376" s="637">
        <f t="shared" si="962"/>
        <v>8.666666666666667E-2</v>
      </c>
      <c r="AL376" s="660">
        <f t="shared" si="962"/>
        <v>6.6666666666665986E-3</v>
      </c>
      <c r="AM376" s="103">
        <f t="shared" si="962"/>
        <v>0</v>
      </c>
      <c r="AN376" s="931">
        <f t="shared" si="962"/>
        <v>0</v>
      </c>
      <c r="AO376" s="937">
        <f t="shared" si="962"/>
        <v>0</v>
      </c>
      <c r="AP376" s="103">
        <f t="shared" si="962"/>
        <v>1.3513513513513598E-2</v>
      </c>
      <c r="AQ376" s="931">
        <f t="shared" ref="AQ376" si="963">(1/(AQ374/AN374)-1)</f>
        <v>1.3513513513513598E-2</v>
      </c>
      <c r="AR376" s="937">
        <f t="shared" ref="AR376" si="964">(1/(AR374/AO374)-1)</f>
        <v>1.3513513513513598E-2</v>
      </c>
      <c r="AS376" s="103">
        <f t="shared" si="962"/>
        <v>2.7777777777777901E-2</v>
      </c>
      <c r="AT376" s="931">
        <f t="shared" si="962"/>
        <v>2.7777777777777901E-2</v>
      </c>
      <c r="AU376" s="937">
        <f t="shared" si="962"/>
        <v>2.7777777777777901E-2</v>
      </c>
      <c r="AV376" s="262">
        <f t="shared" si="962"/>
        <v>4.3478260869565188E-2</v>
      </c>
      <c r="AW376" s="752">
        <f t="shared" si="962"/>
        <v>4.3478260869565188E-2</v>
      </c>
      <c r="AX376" s="765">
        <f t="shared" si="962"/>
        <v>4.3478260869565188E-2</v>
      </c>
      <c r="AY376" s="324">
        <f t="shared" si="962"/>
        <v>2.2222222222222143E-2</v>
      </c>
      <c r="AZ376" s="752">
        <f t="shared" si="962"/>
        <v>2.2222222222222143E-2</v>
      </c>
      <c r="BA376" s="765">
        <f t="shared" si="962"/>
        <v>2.2222222222222143E-2</v>
      </c>
      <c r="BB376" s="324">
        <f t="shared" si="962"/>
        <v>2.2727272727272707E-2</v>
      </c>
      <c r="BC376" s="752">
        <f t="shared" si="962"/>
        <v>2.2727272727272707E-2</v>
      </c>
      <c r="BD376" s="765">
        <f t="shared" si="962"/>
        <v>2.2727272727272707E-2</v>
      </c>
      <c r="BE376" s="324">
        <f t="shared" si="962"/>
        <v>0</v>
      </c>
      <c r="BF376" s="752">
        <f t="shared" si="962"/>
        <v>0</v>
      </c>
      <c r="BG376" s="765">
        <f t="shared" si="962"/>
        <v>0</v>
      </c>
      <c r="BH376" s="324">
        <f t="shared" si="962"/>
        <v>0</v>
      </c>
      <c r="BI376" s="752">
        <f t="shared" si="962"/>
        <v>0</v>
      </c>
      <c r="BJ376" s="765">
        <f t="shared" si="962"/>
        <v>0</v>
      </c>
      <c r="BL376"/>
      <c r="BN376" s="38"/>
    </row>
    <row r="377" spans="1:68">
      <c r="S377" s="595"/>
      <c r="T377" s="619"/>
      <c r="V377" s="595"/>
      <c r="W377" s="619"/>
      <c r="Y377" s="595"/>
      <c r="Z377" s="619"/>
      <c r="AB377" s="595"/>
      <c r="AC377" s="619"/>
      <c r="AE377" s="595"/>
      <c r="AF377" s="619"/>
      <c r="AH377" s="595"/>
      <c r="AI377" s="619"/>
      <c r="AK377" s="595"/>
      <c r="AL377" s="619"/>
      <c r="AN377" s="539"/>
      <c r="AO377" s="550"/>
      <c r="AP377"/>
      <c r="AQ377" s="539"/>
      <c r="AR377" s="550"/>
      <c r="AS377"/>
      <c r="AT377" s="539"/>
      <c r="AU377" s="550"/>
      <c r="AV377"/>
      <c r="AW377" s="539"/>
      <c r="AX377" s="550"/>
      <c r="AY377"/>
      <c r="AZ377" s="539"/>
      <c r="BA377" s="550"/>
      <c r="BB377"/>
      <c r="BC377" s="539"/>
      <c r="BD377" s="550"/>
      <c r="BE377"/>
      <c r="BF377" s="539"/>
      <c r="BG377" s="550"/>
      <c r="BH377"/>
      <c r="BI377" s="539"/>
      <c r="BJ377" s="550"/>
    </row>
    <row r="378" spans="1:68">
      <c r="S378" s="595"/>
      <c r="T378" s="619"/>
      <c r="V378" s="595"/>
      <c r="W378" s="619"/>
      <c r="Y378" s="595"/>
      <c r="Z378" s="619"/>
      <c r="AB378" s="595"/>
      <c r="AC378" s="619"/>
      <c r="AE378" s="595"/>
      <c r="AF378" s="619"/>
      <c r="AH378" s="595"/>
      <c r="AI378" s="619"/>
      <c r="AK378" s="595"/>
      <c r="AL378" s="619"/>
      <c r="AN378" s="539"/>
      <c r="AO378" s="550"/>
      <c r="AP378"/>
      <c r="AQ378" s="539"/>
      <c r="AR378" s="550"/>
      <c r="AS378"/>
      <c r="AT378" s="539"/>
      <c r="AU378" s="550"/>
      <c r="AV378"/>
      <c r="AW378" s="539"/>
      <c r="AX378" s="550"/>
      <c r="AY378"/>
      <c r="AZ378" s="539"/>
      <c r="BA378" s="550"/>
      <c r="BB378"/>
      <c r="BC378" s="539"/>
      <c r="BD378" s="550"/>
      <c r="BE378"/>
      <c r="BF378" s="539"/>
      <c r="BG378" s="550"/>
      <c r="BH378"/>
      <c r="BI378" s="539"/>
      <c r="BJ378" s="550"/>
    </row>
    <row r="379" spans="1:68">
      <c r="A379" s="310" t="s">
        <v>839</v>
      </c>
      <c r="B379" s="311"/>
      <c r="C379" s="311"/>
      <c r="D379" s="311"/>
      <c r="E379" s="311"/>
      <c r="F379" s="311"/>
      <c r="G379" s="311"/>
      <c r="H379" s="311"/>
      <c r="I379" s="311"/>
      <c r="J379" s="311"/>
      <c r="K379" s="311"/>
      <c r="L379" s="311"/>
      <c r="M379" s="311"/>
      <c r="N379" s="311"/>
      <c r="O379" s="311"/>
      <c r="P379" s="311"/>
      <c r="Q379" s="311"/>
      <c r="R379" s="525"/>
      <c r="S379" s="317"/>
      <c r="T379" s="551"/>
      <c r="U379" s="525"/>
      <c r="V379" s="317"/>
      <c r="W379" s="551" t="s">
        <v>840</v>
      </c>
      <c r="X379" s="525"/>
      <c r="Y379" s="317"/>
      <c r="Z379" s="551"/>
      <c r="AA379" s="525"/>
      <c r="AB379" s="317"/>
      <c r="AC379" s="915"/>
      <c r="AD379" s="525"/>
      <c r="AE379" s="317"/>
      <c r="AF379" s="551"/>
      <c r="AG379" s="525"/>
      <c r="AH379" s="317"/>
      <c r="AI379" s="551"/>
      <c r="AJ379" s="525"/>
      <c r="AK379" s="317"/>
      <c r="AL379" s="551"/>
      <c r="AM379" s="525"/>
      <c r="AN379" s="317"/>
      <c r="AO379" s="551"/>
      <c r="AP379" s="525"/>
      <c r="AQ379" s="317"/>
      <c r="AR379" s="551"/>
      <c r="AS379" s="525"/>
      <c r="AT379" s="317"/>
      <c r="AU379" s="551"/>
      <c r="AV379" s="525"/>
      <c r="AW379" s="814"/>
      <c r="AX379" s="846"/>
      <c r="AY379" s="536"/>
      <c r="AZ379" s="814"/>
      <c r="BA379" s="846"/>
      <c r="BB379" s="536"/>
      <c r="BC379" s="814"/>
      <c r="BD379" s="846"/>
      <c r="BE379" s="536"/>
      <c r="BF379" s="814"/>
      <c r="BG379" s="846"/>
      <c r="BH379" s="536"/>
      <c r="BI379" s="814"/>
      <c r="BJ379" s="846"/>
    </row>
    <row r="380" spans="1:68" ht="11.4">
      <c r="S380" s="595"/>
      <c r="T380" s="619"/>
      <c r="V380" s="595"/>
      <c r="W380" s="619"/>
      <c r="Y380" s="595"/>
      <c r="Z380" s="619"/>
      <c r="AB380" s="595"/>
      <c r="AC380" s="916"/>
      <c r="AE380" s="595"/>
      <c r="AF380" s="619"/>
      <c r="AH380" s="595"/>
      <c r="AI380" s="619"/>
      <c r="AK380" s="595"/>
      <c r="AL380" s="619"/>
      <c r="AN380" s="539"/>
      <c r="AO380" s="550"/>
      <c r="AP380"/>
      <c r="AQ380" s="539"/>
      <c r="AR380" s="550"/>
      <c r="AS380"/>
      <c r="AT380" s="539"/>
      <c r="AU380" s="550"/>
      <c r="AV380"/>
      <c r="AW380" s="539"/>
      <c r="AX380" s="550"/>
      <c r="AY380"/>
      <c r="AZ380" s="539"/>
      <c r="BA380" s="550"/>
      <c r="BB380"/>
      <c r="BC380" s="539"/>
      <c r="BD380" s="550"/>
      <c r="BE380"/>
      <c r="BF380" s="539"/>
      <c r="BG380" s="550"/>
      <c r="BH380"/>
      <c r="BI380" s="539"/>
      <c r="BJ380" s="550"/>
      <c r="BP380" s="115"/>
    </row>
    <row r="381" spans="1:68">
      <c r="A381" s="66" t="s">
        <v>251</v>
      </c>
      <c r="B381" s="40">
        <v>249</v>
      </c>
      <c r="C381" s="40">
        <v>195</v>
      </c>
      <c r="D381" s="40">
        <v>165</v>
      </c>
      <c r="E381" s="40">
        <v>156</v>
      </c>
      <c r="F381" s="40">
        <v>132</v>
      </c>
      <c r="G381" s="40">
        <v>120</v>
      </c>
      <c r="H381" s="40">
        <v>81</v>
      </c>
      <c r="I381" s="40">
        <v>66</v>
      </c>
      <c r="J381" s="40">
        <v>42</v>
      </c>
      <c r="K381" s="40">
        <v>30</v>
      </c>
      <c r="L381" s="40">
        <v>21</v>
      </c>
      <c r="M381" s="40">
        <v>12</v>
      </c>
      <c r="N381" s="40">
        <v>12</v>
      </c>
      <c r="O381" s="40">
        <v>6</v>
      </c>
      <c r="P381" s="40">
        <v>6</v>
      </c>
      <c r="Q381" s="40">
        <v>6</v>
      </c>
      <c r="R381" s="40"/>
      <c r="S381" s="630"/>
      <c r="T381" s="653">
        <v>6</v>
      </c>
      <c r="U381" s="40"/>
      <c r="V381" s="630"/>
      <c r="W381" s="653">
        <v>6</v>
      </c>
      <c r="X381" s="40"/>
      <c r="Y381" s="630"/>
      <c r="Z381" s="653">
        <v>3</v>
      </c>
      <c r="AA381" s="10">
        <f>AC381</f>
        <v>2</v>
      </c>
      <c r="AB381" s="216">
        <f>AC381</f>
        <v>2</v>
      </c>
      <c r="AC381" s="653">
        <v>2</v>
      </c>
      <c r="AD381" s="10">
        <f>AF381</f>
        <v>2</v>
      </c>
      <c r="AE381" s="216">
        <f>AF381</f>
        <v>2</v>
      </c>
      <c r="AF381" s="556">
        <v>2</v>
      </c>
      <c r="AG381" s="10">
        <f>AI381</f>
        <v>0</v>
      </c>
      <c r="AH381" s="216">
        <f>AI381</f>
        <v>0</v>
      </c>
      <c r="AI381" s="556">
        <v>0</v>
      </c>
      <c r="AJ381" s="10">
        <f>AL381</f>
        <v>0</v>
      </c>
      <c r="AK381" s="216">
        <f>AL381</f>
        <v>0</v>
      </c>
      <c r="AL381" s="556">
        <v>0</v>
      </c>
      <c r="AM381" s="10">
        <v>0</v>
      </c>
      <c r="AN381" s="216">
        <f>AO381</f>
        <v>0</v>
      </c>
      <c r="AO381" s="550">
        <v>0</v>
      </c>
      <c r="AP381" s="10">
        <v>0</v>
      </c>
      <c r="AQ381" s="216">
        <f>AR381</f>
        <v>0</v>
      </c>
      <c r="AR381" s="550">
        <v>0</v>
      </c>
      <c r="AS381" s="10">
        <v>0</v>
      </c>
      <c r="AT381" s="216">
        <f>AU381</f>
        <v>0</v>
      </c>
      <c r="AU381" s="550">
        <v>0</v>
      </c>
      <c r="AV381" s="10">
        <v>0</v>
      </c>
      <c r="AW381" s="539"/>
      <c r="AX381" s="550"/>
      <c r="AY381"/>
      <c r="AZ381" s="539"/>
      <c r="BA381" s="550"/>
      <c r="BB381"/>
      <c r="BC381" s="539"/>
      <c r="BD381" s="550"/>
      <c r="BE381"/>
      <c r="BF381" s="539"/>
      <c r="BG381" s="550"/>
      <c r="BH381"/>
      <c r="BI381" s="539"/>
      <c r="BJ381" s="550"/>
    </row>
    <row r="382" spans="1:68">
      <c r="A382" s="66" t="s">
        <v>252</v>
      </c>
      <c r="B382" s="40">
        <v>1069</v>
      </c>
      <c r="C382" s="40">
        <v>1058</v>
      </c>
      <c r="D382" s="40">
        <v>1042</v>
      </c>
      <c r="E382" s="40">
        <v>1019</v>
      </c>
      <c r="F382" s="40">
        <v>1003</v>
      </c>
      <c r="G382" s="40">
        <v>994</v>
      </c>
      <c r="H382" s="40">
        <v>953</v>
      </c>
      <c r="I382" s="40">
        <v>944</v>
      </c>
      <c r="J382" s="40">
        <v>895</v>
      </c>
      <c r="K382" s="40">
        <v>848</v>
      </c>
      <c r="L382" s="40">
        <v>783</v>
      </c>
      <c r="M382" s="40">
        <v>752</v>
      </c>
      <c r="N382" s="40">
        <v>685</v>
      </c>
      <c r="O382" s="40">
        <v>626</v>
      </c>
      <c r="P382" s="40">
        <v>574</v>
      </c>
      <c r="Q382" s="40">
        <v>492</v>
      </c>
      <c r="R382" s="40"/>
      <c r="S382" s="630"/>
      <c r="T382" s="653">
        <v>373</v>
      </c>
      <c r="U382" s="40"/>
      <c r="V382" s="630"/>
      <c r="W382" s="653">
        <v>347</v>
      </c>
      <c r="X382" s="40"/>
      <c r="Y382" s="630"/>
      <c r="Z382" s="653">
        <v>303</v>
      </c>
      <c r="AA382" s="10">
        <f>AC382</f>
        <v>244</v>
      </c>
      <c r="AB382" s="216">
        <f>AC382</f>
        <v>244</v>
      </c>
      <c r="AC382" s="653">
        <f>54*4+8*2+6*2</f>
        <v>244</v>
      </c>
      <c r="AD382" s="10">
        <f>AF382</f>
        <v>140</v>
      </c>
      <c r="AE382" s="216">
        <f>AF382</f>
        <v>140</v>
      </c>
      <c r="AF382" s="556">
        <v>140</v>
      </c>
      <c r="AG382" s="10">
        <f>AI382</f>
        <v>140</v>
      </c>
      <c r="AH382" s="216">
        <f>AI382</f>
        <v>140</v>
      </c>
      <c r="AI382" s="556">
        <f>(24+11)*4</f>
        <v>140</v>
      </c>
      <c r="AJ382" s="10">
        <f>AL382</f>
        <v>140</v>
      </c>
      <c r="AK382" s="216">
        <f>AL382</f>
        <v>140</v>
      </c>
      <c r="AL382" s="556">
        <f>(21+14)*4</f>
        <v>140</v>
      </c>
      <c r="AM382" s="10">
        <f>(21+13)*4</f>
        <v>136</v>
      </c>
      <c r="AN382" s="216">
        <f>AO382</f>
        <v>136</v>
      </c>
      <c r="AO382" s="556">
        <f>(22+12)*4</f>
        <v>136</v>
      </c>
      <c r="AP382" s="10">
        <f>(22+11)*4</f>
        <v>132</v>
      </c>
      <c r="AQ382" s="216">
        <f>AR382</f>
        <v>132</v>
      </c>
      <c r="AR382" s="556">
        <f>(21+12)*4</f>
        <v>132</v>
      </c>
      <c r="AS382" s="10">
        <f>(20+12)*4</f>
        <v>128</v>
      </c>
      <c r="AT382" s="216">
        <f>AU382</f>
        <v>128</v>
      </c>
      <c r="AU382" s="550">
        <f>(18+14)*4</f>
        <v>128</v>
      </c>
      <c r="AV382">
        <f>(19+11)*4</f>
        <v>120</v>
      </c>
      <c r="AW382" s="539"/>
      <c r="AX382" s="550"/>
      <c r="AY382"/>
      <c r="AZ382" s="539"/>
      <c r="BA382" s="550"/>
      <c r="BB382"/>
      <c r="BC382" s="539"/>
      <c r="BD382" s="550"/>
      <c r="BE382"/>
      <c r="BF382" s="539"/>
      <c r="BG382" s="550"/>
      <c r="BH382"/>
      <c r="BI382" s="539"/>
      <c r="BJ382" s="550"/>
    </row>
    <row r="383" spans="1:68">
      <c r="A383" s="66" t="s">
        <v>253</v>
      </c>
      <c r="B383" s="40">
        <v>1096</v>
      </c>
      <c r="C383" s="40">
        <v>1164</v>
      </c>
      <c r="D383" s="40">
        <v>1196</v>
      </c>
      <c r="E383" s="40">
        <v>1206</v>
      </c>
      <c r="F383" s="40">
        <v>1218</v>
      </c>
      <c r="G383" s="40">
        <v>1214</v>
      </c>
      <c r="H383" s="40">
        <v>1210</v>
      </c>
      <c r="I383" s="40">
        <v>1206</v>
      </c>
      <c r="J383" s="40">
        <v>1204</v>
      </c>
      <c r="K383" s="40">
        <v>1196</v>
      </c>
      <c r="L383" s="40">
        <v>1196</v>
      </c>
      <c r="M383" s="40">
        <v>1172</v>
      </c>
      <c r="N383" s="40">
        <v>1166</v>
      </c>
      <c r="O383" s="40">
        <v>1154</v>
      </c>
      <c r="P383" s="40">
        <v>1138</v>
      </c>
      <c r="Q383" s="40">
        <v>1120</v>
      </c>
      <c r="R383" s="40"/>
      <c r="S383" s="630"/>
      <c r="T383" s="653">
        <v>1044</v>
      </c>
      <c r="U383" s="40"/>
      <c r="V383" s="630"/>
      <c r="W383" s="653">
        <v>1002</v>
      </c>
      <c r="X383" s="40"/>
      <c r="Y383" s="630"/>
      <c r="Z383" s="653">
        <v>976</v>
      </c>
      <c r="AA383" s="10">
        <f>AC383</f>
        <v>946</v>
      </c>
      <c r="AB383" s="216">
        <f>AC383</f>
        <v>946</v>
      </c>
      <c r="AC383" s="653">
        <f>473*2</f>
        <v>946</v>
      </c>
      <c r="AD383" s="10">
        <f>AF383</f>
        <v>928</v>
      </c>
      <c r="AE383" s="216">
        <f>AF383</f>
        <v>928</v>
      </c>
      <c r="AF383" s="556">
        <v>928</v>
      </c>
      <c r="AG383" s="10">
        <f>AI383</f>
        <v>912</v>
      </c>
      <c r="AH383" s="216">
        <f>AI383</f>
        <v>912</v>
      </c>
      <c r="AI383" s="556">
        <f>(325+131)*2</f>
        <v>912</v>
      </c>
      <c r="AJ383" s="10">
        <f>AL383</f>
        <v>898</v>
      </c>
      <c r="AK383" s="216">
        <f>AL383</f>
        <v>898</v>
      </c>
      <c r="AL383" s="556">
        <f>(334+115)*2</f>
        <v>898</v>
      </c>
      <c r="AM383" s="10">
        <f>(353+85)*2</f>
        <v>876</v>
      </c>
      <c r="AN383" s="216">
        <f>AO383</f>
        <v>856</v>
      </c>
      <c r="AO383" s="556">
        <f>(350+78)*2</f>
        <v>856</v>
      </c>
      <c r="AP383" s="10">
        <f>(336+82)*2</f>
        <v>836</v>
      </c>
      <c r="AQ383" s="216">
        <f>AR383</f>
        <v>818</v>
      </c>
      <c r="AR383" s="556">
        <f>(329+80)*2</f>
        <v>818</v>
      </c>
      <c r="AS383" s="10">
        <f>(330+71)*2</f>
        <v>802</v>
      </c>
      <c r="AT383" s="216">
        <f>AU383</f>
        <v>790</v>
      </c>
      <c r="AU383" s="556">
        <f>(307+88)*2</f>
        <v>790</v>
      </c>
      <c r="AV383">
        <f>(311+81)*2</f>
        <v>784</v>
      </c>
      <c r="AW383" s="539"/>
      <c r="AX383" s="550"/>
      <c r="AY383"/>
      <c r="AZ383" s="539"/>
      <c r="BA383" s="550"/>
      <c r="BB383"/>
      <c r="BC383" s="539"/>
      <c r="BD383" s="550"/>
      <c r="BE383"/>
      <c r="BF383" s="539"/>
      <c r="BG383" s="550"/>
      <c r="BH383"/>
      <c r="BI383" s="539"/>
      <c r="BJ383" s="550"/>
    </row>
    <row r="384" spans="1:68">
      <c r="A384" s="62" t="s">
        <v>267</v>
      </c>
      <c r="B384" s="82">
        <f t="shared" ref="B384:Q384" si="965">SUM(B381:B383)</f>
        <v>2414</v>
      </c>
      <c r="C384" s="82">
        <f t="shared" si="965"/>
        <v>2417</v>
      </c>
      <c r="D384" s="82">
        <f t="shared" si="965"/>
        <v>2403</v>
      </c>
      <c r="E384" s="82">
        <f t="shared" si="965"/>
        <v>2381</v>
      </c>
      <c r="F384" s="82">
        <f t="shared" si="965"/>
        <v>2353</v>
      </c>
      <c r="G384" s="82">
        <f t="shared" si="965"/>
        <v>2328</v>
      </c>
      <c r="H384" s="82">
        <f t="shared" si="965"/>
        <v>2244</v>
      </c>
      <c r="I384" s="82">
        <f t="shared" si="965"/>
        <v>2216</v>
      </c>
      <c r="J384" s="82">
        <f t="shared" si="965"/>
        <v>2141</v>
      </c>
      <c r="K384" s="82">
        <f t="shared" si="965"/>
        <v>2074</v>
      </c>
      <c r="L384" s="82">
        <f t="shared" si="965"/>
        <v>2000</v>
      </c>
      <c r="M384" s="82">
        <f t="shared" si="965"/>
        <v>1936</v>
      </c>
      <c r="N384" s="82">
        <f t="shared" si="965"/>
        <v>1863</v>
      </c>
      <c r="O384" s="82">
        <f t="shared" si="965"/>
        <v>1786</v>
      </c>
      <c r="P384" s="82">
        <f t="shared" si="965"/>
        <v>1718</v>
      </c>
      <c r="Q384" s="82">
        <f t="shared" si="965"/>
        <v>1618</v>
      </c>
      <c r="R384" s="82"/>
      <c r="S384" s="694"/>
      <c r="T384" s="709">
        <f t="shared" ref="T384:AL384" si="966">SUM(T381:T383)</f>
        <v>1423</v>
      </c>
      <c r="U384" s="82"/>
      <c r="V384" s="694"/>
      <c r="W384" s="709">
        <f t="shared" si="966"/>
        <v>1355</v>
      </c>
      <c r="X384" s="82"/>
      <c r="Y384" s="694"/>
      <c r="Z384" s="709">
        <f t="shared" si="966"/>
        <v>1282</v>
      </c>
      <c r="AA384" s="82">
        <f t="shared" si="966"/>
        <v>1192</v>
      </c>
      <c r="AB384" s="694">
        <f t="shared" si="966"/>
        <v>1192</v>
      </c>
      <c r="AC384" s="709">
        <f t="shared" si="966"/>
        <v>1192</v>
      </c>
      <c r="AD384" s="82">
        <f t="shared" si="966"/>
        <v>1070</v>
      </c>
      <c r="AE384" s="694">
        <f t="shared" si="966"/>
        <v>1070</v>
      </c>
      <c r="AF384" s="709">
        <f t="shared" si="966"/>
        <v>1070</v>
      </c>
      <c r="AG384" s="82">
        <f t="shared" ref="AG384:AH384" si="967">SUM(AG381:AG383)</f>
        <v>1052</v>
      </c>
      <c r="AH384" s="694">
        <f t="shared" si="967"/>
        <v>1052</v>
      </c>
      <c r="AI384" s="709">
        <f t="shared" si="966"/>
        <v>1052</v>
      </c>
      <c r="AJ384" s="82">
        <f t="shared" si="966"/>
        <v>1038</v>
      </c>
      <c r="AK384" s="694">
        <f t="shared" si="966"/>
        <v>1038</v>
      </c>
      <c r="AL384" s="709">
        <f t="shared" si="966"/>
        <v>1038</v>
      </c>
      <c r="AM384" s="82">
        <f t="shared" ref="AM384:AV384" si="968">SUM(AM381:AM383)</f>
        <v>1012</v>
      </c>
      <c r="AN384" s="226">
        <f>AO384</f>
        <v>992</v>
      </c>
      <c r="AO384" s="709">
        <f t="shared" si="968"/>
        <v>992</v>
      </c>
      <c r="AP384" s="190">
        <f t="shared" si="968"/>
        <v>968</v>
      </c>
      <c r="AQ384" s="226">
        <f>AR384</f>
        <v>950</v>
      </c>
      <c r="AR384" s="709">
        <f t="shared" si="968"/>
        <v>950</v>
      </c>
      <c r="AS384" s="190">
        <f t="shared" si="968"/>
        <v>930</v>
      </c>
      <c r="AT384" s="226">
        <f>AU384</f>
        <v>918</v>
      </c>
      <c r="AU384" s="709">
        <f t="shared" si="968"/>
        <v>918</v>
      </c>
      <c r="AV384" s="190">
        <f t="shared" si="968"/>
        <v>904</v>
      </c>
      <c r="AW384" s="241">
        <f>AX384</f>
        <v>868</v>
      </c>
      <c r="AX384" s="579">
        <f t="shared" ref="AX384:BJ384" si="969">AX502</f>
        <v>868</v>
      </c>
      <c r="AY384" s="204">
        <f>BA384</f>
        <v>818</v>
      </c>
      <c r="AZ384" s="241">
        <f>BA384</f>
        <v>818</v>
      </c>
      <c r="BA384" s="579">
        <f t="shared" si="969"/>
        <v>818</v>
      </c>
      <c r="BB384" s="204">
        <f>BD384</f>
        <v>768</v>
      </c>
      <c r="BC384" s="241">
        <f>BD384</f>
        <v>768</v>
      </c>
      <c r="BD384" s="579">
        <f t="shared" si="969"/>
        <v>768</v>
      </c>
      <c r="BE384" s="204">
        <f>BG384</f>
        <v>718</v>
      </c>
      <c r="BF384" s="241">
        <f>BG384</f>
        <v>718</v>
      </c>
      <c r="BG384" s="579">
        <f t="shared" si="969"/>
        <v>718</v>
      </c>
      <c r="BH384" s="204">
        <f>BJ384</f>
        <v>668</v>
      </c>
      <c r="BI384" s="241">
        <f>BJ384</f>
        <v>668</v>
      </c>
      <c r="BJ384" s="579">
        <f t="shared" si="969"/>
        <v>668</v>
      </c>
    </row>
    <row r="385" spans="1:64">
      <c r="A385" s="66" t="s">
        <v>254</v>
      </c>
      <c r="B385" s="40">
        <v>0</v>
      </c>
      <c r="C385" s="40">
        <v>12</v>
      </c>
      <c r="D385" s="40">
        <v>48</v>
      </c>
      <c r="E385" s="40">
        <v>132</v>
      </c>
      <c r="F385" s="40">
        <v>220</v>
      </c>
      <c r="G385" s="40">
        <v>300</v>
      </c>
      <c r="H385" s="40">
        <v>388</v>
      </c>
      <c r="I385" s="40">
        <v>424</v>
      </c>
      <c r="J385" s="40">
        <v>456</v>
      </c>
      <c r="K385" s="40">
        <v>508</v>
      </c>
      <c r="L385" s="40">
        <v>520</v>
      </c>
      <c r="M385" s="40">
        <v>524</v>
      </c>
      <c r="N385" s="40">
        <v>524</v>
      </c>
      <c r="O385" s="40">
        <v>520</v>
      </c>
      <c r="P385" s="40">
        <v>516</v>
      </c>
      <c r="Q385" s="40">
        <v>500</v>
      </c>
      <c r="R385" s="40"/>
      <c r="S385" s="630"/>
      <c r="T385" s="653">
        <v>488</v>
      </c>
      <c r="U385" s="40"/>
      <c r="V385" s="630"/>
      <c r="W385" s="653">
        <v>480</v>
      </c>
      <c r="X385" s="40"/>
      <c r="Y385" s="630"/>
      <c r="Z385" s="653">
        <v>472</v>
      </c>
      <c r="AA385" s="10">
        <f t="shared" ref="AA385:AA392" si="970">AC385</f>
        <v>428</v>
      </c>
      <c r="AB385" s="216">
        <f t="shared" ref="AB385:AB392" si="971">AC385</f>
        <v>428</v>
      </c>
      <c r="AC385" s="653">
        <f>107*4</f>
        <v>428</v>
      </c>
      <c r="AD385" s="10">
        <f t="shared" ref="AD385:AD392" si="972">AF385</f>
        <v>360</v>
      </c>
      <c r="AE385" s="216">
        <f t="shared" ref="AE385:AE392" si="973">AF385</f>
        <v>360</v>
      </c>
      <c r="AF385" s="556">
        <v>360</v>
      </c>
      <c r="AG385" s="10">
        <f t="shared" ref="AG385:AG392" si="974">AI385</f>
        <v>356</v>
      </c>
      <c r="AH385" s="216">
        <f t="shared" ref="AH385:AH392" si="975">AI385</f>
        <v>356</v>
      </c>
      <c r="AI385" s="556">
        <f>(20+69)*4</f>
        <v>356</v>
      </c>
      <c r="AJ385" s="10">
        <f t="shared" ref="AJ385:AJ392" si="976">AL385</f>
        <v>356</v>
      </c>
      <c r="AK385" s="216">
        <f t="shared" ref="AK385:AK392" si="977">AL385</f>
        <v>356</v>
      </c>
      <c r="AL385" s="556">
        <f>(19+70)*4</f>
        <v>356</v>
      </c>
      <c r="AM385" s="10">
        <f>(22+59)*4</f>
        <v>324</v>
      </c>
      <c r="AN385" s="216">
        <f t="shared" ref="AN385:AN392" si="978">AO385</f>
        <v>320</v>
      </c>
      <c r="AO385" s="556">
        <f>(26+54)*4</f>
        <v>320</v>
      </c>
      <c r="AP385" s="10">
        <f>(28+49)*4</f>
        <v>308</v>
      </c>
      <c r="AQ385" s="216">
        <f t="shared" ref="AQ385:AQ392" si="979">AR385</f>
        <v>312</v>
      </c>
      <c r="AR385" s="556">
        <f>(30+48)*4</f>
        <v>312</v>
      </c>
      <c r="AS385" s="10">
        <f>(26+51)*4</f>
        <v>308</v>
      </c>
      <c r="AT385" s="216">
        <f t="shared" ref="AT385:AT392" si="980">AU385</f>
        <v>296</v>
      </c>
      <c r="AU385" s="556">
        <f>(25+49)*4</f>
        <v>296</v>
      </c>
      <c r="AV385" s="10">
        <f>(17+55)*4</f>
        <v>288</v>
      </c>
      <c r="AW385" s="236">
        <f t="shared" ref="AW385:AW392" si="981">AX385</f>
        <v>276</v>
      </c>
      <c r="AX385" s="605">
        <f t="shared" ref="AX385:BJ385" si="982">AX509</f>
        <v>276</v>
      </c>
      <c r="AY385" s="56">
        <f t="shared" ref="AY385:AY392" si="983">BA385</f>
        <v>256</v>
      </c>
      <c r="AZ385" s="236">
        <f t="shared" ref="AZ385:AZ392" si="984">BA385</f>
        <v>256</v>
      </c>
      <c r="BA385" s="605">
        <f t="shared" si="982"/>
        <v>256</v>
      </c>
      <c r="BB385" s="56">
        <f t="shared" ref="BB385:BB392" si="985">BD385</f>
        <v>236</v>
      </c>
      <c r="BC385" s="236">
        <f t="shared" ref="BC385:BC392" si="986">BD385</f>
        <v>236</v>
      </c>
      <c r="BD385" s="605">
        <f t="shared" si="982"/>
        <v>236</v>
      </c>
      <c r="BE385" s="56">
        <f t="shared" ref="BE385:BE392" si="987">BG385</f>
        <v>216</v>
      </c>
      <c r="BF385" s="236">
        <f t="shared" ref="BF385:BF392" si="988">BG385</f>
        <v>216</v>
      </c>
      <c r="BG385" s="605">
        <f t="shared" si="982"/>
        <v>216</v>
      </c>
      <c r="BH385" s="56">
        <f t="shared" ref="BH385:BH392" si="989">BJ385</f>
        <v>196</v>
      </c>
      <c r="BI385" s="236">
        <f t="shared" ref="BI385:BI392" si="990">BJ385</f>
        <v>196</v>
      </c>
      <c r="BJ385" s="605">
        <f t="shared" si="982"/>
        <v>196</v>
      </c>
    </row>
    <row r="386" spans="1:64">
      <c r="A386" s="66" t="s">
        <v>255</v>
      </c>
      <c r="B386" s="40">
        <v>134</v>
      </c>
      <c r="C386" s="40">
        <v>178</v>
      </c>
      <c r="D386" s="40">
        <v>206</v>
      </c>
      <c r="E386" s="40">
        <v>234</v>
      </c>
      <c r="F386" s="40">
        <v>264</v>
      </c>
      <c r="G386" s="40">
        <v>306</v>
      </c>
      <c r="H386" s="40">
        <v>364</v>
      </c>
      <c r="I386" s="40">
        <v>424</v>
      </c>
      <c r="J386" s="40">
        <v>494</v>
      </c>
      <c r="K386" s="40">
        <v>608</v>
      </c>
      <c r="L386" s="40">
        <v>724</v>
      </c>
      <c r="M386" s="40">
        <v>840</v>
      </c>
      <c r="N386" s="40">
        <v>980</v>
      </c>
      <c r="O386" s="40">
        <v>1144</v>
      </c>
      <c r="P386" s="40">
        <v>1308</v>
      </c>
      <c r="Q386" s="40">
        <v>1444</v>
      </c>
      <c r="R386" s="40"/>
      <c r="S386" s="630"/>
      <c r="T386" s="653">
        <v>1538</v>
      </c>
      <c r="U386" s="40"/>
      <c r="V386" s="630"/>
      <c r="W386" s="653">
        <v>1646</v>
      </c>
      <c r="X386" s="40"/>
      <c r="Y386" s="630"/>
      <c r="Z386" s="653">
        <v>1732</v>
      </c>
      <c r="AA386" s="10">
        <f t="shared" si="970"/>
        <v>1728</v>
      </c>
      <c r="AB386" s="216">
        <f t="shared" si="971"/>
        <v>1728</v>
      </c>
      <c r="AC386" s="653">
        <f>864*2</f>
        <v>1728</v>
      </c>
      <c r="AD386" s="10">
        <f t="shared" si="972"/>
        <v>1722</v>
      </c>
      <c r="AE386" s="216">
        <f t="shared" si="973"/>
        <v>1722</v>
      </c>
      <c r="AF386" s="556">
        <v>1722</v>
      </c>
      <c r="AG386" s="10">
        <f t="shared" si="974"/>
        <v>1718</v>
      </c>
      <c r="AH386" s="216">
        <f t="shared" si="975"/>
        <v>1718</v>
      </c>
      <c r="AI386" s="556">
        <f>(554+305)*2</f>
        <v>1718</v>
      </c>
      <c r="AJ386" s="10">
        <f t="shared" si="976"/>
        <v>1720</v>
      </c>
      <c r="AK386" s="216">
        <f t="shared" si="977"/>
        <v>1720</v>
      </c>
      <c r="AL386" s="556">
        <f>(581+279)*2</f>
        <v>1720</v>
      </c>
      <c r="AM386" s="10">
        <f>(657+197)*2</f>
        <v>1708</v>
      </c>
      <c r="AN386" s="216">
        <f t="shared" si="978"/>
        <v>1694</v>
      </c>
      <c r="AO386" s="556">
        <f>(683+164)*2</f>
        <v>1694</v>
      </c>
      <c r="AP386" s="10">
        <f>(687+136)*2</f>
        <v>1646</v>
      </c>
      <c r="AQ386" s="216">
        <f t="shared" si="979"/>
        <v>1644</v>
      </c>
      <c r="AR386" s="556">
        <f>(702+120)*2</f>
        <v>1644</v>
      </c>
      <c r="AS386" s="10">
        <f>(715+102)*2</f>
        <v>1634</v>
      </c>
      <c r="AT386" s="216">
        <f t="shared" si="980"/>
        <v>1634</v>
      </c>
      <c r="AU386" s="556">
        <f>(725+92)*2</f>
        <v>1634</v>
      </c>
      <c r="AV386" s="10">
        <f>(720+95)*2</f>
        <v>1630</v>
      </c>
      <c r="AW386" s="236">
        <f t="shared" si="981"/>
        <v>1605</v>
      </c>
      <c r="AX386" s="605">
        <f t="shared" ref="AX386:BJ386" si="991">AX515</f>
        <v>1605</v>
      </c>
      <c r="AY386" s="56">
        <f t="shared" si="983"/>
        <v>1575</v>
      </c>
      <c r="AZ386" s="236">
        <f t="shared" si="984"/>
        <v>1575</v>
      </c>
      <c r="BA386" s="605">
        <f t="shared" si="991"/>
        <v>1575</v>
      </c>
      <c r="BB386" s="56">
        <f t="shared" si="985"/>
        <v>1545</v>
      </c>
      <c r="BC386" s="236">
        <f t="shared" si="986"/>
        <v>1545</v>
      </c>
      <c r="BD386" s="605">
        <f t="shared" si="991"/>
        <v>1545</v>
      </c>
      <c r="BE386" s="56">
        <f t="shared" si="987"/>
        <v>1515</v>
      </c>
      <c r="BF386" s="236">
        <f t="shared" si="988"/>
        <v>1515</v>
      </c>
      <c r="BG386" s="605">
        <f t="shared" si="991"/>
        <v>1515</v>
      </c>
      <c r="BH386" s="56">
        <f t="shared" si="989"/>
        <v>1485</v>
      </c>
      <c r="BI386" s="236">
        <f t="shared" si="990"/>
        <v>1485</v>
      </c>
      <c r="BJ386" s="605">
        <f t="shared" si="991"/>
        <v>1485</v>
      </c>
    </row>
    <row r="387" spans="1:64">
      <c r="A387" s="66" t="s">
        <v>256</v>
      </c>
      <c r="B387" s="40">
        <v>224</v>
      </c>
      <c r="C387" s="40">
        <v>296</v>
      </c>
      <c r="D387" s="40">
        <v>344</v>
      </c>
      <c r="E387" s="40">
        <v>376</v>
      </c>
      <c r="F387" s="40">
        <v>392</v>
      </c>
      <c r="G387" s="40">
        <v>408</v>
      </c>
      <c r="H387" s="40">
        <v>432</v>
      </c>
      <c r="I387" s="40">
        <v>444</v>
      </c>
      <c r="J387" s="40">
        <v>442</v>
      </c>
      <c r="K387" s="40">
        <v>450</v>
      </c>
      <c r="L387" s="40">
        <v>450</v>
      </c>
      <c r="M387" s="40">
        <v>450</v>
      </c>
      <c r="N387" s="40">
        <v>450</v>
      </c>
      <c r="O387" s="40">
        <v>444</v>
      </c>
      <c r="P387" s="40">
        <v>436</v>
      </c>
      <c r="Q387" s="40">
        <v>428</v>
      </c>
      <c r="R387" s="40"/>
      <c r="S387" s="630"/>
      <c r="T387" s="653">
        <v>420</v>
      </c>
      <c r="U387" s="40"/>
      <c r="V387" s="630"/>
      <c r="W387" s="653">
        <v>412</v>
      </c>
      <c r="X387" s="40"/>
      <c r="Y387" s="630"/>
      <c r="Z387" s="653">
        <v>396</v>
      </c>
      <c r="AA387" s="10">
        <f t="shared" si="970"/>
        <v>376</v>
      </c>
      <c r="AB387" s="216">
        <f t="shared" si="971"/>
        <v>376</v>
      </c>
      <c r="AC387" s="653">
        <f>188*2</f>
        <v>376</v>
      </c>
      <c r="AD387" s="10">
        <f t="shared" si="972"/>
        <v>372</v>
      </c>
      <c r="AE387" s="216">
        <f t="shared" si="973"/>
        <v>372</v>
      </c>
      <c r="AF387" s="556">
        <v>372</v>
      </c>
      <c r="AG387" s="10">
        <f t="shared" si="974"/>
        <v>370</v>
      </c>
      <c r="AH387" s="216">
        <f t="shared" si="975"/>
        <v>370</v>
      </c>
      <c r="AI387" s="556">
        <f>(86+99)*2</f>
        <v>370</v>
      </c>
      <c r="AJ387" s="10">
        <f t="shared" si="976"/>
        <v>368</v>
      </c>
      <c r="AK387" s="216">
        <f t="shared" si="977"/>
        <v>368</v>
      </c>
      <c r="AL387" s="556">
        <f>(89+95)*2</f>
        <v>368</v>
      </c>
      <c r="AM387" s="10">
        <f>(99+85)*2</f>
        <v>368</v>
      </c>
      <c r="AN387" s="216">
        <f t="shared" si="978"/>
        <v>358</v>
      </c>
      <c r="AO387" s="556">
        <f>(110+69)*2</f>
        <v>358</v>
      </c>
      <c r="AP387" s="10">
        <f>(115+62)*2</f>
        <v>354</v>
      </c>
      <c r="AQ387" s="216">
        <f t="shared" si="979"/>
        <v>352</v>
      </c>
      <c r="AR387" s="556">
        <f>(111+65)*2</f>
        <v>352</v>
      </c>
      <c r="AS387" s="10">
        <f>(115+54)*2</f>
        <v>338</v>
      </c>
      <c r="AT387" s="216">
        <f t="shared" si="980"/>
        <v>328</v>
      </c>
      <c r="AU387" s="556">
        <f>(115+49)*2</f>
        <v>328</v>
      </c>
      <c r="AV387" s="10">
        <f>(114+49)*2</f>
        <v>326</v>
      </c>
      <c r="AW387" s="236">
        <f t="shared" si="981"/>
        <v>303</v>
      </c>
      <c r="AX387" s="605">
        <f t="shared" ref="AX387:BJ387" si="992">AX521</f>
        <v>303</v>
      </c>
      <c r="AY387" s="56">
        <f t="shared" si="983"/>
        <v>278</v>
      </c>
      <c r="AZ387" s="236">
        <f t="shared" si="984"/>
        <v>278</v>
      </c>
      <c r="BA387" s="605">
        <f>BA521</f>
        <v>278</v>
      </c>
      <c r="BB387" s="56">
        <f t="shared" si="985"/>
        <v>253</v>
      </c>
      <c r="BC387" s="236">
        <f t="shared" si="986"/>
        <v>253</v>
      </c>
      <c r="BD387" s="605">
        <f t="shared" si="992"/>
        <v>253</v>
      </c>
      <c r="BE387" s="56">
        <f t="shared" si="987"/>
        <v>228</v>
      </c>
      <c r="BF387" s="236">
        <f t="shared" si="988"/>
        <v>228</v>
      </c>
      <c r="BG387" s="605">
        <f t="shared" si="992"/>
        <v>228</v>
      </c>
      <c r="BH387" s="56">
        <f t="shared" si="989"/>
        <v>203</v>
      </c>
      <c r="BI387" s="236">
        <f t="shared" si="990"/>
        <v>203</v>
      </c>
      <c r="BJ387" s="605">
        <f t="shared" si="992"/>
        <v>203</v>
      </c>
    </row>
    <row r="388" spans="1:64">
      <c r="A388" s="66" t="s">
        <v>257</v>
      </c>
      <c r="B388" s="40">
        <v>0</v>
      </c>
      <c r="C388" s="40">
        <v>0</v>
      </c>
      <c r="D388" s="40">
        <v>0</v>
      </c>
      <c r="E388" s="40">
        <v>0</v>
      </c>
      <c r="F388" s="40">
        <v>0</v>
      </c>
      <c r="G388" s="40">
        <v>0</v>
      </c>
      <c r="H388" s="40">
        <v>16</v>
      </c>
      <c r="I388" s="40">
        <v>20</v>
      </c>
      <c r="J388" s="40">
        <v>36</v>
      </c>
      <c r="K388" s="40">
        <v>68</v>
      </c>
      <c r="L388" s="40">
        <v>96</v>
      </c>
      <c r="M388" s="40">
        <v>152</v>
      </c>
      <c r="N388" s="40">
        <v>216</v>
      </c>
      <c r="O388" s="40">
        <v>252</v>
      </c>
      <c r="P388" s="40">
        <v>296</v>
      </c>
      <c r="Q388" s="40">
        <v>320</v>
      </c>
      <c r="R388" s="40"/>
      <c r="S388" s="630"/>
      <c r="T388" s="653">
        <v>340</v>
      </c>
      <c r="U388" s="40"/>
      <c r="V388" s="630"/>
      <c r="W388" s="653">
        <v>376</v>
      </c>
      <c r="X388" s="40"/>
      <c r="Y388" s="630"/>
      <c r="Z388" s="653">
        <v>412</v>
      </c>
      <c r="AA388" s="10">
        <f t="shared" si="970"/>
        <v>444</v>
      </c>
      <c r="AB388" s="216">
        <f t="shared" si="971"/>
        <v>444</v>
      </c>
      <c r="AC388" s="653">
        <f>111*4</f>
        <v>444</v>
      </c>
      <c r="AD388" s="10">
        <f t="shared" si="972"/>
        <v>452</v>
      </c>
      <c r="AE388" s="216">
        <f t="shared" si="973"/>
        <v>452</v>
      </c>
      <c r="AF388" s="556">
        <v>452</v>
      </c>
      <c r="AG388" s="10">
        <f t="shared" si="974"/>
        <v>464</v>
      </c>
      <c r="AH388" s="216">
        <f t="shared" si="975"/>
        <v>464</v>
      </c>
      <c r="AI388" s="556">
        <f>(43+73)*4</f>
        <v>464</v>
      </c>
      <c r="AJ388" s="10">
        <f t="shared" si="976"/>
        <v>448</v>
      </c>
      <c r="AK388" s="216">
        <f t="shared" si="977"/>
        <v>448</v>
      </c>
      <c r="AL388" s="556">
        <f>(63+49)*4</f>
        <v>448</v>
      </c>
      <c r="AM388" s="10">
        <f>(69+43)*4</f>
        <v>448</v>
      </c>
      <c r="AN388" s="216">
        <f t="shared" si="978"/>
        <v>440</v>
      </c>
      <c r="AO388" s="556">
        <f>(73+37)*4</f>
        <v>440</v>
      </c>
      <c r="AP388" s="10">
        <f>(74+34)*4</f>
        <v>432</v>
      </c>
      <c r="AQ388" s="216">
        <f t="shared" si="979"/>
        <v>428</v>
      </c>
      <c r="AR388" s="556">
        <f>(78+29)*4</f>
        <v>428</v>
      </c>
      <c r="AS388" s="10">
        <f>(82+18)*4</f>
        <v>400</v>
      </c>
      <c r="AT388" s="216">
        <f t="shared" si="980"/>
        <v>388</v>
      </c>
      <c r="AU388" s="556">
        <f>(78+19)*4</f>
        <v>388</v>
      </c>
      <c r="AV388" s="10">
        <f>(81+14)*4</f>
        <v>380</v>
      </c>
      <c r="AW388" s="236">
        <f t="shared" si="981"/>
        <v>368</v>
      </c>
      <c r="AX388" s="605">
        <f t="shared" ref="AX388:BJ388" si="993">AX527</f>
        <v>368</v>
      </c>
      <c r="AY388" s="56">
        <f t="shared" si="983"/>
        <v>348</v>
      </c>
      <c r="AZ388" s="236">
        <f t="shared" si="984"/>
        <v>348</v>
      </c>
      <c r="BA388" s="605">
        <f t="shared" si="993"/>
        <v>348</v>
      </c>
      <c r="BB388" s="56">
        <f t="shared" si="985"/>
        <v>328</v>
      </c>
      <c r="BC388" s="236">
        <f t="shared" si="986"/>
        <v>328</v>
      </c>
      <c r="BD388" s="605">
        <f t="shared" si="993"/>
        <v>328</v>
      </c>
      <c r="BE388" s="56">
        <f t="shared" si="987"/>
        <v>308</v>
      </c>
      <c r="BF388" s="236">
        <f t="shared" si="988"/>
        <v>308</v>
      </c>
      <c r="BG388" s="605">
        <f t="shared" si="993"/>
        <v>308</v>
      </c>
      <c r="BH388" s="56">
        <f t="shared" si="989"/>
        <v>288</v>
      </c>
      <c r="BI388" s="236">
        <f t="shared" si="990"/>
        <v>288</v>
      </c>
      <c r="BJ388" s="605">
        <f t="shared" si="993"/>
        <v>288</v>
      </c>
    </row>
    <row r="389" spans="1:64">
      <c r="A389" s="66" t="s">
        <v>258</v>
      </c>
      <c r="B389" s="40">
        <v>0</v>
      </c>
      <c r="C389" s="40">
        <v>0</v>
      </c>
      <c r="D389" s="40">
        <v>0</v>
      </c>
      <c r="E389" s="40">
        <v>0</v>
      </c>
      <c r="F389" s="40">
        <v>0</v>
      </c>
      <c r="G389" s="40">
        <v>0</v>
      </c>
      <c r="H389" s="40">
        <v>0</v>
      </c>
      <c r="I389" s="40">
        <v>0</v>
      </c>
      <c r="J389" s="40">
        <v>0</v>
      </c>
      <c r="K389" s="40">
        <v>0</v>
      </c>
      <c r="L389" s="40">
        <v>0</v>
      </c>
      <c r="M389" s="40">
        <v>14</v>
      </c>
      <c r="N389" s="40">
        <v>52</v>
      </c>
      <c r="O389" s="40">
        <v>94</v>
      </c>
      <c r="P389" s="40">
        <v>178</v>
      </c>
      <c r="Q389" s="40">
        <v>270</v>
      </c>
      <c r="R389" s="40"/>
      <c r="S389" s="630"/>
      <c r="T389" s="653">
        <v>394</v>
      </c>
      <c r="U389" s="40"/>
      <c r="V389" s="630"/>
      <c r="W389" s="653">
        <v>494</v>
      </c>
      <c r="X389" s="40"/>
      <c r="Y389" s="630"/>
      <c r="Z389" s="653">
        <v>604</v>
      </c>
      <c r="AA389" s="10">
        <f t="shared" si="970"/>
        <v>700</v>
      </c>
      <c r="AB389" s="216">
        <f t="shared" si="971"/>
        <v>700</v>
      </c>
      <c r="AC389" s="653">
        <v>700</v>
      </c>
      <c r="AD389" s="10">
        <f t="shared" si="972"/>
        <v>726</v>
      </c>
      <c r="AE389" s="216">
        <f t="shared" si="973"/>
        <v>726</v>
      </c>
      <c r="AF389" s="556">
        <v>726</v>
      </c>
      <c r="AG389" s="10">
        <f t="shared" si="974"/>
        <v>738</v>
      </c>
      <c r="AH389" s="216">
        <f t="shared" si="975"/>
        <v>738</v>
      </c>
      <c r="AI389" s="556">
        <f>(301+68)*2</f>
        <v>738</v>
      </c>
      <c r="AJ389" s="10">
        <f t="shared" si="976"/>
        <v>750</v>
      </c>
      <c r="AK389" s="216">
        <f t="shared" si="977"/>
        <v>750</v>
      </c>
      <c r="AL389" s="556">
        <f>(329+46)*2</f>
        <v>750</v>
      </c>
      <c r="AM389" s="10">
        <f>(348+29)*2</f>
        <v>754</v>
      </c>
      <c r="AN389" s="216">
        <f t="shared" si="978"/>
        <v>788</v>
      </c>
      <c r="AO389" s="556">
        <f>(361+33)*2</f>
        <v>788</v>
      </c>
      <c r="AP389" s="10">
        <f>(367+33)*2</f>
        <v>800</v>
      </c>
      <c r="AQ389" s="216">
        <f t="shared" si="979"/>
        <v>804</v>
      </c>
      <c r="AR389" s="556">
        <f>(370+32)*2</f>
        <v>804</v>
      </c>
      <c r="AS389" s="10">
        <f>(390+16)*2</f>
        <v>812</v>
      </c>
      <c r="AT389" s="216">
        <f t="shared" si="980"/>
        <v>830</v>
      </c>
      <c r="AU389" s="556">
        <f>(386+29)*2</f>
        <v>830</v>
      </c>
      <c r="AV389" s="10">
        <f>(410+14)*2</f>
        <v>848</v>
      </c>
      <c r="AW389" s="236">
        <f t="shared" si="981"/>
        <v>865.90909090909088</v>
      </c>
      <c r="AX389" s="605">
        <f t="shared" ref="AX389:BJ389" si="994">AX533</f>
        <v>865.90909090909088</v>
      </c>
      <c r="AY389" s="56">
        <f t="shared" si="983"/>
        <v>907.37967914438502</v>
      </c>
      <c r="AZ389" s="236">
        <f t="shared" si="984"/>
        <v>907.37967914438502</v>
      </c>
      <c r="BA389" s="605">
        <f t="shared" si="994"/>
        <v>907.37967914438502</v>
      </c>
      <c r="BB389" s="56">
        <f t="shared" si="985"/>
        <v>948.85026737967917</v>
      </c>
      <c r="BC389" s="236">
        <f t="shared" si="986"/>
        <v>948.85026737967917</v>
      </c>
      <c r="BD389" s="605">
        <f t="shared" si="994"/>
        <v>948.85026737967917</v>
      </c>
      <c r="BE389" s="56">
        <f t="shared" si="987"/>
        <v>990.32085561497331</v>
      </c>
      <c r="BF389" s="236">
        <f t="shared" si="988"/>
        <v>990.32085561497331</v>
      </c>
      <c r="BG389" s="605">
        <f t="shared" si="994"/>
        <v>990.32085561497331</v>
      </c>
      <c r="BH389" s="56">
        <f t="shared" si="989"/>
        <v>1031.7914438502673</v>
      </c>
      <c r="BI389" s="236">
        <f t="shared" si="990"/>
        <v>1031.7914438502673</v>
      </c>
      <c r="BJ389" s="605">
        <f t="shared" si="994"/>
        <v>1031.7914438502673</v>
      </c>
    </row>
    <row r="390" spans="1:64">
      <c r="A390" s="66" t="s">
        <v>486</v>
      </c>
      <c r="B390" s="40">
        <v>0</v>
      </c>
      <c r="C390" s="40">
        <v>0</v>
      </c>
      <c r="D390" s="40">
        <v>0</v>
      </c>
      <c r="E390" s="40">
        <v>0</v>
      </c>
      <c r="F390" s="40">
        <v>0</v>
      </c>
      <c r="G390" s="40">
        <v>0</v>
      </c>
      <c r="H390" s="40">
        <v>0</v>
      </c>
      <c r="I390" s="40">
        <v>0</v>
      </c>
      <c r="J390" s="40">
        <v>0</v>
      </c>
      <c r="K390" s="40">
        <v>0</v>
      </c>
      <c r="L390" s="40">
        <v>0</v>
      </c>
      <c r="M390" s="40">
        <v>0</v>
      </c>
      <c r="N390" s="40">
        <v>0</v>
      </c>
      <c r="O390" s="40">
        <v>0</v>
      </c>
      <c r="P390" s="40">
        <v>12</v>
      </c>
      <c r="Q390" s="40">
        <v>38</v>
      </c>
      <c r="R390" s="40"/>
      <c r="S390" s="630"/>
      <c r="T390" s="653">
        <v>132</v>
      </c>
      <c r="U390" s="40"/>
      <c r="V390" s="630"/>
      <c r="W390" s="653">
        <v>290</v>
      </c>
      <c r="X390" s="40"/>
      <c r="Y390" s="630"/>
      <c r="Z390" s="653">
        <v>448</v>
      </c>
      <c r="AA390" s="10">
        <f t="shared" si="970"/>
        <v>602</v>
      </c>
      <c r="AB390" s="216">
        <f t="shared" si="971"/>
        <v>602</v>
      </c>
      <c r="AC390" s="653">
        <f>702-AC391</f>
        <v>602</v>
      </c>
      <c r="AD390" s="10">
        <f t="shared" si="972"/>
        <v>712</v>
      </c>
      <c r="AE390" s="216">
        <f t="shared" si="973"/>
        <v>712</v>
      </c>
      <c r="AF390" s="556">
        <f>820-AF391</f>
        <v>712</v>
      </c>
      <c r="AG390" s="10">
        <f t="shared" si="974"/>
        <v>732</v>
      </c>
      <c r="AH390" s="216">
        <f t="shared" si="975"/>
        <v>732</v>
      </c>
      <c r="AI390" s="556">
        <f>(297+69)*2</f>
        <v>732</v>
      </c>
      <c r="AJ390" s="10">
        <f t="shared" si="976"/>
        <v>828</v>
      </c>
      <c r="AK390" s="216">
        <f t="shared" si="977"/>
        <v>828</v>
      </c>
      <c r="AL390" s="556">
        <f>(337+77)*2</f>
        <v>828</v>
      </c>
      <c r="AM390" s="10">
        <f>(397+37)*2</f>
        <v>868</v>
      </c>
      <c r="AN390" s="216">
        <f t="shared" si="978"/>
        <v>940</v>
      </c>
      <c r="AO390" s="556">
        <f>(441+29)*2</f>
        <v>940</v>
      </c>
      <c r="AP390" s="10">
        <f>(471+16)*2</f>
        <v>974</v>
      </c>
      <c r="AQ390" s="216">
        <f t="shared" si="979"/>
        <v>1026</v>
      </c>
      <c r="AR390" s="556">
        <f>(498+15)*2</f>
        <v>1026</v>
      </c>
      <c r="AS390" s="10">
        <f>(523+10)*2</f>
        <v>1066</v>
      </c>
      <c r="AT390" s="216">
        <f t="shared" si="980"/>
        <v>1110</v>
      </c>
      <c r="AU390" s="556">
        <f>(543+12)*2</f>
        <v>1110</v>
      </c>
      <c r="AV390" s="10">
        <f>(568+5)*2</f>
        <v>1146</v>
      </c>
      <c r="AW390" s="236">
        <f t="shared" si="981"/>
        <v>1224.1176470588234</v>
      </c>
      <c r="AX390" s="605">
        <f t="shared" ref="AX390:BJ390" si="995">AX539</f>
        <v>1224.1176470588234</v>
      </c>
      <c r="AY390" s="56">
        <f t="shared" si="983"/>
        <v>1362.2571819425443</v>
      </c>
      <c r="AZ390" s="236">
        <f t="shared" si="984"/>
        <v>1362.2571819425443</v>
      </c>
      <c r="BA390" s="605">
        <f t="shared" si="995"/>
        <v>1362.2571819425443</v>
      </c>
      <c r="BB390" s="56">
        <f t="shared" si="985"/>
        <v>1517.1143247996872</v>
      </c>
      <c r="BC390" s="236">
        <f t="shared" si="986"/>
        <v>1517.1143247996872</v>
      </c>
      <c r="BD390" s="605">
        <f t="shared" si="995"/>
        <v>1517.1143247996872</v>
      </c>
      <c r="BE390" s="56">
        <f t="shared" si="987"/>
        <v>1686.828610513973</v>
      </c>
      <c r="BF390" s="236">
        <f t="shared" si="988"/>
        <v>1686.828610513973</v>
      </c>
      <c r="BG390" s="605">
        <f t="shared" si="995"/>
        <v>1686.828610513973</v>
      </c>
      <c r="BH390" s="56">
        <f t="shared" si="989"/>
        <v>1856.5428962282588</v>
      </c>
      <c r="BI390" s="236">
        <f t="shared" si="990"/>
        <v>1856.5428962282588</v>
      </c>
      <c r="BJ390" s="605">
        <f t="shared" si="995"/>
        <v>1856.5428962282588</v>
      </c>
    </row>
    <row r="391" spans="1:64">
      <c r="A391" s="66" t="s">
        <v>487</v>
      </c>
      <c r="B391" s="40">
        <v>0</v>
      </c>
      <c r="C391" s="40">
        <v>0</v>
      </c>
      <c r="D391" s="40">
        <v>0</v>
      </c>
      <c r="E391" s="40">
        <v>0</v>
      </c>
      <c r="F391" s="40">
        <v>0</v>
      </c>
      <c r="G391" s="40">
        <v>0</v>
      </c>
      <c r="H391" s="40">
        <v>0</v>
      </c>
      <c r="I391" s="40">
        <v>0</v>
      </c>
      <c r="J391" s="40">
        <v>0</v>
      </c>
      <c r="K391" s="40">
        <v>0</v>
      </c>
      <c r="L391" s="40">
        <v>0</v>
      </c>
      <c r="M391" s="40">
        <v>0</v>
      </c>
      <c r="N391" s="40">
        <v>0</v>
      </c>
      <c r="O391" s="40">
        <v>0</v>
      </c>
      <c r="P391" s="40">
        <v>0</v>
      </c>
      <c r="Q391" s="40">
        <v>0</v>
      </c>
      <c r="R391" s="40"/>
      <c r="S391" s="630"/>
      <c r="T391" s="653">
        <v>0</v>
      </c>
      <c r="U391" s="40"/>
      <c r="V391" s="630"/>
      <c r="W391" s="653">
        <v>6</v>
      </c>
      <c r="X391" s="40"/>
      <c r="Y391" s="630"/>
      <c r="Z391" s="653">
        <f>+(7+15)*2</f>
        <v>44</v>
      </c>
      <c r="AA391" s="10">
        <f t="shared" si="970"/>
        <v>100</v>
      </c>
      <c r="AB391" s="216">
        <f t="shared" si="971"/>
        <v>100</v>
      </c>
      <c r="AC391" s="653">
        <f>+(14+36)*2</f>
        <v>100</v>
      </c>
      <c r="AD391" s="10">
        <f t="shared" si="972"/>
        <v>108</v>
      </c>
      <c r="AE391" s="216">
        <f t="shared" si="973"/>
        <v>108</v>
      </c>
      <c r="AF391" s="556">
        <f>+(49+5)*2</f>
        <v>108</v>
      </c>
      <c r="AG391" s="10">
        <f t="shared" si="974"/>
        <v>120</v>
      </c>
      <c r="AH391" s="216">
        <f t="shared" si="975"/>
        <v>120</v>
      </c>
      <c r="AI391" s="556">
        <f>+(49+11)*2</f>
        <v>120</v>
      </c>
      <c r="AJ391" s="10">
        <f t="shared" si="976"/>
        <v>140</v>
      </c>
      <c r="AK391" s="216">
        <f t="shared" si="977"/>
        <v>140</v>
      </c>
      <c r="AL391" s="556">
        <f>(62+8)*2</f>
        <v>140</v>
      </c>
      <c r="AM391" s="10">
        <f>(75+0)*2</f>
        <v>150</v>
      </c>
      <c r="AN391" s="216">
        <f t="shared" si="978"/>
        <v>164</v>
      </c>
      <c r="AO391" s="556">
        <f>(81+1)*2</f>
        <v>164</v>
      </c>
      <c r="AP391" s="10">
        <f>(85+1)*2</f>
        <v>172</v>
      </c>
      <c r="AQ391" s="216">
        <f t="shared" si="979"/>
        <v>188</v>
      </c>
      <c r="AR391" s="556">
        <f>(93+1)*2</f>
        <v>188</v>
      </c>
      <c r="AS391" s="10">
        <f>(97+0)*2</f>
        <v>194</v>
      </c>
      <c r="AT391" s="216">
        <f t="shared" si="980"/>
        <v>220</v>
      </c>
      <c r="AU391" s="556">
        <f>(107+3)*2</f>
        <v>220</v>
      </c>
      <c r="AV391" s="10">
        <f>(112+3)*2</f>
        <v>230</v>
      </c>
      <c r="AW391" s="236">
        <f t="shared" si="981"/>
        <v>239.51612903225805</v>
      </c>
      <c r="AX391" s="605">
        <f t="shared" ref="AX391:BJ391" si="996">AX546</f>
        <v>239.51612903225805</v>
      </c>
      <c r="AY391" s="56">
        <f t="shared" si="983"/>
        <v>281.91104594330398</v>
      </c>
      <c r="AZ391" s="236">
        <f t="shared" si="984"/>
        <v>281.91104594330398</v>
      </c>
      <c r="BA391" s="605">
        <f t="shared" si="996"/>
        <v>281.91104594330398</v>
      </c>
      <c r="BB391" s="56">
        <f t="shared" si="985"/>
        <v>330.37806911620953</v>
      </c>
      <c r="BC391" s="236">
        <f t="shared" si="986"/>
        <v>330.37806911620953</v>
      </c>
      <c r="BD391" s="605">
        <f t="shared" si="996"/>
        <v>330.37806911620953</v>
      </c>
      <c r="BE391" s="56">
        <f t="shared" si="987"/>
        <v>383.90748088091539</v>
      </c>
      <c r="BF391" s="236">
        <f t="shared" si="988"/>
        <v>383.90748088091539</v>
      </c>
      <c r="BG391" s="605">
        <f t="shared" si="996"/>
        <v>383.90748088091539</v>
      </c>
      <c r="BH391" s="56">
        <f t="shared" si="989"/>
        <v>439.78983382209185</v>
      </c>
      <c r="BI391" s="236">
        <f t="shared" si="990"/>
        <v>439.78983382209185</v>
      </c>
      <c r="BJ391" s="605">
        <f t="shared" si="996"/>
        <v>439.78983382209185</v>
      </c>
    </row>
    <row r="392" spans="1:64">
      <c r="A392" s="66" t="s">
        <v>277</v>
      </c>
      <c r="B392" s="40">
        <v>0</v>
      </c>
      <c r="C392" s="40">
        <v>0</v>
      </c>
      <c r="D392" s="40">
        <v>0</v>
      </c>
      <c r="E392" s="40">
        <v>0</v>
      </c>
      <c r="F392" s="40">
        <v>0</v>
      </c>
      <c r="G392" s="40">
        <v>0</v>
      </c>
      <c r="H392" s="40">
        <v>0</v>
      </c>
      <c r="I392" s="40">
        <v>0</v>
      </c>
      <c r="J392" s="40">
        <v>0</v>
      </c>
      <c r="K392" s="40">
        <v>0</v>
      </c>
      <c r="L392" s="40">
        <v>0</v>
      </c>
      <c r="M392" s="40">
        <v>0</v>
      </c>
      <c r="N392" s="40">
        <v>0</v>
      </c>
      <c r="O392" s="40">
        <v>0</v>
      </c>
      <c r="P392" s="40">
        <v>0</v>
      </c>
      <c r="Q392" s="40">
        <v>0</v>
      </c>
      <c r="R392" s="40"/>
      <c r="S392" s="630"/>
      <c r="T392" s="653">
        <v>0</v>
      </c>
      <c r="U392" s="40"/>
      <c r="V392" s="630"/>
      <c r="W392" s="653">
        <v>0</v>
      </c>
      <c r="X392" s="40"/>
      <c r="Y392" s="630"/>
      <c r="Z392" s="653">
        <v>12</v>
      </c>
      <c r="AA392" s="10">
        <f t="shared" si="970"/>
        <v>94</v>
      </c>
      <c r="AB392" s="216">
        <f t="shared" si="971"/>
        <v>94</v>
      </c>
      <c r="AC392" s="653">
        <v>94</v>
      </c>
      <c r="AD392" s="10">
        <f t="shared" si="972"/>
        <v>120</v>
      </c>
      <c r="AE392" s="216">
        <f t="shared" si="973"/>
        <v>120</v>
      </c>
      <c r="AF392" s="556">
        <v>120</v>
      </c>
      <c r="AG392" s="10">
        <f t="shared" si="974"/>
        <v>146</v>
      </c>
      <c r="AH392" s="216">
        <f t="shared" si="975"/>
        <v>146</v>
      </c>
      <c r="AI392" s="556">
        <f>(64+9)*2</f>
        <v>146</v>
      </c>
      <c r="AJ392" s="10">
        <f t="shared" si="976"/>
        <v>192</v>
      </c>
      <c r="AK392" s="216">
        <f t="shared" si="977"/>
        <v>192</v>
      </c>
      <c r="AL392" s="556">
        <f>(84+12)*2</f>
        <v>192</v>
      </c>
      <c r="AM392" s="10">
        <f>(98+10)*2</f>
        <v>216</v>
      </c>
      <c r="AN392" s="216">
        <f t="shared" si="978"/>
        <v>250</v>
      </c>
      <c r="AO392" s="556">
        <f>(111+14)*2</f>
        <v>250</v>
      </c>
      <c r="AP392" s="10">
        <f>(129+9)*2</f>
        <v>276</v>
      </c>
      <c r="AQ392" s="216">
        <f t="shared" si="979"/>
        <v>310</v>
      </c>
      <c r="AR392" s="556">
        <f>(146+9)*2</f>
        <v>310</v>
      </c>
      <c r="AS392" s="10">
        <f>(156+10)*2</f>
        <v>332</v>
      </c>
      <c r="AT392" s="216">
        <f t="shared" si="980"/>
        <v>378</v>
      </c>
      <c r="AU392" s="556">
        <f>(177+12)*2</f>
        <v>378</v>
      </c>
      <c r="AV392" s="10">
        <f>(180+17)*2</f>
        <v>394</v>
      </c>
      <c r="AW392" s="236">
        <f t="shared" si="981"/>
        <v>435.64705882352939</v>
      </c>
      <c r="AX392" s="605">
        <f t="shared" ref="AX392:BJ392" si="997">AX551</f>
        <v>435.64705882352939</v>
      </c>
      <c r="AY392" s="56">
        <f t="shared" si="983"/>
        <v>508.29411764705878</v>
      </c>
      <c r="AZ392" s="236">
        <f t="shared" si="984"/>
        <v>508.29411764705878</v>
      </c>
      <c r="BA392" s="605">
        <f t="shared" si="997"/>
        <v>508.29411764705878</v>
      </c>
      <c r="BB392" s="56">
        <f t="shared" si="985"/>
        <v>580.94117647058818</v>
      </c>
      <c r="BC392" s="236">
        <f t="shared" si="986"/>
        <v>580.94117647058818</v>
      </c>
      <c r="BD392" s="605">
        <f t="shared" si="997"/>
        <v>580.94117647058818</v>
      </c>
      <c r="BE392" s="56">
        <f t="shared" si="987"/>
        <v>654.79831932773106</v>
      </c>
      <c r="BF392" s="236">
        <f t="shared" si="988"/>
        <v>654.79831932773106</v>
      </c>
      <c r="BG392" s="605">
        <f t="shared" si="997"/>
        <v>654.79831932773106</v>
      </c>
      <c r="BH392" s="56">
        <f t="shared" si="989"/>
        <v>728.65546218487395</v>
      </c>
      <c r="BI392" s="236">
        <f t="shared" si="990"/>
        <v>728.65546218487395</v>
      </c>
      <c r="BJ392" s="605">
        <f t="shared" si="997"/>
        <v>728.65546218487395</v>
      </c>
    </row>
    <row r="393" spans="1:64">
      <c r="A393" s="62" t="s">
        <v>259</v>
      </c>
      <c r="B393" s="82">
        <f t="shared" ref="B393:BJ393" si="998">SUM(B385:B392)</f>
        <v>358</v>
      </c>
      <c r="C393" s="82">
        <f t="shared" si="998"/>
        <v>486</v>
      </c>
      <c r="D393" s="82">
        <f t="shared" si="998"/>
        <v>598</v>
      </c>
      <c r="E393" s="82">
        <f t="shared" si="998"/>
        <v>742</v>
      </c>
      <c r="F393" s="82">
        <f t="shared" si="998"/>
        <v>876</v>
      </c>
      <c r="G393" s="82">
        <f t="shared" si="998"/>
        <v>1014</v>
      </c>
      <c r="H393" s="82">
        <f t="shared" si="998"/>
        <v>1200</v>
      </c>
      <c r="I393" s="82">
        <f t="shared" si="998"/>
        <v>1312</v>
      </c>
      <c r="J393" s="82">
        <f t="shared" si="998"/>
        <v>1428</v>
      </c>
      <c r="K393" s="82">
        <f t="shared" si="998"/>
        <v>1634</v>
      </c>
      <c r="L393" s="82">
        <f t="shared" si="998"/>
        <v>1790</v>
      </c>
      <c r="M393" s="82">
        <f t="shared" si="998"/>
        <v>1980</v>
      </c>
      <c r="N393" s="82">
        <f t="shared" si="998"/>
        <v>2222</v>
      </c>
      <c r="O393" s="82">
        <f t="shared" si="998"/>
        <v>2454</v>
      </c>
      <c r="P393" s="82">
        <f t="shared" si="998"/>
        <v>2746</v>
      </c>
      <c r="Q393" s="82">
        <f t="shared" si="998"/>
        <v>3000</v>
      </c>
      <c r="R393" s="82"/>
      <c r="S393" s="694"/>
      <c r="T393" s="709">
        <f t="shared" si="998"/>
        <v>3312</v>
      </c>
      <c r="U393" s="82"/>
      <c r="V393" s="694"/>
      <c r="W393" s="709">
        <f t="shared" si="998"/>
        <v>3704</v>
      </c>
      <c r="X393" s="82"/>
      <c r="Y393" s="694"/>
      <c r="Z393" s="709">
        <f t="shared" si="998"/>
        <v>4120</v>
      </c>
      <c r="AA393" s="190">
        <f t="shared" ref="AA393:AB393" si="999">SUM(AA385:AA392)</f>
        <v>4472</v>
      </c>
      <c r="AB393" s="226">
        <f t="shared" si="999"/>
        <v>4472</v>
      </c>
      <c r="AC393" s="709">
        <f t="shared" si="998"/>
        <v>4472</v>
      </c>
      <c r="AD393" s="190">
        <f t="shared" ref="AD393:AE393" si="1000">SUM(AD385:AD392)</f>
        <v>4572</v>
      </c>
      <c r="AE393" s="226">
        <f t="shared" si="1000"/>
        <v>4572</v>
      </c>
      <c r="AF393" s="555">
        <f t="shared" si="998"/>
        <v>4572</v>
      </c>
      <c r="AG393" s="190">
        <f t="shared" si="998"/>
        <v>4644</v>
      </c>
      <c r="AH393" s="226">
        <f t="shared" si="998"/>
        <v>4644</v>
      </c>
      <c r="AI393" s="555">
        <f t="shared" si="998"/>
        <v>4644</v>
      </c>
      <c r="AJ393" s="190">
        <f t="shared" ref="AJ393:AK393" si="1001">SUM(AJ385:AJ392)</f>
        <v>4802</v>
      </c>
      <c r="AK393" s="226">
        <f t="shared" si="1001"/>
        <v>4802</v>
      </c>
      <c r="AL393" s="555">
        <f t="shared" si="998"/>
        <v>4802</v>
      </c>
      <c r="AM393" s="190">
        <f t="shared" si="998"/>
        <v>4836</v>
      </c>
      <c r="AN393" s="226">
        <f t="shared" si="998"/>
        <v>4954</v>
      </c>
      <c r="AO393" s="555">
        <f t="shared" si="998"/>
        <v>4954</v>
      </c>
      <c r="AP393" s="190">
        <f t="shared" ref="AP393:AQ393" si="1002">SUM(AP385:AP392)</f>
        <v>4962</v>
      </c>
      <c r="AQ393" s="226">
        <f t="shared" si="1002"/>
        <v>5064</v>
      </c>
      <c r="AR393" s="555">
        <f t="shared" si="998"/>
        <v>5064</v>
      </c>
      <c r="AS393" s="190">
        <f t="shared" si="998"/>
        <v>5084</v>
      </c>
      <c r="AT393" s="226">
        <f t="shared" ref="AT393" si="1003">SUM(AT385:AT392)</f>
        <v>5184</v>
      </c>
      <c r="AU393" s="555">
        <f t="shared" si="998"/>
        <v>5184</v>
      </c>
      <c r="AV393" s="190">
        <f t="shared" si="998"/>
        <v>5242</v>
      </c>
      <c r="AW393" s="241">
        <f t="shared" ref="AW393" si="1004">SUM(AW385:AW392)</f>
        <v>5317.1899258237027</v>
      </c>
      <c r="AX393" s="579">
        <f t="shared" si="998"/>
        <v>5317.1899258237027</v>
      </c>
      <c r="AY393" s="204">
        <f t="shared" si="998"/>
        <v>5516.8420246772921</v>
      </c>
      <c r="AZ393" s="241">
        <f t="shared" ref="AZ393" si="1005">SUM(AZ385:AZ392)</f>
        <v>5516.8420246772921</v>
      </c>
      <c r="BA393" s="579">
        <f t="shared" si="998"/>
        <v>5516.8420246772921</v>
      </c>
      <c r="BB393" s="204">
        <f t="shared" si="998"/>
        <v>5739.2838377661637</v>
      </c>
      <c r="BC393" s="241">
        <f t="shared" ref="BC393" si="1006">SUM(BC385:BC392)</f>
        <v>5739.2838377661637</v>
      </c>
      <c r="BD393" s="579">
        <f t="shared" si="998"/>
        <v>5739.2838377661637</v>
      </c>
      <c r="BE393" s="204">
        <f t="shared" si="998"/>
        <v>5982.8552663375931</v>
      </c>
      <c r="BF393" s="241">
        <f t="shared" ref="BF393" si="1007">SUM(BF385:BF392)</f>
        <v>5982.8552663375931</v>
      </c>
      <c r="BG393" s="579">
        <f t="shared" si="998"/>
        <v>5982.8552663375931</v>
      </c>
      <c r="BH393" s="204">
        <f t="shared" si="998"/>
        <v>6228.7796360854918</v>
      </c>
      <c r="BI393" s="241">
        <f t="shared" ref="BI393" si="1008">SUM(BI385:BI392)</f>
        <v>6228.7796360854918</v>
      </c>
      <c r="BJ393" s="579">
        <f t="shared" si="998"/>
        <v>6228.7796360854918</v>
      </c>
    </row>
    <row r="394" spans="1:64" ht="10.8" thickBot="1">
      <c r="A394" s="37" t="s">
        <v>260</v>
      </c>
      <c r="B394" s="84">
        <f t="shared" ref="B394:BJ394" si="1009">B384+B393</f>
        <v>2772</v>
      </c>
      <c r="C394" s="84">
        <f t="shared" si="1009"/>
        <v>2903</v>
      </c>
      <c r="D394" s="84">
        <f t="shared" si="1009"/>
        <v>3001</v>
      </c>
      <c r="E394" s="84">
        <f t="shared" si="1009"/>
        <v>3123</v>
      </c>
      <c r="F394" s="84">
        <f t="shared" si="1009"/>
        <v>3229</v>
      </c>
      <c r="G394" s="84">
        <f t="shared" si="1009"/>
        <v>3342</v>
      </c>
      <c r="H394" s="84">
        <f t="shared" si="1009"/>
        <v>3444</v>
      </c>
      <c r="I394" s="84">
        <f t="shared" si="1009"/>
        <v>3528</v>
      </c>
      <c r="J394" s="84">
        <f t="shared" si="1009"/>
        <v>3569</v>
      </c>
      <c r="K394" s="84">
        <f t="shared" si="1009"/>
        <v>3708</v>
      </c>
      <c r="L394" s="84">
        <f t="shared" si="1009"/>
        <v>3790</v>
      </c>
      <c r="M394" s="84">
        <f t="shared" si="1009"/>
        <v>3916</v>
      </c>
      <c r="N394" s="84">
        <f t="shared" si="1009"/>
        <v>4085</v>
      </c>
      <c r="O394" s="84">
        <f t="shared" si="1009"/>
        <v>4240</v>
      </c>
      <c r="P394" s="84">
        <f t="shared" si="1009"/>
        <v>4464</v>
      </c>
      <c r="Q394" s="84">
        <f t="shared" si="1009"/>
        <v>4618</v>
      </c>
      <c r="R394" s="84"/>
      <c r="S394" s="632"/>
      <c r="T394" s="655">
        <f t="shared" si="1009"/>
        <v>4735</v>
      </c>
      <c r="U394" s="84"/>
      <c r="V394" s="632"/>
      <c r="W394" s="655">
        <f t="shared" si="1009"/>
        <v>5059</v>
      </c>
      <c r="X394" s="84"/>
      <c r="Y394" s="632"/>
      <c r="Z394" s="655">
        <f t="shared" si="1009"/>
        <v>5402</v>
      </c>
      <c r="AA394" s="22">
        <f t="shared" ref="AA394:AB394" si="1010">AA384+AA393</f>
        <v>5664</v>
      </c>
      <c r="AB394" s="227">
        <f t="shared" si="1010"/>
        <v>5664</v>
      </c>
      <c r="AC394" s="655">
        <f t="shared" si="1009"/>
        <v>5664</v>
      </c>
      <c r="AD394" s="22">
        <f t="shared" ref="AD394:AE394" si="1011">AD384+AD393</f>
        <v>5642</v>
      </c>
      <c r="AE394" s="227">
        <f t="shared" si="1011"/>
        <v>5642</v>
      </c>
      <c r="AF394" s="557">
        <f t="shared" si="1009"/>
        <v>5642</v>
      </c>
      <c r="AG394" s="22">
        <f t="shared" si="1009"/>
        <v>5696</v>
      </c>
      <c r="AH394" s="227">
        <f t="shared" si="1009"/>
        <v>5696</v>
      </c>
      <c r="AI394" s="557">
        <f t="shared" si="1009"/>
        <v>5696</v>
      </c>
      <c r="AJ394" s="22">
        <f t="shared" ref="AJ394:AK394" si="1012">AJ384+AJ393</f>
        <v>5840</v>
      </c>
      <c r="AK394" s="227">
        <f t="shared" si="1012"/>
        <v>5840</v>
      </c>
      <c r="AL394" s="557">
        <f t="shared" si="1009"/>
        <v>5840</v>
      </c>
      <c r="AM394" s="22">
        <f t="shared" si="1009"/>
        <v>5848</v>
      </c>
      <c r="AN394" s="227">
        <f t="shared" si="1009"/>
        <v>5946</v>
      </c>
      <c r="AO394" s="557">
        <f t="shared" si="1009"/>
        <v>5946</v>
      </c>
      <c r="AP394" s="22">
        <f t="shared" ref="AP394:AQ394" si="1013">AP384+AP393</f>
        <v>5930</v>
      </c>
      <c r="AQ394" s="227">
        <f t="shared" si="1013"/>
        <v>6014</v>
      </c>
      <c r="AR394" s="557">
        <f t="shared" si="1009"/>
        <v>6014</v>
      </c>
      <c r="AS394" s="22">
        <f t="shared" si="1009"/>
        <v>6014</v>
      </c>
      <c r="AT394" s="227">
        <f t="shared" ref="AT394" si="1014">AT384+AT393</f>
        <v>6102</v>
      </c>
      <c r="AU394" s="557">
        <f t="shared" si="1009"/>
        <v>6102</v>
      </c>
      <c r="AV394" s="22">
        <f t="shared" si="1009"/>
        <v>6146</v>
      </c>
      <c r="AW394" s="244">
        <f t="shared" ref="AW394" si="1015">AW384+AW393</f>
        <v>6185.1899258237027</v>
      </c>
      <c r="AX394" s="581">
        <f t="shared" si="1009"/>
        <v>6185.1899258237027</v>
      </c>
      <c r="AY394" s="181">
        <f t="shared" si="1009"/>
        <v>6334.8420246772921</v>
      </c>
      <c r="AZ394" s="244">
        <f t="shared" ref="AZ394" si="1016">AZ384+AZ393</f>
        <v>6334.8420246772921</v>
      </c>
      <c r="BA394" s="581">
        <f t="shared" si="1009"/>
        <v>6334.8420246772921</v>
      </c>
      <c r="BB394" s="181">
        <f t="shared" si="1009"/>
        <v>6507.2838377661637</v>
      </c>
      <c r="BC394" s="244">
        <f t="shared" ref="BC394" si="1017">BC384+BC393</f>
        <v>6507.2838377661637</v>
      </c>
      <c r="BD394" s="581">
        <f t="shared" si="1009"/>
        <v>6507.2838377661637</v>
      </c>
      <c r="BE394" s="181">
        <f t="shared" si="1009"/>
        <v>6700.8552663375931</v>
      </c>
      <c r="BF394" s="244">
        <f t="shared" ref="BF394" si="1018">BF384+BF393</f>
        <v>6700.8552663375931</v>
      </c>
      <c r="BG394" s="581">
        <f t="shared" si="1009"/>
        <v>6700.8552663375931</v>
      </c>
      <c r="BH394" s="181">
        <f t="shared" si="1009"/>
        <v>6896.7796360854918</v>
      </c>
      <c r="BI394" s="244">
        <f t="shared" ref="BI394" si="1019">BI384+BI393</f>
        <v>6896.7796360854918</v>
      </c>
      <c r="BJ394" s="581">
        <f t="shared" si="1009"/>
        <v>6896.7796360854918</v>
      </c>
      <c r="BL394" s="32"/>
    </row>
    <row r="395" spans="1:64">
      <c r="A395" s="66" t="s">
        <v>261</v>
      </c>
      <c r="B395" s="40">
        <v>1472</v>
      </c>
      <c r="C395" s="40">
        <v>1442</v>
      </c>
      <c r="D395" s="40">
        <v>1408</v>
      </c>
      <c r="E395" s="40">
        <v>1376</v>
      </c>
      <c r="F395" s="40">
        <v>1342</v>
      </c>
      <c r="G395" s="40">
        <v>1246</v>
      </c>
      <c r="H395" s="40">
        <v>1204</v>
      </c>
      <c r="I395" s="40">
        <v>1158</v>
      </c>
      <c r="J395" s="40">
        <v>1132</v>
      </c>
      <c r="K395" s="40">
        <v>1056</v>
      </c>
      <c r="L395" s="40">
        <v>1000</v>
      </c>
      <c r="M395" s="40">
        <v>892</v>
      </c>
      <c r="N395" s="40">
        <v>848</v>
      </c>
      <c r="O395" s="40">
        <v>768</v>
      </c>
      <c r="P395" s="40">
        <v>690</v>
      </c>
      <c r="Q395" s="40">
        <v>590</v>
      </c>
      <c r="R395" s="40"/>
      <c r="S395" s="630"/>
      <c r="T395" s="653">
        <v>516</v>
      </c>
      <c r="U395" s="40"/>
      <c r="V395" s="630"/>
      <c r="W395" s="653">
        <v>434</v>
      </c>
      <c r="X395" s="40"/>
      <c r="Y395" s="630"/>
      <c r="Z395" s="653">
        <v>392</v>
      </c>
      <c r="AA395" s="10">
        <f>AC395</f>
        <v>330</v>
      </c>
      <c r="AB395" s="216">
        <f>AC395</f>
        <v>330</v>
      </c>
      <c r="AC395" s="653">
        <v>330</v>
      </c>
      <c r="AD395" s="10">
        <f>AF395</f>
        <v>284</v>
      </c>
      <c r="AE395" s="216">
        <f>AF395</f>
        <v>284</v>
      </c>
      <c r="AF395" s="556">
        <v>284</v>
      </c>
      <c r="AG395" s="10">
        <f>AI395</f>
        <v>272</v>
      </c>
      <c r="AH395" s="216">
        <f>AI395</f>
        <v>272</v>
      </c>
      <c r="AI395" s="556">
        <f>(103+33)*2</f>
        <v>272</v>
      </c>
      <c r="AJ395" s="10">
        <f>AL395</f>
        <v>260</v>
      </c>
      <c r="AK395" s="216">
        <f>AL395</f>
        <v>260</v>
      </c>
      <c r="AL395" s="556">
        <f>(100+30)*2</f>
        <v>260</v>
      </c>
      <c r="AM395" s="10">
        <f>(92+33)*2</f>
        <v>250</v>
      </c>
      <c r="AN395" s="216">
        <f>AO395</f>
        <v>246</v>
      </c>
      <c r="AO395" s="556">
        <f>(91+32)*2</f>
        <v>246</v>
      </c>
      <c r="AP395" s="10">
        <f>(66+47)*2</f>
        <v>226</v>
      </c>
      <c r="AQ395" s="216">
        <f>AR395</f>
        <v>208</v>
      </c>
      <c r="AR395" s="556">
        <f>(64+40)*2</f>
        <v>208</v>
      </c>
      <c r="AS395" s="10">
        <f>(43+28)*2</f>
        <v>142</v>
      </c>
      <c r="AT395" s="216">
        <f>AU395</f>
        <v>122</v>
      </c>
      <c r="AU395" s="556">
        <f>(44+17)*2</f>
        <v>122</v>
      </c>
      <c r="AV395" s="10">
        <f>(44+17)*2</f>
        <v>122</v>
      </c>
      <c r="AW395" s="236">
        <f>AX395</f>
        <v>218</v>
      </c>
      <c r="AX395" s="605">
        <f t="shared" ref="AX395:BJ395" si="1020">AX560</f>
        <v>218</v>
      </c>
      <c r="AY395" s="56">
        <f>BA395</f>
        <v>208</v>
      </c>
      <c r="AZ395" s="236">
        <f>BA395</f>
        <v>208</v>
      </c>
      <c r="BA395" s="605">
        <f t="shared" si="1020"/>
        <v>208</v>
      </c>
      <c r="BB395" s="56">
        <f>BD395</f>
        <v>198</v>
      </c>
      <c r="BC395" s="236">
        <f>BD395</f>
        <v>198</v>
      </c>
      <c r="BD395" s="605">
        <f t="shared" si="1020"/>
        <v>198</v>
      </c>
      <c r="BE395" s="56">
        <f>BG395</f>
        <v>188</v>
      </c>
      <c r="BF395" s="236">
        <f>BG395</f>
        <v>188</v>
      </c>
      <c r="BG395" s="605">
        <f t="shared" si="1020"/>
        <v>188</v>
      </c>
      <c r="BH395" s="56">
        <f>BJ395</f>
        <v>178</v>
      </c>
      <c r="BI395" s="236">
        <f>BJ395</f>
        <v>178</v>
      </c>
      <c r="BJ395" s="605">
        <f t="shared" si="1020"/>
        <v>178</v>
      </c>
    </row>
    <row r="396" spans="1:64">
      <c r="A396" s="66" t="s">
        <v>262</v>
      </c>
      <c r="B396" s="40">
        <v>1640</v>
      </c>
      <c r="C396" s="40">
        <v>1714</v>
      </c>
      <c r="D396" s="40">
        <v>1772</v>
      </c>
      <c r="E396" s="40">
        <v>1830</v>
      </c>
      <c r="F396" s="40">
        <v>1847</v>
      </c>
      <c r="G396" s="40">
        <v>1866</v>
      </c>
      <c r="H396" s="40">
        <v>1890</v>
      </c>
      <c r="I396" s="40">
        <v>1903</v>
      </c>
      <c r="J396" s="40">
        <v>1951</v>
      </c>
      <c r="K396" s="40">
        <v>2017</v>
      </c>
      <c r="L396" s="40">
        <v>2057</v>
      </c>
      <c r="M396" s="40">
        <v>2077</v>
      </c>
      <c r="N396" s="40">
        <v>2119</v>
      </c>
      <c r="O396" s="40">
        <v>2155</v>
      </c>
      <c r="P396" s="40">
        <v>2177</v>
      </c>
      <c r="Q396" s="40">
        <v>2201</v>
      </c>
      <c r="R396" s="40"/>
      <c r="S396" s="630"/>
      <c r="T396" s="653">
        <v>2203</v>
      </c>
      <c r="U396" s="40"/>
      <c r="V396" s="630"/>
      <c r="W396" s="653">
        <v>2161</v>
      </c>
      <c r="X396" s="40"/>
      <c r="Y396" s="630"/>
      <c r="Z396" s="653">
        <v>2111</v>
      </c>
      <c r="AA396" s="10">
        <f>AC396</f>
        <v>2066</v>
      </c>
      <c r="AB396" s="216">
        <f>AC396</f>
        <v>2066</v>
      </c>
      <c r="AC396" s="653">
        <f>(865+46+121+1)*2</f>
        <v>2066</v>
      </c>
      <c r="AD396" s="10">
        <f>AF396</f>
        <v>2111</v>
      </c>
      <c r="AE396" s="216">
        <f>AF396</f>
        <v>2111</v>
      </c>
      <c r="AF396" s="556">
        <v>2111</v>
      </c>
      <c r="AG396" s="10">
        <f>AI396</f>
        <v>1976</v>
      </c>
      <c r="AH396" s="216">
        <f>AI396</f>
        <v>1976</v>
      </c>
      <c r="AI396" s="556">
        <f>(919+69)*2</f>
        <v>1976</v>
      </c>
      <c r="AJ396" s="10">
        <f>AL396</f>
        <v>1966</v>
      </c>
      <c r="AK396" s="216">
        <f>AL396</f>
        <v>1966</v>
      </c>
      <c r="AL396" s="556">
        <f>(921+62)*2</f>
        <v>1966</v>
      </c>
      <c r="AM396" s="10">
        <f>(913+68)*2</f>
        <v>1962</v>
      </c>
      <c r="AN396" s="216">
        <f>AO396</f>
        <v>1954</v>
      </c>
      <c r="AO396" s="556">
        <f>(910+67)*2</f>
        <v>1954</v>
      </c>
      <c r="AP396" s="10">
        <f>(887+84)*2</f>
        <v>1942</v>
      </c>
      <c r="AQ396" s="216">
        <f>AR396</f>
        <v>1926</v>
      </c>
      <c r="AR396" s="556">
        <f>(887+76)*2</f>
        <v>1926</v>
      </c>
      <c r="AS396" s="10">
        <f>(883+76)*2</f>
        <v>1918</v>
      </c>
      <c r="AT396" s="216">
        <f>AU396</f>
        <v>1882</v>
      </c>
      <c r="AU396" s="556">
        <f>(859+82)*2</f>
        <v>1882</v>
      </c>
      <c r="AV396" s="10">
        <f>(863+74)*2</f>
        <v>1874</v>
      </c>
      <c r="AW396" s="236">
        <f>AX396</f>
        <v>1852</v>
      </c>
      <c r="AX396" s="605">
        <f t="shared" ref="AX396:BJ396" si="1021">AX566</f>
        <v>1852</v>
      </c>
      <c r="AY396" s="56">
        <f>BA396</f>
        <v>1822</v>
      </c>
      <c r="AZ396" s="236">
        <f>BA396</f>
        <v>1822</v>
      </c>
      <c r="BA396" s="605">
        <f t="shared" si="1021"/>
        <v>1822</v>
      </c>
      <c r="BB396" s="56">
        <f>BD396</f>
        <v>1792</v>
      </c>
      <c r="BC396" s="236">
        <f>BD396</f>
        <v>1792</v>
      </c>
      <c r="BD396" s="605">
        <f t="shared" si="1021"/>
        <v>1792</v>
      </c>
      <c r="BE396" s="56">
        <f>BG396</f>
        <v>1762</v>
      </c>
      <c r="BF396" s="236">
        <f>BG396</f>
        <v>1762</v>
      </c>
      <c r="BG396" s="605">
        <f t="shared" si="1021"/>
        <v>1762</v>
      </c>
      <c r="BH396" s="56">
        <f>BJ396</f>
        <v>1732</v>
      </c>
      <c r="BI396" s="236">
        <f>BJ396</f>
        <v>1732</v>
      </c>
      <c r="BJ396" s="605">
        <f t="shared" si="1021"/>
        <v>1732</v>
      </c>
    </row>
    <row r="397" spans="1:64">
      <c r="A397" s="66" t="s">
        <v>263</v>
      </c>
      <c r="B397" s="40">
        <v>986</v>
      </c>
      <c r="C397" s="40">
        <v>1380</v>
      </c>
      <c r="D397" s="40">
        <v>1718</v>
      </c>
      <c r="E397" s="40">
        <v>1966</v>
      </c>
      <c r="F397" s="40">
        <v>2200</v>
      </c>
      <c r="G397" s="40">
        <v>2370</v>
      </c>
      <c r="H397" s="40">
        <v>2476</v>
      </c>
      <c r="I397" s="40">
        <v>2596</v>
      </c>
      <c r="J397" s="40">
        <v>2710</v>
      </c>
      <c r="K397" s="40">
        <v>2782</v>
      </c>
      <c r="L397" s="40">
        <v>2814</v>
      </c>
      <c r="M397" s="40">
        <v>2850</v>
      </c>
      <c r="N397" s="40">
        <v>2896</v>
      </c>
      <c r="O397" s="40">
        <v>2950</v>
      </c>
      <c r="P397" s="40">
        <v>2976</v>
      </c>
      <c r="Q397" s="40">
        <v>2970</v>
      </c>
      <c r="R397" s="40"/>
      <c r="S397" s="630"/>
      <c r="T397" s="653">
        <v>2966</v>
      </c>
      <c r="U397" s="40"/>
      <c r="V397" s="630"/>
      <c r="W397" s="653">
        <v>2938</v>
      </c>
      <c r="X397" s="40"/>
      <c r="Y397" s="630"/>
      <c r="Z397" s="653">
        <v>2924</v>
      </c>
      <c r="AA397" s="10">
        <f>AC397</f>
        <v>2864</v>
      </c>
      <c r="AB397" s="216">
        <f>AC397</f>
        <v>2864</v>
      </c>
      <c r="AC397" s="653">
        <f>(1092+340)*2</f>
        <v>2864</v>
      </c>
      <c r="AD397" s="10">
        <f>AF397</f>
        <v>2924</v>
      </c>
      <c r="AE397" s="216">
        <f>AF397</f>
        <v>2924</v>
      </c>
      <c r="AF397" s="556">
        <v>2924</v>
      </c>
      <c r="AG397" s="10">
        <f>AI397</f>
        <v>2758</v>
      </c>
      <c r="AH397" s="216">
        <f>AI397</f>
        <v>2758</v>
      </c>
      <c r="AI397" s="556">
        <f>(1060+319)*2</f>
        <v>2758</v>
      </c>
      <c r="AJ397" s="10">
        <f>AL397</f>
        <v>2740</v>
      </c>
      <c r="AK397" s="216">
        <f>AL397</f>
        <v>2740</v>
      </c>
      <c r="AL397" s="556">
        <f>(968+402)*2</f>
        <v>2740</v>
      </c>
      <c r="AM397" s="10">
        <f>(990+367)*2</f>
        <v>2714</v>
      </c>
      <c r="AN397" s="216">
        <f>AO397</f>
        <v>2694</v>
      </c>
      <c r="AO397" s="556">
        <f>(1010+337)*2</f>
        <v>2694</v>
      </c>
      <c r="AP397" s="10">
        <f>(964+373)*2</f>
        <v>2674</v>
      </c>
      <c r="AQ397" s="216">
        <f>AR397</f>
        <v>2628</v>
      </c>
      <c r="AR397" s="556">
        <f>(962+352)*2</f>
        <v>2628</v>
      </c>
      <c r="AS397" s="10">
        <f>(995+313)*2</f>
        <v>2616</v>
      </c>
      <c r="AT397" s="216">
        <f>AU397</f>
        <v>2598</v>
      </c>
      <c r="AU397" s="556">
        <f>(985+314)*2</f>
        <v>2598</v>
      </c>
      <c r="AV397" s="10">
        <f>(967+329)*2</f>
        <v>2592</v>
      </c>
      <c r="AW397" s="236">
        <f>AX397</f>
        <v>2548</v>
      </c>
      <c r="AX397" s="605">
        <f t="shared" ref="AX397:BJ397" si="1022">AX572</f>
        <v>2548</v>
      </c>
      <c r="AY397" s="56">
        <f>BA397</f>
        <v>2498</v>
      </c>
      <c r="AZ397" s="236">
        <f>BA397</f>
        <v>2498</v>
      </c>
      <c r="BA397" s="605">
        <f t="shared" si="1022"/>
        <v>2498</v>
      </c>
      <c r="BB397" s="56">
        <f>BD397</f>
        <v>2448</v>
      </c>
      <c r="BC397" s="236">
        <f>BD397</f>
        <v>2448</v>
      </c>
      <c r="BD397" s="605">
        <f t="shared" si="1022"/>
        <v>2448</v>
      </c>
      <c r="BE397" s="56">
        <f>BG397</f>
        <v>2398</v>
      </c>
      <c r="BF397" s="236">
        <f>BG397</f>
        <v>2398</v>
      </c>
      <c r="BG397" s="605">
        <f t="shared" si="1022"/>
        <v>2398</v>
      </c>
      <c r="BH397" s="56">
        <f>BJ397</f>
        <v>2348</v>
      </c>
      <c r="BI397" s="236">
        <f>BJ397</f>
        <v>2348</v>
      </c>
      <c r="BJ397" s="605">
        <f t="shared" si="1022"/>
        <v>2348</v>
      </c>
    </row>
    <row r="398" spans="1:64">
      <c r="A398" s="66" t="s">
        <v>264</v>
      </c>
      <c r="B398" s="40">
        <v>448</v>
      </c>
      <c r="C398" s="40">
        <v>662</v>
      </c>
      <c r="D398" s="40">
        <v>792</v>
      </c>
      <c r="E398" s="40">
        <v>904</v>
      </c>
      <c r="F398" s="40">
        <v>1006</v>
      </c>
      <c r="G398" s="40">
        <v>1164</v>
      </c>
      <c r="H398" s="40">
        <v>1312</v>
      </c>
      <c r="I398" s="40">
        <v>1480</v>
      </c>
      <c r="J398" s="40">
        <v>1650</v>
      </c>
      <c r="K398" s="40">
        <v>1832</v>
      </c>
      <c r="L398" s="40">
        <v>2032</v>
      </c>
      <c r="M398" s="40">
        <v>2226</v>
      </c>
      <c r="N398" s="40">
        <v>2448</v>
      </c>
      <c r="O398" s="40">
        <v>2744</v>
      </c>
      <c r="P398" s="40">
        <v>3084</v>
      </c>
      <c r="Q398" s="40">
        <v>3432</v>
      </c>
      <c r="R398" s="40"/>
      <c r="S398" s="630"/>
      <c r="T398" s="653">
        <v>3684</v>
      </c>
      <c r="U398" s="40"/>
      <c r="V398" s="630"/>
      <c r="W398" s="653">
        <v>3932</v>
      </c>
      <c r="X398" s="40"/>
      <c r="Y398" s="630"/>
      <c r="Z398" s="653">
        <v>4150</v>
      </c>
      <c r="AA398" s="10">
        <f>AC398</f>
        <v>4396</v>
      </c>
      <c r="AB398" s="216">
        <f>AC398</f>
        <v>4396</v>
      </c>
      <c r="AC398" s="653">
        <v>4396</v>
      </c>
      <c r="AD398" s="10">
        <f>AF398</f>
        <v>4482</v>
      </c>
      <c r="AE398" s="216">
        <f>AF398</f>
        <v>4482</v>
      </c>
      <c r="AF398" s="556">
        <v>4482</v>
      </c>
      <c r="AG398" s="10">
        <f>AI398</f>
        <v>4576</v>
      </c>
      <c r="AH398" s="216">
        <f>AI398</f>
        <v>4576</v>
      </c>
      <c r="AI398" s="556">
        <f>(2180+108)*2</f>
        <v>4576</v>
      </c>
      <c r="AJ398" s="10">
        <f>AL398</f>
        <v>4676</v>
      </c>
      <c r="AK398" s="216">
        <f>AL398</f>
        <v>4676</v>
      </c>
      <c r="AL398" s="556">
        <f>(2220+118)*2</f>
        <v>4676</v>
      </c>
      <c r="AM398" s="10">
        <f>(2234+117)*2</f>
        <v>4702</v>
      </c>
      <c r="AN398" s="216">
        <f>AO398</f>
        <v>4754</v>
      </c>
      <c r="AO398" s="556">
        <f>(2264+113)*2</f>
        <v>4754</v>
      </c>
      <c r="AP398" s="10">
        <f>(2235+155)*2</f>
        <v>4780</v>
      </c>
      <c r="AQ398" s="216">
        <f>AR398</f>
        <v>4754</v>
      </c>
      <c r="AR398" s="556">
        <f>(2249+128)*2</f>
        <v>4754</v>
      </c>
      <c r="AS398" s="10">
        <f>(2277+114)*2</f>
        <v>4782</v>
      </c>
      <c r="AT398" s="216">
        <f>AU398</f>
        <v>4774</v>
      </c>
      <c r="AU398" s="556">
        <f>(2269+118)*2</f>
        <v>4774</v>
      </c>
      <c r="AV398" s="10">
        <f>(2284+100)*2</f>
        <v>4768</v>
      </c>
      <c r="AW398" s="236">
        <f>AX398</f>
        <v>4744</v>
      </c>
      <c r="AX398" s="605">
        <f t="shared" ref="AX398:BJ398" si="1023">AX578</f>
        <v>4744</v>
      </c>
      <c r="AY398" s="56">
        <f>BA398</f>
        <v>4714</v>
      </c>
      <c r="AZ398" s="236">
        <f>BA398</f>
        <v>4714</v>
      </c>
      <c r="BA398" s="605">
        <f t="shared" si="1023"/>
        <v>4714</v>
      </c>
      <c r="BB398" s="56">
        <f>BD398</f>
        <v>4684</v>
      </c>
      <c r="BC398" s="236">
        <f>BD398</f>
        <v>4684</v>
      </c>
      <c r="BD398" s="605">
        <f t="shared" si="1023"/>
        <v>4684</v>
      </c>
      <c r="BE398" s="56">
        <f>BG398</f>
        <v>4654</v>
      </c>
      <c r="BF398" s="236">
        <f>BG398</f>
        <v>4654</v>
      </c>
      <c r="BG398" s="605">
        <f t="shared" si="1023"/>
        <v>4654</v>
      </c>
      <c r="BH398" s="56">
        <f>BJ398</f>
        <v>4624</v>
      </c>
      <c r="BI398" s="236">
        <f>BJ398</f>
        <v>4624</v>
      </c>
      <c r="BJ398" s="605">
        <f t="shared" si="1023"/>
        <v>4624</v>
      </c>
    </row>
    <row r="399" spans="1:64">
      <c r="A399" s="66" t="s">
        <v>734</v>
      </c>
      <c r="B399" s="40"/>
      <c r="C399" s="40"/>
      <c r="D399" s="40"/>
      <c r="E399" s="40"/>
      <c r="F399" s="40"/>
      <c r="G399" s="40"/>
      <c r="H399" s="40"/>
      <c r="I399" s="40"/>
      <c r="J399" s="40"/>
      <c r="K399" s="40"/>
      <c r="L399" s="40"/>
      <c r="M399" s="40"/>
      <c r="N399" s="40"/>
      <c r="O399" s="40"/>
      <c r="P399" s="40"/>
      <c r="Q399" s="40"/>
      <c r="R399" s="40"/>
      <c r="S399" s="630"/>
      <c r="T399" s="653"/>
      <c r="U399" s="40"/>
      <c r="V399" s="630"/>
      <c r="W399" s="653"/>
      <c r="X399" s="40"/>
      <c r="Y399" s="630"/>
      <c r="Z399" s="653"/>
      <c r="AA399" s="10">
        <f>AC399</f>
        <v>6</v>
      </c>
      <c r="AB399" s="216">
        <f>AC399</f>
        <v>6</v>
      </c>
      <c r="AC399" s="653">
        <f>(3)*2</f>
        <v>6</v>
      </c>
      <c r="AD399" s="10">
        <f>AF399</f>
        <v>54</v>
      </c>
      <c r="AE399" s="216">
        <f>AF399</f>
        <v>54</v>
      </c>
      <c r="AF399" s="556">
        <f>(25+2)*2</f>
        <v>54</v>
      </c>
      <c r="AG399" s="10">
        <f>AI399</f>
        <v>100</v>
      </c>
      <c r="AH399" s="216">
        <f>AI399</f>
        <v>100</v>
      </c>
      <c r="AI399" s="556">
        <f>(50+0)*2</f>
        <v>100</v>
      </c>
      <c r="AJ399" s="10">
        <f>AL399</f>
        <v>150</v>
      </c>
      <c r="AK399" s="216">
        <f>AL399</f>
        <v>150</v>
      </c>
      <c r="AL399" s="556">
        <f>(67+8)*2</f>
        <v>150</v>
      </c>
      <c r="AM399" s="10">
        <f>(80+9)*2</f>
        <v>178</v>
      </c>
      <c r="AN399" s="216">
        <f>AO399</f>
        <v>200</v>
      </c>
      <c r="AO399" s="556">
        <f>(100)*2</f>
        <v>200</v>
      </c>
      <c r="AP399" s="10">
        <f>(123+9)*2</f>
        <v>264</v>
      </c>
      <c r="AQ399" s="216">
        <f>AR399</f>
        <v>336</v>
      </c>
      <c r="AR399" s="556">
        <f>(161+7)*2</f>
        <v>336</v>
      </c>
      <c r="AS399" s="10">
        <f>(201+7)*2</f>
        <v>416</v>
      </c>
      <c r="AT399" s="216">
        <f>AU399</f>
        <v>544</v>
      </c>
      <c r="AU399" s="556">
        <f>(253+19)*2</f>
        <v>544</v>
      </c>
      <c r="AV399" s="10">
        <f>(306+21)*2</f>
        <v>654</v>
      </c>
      <c r="AW399" s="236">
        <f>AX399</f>
        <v>664</v>
      </c>
      <c r="AX399" s="605">
        <f>AX585</f>
        <v>664</v>
      </c>
      <c r="AY399" s="56">
        <f>BA399</f>
        <v>908</v>
      </c>
      <c r="AZ399" s="236">
        <f>BA399</f>
        <v>908</v>
      </c>
      <c r="BA399" s="605">
        <f>BA585</f>
        <v>908</v>
      </c>
      <c r="BB399" s="56">
        <f>BD399</f>
        <v>1162</v>
      </c>
      <c r="BC399" s="236">
        <f>BD399</f>
        <v>1162</v>
      </c>
      <c r="BD399" s="605">
        <f>BD585</f>
        <v>1162</v>
      </c>
      <c r="BE399" s="56">
        <f>BG399</f>
        <v>1428</v>
      </c>
      <c r="BF399" s="236">
        <f>BG399</f>
        <v>1428</v>
      </c>
      <c r="BG399" s="605">
        <f>BG585</f>
        <v>1428</v>
      </c>
      <c r="BH399" s="56">
        <f>BJ399</f>
        <v>1706</v>
      </c>
      <c r="BI399" s="236">
        <f>BJ399</f>
        <v>1706</v>
      </c>
      <c r="BJ399" s="605">
        <f>BJ585</f>
        <v>1706</v>
      </c>
    </row>
    <row r="400" spans="1:64">
      <c r="A400" s="62" t="s">
        <v>265</v>
      </c>
      <c r="B400" s="82">
        <f t="shared" ref="B400:Z400" si="1024">SUM(B395:B398)</f>
        <v>4546</v>
      </c>
      <c r="C400" s="82">
        <f t="shared" si="1024"/>
        <v>5198</v>
      </c>
      <c r="D400" s="82">
        <f t="shared" si="1024"/>
        <v>5690</v>
      </c>
      <c r="E400" s="82">
        <f t="shared" si="1024"/>
        <v>6076</v>
      </c>
      <c r="F400" s="82">
        <f t="shared" si="1024"/>
        <v>6395</v>
      </c>
      <c r="G400" s="82">
        <f t="shared" si="1024"/>
        <v>6646</v>
      </c>
      <c r="H400" s="82">
        <f t="shared" si="1024"/>
        <v>6882</v>
      </c>
      <c r="I400" s="82">
        <f t="shared" si="1024"/>
        <v>7137</v>
      </c>
      <c r="J400" s="82">
        <f t="shared" si="1024"/>
        <v>7443</v>
      </c>
      <c r="K400" s="82">
        <f t="shared" si="1024"/>
        <v>7687</v>
      </c>
      <c r="L400" s="82">
        <f t="shared" si="1024"/>
        <v>7903</v>
      </c>
      <c r="M400" s="82">
        <f t="shared" si="1024"/>
        <v>8045</v>
      </c>
      <c r="N400" s="82">
        <f t="shared" si="1024"/>
        <v>8311</v>
      </c>
      <c r="O400" s="82">
        <f t="shared" si="1024"/>
        <v>8617</v>
      </c>
      <c r="P400" s="82">
        <f t="shared" si="1024"/>
        <v>8927</v>
      </c>
      <c r="Q400" s="82">
        <f t="shared" si="1024"/>
        <v>9193</v>
      </c>
      <c r="R400" s="82"/>
      <c r="S400" s="694"/>
      <c r="T400" s="709">
        <f t="shared" si="1024"/>
        <v>9369</v>
      </c>
      <c r="U400" s="82"/>
      <c r="V400" s="694"/>
      <c r="W400" s="709">
        <f t="shared" si="1024"/>
        <v>9465</v>
      </c>
      <c r="X400" s="82"/>
      <c r="Y400" s="694"/>
      <c r="Z400" s="709">
        <f t="shared" si="1024"/>
        <v>9577</v>
      </c>
      <c r="AA400" s="190">
        <f t="shared" ref="AA400:AB400" si="1025">SUM(AA395:AA398)</f>
        <v>9656</v>
      </c>
      <c r="AB400" s="226">
        <f t="shared" si="1025"/>
        <v>9656</v>
      </c>
      <c r="AC400" s="709">
        <f>SUM(AC395:AC399)</f>
        <v>9662</v>
      </c>
      <c r="AD400" s="190">
        <f t="shared" ref="AD400:BJ400" si="1026">SUM(AD395:AD399)</f>
        <v>9855</v>
      </c>
      <c r="AE400" s="226">
        <f t="shared" si="1026"/>
        <v>9855</v>
      </c>
      <c r="AF400" s="555">
        <f t="shared" si="1026"/>
        <v>9855</v>
      </c>
      <c r="AG400" s="190">
        <f t="shared" si="1026"/>
        <v>9682</v>
      </c>
      <c r="AH400" s="226">
        <f t="shared" si="1026"/>
        <v>9682</v>
      </c>
      <c r="AI400" s="555">
        <f t="shared" si="1026"/>
        <v>9682</v>
      </c>
      <c r="AJ400" s="190">
        <f t="shared" si="1026"/>
        <v>9792</v>
      </c>
      <c r="AK400" s="226">
        <f t="shared" si="1026"/>
        <v>9792</v>
      </c>
      <c r="AL400" s="555">
        <f t="shared" si="1026"/>
        <v>9792</v>
      </c>
      <c r="AM400" s="190">
        <f t="shared" si="1026"/>
        <v>9806</v>
      </c>
      <c r="AN400" s="226">
        <f t="shared" si="1026"/>
        <v>9848</v>
      </c>
      <c r="AO400" s="555">
        <f t="shared" si="1026"/>
        <v>9848</v>
      </c>
      <c r="AP400" s="190">
        <f t="shared" si="1026"/>
        <v>9886</v>
      </c>
      <c r="AQ400" s="226">
        <f t="shared" si="1026"/>
        <v>9852</v>
      </c>
      <c r="AR400" s="555">
        <f t="shared" si="1026"/>
        <v>9852</v>
      </c>
      <c r="AS400" s="190">
        <f t="shared" ref="AS400" si="1027">SUM(AS395:AS399)</f>
        <v>9874</v>
      </c>
      <c r="AT400" s="226">
        <f t="shared" si="1026"/>
        <v>9920</v>
      </c>
      <c r="AU400" s="555">
        <f t="shared" si="1026"/>
        <v>9920</v>
      </c>
      <c r="AV400" s="190">
        <f t="shared" si="1026"/>
        <v>10010</v>
      </c>
      <c r="AW400" s="241">
        <f t="shared" si="1026"/>
        <v>10026</v>
      </c>
      <c r="AX400" s="579">
        <f t="shared" si="1026"/>
        <v>10026</v>
      </c>
      <c r="AY400" s="204">
        <f t="shared" si="1026"/>
        <v>10150</v>
      </c>
      <c r="AZ400" s="241">
        <f t="shared" si="1026"/>
        <v>10150</v>
      </c>
      <c r="BA400" s="579">
        <f t="shared" si="1026"/>
        <v>10150</v>
      </c>
      <c r="BB400" s="204">
        <f t="shared" si="1026"/>
        <v>10284</v>
      </c>
      <c r="BC400" s="241">
        <f t="shared" si="1026"/>
        <v>10284</v>
      </c>
      <c r="BD400" s="579">
        <f t="shared" si="1026"/>
        <v>10284</v>
      </c>
      <c r="BE400" s="204">
        <f t="shared" si="1026"/>
        <v>10430</v>
      </c>
      <c r="BF400" s="241">
        <f t="shared" si="1026"/>
        <v>10430</v>
      </c>
      <c r="BG400" s="579">
        <f t="shared" si="1026"/>
        <v>10430</v>
      </c>
      <c r="BH400" s="204">
        <f t="shared" si="1026"/>
        <v>10588</v>
      </c>
      <c r="BI400" s="241">
        <f t="shared" si="1026"/>
        <v>10588</v>
      </c>
      <c r="BJ400" s="579">
        <f t="shared" si="1026"/>
        <v>10588</v>
      </c>
    </row>
    <row r="401" spans="1:68">
      <c r="A401" s="31" t="s">
        <v>268</v>
      </c>
      <c r="B401" s="51">
        <v>638</v>
      </c>
      <c r="C401" s="51">
        <v>759</v>
      </c>
      <c r="D401" s="51">
        <v>871</v>
      </c>
      <c r="E401" s="51">
        <v>971</v>
      </c>
      <c r="F401" s="51">
        <v>1080</v>
      </c>
      <c r="G401" s="51">
        <v>1217</v>
      </c>
      <c r="H401" s="51">
        <v>1361</v>
      </c>
      <c r="I401" s="51">
        <v>1496</v>
      </c>
      <c r="J401" s="51">
        <v>1650</v>
      </c>
      <c r="K401" s="51">
        <v>1794</v>
      </c>
      <c r="L401" s="51">
        <v>1949</v>
      </c>
      <c r="M401" s="51">
        <v>2119</v>
      </c>
      <c r="N401" s="51">
        <v>0</v>
      </c>
      <c r="O401" s="51">
        <v>0</v>
      </c>
      <c r="P401" s="51">
        <v>0</v>
      </c>
      <c r="Q401" s="51">
        <v>0</v>
      </c>
      <c r="R401" s="40"/>
      <c r="S401" s="630"/>
      <c r="T401" s="653">
        <v>0</v>
      </c>
      <c r="U401" s="40"/>
      <c r="V401" s="630"/>
      <c r="W401" s="653">
        <v>0</v>
      </c>
      <c r="X401" s="40"/>
      <c r="Y401" s="630"/>
      <c r="Z401" s="653">
        <v>0</v>
      </c>
      <c r="AA401" s="10">
        <f>AC401</f>
        <v>0</v>
      </c>
      <c r="AB401" s="216">
        <f>AC401</f>
        <v>0</v>
      </c>
      <c r="AC401" s="653">
        <v>0</v>
      </c>
      <c r="AD401" s="10">
        <f>AF401</f>
        <v>0</v>
      </c>
      <c r="AE401" s="216">
        <f>AF401</f>
        <v>0</v>
      </c>
      <c r="AF401" s="556">
        <v>0</v>
      </c>
      <c r="AG401" s="10">
        <f>AI401</f>
        <v>0</v>
      </c>
      <c r="AH401" s="216">
        <f>AI401</f>
        <v>0</v>
      </c>
      <c r="AI401" s="556">
        <v>0</v>
      </c>
      <c r="AJ401" s="10">
        <f>AL401</f>
        <v>0</v>
      </c>
      <c r="AK401" s="216">
        <f>AL401</f>
        <v>0</v>
      </c>
      <c r="AL401" s="556">
        <v>0</v>
      </c>
      <c r="AM401" s="10">
        <v>0</v>
      </c>
      <c r="AN401" s="216">
        <f>AO401</f>
        <v>0</v>
      </c>
      <c r="AO401" s="556">
        <v>0</v>
      </c>
      <c r="AP401" s="10">
        <v>0</v>
      </c>
      <c r="AQ401" s="216">
        <f>AR401</f>
        <v>0</v>
      </c>
      <c r="AR401" s="556">
        <v>0</v>
      </c>
      <c r="AS401" s="10">
        <v>0</v>
      </c>
      <c r="AT401" s="216">
        <f>AU401</f>
        <v>0</v>
      </c>
      <c r="AU401" s="556">
        <v>0</v>
      </c>
      <c r="AV401" s="10">
        <v>0</v>
      </c>
      <c r="AW401" s="236">
        <f>AX401</f>
        <v>0</v>
      </c>
      <c r="AX401" s="580">
        <v>0</v>
      </c>
      <c r="AY401" s="56">
        <f>BA401</f>
        <v>0</v>
      </c>
      <c r="AZ401" s="236">
        <f>BA401</f>
        <v>0</v>
      </c>
      <c r="BA401" s="580">
        <v>0</v>
      </c>
      <c r="BB401" s="56">
        <f>BD401</f>
        <v>0</v>
      </c>
      <c r="BC401" s="236">
        <f>BD401</f>
        <v>0</v>
      </c>
      <c r="BD401" s="580">
        <v>0</v>
      </c>
      <c r="BE401" s="56">
        <f>BG401</f>
        <v>0</v>
      </c>
      <c r="BF401" s="236">
        <f>BG401</f>
        <v>0</v>
      </c>
      <c r="BG401" s="580">
        <v>0</v>
      </c>
      <c r="BH401" s="56">
        <f>BJ401</f>
        <v>0</v>
      </c>
      <c r="BI401" s="236">
        <f>BJ401</f>
        <v>0</v>
      </c>
      <c r="BJ401" s="580">
        <v>0</v>
      </c>
    </row>
    <row r="402" spans="1:68" ht="10.8" thickBot="1">
      <c r="A402" s="37" t="s">
        <v>266</v>
      </c>
      <c r="B402" s="84">
        <f t="shared" ref="B402:BJ402" si="1028">B394+B400+B401</f>
        <v>7956</v>
      </c>
      <c r="C402" s="84">
        <f t="shared" si="1028"/>
        <v>8860</v>
      </c>
      <c r="D402" s="84">
        <f t="shared" si="1028"/>
        <v>9562</v>
      </c>
      <c r="E402" s="84">
        <f t="shared" si="1028"/>
        <v>10170</v>
      </c>
      <c r="F402" s="84">
        <f t="shared" si="1028"/>
        <v>10704</v>
      </c>
      <c r="G402" s="84">
        <f t="shared" si="1028"/>
        <v>11205</v>
      </c>
      <c r="H402" s="84">
        <f t="shared" si="1028"/>
        <v>11687</v>
      </c>
      <c r="I402" s="84">
        <f t="shared" si="1028"/>
        <v>12161</v>
      </c>
      <c r="J402" s="84">
        <f t="shared" si="1028"/>
        <v>12662</v>
      </c>
      <c r="K402" s="84">
        <f t="shared" si="1028"/>
        <v>13189</v>
      </c>
      <c r="L402" s="84">
        <f t="shared" si="1028"/>
        <v>13642</v>
      </c>
      <c r="M402" s="84">
        <f t="shared" si="1028"/>
        <v>14080</v>
      </c>
      <c r="N402" s="84">
        <f t="shared" si="1028"/>
        <v>12396</v>
      </c>
      <c r="O402" s="84">
        <f t="shared" si="1028"/>
        <v>12857</v>
      </c>
      <c r="P402" s="84">
        <f t="shared" si="1028"/>
        <v>13391</v>
      </c>
      <c r="Q402" s="84">
        <f t="shared" si="1028"/>
        <v>13811</v>
      </c>
      <c r="R402" s="84"/>
      <c r="S402" s="632"/>
      <c r="T402" s="655">
        <f t="shared" si="1028"/>
        <v>14104</v>
      </c>
      <c r="U402" s="84"/>
      <c r="V402" s="632"/>
      <c r="W402" s="655">
        <f>W394+W400+W401</f>
        <v>14524</v>
      </c>
      <c r="X402" s="84"/>
      <c r="Y402" s="632"/>
      <c r="Z402" s="655">
        <f t="shared" si="1028"/>
        <v>14979</v>
      </c>
      <c r="AA402" s="84">
        <f t="shared" ref="AA402:AB402" si="1029">AA394+AA400+AA401</f>
        <v>15320</v>
      </c>
      <c r="AB402" s="632">
        <f t="shared" si="1029"/>
        <v>15320</v>
      </c>
      <c r="AC402" s="655">
        <f t="shared" si="1028"/>
        <v>15326</v>
      </c>
      <c r="AD402" s="84">
        <f t="shared" ref="AD402:AE402" si="1030">AD394+AD400+AD401</f>
        <v>15497</v>
      </c>
      <c r="AE402" s="632">
        <f t="shared" si="1030"/>
        <v>15497</v>
      </c>
      <c r="AF402" s="655">
        <f t="shared" si="1028"/>
        <v>15497</v>
      </c>
      <c r="AG402" s="84">
        <f t="shared" si="1028"/>
        <v>15378</v>
      </c>
      <c r="AH402" s="632">
        <f t="shared" ref="AH402" si="1031">AH394+AH400+AH401</f>
        <v>15378</v>
      </c>
      <c r="AI402" s="655">
        <f t="shared" si="1028"/>
        <v>15378</v>
      </c>
      <c r="AJ402" s="84">
        <f t="shared" ref="AJ402" si="1032">AJ394+AJ400+AJ401</f>
        <v>15632</v>
      </c>
      <c r="AK402" s="632">
        <f t="shared" si="1028"/>
        <v>15632</v>
      </c>
      <c r="AL402" s="655">
        <f t="shared" si="1028"/>
        <v>15632</v>
      </c>
      <c r="AM402" s="84">
        <f t="shared" si="1028"/>
        <v>15654</v>
      </c>
      <c r="AN402" s="632">
        <f t="shared" ref="AN402" si="1033">AN394+AN400+AN401</f>
        <v>15794</v>
      </c>
      <c r="AO402" s="557">
        <f t="shared" si="1028"/>
        <v>15794</v>
      </c>
      <c r="AP402" s="22">
        <f t="shared" ref="AP402:AQ402" si="1034">AP394+AP400+AP401</f>
        <v>15816</v>
      </c>
      <c r="AQ402" s="632">
        <f t="shared" si="1034"/>
        <v>15866</v>
      </c>
      <c r="AR402" s="557">
        <f t="shared" si="1028"/>
        <v>15866</v>
      </c>
      <c r="AS402" s="22">
        <f t="shared" si="1028"/>
        <v>15888</v>
      </c>
      <c r="AT402" s="632">
        <f t="shared" si="1028"/>
        <v>16022</v>
      </c>
      <c r="AU402" s="557">
        <f t="shared" si="1028"/>
        <v>16022</v>
      </c>
      <c r="AV402" s="22">
        <f t="shared" si="1028"/>
        <v>16156</v>
      </c>
      <c r="AW402" s="984">
        <f t="shared" si="1028"/>
        <v>16211.189925823703</v>
      </c>
      <c r="AX402" s="581">
        <f t="shared" si="1028"/>
        <v>16211.189925823703</v>
      </c>
      <c r="AY402" s="181">
        <f t="shared" si="1028"/>
        <v>16484.842024677291</v>
      </c>
      <c r="AZ402" s="984">
        <f t="shared" si="1028"/>
        <v>16484.842024677291</v>
      </c>
      <c r="BA402" s="581">
        <f t="shared" si="1028"/>
        <v>16484.842024677291</v>
      </c>
      <c r="BB402" s="181">
        <f t="shared" si="1028"/>
        <v>16791.283837766165</v>
      </c>
      <c r="BC402" s="984">
        <f t="shared" si="1028"/>
        <v>16791.283837766165</v>
      </c>
      <c r="BD402" s="581">
        <f t="shared" si="1028"/>
        <v>16791.283837766165</v>
      </c>
      <c r="BE402" s="181">
        <f t="shared" si="1028"/>
        <v>17130.855266337592</v>
      </c>
      <c r="BF402" s="984">
        <f t="shared" si="1028"/>
        <v>17130.855266337592</v>
      </c>
      <c r="BG402" s="581">
        <f t="shared" si="1028"/>
        <v>17130.855266337592</v>
      </c>
      <c r="BH402" s="181">
        <f t="shared" si="1028"/>
        <v>17484.779636085492</v>
      </c>
      <c r="BI402" s="984">
        <f t="shared" si="1028"/>
        <v>17484.779636085492</v>
      </c>
      <c r="BJ402" s="581">
        <f t="shared" si="1028"/>
        <v>17484.779636085492</v>
      </c>
      <c r="BL402" s="32"/>
    </row>
    <row r="403" spans="1:68">
      <c r="A403" s="31"/>
      <c r="D403" s="31"/>
      <c r="E403" s="31"/>
      <c r="F403" s="31"/>
      <c r="G403" s="31"/>
      <c r="H403" s="31"/>
      <c r="I403" s="31"/>
      <c r="J403" s="31"/>
      <c r="K403" s="31"/>
      <c r="L403" s="31"/>
      <c r="M403" s="31"/>
      <c r="N403" s="31"/>
      <c r="O403" s="31"/>
      <c r="P403" s="31"/>
      <c r="Q403" s="31"/>
      <c r="R403" s="31"/>
      <c r="S403" s="793"/>
      <c r="T403" s="824"/>
      <c r="U403" s="31"/>
      <c r="V403" s="793"/>
      <c r="W403" s="824"/>
      <c r="X403" s="31"/>
      <c r="Y403" s="793"/>
      <c r="Z403" s="824"/>
      <c r="AA403" s="31"/>
      <c r="AB403" s="793"/>
      <c r="AC403" s="824"/>
      <c r="AD403" s="31"/>
      <c r="AE403" s="793"/>
      <c r="AF403" s="824"/>
      <c r="AG403" s="31"/>
      <c r="AH403" s="793"/>
      <c r="AI403" s="824"/>
      <c r="AJ403" s="31"/>
      <c r="AK403" s="793"/>
      <c r="AL403" s="824"/>
      <c r="AM403" s="31"/>
      <c r="AN403" s="541"/>
      <c r="AO403" s="578"/>
      <c r="AP403" s="2"/>
      <c r="AQ403" s="541"/>
      <c r="AR403" s="578"/>
      <c r="AS403" s="2"/>
      <c r="AT403" s="541"/>
      <c r="AU403" s="578"/>
      <c r="AV403" s="2"/>
      <c r="AW403" s="541"/>
      <c r="AX403" s="578"/>
      <c r="AY403" s="2"/>
      <c r="AZ403" s="541"/>
      <c r="BA403" s="578"/>
      <c r="BB403" s="2"/>
      <c r="BC403" s="541"/>
      <c r="BD403" s="578"/>
      <c r="BE403" s="2"/>
      <c r="BF403" s="541"/>
      <c r="BG403" s="578"/>
      <c r="BH403" s="2"/>
      <c r="BI403" s="541"/>
      <c r="BJ403" s="578"/>
    </row>
    <row r="404" spans="1:68">
      <c r="A404" s="310" t="s">
        <v>838</v>
      </c>
      <c r="B404" s="311"/>
      <c r="C404" s="311"/>
      <c r="D404" s="311"/>
      <c r="E404" s="311"/>
      <c r="F404" s="311"/>
      <c r="G404" s="311"/>
      <c r="H404" s="311"/>
      <c r="I404" s="311"/>
      <c r="J404" s="311"/>
      <c r="K404" s="311"/>
      <c r="L404" s="311"/>
      <c r="M404" s="311"/>
      <c r="N404" s="311"/>
      <c r="O404" s="311"/>
      <c r="P404" s="311"/>
      <c r="Q404" s="311"/>
      <c r="R404" s="525"/>
      <c r="S404" s="317"/>
      <c r="T404" s="551"/>
      <c r="U404" s="525"/>
      <c r="V404" s="317"/>
      <c r="W404" s="551"/>
      <c r="X404" s="525"/>
      <c r="Y404" s="317"/>
      <c r="Z404" s="551"/>
      <c r="AA404" s="525"/>
      <c r="AB404" s="317"/>
      <c r="AC404" s="551"/>
      <c r="AD404" s="525"/>
      <c r="AE404" s="317"/>
      <c r="AF404" s="551"/>
      <c r="AG404" s="525"/>
      <c r="AH404" s="317"/>
      <c r="AI404" s="551"/>
      <c r="AJ404" s="525"/>
      <c r="AK404" s="317"/>
      <c r="AL404" s="551"/>
      <c r="AM404" s="525"/>
      <c r="AN404" s="317"/>
      <c r="AO404" s="551"/>
      <c r="AP404" s="525"/>
      <c r="AQ404" s="317"/>
      <c r="AR404" s="551"/>
      <c r="AS404" s="525"/>
      <c r="AT404" s="317"/>
      <c r="AU404" s="551"/>
      <c r="AV404" s="525"/>
      <c r="AW404" s="814"/>
      <c r="AX404" s="846"/>
      <c r="AY404" s="536"/>
      <c r="AZ404" s="814"/>
      <c r="BA404" s="846"/>
      <c r="BB404" s="536"/>
      <c r="BC404" s="814"/>
      <c r="BD404" s="846"/>
      <c r="BE404" s="536"/>
      <c r="BF404" s="814"/>
      <c r="BG404" s="846"/>
      <c r="BH404" s="536"/>
      <c r="BI404" s="814"/>
      <c r="BJ404" s="846"/>
    </row>
    <row r="405" spans="1:68" ht="11.4">
      <c r="S405" s="595"/>
      <c r="T405" s="619"/>
      <c r="V405" s="595"/>
      <c r="W405" s="619"/>
      <c r="Y405" s="595"/>
      <c r="Z405" s="619"/>
      <c r="AB405" s="595"/>
      <c r="AC405" s="619"/>
      <c r="AE405" s="595"/>
      <c r="AF405" s="619"/>
      <c r="AH405" s="595"/>
      <c r="AI405" s="619"/>
      <c r="AK405" s="595"/>
      <c r="AL405" s="619"/>
      <c r="AN405" s="539"/>
      <c r="AO405" s="550"/>
      <c r="AP405"/>
      <c r="AQ405" s="539"/>
      <c r="AR405" s="550"/>
      <c r="AS405"/>
      <c r="AT405" s="539"/>
      <c r="AU405" s="550"/>
      <c r="AV405"/>
      <c r="AW405" s="539"/>
      <c r="AX405" s="550"/>
      <c r="AY405"/>
      <c r="AZ405" s="539"/>
      <c r="BA405" s="550"/>
      <c r="BB405"/>
      <c r="BC405" s="539"/>
      <c r="BD405" s="550"/>
      <c r="BE405"/>
      <c r="BF405" s="539"/>
      <c r="BG405" s="550"/>
      <c r="BH405"/>
      <c r="BI405" s="539"/>
      <c r="BJ405" s="550"/>
      <c r="BP405" s="115"/>
    </row>
    <row r="406" spans="1:68">
      <c r="A406" s="66" t="s">
        <v>251</v>
      </c>
      <c r="B406" s="26"/>
      <c r="C406" s="26"/>
      <c r="D406" s="26"/>
      <c r="E406" s="26"/>
      <c r="F406" s="26"/>
      <c r="G406" s="26"/>
      <c r="H406" s="26"/>
      <c r="I406" s="26"/>
      <c r="J406" s="26"/>
      <c r="K406" s="26"/>
      <c r="L406" s="26"/>
      <c r="M406" s="26"/>
      <c r="N406" s="26"/>
      <c r="O406" s="40">
        <v>3</v>
      </c>
      <c r="P406" s="40">
        <v>3</v>
      </c>
      <c r="Q406" s="40">
        <v>3</v>
      </c>
      <c r="R406" s="40"/>
      <c r="S406" s="630"/>
      <c r="T406" s="653">
        <v>3</v>
      </c>
      <c r="U406" s="40"/>
      <c r="V406" s="630"/>
      <c r="W406" s="653">
        <v>3</v>
      </c>
      <c r="X406" s="40"/>
      <c r="Y406" s="630"/>
      <c r="Z406" s="653">
        <v>3</v>
      </c>
      <c r="AA406" s="10">
        <v>3</v>
      </c>
      <c r="AB406" s="216">
        <f>AC406</f>
        <v>3</v>
      </c>
      <c r="AC406" s="556">
        <v>3</v>
      </c>
      <c r="AD406" s="10">
        <v>3</v>
      </c>
      <c r="AE406" s="216">
        <f>AF406</f>
        <v>3</v>
      </c>
      <c r="AF406" s="556">
        <v>3</v>
      </c>
      <c r="AG406" s="10">
        <v>3</v>
      </c>
      <c r="AH406" s="216">
        <f>AI406</f>
        <v>3</v>
      </c>
      <c r="AI406" s="556">
        <v>3</v>
      </c>
      <c r="AJ406" s="10">
        <v>0</v>
      </c>
      <c r="AK406" s="630">
        <f>AL406</f>
        <v>0</v>
      </c>
      <c r="AL406" s="653">
        <v>0</v>
      </c>
      <c r="AM406" s="40">
        <v>0</v>
      </c>
      <c r="AN406" s="630">
        <f>AO406</f>
        <v>0</v>
      </c>
      <c r="AO406" s="653">
        <v>0</v>
      </c>
      <c r="AP406" s="40">
        <v>0</v>
      </c>
      <c r="AQ406" s="630">
        <f>AR406</f>
        <v>0</v>
      </c>
      <c r="AR406" s="653">
        <v>0</v>
      </c>
      <c r="AS406" s="40">
        <v>0</v>
      </c>
      <c r="AT406" s="630">
        <f>AU406</f>
        <v>0</v>
      </c>
      <c r="AU406" s="550">
        <v>0</v>
      </c>
      <c r="AV406" s="40">
        <v>0</v>
      </c>
      <c r="AW406" s="539"/>
      <c r="AX406" s="550"/>
      <c r="AY406"/>
      <c r="AZ406" s="539"/>
      <c r="BA406" s="550"/>
      <c r="BB406"/>
      <c r="BC406" s="539"/>
      <c r="BD406" s="550"/>
      <c r="BE406"/>
      <c r="BF406" s="539"/>
      <c r="BG406" s="550"/>
      <c r="BH406"/>
      <c r="BI406" s="539"/>
      <c r="BJ406" s="550"/>
    </row>
    <row r="407" spans="1:68">
      <c r="A407" s="66" t="s">
        <v>252</v>
      </c>
      <c r="B407" s="26"/>
      <c r="C407" s="26"/>
      <c r="D407" s="26"/>
      <c r="E407" s="26"/>
      <c r="F407" s="26"/>
      <c r="G407" s="26"/>
      <c r="H407" s="26"/>
      <c r="I407" s="26"/>
      <c r="J407" s="26"/>
      <c r="K407" s="26"/>
      <c r="L407" s="26"/>
      <c r="M407" s="26"/>
      <c r="N407" s="26"/>
      <c r="O407" s="40">
        <v>455</v>
      </c>
      <c r="P407" s="40">
        <v>352</v>
      </c>
      <c r="Q407" s="40">
        <v>302</v>
      </c>
      <c r="R407" s="40"/>
      <c r="S407" s="630"/>
      <c r="T407" s="653">
        <v>278</v>
      </c>
      <c r="U407" s="40"/>
      <c r="V407" s="630"/>
      <c r="W407" s="653">
        <v>266</v>
      </c>
      <c r="X407" s="40"/>
      <c r="Y407" s="630"/>
      <c r="Z407" s="653">
        <v>242</v>
      </c>
      <c r="AA407" s="10">
        <v>230</v>
      </c>
      <c r="AB407" s="216">
        <f t="shared" ref="AB407:AB417" si="1035">AC407</f>
        <v>210</v>
      </c>
      <c r="AC407" s="556">
        <v>210</v>
      </c>
      <c r="AD407" s="10">
        <v>74</v>
      </c>
      <c r="AE407" s="216">
        <f t="shared" ref="AE407:AE417" si="1036">AF407</f>
        <v>82</v>
      </c>
      <c r="AF407" s="556">
        <v>82</v>
      </c>
      <c r="AG407" s="10">
        <v>80</v>
      </c>
      <c r="AH407" s="216">
        <f t="shared" ref="AH407:AH417" si="1037">AI407</f>
        <v>80</v>
      </c>
      <c r="AI407" s="556">
        <v>80</v>
      </c>
      <c r="AJ407" s="10">
        <v>85</v>
      </c>
      <c r="AK407" s="630">
        <f t="shared" ref="AK407:AK417" si="1038">AL407</f>
        <v>85</v>
      </c>
      <c r="AL407" s="653">
        <v>85</v>
      </c>
      <c r="AM407" s="40">
        <v>77</v>
      </c>
      <c r="AN407" s="630">
        <f t="shared" ref="AN407:AN408" si="1039">AO407</f>
        <v>79</v>
      </c>
      <c r="AO407" s="653">
        <v>79</v>
      </c>
      <c r="AP407" s="40">
        <v>79</v>
      </c>
      <c r="AQ407" s="630">
        <f t="shared" ref="AQ407:AQ408" si="1040">AR407</f>
        <v>79</v>
      </c>
      <c r="AR407" s="653">
        <v>79</v>
      </c>
      <c r="AS407" s="40">
        <v>75</v>
      </c>
      <c r="AT407" s="630">
        <f t="shared" ref="AT407:AT408" si="1041">AU407</f>
        <v>73</v>
      </c>
      <c r="AU407" s="550">
        <v>73</v>
      </c>
      <c r="AV407" s="40">
        <v>69</v>
      </c>
      <c r="AW407" s="539"/>
      <c r="AX407" s="550"/>
      <c r="AY407"/>
      <c r="AZ407" s="539"/>
      <c r="BA407" s="550"/>
      <c r="BB407"/>
      <c r="BC407" s="539"/>
      <c r="BD407" s="550"/>
      <c r="BE407"/>
      <c r="BF407" s="539"/>
      <c r="BG407" s="550"/>
      <c r="BH407"/>
      <c r="BI407" s="539"/>
      <c r="BJ407" s="550"/>
    </row>
    <row r="408" spans="1:68">
      <c r="A408" s="66" t="s">
        <v>253</v>
      </c>
      <c r="B408" s="26"/>
      <c r="C408" s="26"/>
      <c r="D408" s="26"/>
      <c r="E408" s="26"/>
      <c r="F408" s="26"/>
      <c r="G408" s="26"/>
      <c r="H408" s="26"/>
      <c r="I408" s="26"/>
      <c r="J408" s="26"/>
      <c r="K408" s="26"/>
      <c r="L408" s="26"/>
      <c r="M408" s="26"/>
      <c r="N408" s="26"/>
      <c r="O408" s="40">
        <v>1026</v>
      </c>
      <c r="P408" s="40">
        <v>1012</v>
      </c>
      <c r="Q408" s="40">
        <v>908</v>
      </c>
      <c r="R408" s="40"/>
      <c r="S408" s="630"/>
      <c r="T408" s="653">
        <v>868</v>
      </c>
      <c r="U408" s="40"/>
      <c r="V408" s="630"/>
      <c r="W408" s="653">
        <v>826</v>
      </c>
      <c r="X408" s="40"/>
      <c r="Y408" s="630"/>
      <c r="Z408" s="653">
        <v>850</v>
      </c>
      <c r="AA408" s="10">
        <v>832</v>
      </c>
      <c r="AB408" s="216">
        <f t="shared" si="1035"/>
        <v>824</v>
      </c>
      <c r="AC408" s="556">
        <v>824</v>
      </c>
      <c r="AD408" s="10">
        <v>560</v>
      </c>
      <c r="AE408" s="216">
        <f t="shared" si="1036"/>
        <v>576</v>
      </c>
      <c r="AF408" s="556">
        <v>576</v>
      </c>
      <c r="AG408" s="10">
        <v>634</v>
      </c>
      <c r="AH408" s="216">
        <f t="shared" si="1037"/>
        <v>658</v>
      </c>
      <c r="AI408" s="556">
        <v>658</v>
      </c>
      <c r="AJ408" s="10">
        <v>682</v>
      </c>
      <c r="AK408" s="630">
        <f t="shared" si="1038"/>
        <v>682</v>
      </c>
      <c r="AL408" s="653">
        <v>682</v>
      </c>
      <c r="AM408" s="40">
        <v>714</v>
      </c>
      <c r="AN408" s="630">
        <f t="shared" si="1039"/>
        <v>716</v>
      </c>
      <c r="AO408" s="653">
        <v>716</v>
      </c>
      <c r="AP408" s="40">
        <v>680</v>
      </c>
      <c r="AQ408" s="630">
        <f t="shared" si="1040"/>
        <v>664</v>
      </c>
      <c r="AR408" s="653">
        <v>664</v>
      </c>
      <c r="AS408" s="40">
        <v>660</v>
      </c>
      <c r="AT408" s="630">
        <f t="shared" si="1041"/>
        <v>622</v>
      </c>
      <c r="AU408" s="550">
        <v>622</v>
      </c>
      <c r="AV408" s="40">
        <v>628</v>
      </c>
      <c r="AW408" s="539"/>
      <c r="AX408" s="550"/>
      <c r="AY408"/>
      <c r="AZ408" s="539"/>
      <c r="BA408" s="550"/>
      <c r="BB408"/>
      <c r="BC408" s="539"/>
      <c r="BD408" s="550"/>
      <c r="BE408"/>
      <c r="BF408" s="539"/>
      <c r="BG408" s="550"/>
      <c r="BH408"/>
      <c r="BI408" s="539"/>
      <c r="BJ408" s="550"/>
    </row>
    <row r="409" spans="1:68">
      <c r="A409" s="62" t="s">
        <v>267</v>
      </c>
      <c r="B409" s="62"/>
      <c r="C409" s="62"/>
      <c r="D409" s="62"/>
      <c r="E409" s="62"/>
      <c r="F409" s="62"/>
      <c r="G409" s="62"/>
      <c r="H409" s="62"/>
      <c r="I409" s="62"/>
      <c r="J409" s="62"/>
      <c r="K409" s="62"/>
      <c r="L409" s="62"/>
      <c r="M409" s="62"/>
      <c r="N409" s="62"/>
      <c r="O409" s="82">
        <f t="shared" ref="O409:Z409" si="1042">SUM(O406:O408)</f>
        <v>1484</v>
      </c>
      <c r="P409" s="82">
        <f t="shared" si="1042"/>
        <v>1367</v>
      </c>
      <c r="Q409" s="82">
        <f t="shared" si="1042"/>
        <v>1213</v>
      </c>
      <c r="R409" s="82"/>
      <c r="S409" s="694"/>
      <c r="T409" s="709">
        <f t="shared" si="1042"/>
        <v>1149</v>
      </c>
      <c r="U409" s="82"/>
      <c r="V409" s="694"/>
      <c r="W409" s="709">
        <f t="shared" si="1042"/>
        <v>1095</v>
      </c>
      <c r="X409" s="82"/>
      <c r="Y409" s="694"/>
      <c r="Z409" s="709">
        <f t="shared" si="1042"/>
        <v>1095</v>
      </c>
      <c r="AA409" s="190">
        <f t="shared" ref="AA409:AM409" si="1043">SUM(AA406:AA408)</f>
        <v>1065</v>
      </c>
      <c r="AB409" s="226">
        <f t="shared" si="1043"/>
        <v>1037</v>
      </c>
      <c r="AC409" s="555">
        <f t="shared" si="1043"/>
        <v>1037</v>
      </c>
      <c r="AD409" s="190">
        <f t="shared" si="1043"/>
        <v>637</v>
      </c>
      <c r="AE409" s="226">
        <f t="shared" si="1043"/>
        <v>661</v>
      </c>
      <c r="AF409" s="555">
        <f t="shared" si="1043"/>
        <v>661</v>
      </c>
      <c r="AG409" s="190">
        <f t="shared" si="1043"/>
        <v>717</v>
      </c>
      <c r="AH409" s="226">
        <f t="shared" si="1043"/>
        <v>741</v>
      </c>
      <c r="AI409" s="555">
        <f t="shared" si="1043"/>
        <v>741</v>
      </c>
      <c r="AJ409" s="190">
        <f t="shared" si="1043"/>
        <v>767</v>
      </c>
      <c r="AK409" s="694">
        <f t="shared" si="1043"/>
        <v>767</v>
      </c>
      <c r="AL409" s="709">
        <f t="shared" si="1043"/>
        <v>767</v>
      </c>
      <c r="AM409" s="82">
        <f t="shared" si="1043"/>
        <v>791</v>
      </c>
      <c r="AN409" s="694">
        <f t="shared" ref="AN409:AO409" si="1044">SUM(AN406:AN408)</f>
        <v>795</v>
      </c>
      <c r="AO409" s="709">
        <f t="shared" si="1044"/>
        <v>795</v>
      </c>
      <c r="AP409" s="82">
        <f t="shared" ref="AP409:AV409" si="1045">SUM(AP406:AP408)</f>
        <v>759</v>
      </c>
      <c r="AQ409" s="694">
        <f t="shared" si="1045"/>
        <v>743</v>
      </c>
      <c r="AR409" s="709">
        <f t="shared" si="1045"/>
        <v>743</v>
      </c>
      <c r="AS409" s="82">
        <f t="shared" ref="AS409" si="1046">SUM(AS406:AS408)</f>
        <v>735</v>
      </c>
      <c r="AT409" s="694">
        <f t="shared" si="1045"/>
        <v>695</v>
      </c>
      <c r="AU409" s="709">
        <f t="shared" si="1045"/>
        <v>695</v>
      </c>
      <c r="AV409" s="82">
        <f t="shared" si="1045"/>
        <v>697</v>
      </c>
      <c r="AW409" s="241">
        <f t="shared" ref="AW409:BJ409" si="1047">(1-AW457)*AW384</f>
        <v>651</v>
      </c>
      <c r="AX409" s="579">
        <f t="shared" si="1047"/>
        <v>651</v>
      </c>
      <c r="AY409" s="204">
        <f t="shared" si="1047"/>
        <v>613.5</v>
      </c>
      <c r="AZ409" s="241">
        <f t="shared" si="1047"/>
        <v>613.5</v>
      </c>
      <c r="BA409" s="579">
        <f t="shared" si="1047"/>
        <v>613.5</v>
      </c>
      <c r="BB409" s="204">
        <f t="shared" si="1047"/>
        <v>576</v>
      </c>
      <c r="BC409" s="241">
        <f t="shared" si="1047"/>
        <v>576</v>
      </c>
      <c r="BD409" s="579">
        <f t="shared" si="1047"/>
        <v>576</v>
      </c>
      <c r="BE409" s="204">
        <f t="shared" si="1047"/>
        <v>538.5</v>
      </c>
      <c r="BF409" s="241">
        <f t="shared" si="1047"/>
        <v>538.5</v>
      </c>
      <c r="BG409" s="579">
        <f t="shared" si="1047"/>
        <v>538.5</v>
      </c>
      <c r="BH409" s="204">
        <f t="shared" si="1047"/>
        <v>501</v>
      </c>
      <c r="BI409" s="241">
        <f t="shared" si="1047"/>
        <v>501</v>
      </c>
      <c r="BJ409" s="579">
        <f t="shared" si="1047"/>
        <v>501</v>
      </c>
      <c r="BN409" s="32"/>
    </row>
    <row r="410" spans="1:68">
      <c r="A410" s="66" t="s">
        <v>254</v>
      </c>
      <c r="B410" s="26"/>
      <c r="C410" s="26"/>
      <c r="D410" s="26"/>
      <c r="E410" s="26"/>
      <c r="F410" s="26"/>
      <c r="G410" s="26"/>
      <c r="H410" s="26"/>
      <c r="I410" s="26"/>
      <c r="J410" s="26"/>
      <c r="K410" s="26"/>
      <c r="L410" s="26"/>
      <c r="M410" s="26"/>
      <c r="N410" s="26"/>
      <c r="O410" s="40">
        <v>440</v>
      </c>
      <c r="P410" s="40">
        <v>388</v>
      </c>
      <c r="Q410" s="40">
        <v>352</v>
      </c>
      <c r="R410" s="40"/>
      <c r="S410" s="630"/>
      <c r="T410" s="653">
        <v>336</v>
      </c>
      <c r="U410" s="40"/>
      <c r="V410" s="630"/>
      <c r="W410" s="653">
        <v>280</v>
      </c>
      <c r="X410" s="40"/>
      <c r="Y410" s="630"/>
      <c r="Z410" s="653">
        <v>284</v>
      </c>
      <c r="AA410" s="10">
        <v>244</v>
      </c>
      <c r="AB410" s="216">
        <f t="shared" si="1035"/>
        <v>240</v>
      </c>
      <c r="AC410" s="556">
        <v>240</v>
      </c>
      <c r="AD410" s="10">
        <v>96</v>
      </c>
      <c r="AE410" s="216">
        <f t="shared" si="1036"/>
        <v>68</v>
      </c>
      <c r="AF410" s="556">
        <v>68</v>
      </c>
      <c r="AG410" s="10">
        <v>88</v>
      </c>
      <c r="AH410" s="216">
        <f t="shared" si="1037"/>
        <v>92</v>
      </c>
      <c r="AI410" s="556">
        <v>92</v>
      </c>
      <c r="AJ410" s="10">
        <v>108</v>
      </c>
      <c r="AK410" s="630">
        <f t="shared" si="1038"/>
        <v>80</v>
      </c>
      <c r="AL410" s="653">
        <v>80</v>
      </c>
      <c r="AM410" s="40">
        <v>96</v>
      </c>
      <c r="AN410" s="630">
        <f t="shared" ref="AN410:AN417" si="1048">AO410</f>
        <v>104</v>
      </c>
      <c r="AO410" s="653">
        <v>104</v>
      </c>
      <c r="AP410" s="40">
        <v>116</v>
      </c>
      <c r="AQ410" s="630">
        <f t="shared" ref="AQ410:AQ417" si="1049">AR410</f>
        <v>120</v>
      </c>
      <c r="AR410" s="653">
        <v>120</v>
      </c>
      <c r="AS410" s="40">
        <v>104</v>
      </c>
      <c r="AT410" s="630">
        <f t="shared" ref="AT410:AT417" si="1050">AU410</f>
        <v>104</v>
      </c>
      <c r="AU410" s="556">
        <v>104</v>
      </c>
      <c r="AV410" s="10">
        <v>68</v>
      </c>
      <c r="AW410" s="236">
        <f t="shared" ref="AW410:BJ410" si="1051">(1-AW460)*AW385</f>
        <v>69</v>
      </c>
      <c r="AX410" s="605">
        <f t="shared" si="1051"/>
        <v>69</v>
      </c>
      <c r="AY410" s="56">
        <f t="shared" si="1051"/>
        <v>64</v>
      </c>
      <c r="AZ410" s="236">
        <f t="shared" si="1051"/>
        <v>64</v>
      </c>
      <c r="BA410" s="605">
        <f t="shared" si="1051"/>
        <v>64</v>
      </c>
      <c r="BB410" s="56">
        <f t="shared" si="1051"/>
        <v>59</v>
      </c>
      <c r="BC410" s="236">
        <f t="shared" si="1051"/>
        <v>59</v>
      </c>
      <c r="BD410" s="605">
        <f t="shared" si="1051"/>
        <v>59</v>
      </c>
      <c r="BE410" s="56">
        <f t="shared" si="1051"/>
        <v>54</v>
      </c>
      <c r="BF410" s="236">
        <f t="shared" si="1051"/>
        <v>54</v>
      </c>
      <c r="BG410" s="605">
        <f t="shared" si="1051"/>
        <v>54</v>
      </c>
      <c r="BH410" s="56">
        <f t="shared" si="1051"/>
        <v>49</v>
      </c>
      <c r="BI410" s="236">
        <f t="shared" si="1051"/>
        <v>49</v>
      </c>
      <c r="BJ410" s="605">
        <f t="shared" si="1051"/>
        <v>49</v>
      </c>
    </row>
    <row r="411" spans="1:68">
      <c r="A411" s="66" t="s">
        <v>255</v>
      </c>
      <c r="B411" s="26"/>
      <c r="C411" s="26"/>
      <c r="D411" s="26"/>
      <c r="E411" s="26"/>
      <c r="F411" s="26"/>
      <c r="G411" s="26"/>
      <c r="H411" s="26"/>
      <c r="I411" s="26"/>
      <c r="J411" s="26"/>
      <c r="K411" s="26"/>
      <c r="L411" s="26"/>
      <c r="M411" s="26"/>
      <c r="N411" s="26"/>
      <c r="O411" s="40">
        <v>1114</v>
      </c>
      <c r="P411" s="40">
        <v>1288</v>
      </c>
      <c r="Q411" s="40">
        <v>1388</v>
      </c>
      <c r="R411" s="40"/>
      <c r="S411" s="630"/>
      <c r="T411" s="653">
        <v>1460</v>
      </c>
      <c r="U411" s="40"/>
      <c r="V411" s="630"/>
      <c r="W411" s="653">
        <v>1590</v>
      </c>
      <c r="X411" s="40"/>
      <c r="Y411" s="630"/>
      <c r="Z411" s="653">
        <v>1636</v>
      </c>
      <c r="AA411" s="10">
        <v>1652</v>
      </c>
      <c r="AB411" s="216">
        <f t="shared" si="1035"/>
        <v>1606</v>
      </c>
      <c r="AC411" s="556">
        <v>1606</v>
      </c>
      <c r="AD411" s="10">
        <v>988</v>
      </c>
      <c r="AE411" s="216">
        <f t="shared" si="1036"/>
        <v>1054</v>
      </c>
      <c r="AF411" s="556">
        <v>1054</v>
      </c>
      <c r="AG411" s="10">
        <v>1050</v>
      </c>
      <c r="AH411" s="216">
        <f t="shared" si="1037"/>
        <v>1146</v>
      </c>
      <c r="AI411" s="556">
        <v>1146</v>
      </c>
      <c r="AJ411" s="10">
        <v>1166</v>
      </c>
      <c r="AK411" s="630">
        <f t="shared" si="1038"/>
        <v>1178</v>
      </c>
      <c r="AL411" s="653">
        <v>1178</v>
      </c>
      <c r="AM411" s="40">
        <v>1322</v>
      </c>
      <c r="AN411" s="630">
        <f t="shared" si="1048"/>
        <v>1372</v>
      </c>
      <c r="AO411" s="653">
        <v>1372</v>
      </c>
      <c r="AP411" s="40">
        <v>1404</v>
      </c>
      <c r="AQ411" s="630">
        <f t="shared" si="1049"/>
        <v>1414</v>
      </c>
      <c r="AR411" s="653">
        <v>1414</v>
      </c>
      <c r="AS411" s="40">
        <v>1434</v>
      </c>
      <c r="AT411" s="630">
        <f t="shared" si="1050"/>
        <v>1462</v>
      </c>
      <c r="AU411" s="556">
        <v>1462</v>
      </c>
      <c r="AV411" s="10">
        <v>1446</v>
      </c>
      <c r="AW411" s="236">
        <f t="shared" ref="AW411:BJ411" si="1052">(1-AW461)*AW386</f>
        <v>1444.5</v>
      </c>
      <c r="AX411" s="605">
        <f t="shared" si="1052"/>
        <v>1444.5</v>
      </c>
      <c r="AY411" s="56">
        <f t="shared" si="1052"/>
        <v>1417.5</v>
      </c>
      <c r="AZ411" s="236">
        <f t="shared" si="1052"/>
        <v>1417.5</v>
      </c>
      <c r="BA411" s="605">
        <f t="shared" si="1052"/>
        <v>1417.5</v>
      </c>
      <c r="BB411" s="56">
        <f t="shared" si="1052"/>
        <v>1390.5</v>
      </c>
      <c r="BC411" s="236">
        <f t="shared" si="1052"/>
        <v>1390.5</v>
      </c>
      <c r="BD411" s="605">
        <f t="shared" si="1052"/>
        <v>1390.5</v>
      </c>
      <c r="BE411" s="56">
        <f t="shared" si="1052"/>
        <v>1363.5</v>
      </c>
      <c r="BF411" s="236">
        <f t="shared" si="1052"/>
        <v>1363.5</v>
      </c>
      <c r="BG411" s="605">
        <f t="shared" si="1052"/>
        <v>1363.5</v>
      </c>
      <c r="BH411" s="56">
        <f t="shared" si="1052"/>
        <v>1336.5</v>
      </c>
      <c r="BI411" s="236">
        <f t="shared" si="1052"/>
        <v>1336.5</v>
      </c>
      <c r="BJ411" s="605">
        <f t="shared" si="1052"/>
        <v>1336.5</v>
      </c>
    </row>
    <row r="412" spans="1:68">
      <c r="A412" s="66" t="s">
        <v>256</v>
      </c>
      <c r="B412" s="26"/>
      <c r="C412" s="26"/>
      <c r="D412" s="26"/>
      <c r="E412" s="26"/>
      <c r="F412" s="26"/>
      <c r="G412" s="26"/>
      <c r="H412" s="26"/>
      <c r="I412" s="26"/>
      <c r="J412" s="26"/>
      <c r="K412" s="26"/>
      <c r="L412" s="26"/>
      <c r="M412" s="26"/>
      <c r="N412" s="26"/>
      <c r="O412" s="40">
        <v>436</v>
      </c>
      <c r="P412" s="40">
        <v>422</v>
      </c>
      <c r="Q412" s="40">
        <v>362</v>
      </c>
      <c r="R412" s="40"/>
      <c r="S412" s="630"/>
      <c r="T412" s="653">
        <v>352</v>
      </c>
      <c r="U412" s="40"/>
      <c r="V412" s="630"/>
      <c r="W412" s="653">
        <v>330</v>
      </c>
      <c r="X412" s="40"/>
      <c r="Y412" s="630"/>
      <c r="Z412" s="653">
        <v>334</v>
      </c>
      <c r="AA412" s="10">
        <v>324</v>
      </c>
      <c r="AB412" s="216">
        <f t="shared" si="1035"/>
        <v>320</v>
      </c>
      <c r="AC412" s="556">
        <v>320</v>
      </c>
      <c r="AD412" s="10">
        <v>96</v>
      </c>
      <c r="AE412" s="216">
        <f t="shared" si="1036"/>
        <v>134</v>
      </c>
      <c r="AF412" s="556">
        <v>134</v>
      </c>
      <c r="AG412" s="10">
        <v>160</v>
      </c>
      <c r="AH412" s="216">
        <f t="shared" si="1037"/>
        <v>176</v>
      </c>
      <c r="AI412" s="556">
        <v>176</v>
      </c>
      <c r="AJ412" s="10">
        <v>184</v>
      </c>
      <c r="AK412" s="630">
        <f t="shared" si="1038"/>
        <v>184</v>
      </c>
      <c r="AL412" s="653">
        <v>184</v>
      </c>
      <c r="AM412" s="40">
        <v>200</v>
      </c>
      <c r="AN412" s="630">
        <f t="shared" si="1048"/>
        <v>224</v>
      </c>
      <c r="AO412" s="653">
        <v>224</v>
      </c>
      <c r="AP412" s="40">
        <v>230</v>
      </c>
      <c r="AQ412" s="630">
        <f t="shared" si="1049"/>
        <v>222</v>
      </c>
      <c r="AR412" s="653">
        <v>222</v>
      </c>
      <c r="AS412" s="40">
        <v>232</v>
      </c>
      <c r="AT412" s="630">
        <f t="shared" si="1050"/>
        <v>238</v>
      </c>
      <c r="AU412" s="556">
        <v>238</v>
      </c>
      <c r="AV412" s="10">
        <v>230</v>
      </c>
      <c r="AW412" s="236">
        <f t="shared" ref="AW412:BJ412" si="1053">(1-AW462)*AW387</f>
        <v>227.25</v>
      </c>
      <c r="AX412" s="605">
        <f t="shared" si="1053"/>
        <v>227.25</v>
      </c>
      <c r="AY412" s="56">
        <f t="shared" si="1053"/>
        <v>208.5</v>
      </c>
      <c r="AZ412" s="236">
        <f t="shared" si="1053"/>
        <v>208.5</v>
      </c>
      <c r="BA412" s="605">
        <f t="shared" si="1053"/>
        <v>208.5</v>
      </c>
      <c r="BB412" s="56">
        <f t="shared" si="1053"/>
        <v>189.75</v>
      </c>
      <c r="BC412" s="236">
        <f t="shared" si="1053"/>
        <v>189.75</v>
      </c>
      <c r="BD412" s="605">
        <f t="shared" si="1053"/>
        <v>189.75</v>
      </c>
      <c r="BE412" s="56">
        <f t="shared" si="1053"/>
        <v>171</v>
      </c>
      <c r="BF412" s="236">
        <f t="shared" si="1053"/>
        <v>171</v>
      </c>
      <c r="BG412" s="605">
        <f t="shared" si="1053"/>
        <v>171</v>
      </c>
      <c r="BH412" s="56">
        <f t="shared" si="1053"/>
        <v>152.25</v>
      </c>
      <c r="BI412" s="236">
        <f t="shared" si="1053"/>
        <v>152.25</v>
      </c>
      <c r="BJ412" s="605">
        <f t="shared" si="1053"/>
        <v>152.25</v>
      </c>
    </row>
    <row r="413" spans="1:68">
      <c r="A413" s="66" t="s">
        <v>257</v>
      </c>
      <c r="B413" s="26"/>
      <c r="C413" s="26"/>
      <c r="D413" s="26"/>
      <c r="E413" s="26"/>
      <c r="F413" s="26"/>
      <c r="G413" s="26"/>
      <c r="H413" s="26"/>
      <c r="I413" s="26"/>
      <c r="J413" s="26"/>
      <c r="K413" s="26"/>
      <c r="L413" s="26"/>
      <c r="M413" s="26"/>
      <c r="N413" s="26"/>
      <c r="O413" s="40">
        <v>244</v>
      </c>
      <c r="P413" s="40">
        <v>280</v>
      </c>
      <c r="Q413" s="40">
        <v>304</v>
      </c>
      <c r="R413" s="40"/>
      <c r="S413" s="630"/>
      <c r="T413" s="653">
        <v>332</v>
      </c>
      <c r="U413" s="40"/>
      <c r="V413" s="630"/>
      <c r="W413" s="653">
        <v>360</v>
      </c>
      <c r="X413" s="40"/>
      <c r="Y413" s="630"/>
      <c r="Z413" s="653">
        <v>400</v>
      </c>
      <c r="AA413" s="10">
        <v>416</v>
      </c>
      <c r="AB413" s="216">
        <f t="shared" si="1035"/>
        <v>428</v>
      </c>
      <c r="AC413" s="556">
        <v>428</v>
      </c>
      <c r="AD413" s="10">
        <v>24</v>
      </c>
      <c r="AE413" s="216">
        <f t="shared" si="1036"/>
        <v>68</v>
      </c>
      <c r="AF413" s="556">
        <v>68</v>
      </c>
      <c r="AG413" s="10">
        <v>92</v>
      </c>
      <c r="AH413" s="216">
        <f t="shared" si="1037"/>
        <v>168</v>
      </c>
      <c r="AI413" s="556">
        <v>168</v>
      </c>
      <c r="AJ413" s="10">
        <v>220</v>
      </c>
      <c r="AK413" s="630">
        <f t="shared" si="1038"/>
        <v>252</v>
      </c>
      <c r="AL413" s="653">
        <v>252</v>
      </c>
      <c r="AM413" s="40">
        <v>280</v>
      </c>
      <c r="AN413" s="630">
        <f t="shared" si="1048"/>
        <v>300</v>
      </c>
      <c r="AO413" s="653">
        <v>300</v>
      </c>
      <c r="AP413" s="40">
        <v>304</v>
      </c>
      <c r="AQ413" s="630">
        <f t="shared" si="1049"/>
        <v>320</v>
      </c>
      <c r="AR413" s="653">
        <v>320</v>
      </c>
      <c r="AS413" s="40">
        <v>324</v>
      </c>
      <c r="AT413" s="630">
        <f t="shared" si="1050"/>
        <v>324</v>
      </c>
      <c r="AU413" s="556">
        <v>324</v>
      </c>
      <c r="AV413" s="10">
        <v>320</v>
      </c>
      <c r="AW413" s="236">
        <f t="shared" ref="AW413:BJ413" si="1054">(1-AW463)*AW388</f>
        <v>331.2</v>
      </c>
      <c r="AX413" s="605">
        <f t="shared" si="1054"/>
        <v>331.2</v>
      </c>
      <c r="AY413" s="56">
        <f t="shared" si="1054"/>
        <v>313.2</v>
      </c>
      <c r="AZ413" s="236">
        <f t="shared" si="1054"/>
        <v>313.2</v>
      </c>
      <c r="BA413" s="605">
        <f t="shared" si="1054"/>
        <v>313.2</v>
      </c>
      <c r="BB413" s="56">
        <f t="shared" si="1054"/>
        <v>295.2</v>
      </c>
      <c r="BC413" s="236">
        <f t="shared" si="1054"/>
        <v>295.2</v>
      </c>
      <c r="BD413" s="605">
        <f t="shared" si="1054"/>
        <v>295.2</v>
      </c>
      <c r="BE413" s="56">
        <f t="shared" si="1054"/>
        <v>277.2</v>
      </c>
      <c r="BF413" s="236">
        <f t="shared" si="1054"/>
        <v>277.2</v>
      </c>
      <c r="BG413" s="605">
        <f t="shared" si="1054"/>
        <v>277.2</v>
      </c>
      <c r="BH413" s="56">
        <f t="shared" si="1054"/>
        <v>259.2</v>
      </c>
      <c r="BI413" s="236">
        <f t="shared" si="1054"/>
        <v>259.2</v>
      </c>
      <c r="BJ413" s="605">
        <f t="shared" si="1054"/>
        <v>259.2</v>
      </c>
      <c r="BK413" s="251"/>
    </row>
    <row r="414" spans="1:68">
      <c r="A414" s="66" t="s">
        <v>258</v>
      </c>
      <c r="B414" s="26"/>
      <c r="C414" s="26"/>
      <c r="D414" s="26"/>
      <c r="E414" s="26"/>
      <c r="F414" s="26"/>
      <c r="G414" s="26"/>
      <c r="H414" s="26"/>
      <c r="I414" s="26"/>
      <c r="J414" s="26"/>
      <c r="K414" s="26"/>
      <c r="L414" s="26"/>
      <c r="M414" s="26"/>
      <c r="N414" s="26"/>
      <c r="O414" s="40">
        <v>84</v>
      </c>
      <c r="P414" s="40">
        <v>164</v>
      </c>
      <c r="Q414" s="40">
        <v>260</v>
      </c>
      <c r="R414" s="40"/>
      <c r="S414" s="630"/>
      <c r="T414" s="653">
        <v>384</v>
      </c>
      <c r="U414" s="40"/>
      <c r="V414" s="630"/>
      <c r="W414" s="653">
        <v>476</v>
      </c>
      <c r="X414" s="40"/>
      <c r="Y414" s="630"/>
      <c r="Z414" s="653">
        <v>546</v>
      </c>
      <c r="AA414" s="10">
        <v>602</v>
      </c>
      <c r="AB414" s="216">
        <f t="shared" si="1035"/>
        <v>658</v>
      </c>
      <c r="AC414" s="556">
        <v>658</v>
      </c>
      <c r="AD414" s="10">
        <v>454</v>
      </c>
      <c r="AE414" s="216">
        <f t="shared" si="1036"/>
        <v>538</v>
      </c>
      <c r="AF414" s="556">
        <v>538</v>
      </c>
      <c r="AG414" s="10">
        <v>566</v>
      </c>
      <c r="AH414" s="216">
        <f t="shared" si="1037"/>
        <v>604</v>
      </c>
      <c r="AI414" s="556">
        <v>604</v>
      </c>
      <c r="AJ414" s="10">
        <v>630</v>
      </c>
      <c r="AK414" s="630">
        <f t="shared" si="1038"/>
        <v>662</v>
      </c>
      <c r="AL414" s="653">
        <v>662</v>
      </c>
      <c r="AM414" s="40">
        <v>696</v>
      </c>
      <c r="AN414" s="630">
        <f t="shared" si="1048"/>
        <v>738</v>
      </c>
      <c r="AO414" s="653">
        <v>738</v>
      </c>
      <c r="AP414" s="40">
        <v>744</v>
      </c>
      <c r="AQ414" s="630">
        <f t="shared" si="1049"/>
        <v>740</v>
      </c>
      <c r="AR414" s="653">
        <v>740</v>
      </c>
      <c r="AS414" s="40">
        <v>780</v>
      </c>
      <c r="AT414" s="630">
        <f t="shared" si="1050"/>
        <v>778</v>
      </c>
      <c r="AU414" s="556">
        <v>778</v>
      </c>
      <c r="AV414" s="10">
        <v>822</v>
      </c>
      <c r="AW414" s="236">
        <f t="shared" ref="AW414:BJ414" si="1055">(1-AW464)*AW389</f>
        <v>822.61363636363626</v>
      </c>
      <c r="AX414" s="605">
        <f t="shared" si="1055"/>
        <v>822.61363636363626</v>
      </c>
      <c r="AY414" s="56">
        <f t="shared" si="1055"/>
        <v>862.01069518716577</v>
      </c>
      <c r="AZ414" s="236">
        <f t="shared" si="1055"/>
        <v>862.01069518716577</v>
      </c>
      <c r="BA414" s="605">
        <f t="shared" si="1055"/>
        <v>862.01069518716577</v>
      </c>
      <c r="BB414" s="56">
        <f t="shared" si="1055"/>
        <v>901.40775401069516</v>
      </c>
      <c r="BC414" s="236">
        <f t="shared" si="1055"/>
        <v>901.40775401069516</v>
      </c>
      <c r="BD414" s="605">
        <f t="shared" si="1055"/>
        <v>901.40775401069516</v>
      </c>
      <c r="BE414" s="56">
        <f t="shared" si="1055"/>
        <v>940.80481283422455</v>
      </c>
      <c r="BF414" s="236">
        <f t="shared" si="1055"/>
        <v>940.80481283422455</v>
      </c>
      <c r="BG414" s="605">
        <f t="shared" si="1055"/>
        <v>940.80481283422455</v>
      </c>
      <c r="BH414" s="56">
        <f t="shared" si="1055"/>
        <v>980.20187165775394</v>
      </c>
      <c r="BI414" s="236">
        <f t="shared" si="1055"/>
        <v>980.20187165775394</v>
      </c>
      <c r="BJ414" s="605">
        <f t="shared" si="1055"/>
        <v>980.20187165775394</v>
      </c>
    </row>
    <row r="415" spans="1:68">
      <c r="A415" s="66" t="s">
        <v>486</v>
      </c>
      <c r="B415" s="26"/>
      <c r="C415" s="26"/>
      <c r="D415" s="26"/>
      <c r="E415" s="26"/>
      <c r="F415" s="26"/>
      <c r="G415" s="26"/>
      <c r="H415" s="26"/>
      <c r="I415" s="26"/>
      <c r="J415" s="26"/>
      <c r="K415" s="26"/>
      <c r="L415" s="26"/>
      <c r="M415" s="26"/>
      <c r="N415" s="26"/>
      <c r="O415" s="40">
        <v>0</v>
      </c>
      <c r="P415" s="40">
        <v>2</v>
      </c>
      <c r="Q415" s="40">
        <v>30</v>
      </c>
      <c r="R415" s="40"/>
      <c r="S415" s="630"/>
      <c r="T415" s="653">
        <v>124</v>
      </c>
      <c r="U415" s="40"/>
      <c r="V415" s="630"/>
      <c r="W415" s="653">
        <v>278</v>
      </c>
      <c r="X415" s="40"/>
      <c r="Y415" s="630"/>
      <c r="Z415" s="653">
        <v>432</v>
      </c>
      <c r="AA415" s="10">
        <v>520</v>
      </c>
      <c r="AB415" s="216">
        <f t="shared" si="1035"/>
        <v>590</v>
      </c>
      <c r="AC415" s="556">
        <v>590</v>
      </c>
      <c r="AD415" s="10">
        <v>470</v>
      </c>
      <c r="AE415" s="216">
        <f t="shared" si="1036"/>
        <v>562</v>
      </c>
      <c r="AF415" s="556">
        <v>562</v>
      </c>
      <c r="AG415" s="10">
        <v>616</v>
      </c>
      <c r="AH415" s="216">
        <f t="shared" si="1037"/>
        <v>666</v>
      </c>
      <c r="AI415" s="556">
        <v>666</v>
      </c>
      <c r="AJ415" s="10">
        <v>712</v>
      </c>
      <c r="AK415" s="630">
        <f t="shared" si="1038"/>
        <v>762</v>
      </c>
      <c r="AL415" s="653">
        <v>762</v>
      </c>
      <c r="AM415" s="40">
        <v>864</v>
      </c>
      <c r="AN415" s="630">
        <f t="shared" si="1048"/>
        <v>952</v>
      </c>
      <c r="AO415" s="653">
        <v>952</v>
      </c>
      <c r="AP415" s="40">
        <v>1010</v>
      </c>
      <c r="AQ415" s="630">
        <f t="shared" si="1049"/>
        <v>1064</v>
      </c>
      <c r="AR415" s="653">
        <v>1064</v>
      </c>
      <c r="AS415" s="40">
        <v>1112</v>
      </c>
      <c r="AT415" s="630">
        <f t="shared" si="1050"/>
        <v>1160</v>
      </c>
      <c r="AU415" s="556">
        <v>1160</v>
      </c>
      <c r="AV415" s="10">
        <v>1206</v>
      </c>
      <c r="AW415" s="236">
        <f t="shared" ref="AW415:BJ415" si="1056">(1-AW465)*AW390</f>
        <v>1224.1176470588234</v>
      </c>
      <c r="AX415" s="605">
        <f t="shared" si="1056"/>
        <v>1224.1176470588234</v>
      </c>
      <c r="AY415" s="56">
        <f t="shared" si="1056"/>
        <v>1362.2571819425443</v>
      </c>
      <c r="AZ415" s="236">
        <f t="shared" si="1056"/>
        <v>1362.2571819425443</v>
      </c>
      <c r="BA415" s="605">
        <f t="shared" si="1056"/>
        <v>1362.2571819425443</v>
      </c>
      <c r="BB415" s="56">
        <f t="shared" si="1056"/>
        <v>1517.1143247996872</v>
      </c>
      <c r="BC415" s="236">
        <f t="shared" si="1056"/>
        <v>1517.1143247996872</v>
      </c>
      <c r="BD415" s="605">
        <f t="shared" si="1056"/>
        <v>1517.1143247996872</v>
      </c>
      <c r="BE415" s="56">
        <f t="shared" si="1056"/>
        <v>1686.828610513973</v>
      </c>
      <c r="BF415" s="236">
        <f t="shared" si="1056"/>
        <v>1686.828610513973</v>
      </c>
      <c r="BG415" s="605">
        <f t="shared" si="1056"/>
        <v>1686.828610513973</v>
      </c>
      <c r="BH415" s="56">
        <f t="shared" si="1056"/>
        <v>1856.5428962282588</v>
      </c>
      <c r="BI415" s="236">
        <f t="shared" si="1056"/>
        <v>1856.5428962282588</v>
      </c>
      <c r="BJ415" s="605">
        <f t="shared" si="1056"/>
        <v>1856.5428962282588</v>
      </c>
    </row>
    <row r="416" spans="1:68">
      <c r="A416" s="66" t="s">
        <v>487</v>
      </c>
      <c r="B416" s="26"/>
      <c r="C416" s="26"/>
      <c r="D416" s="26"/>
      <c r="E416" s="26"/>
      <c r="F416" s="26"/>
      <c r="G416" s="26"/>
      <c r="H416" s="26"/>
      <c r="I416" s="26"/>
      <c r="J416" s="26"/>
      <c r="K416" s="26"/>
      <c r="L416" s="26"/>
      <c r="M416" s="26"/>
      <c r="N416" s="26"/>
      <c r="O416" s="40">
        <v>0</v>
      </c>
      <c r="P416" s="40">
        <v>0</v>
      </c>
      <c r="Q416" s="40">
        <v>0</v>
      </c>
      <c r="R416" s="40"/>
      <c r="S416" s="630"/>
      <c r="T416" s="653">
        <v>0</v>
      </c>
      <c r="U416" s="40"/>
      <c r="V416" s="630"/>
      <c r="W416" s="653">
        <v>0</v>
      </c>
      <c r="X416" s="40"/>
      <c r="Y416" s="630"/>
      <c r="Z416" s="653">
        <v>28</v>
      </c>
      <c r="AA416" s="10">
        <v>42</v>
      </c>
      <c r="AB416" s="216">
        <f t="shared" si="1035"/>
        <v>70</v>
      </c>
      <c r="AC416" s="556">
        <v>70</v>
      </c>
      <c r="AD416" s="10">
        <v>76</v>
      </c>
      <c r="AE416" s="216">
        <f t="shared" si="1036"/>
        <v>96</v>
      </c>
      <c r="AF416" s="556">
        <v>96</v>
      </c>
      <c r="AG416" s="10">
        <v>98</v>
      </c>
      <c r="AH416" s="216">
        <f t="shared" si="1037"/>
        <v>98</v>
      </c>
      <c r="AI416" s="556">
        <v>98</v>
      </c>
      <c r="AJ416" s="10">
        <v>114</v>
      </c>
      <c r="AK416" s="630">
        <f t="shared" si="1038"/>
        <v>124</v>
      </c>
      <c r="AL416" s="653">
        <v>124</v>
      </c>
      <c r="AM416" s="40">
        <v>148</v>
      </c>
      <c r="AN416" s="630">
        <f t="shared" si="1048"/>
        <v>162</v>
      </c>
      <c r="AO416" s="653">
        <v>162</v>
      </c>
      <c r="AP416" s="40">
        <v>168</v>
      </c>
      <c r="AQ416" s="630">
        <f t="shared" si="1049"/>
        <v>186</v>
      </c>
      <c r="AR416" s="653">
        <v>186</v>
      </c>
      <c r="AS416" s="40">
        <v>192</v>
      </c>
      <c r="AT416" s="630">
        <f t="shared" si="1050"/>
        <v>212</v>
      </c>
      <c r="AU416" s="556">
        <v>212</v>
      </c>
      <c r="AV416" s="10">
        <v>224</v>
      </c>
      <c r="AW416" s="236">
        <f t="shared" ref="AW416:BJ416" si="1057">(1-AW466)*AW391</f>
        <v>239.51612903225805</v>
      </c>
      <c r="AX416" s="605">
        <f t="shared" si="1057"/>
        <v>239.51612903225805</v>
      </c>
      <c r="AY416" s="56">
        <f t="shared" si="1057"/>
        <v>281.91104594330398</v>
      </c>
      <c r="AZ416" s="236">
        <f t="shared" si="1057"/>
        <v>281.91104594330398</v>
      </c>
      <c r="BA416" s="605">
        <f t="shared" si="1057"/>
        <v>281.91104594330398</v>
      </c>
      <c r="BB416" s="56">
        <f t="shared" si="1057"/>
        <v>330.37806911620953</v>
      </c>
      <c r="BC416" s="236">
        <f t="shared" si="1057"/>
        <v>330.37806911620953</v>
      </c>
      <c r="BD416" s="605">
        <f t="shared" si="1057"/>
        <v>330.37806911620953</v>
      </c>
      <c r="BE416" s="56">
        <f t="shared" si="1057"/>
        <v>383.90748088091539</v>
      </c>
      <c r="BF416" s="236">
        <f t="shared" si="1057"/>
        <v>383.90748088091539</v>
      </c>
      <c r="BG416" s="605">
        <f t="shared" si="1057"/>
        <v>383.90748088091539</v>
      </c>
      <c r="BH416" s="56">
        <f t="shared" si="1057"/>
        <v>439.78983382209185</v>
      </c>
      <c r="BI416" s="236">
        <f t="shared" si="1057"/>
        <v>439.78983382209185</v>
      </c>
      <c r="BJ416" s="605">
        <f t="shared" si="1057"/>
        <v>439.78983382209185</v>
      </c>
    </row>
    <row r="417" spans="1:65">
      <c r="A417" s="66" t="s">
        <v>277</v>
      </c>
      <c r="B417" s="26"/>
      <c r="C417" s="26"/>
      <c r="D417" s="26"/>
      <c r="E417" s="26"/>
      <c r="F417" s="26"/>
      <c r="G417" s="26"/>
      <c r="H417" s="26"/>
      <c r="I417" s="26"/>
      <c r="J417" s="26"/>
      <c r="K417" s="26"/>
      <c r="L417" s="26"/>
      <c r="M417" s="26"/>
      <c r="N417" s="26"/>
      <c r="O417" s="40">
        <v>0</v>
      </c>
      <c r="P417" s="40">
        <v>0</v>
      </c>
      <c r="Q417" s="40">
        <v>0</v>
      </c>
      <c r="R417" s="40"/>
      <c r="S417" s="630"/>
      <c r="T417" s="653">
        <v>0</v>
      </c>
      <c r="U417" s="40"/>
      <c r="V417" s="630"/>
      <c r="W417" s="653">
        <v>0</v>
      </c>
      <c r="X417" s="40"/>
      <c r="Y417" s="630"/>
      <c r="Z417" s="653">
        <v>2</v>
      </c>
      <c r="AA417" s="10">
        <v>32</v>
      </c>
      <c r="AB417" s="216">
        <f t="shared" si="1035"/>
        <v>80</v>
      </c>
      <c r="AC417" s="556">
        <v>80</v>
      </c>
      <c r="AD417" s="10">
        <v>52</v>
      </c>
      <c r="AE417" s="216">
        <f t="shared" si="1036"/>
        <v>90</v>
      </c>
      <c r="AF417" s="556">
        <v>90</v>
      </c>
      <c r="AG417" s="10">
        <v>94</v>
      </c>
      <c r="AH417" s="216">
        <f t="shared" si="1037"/>
        <v>130</v>
      </c>
      <c r="AI417" s="556">
        <v>130</v>
      </c>
      <c r="AJ417" s="10">
        <v>144</v>
      </c>
      <c r="AK417" s="630">
        <f t="shared" si="1038"/>
        <v>170</v>
      </c>
      <c r="AL417" s="653">
        <v>170</v>
      </c>
      <c r="AM417" s="40">
        <v>196</v>
      </c>
      <c r="AN417" s="630">
        <f t="shared" si="1048"/>
        <v>220</v>
      </c>
      <c r="AO417" s="653">
        <v>220</v>
      </c>
      <c r="AP417" s="40">
        <v>258</v>
      </c>
      <c r="AQ417" s="630">
        <f t="shared" si="1049"/>
        <v>294</v>
      </c>
      <c r="AR417" s="653">
        <v>294</v>
      </c>
      <c r="AS417" s="40">
        <v>312</v>
      </c>
      <c r="AT417" s="630">
        <f t="shared" si="1050"/>
        <v>352</v>
      </c>
      <c r="AU417" s="556">
        <v>352</v>
      </c>
      <c r="AV417" s="10">
        <v>358</v>
      </c>
      <c r="AW417" s="236">
        <f t="shared" ref="AW417:BJ417" si="1058">(1-AW467)*AW392</f>
        <v>413.86470588235289</v>
      </c>
      <c r="AX417" s="605">
        <f t="shared" si="1058"/>
        <v>413.86470588235289</v>
      </c>
      <c r="AY417" s="56">
        <f t="shared" si="1058"/>
        <v>482.87941176470582</v>
      </c>
      <c r="AZ417" s="236">
        <f t="shared" si="1058"/>
        <v>482.87941176470582</v>
      </c>
      <c r="BA417" s="605">
        <f t="shared" si="1058"/>
        <v>482.87941176470582</v>
      </c>
      <c r="BB417" s="56">
        <f t="shared" si="1058"/>
        <v>551.89411764705869</v>
      </c>
      <c r="BC417" s="236">
        <f t="shared" si="1058"/>
        <v>551.89411764705869</v>
      </c>
      <c r="BD417" s="605">
        <f t="shared" si="1058"/>
        <v>551.89411764705869</v>
      </c>
      <c r="BE417" s="56">
        <f t="shared" si="1058"/>
        <v>622.05840336134452</v>
      </c>
      <c r="BF417" s="236">
        <f t="shared" si="1058"/>
        <v>622.05840336134452</v>
      </c>
      <c r="BG417" s="605">
        <f t="shared" si="1058"/>
        <v>622.05840336134452</v>
      </c>
      <c r="BH417" s="56">
        <f t="shared" si="1058"/>
        <v>692.22268907563023</v>
      </c>
      <c r="BI417" s="236">
        <f t="shared" si="1058"/>
        <v>692.22268907563023</v>
      </c>
      <c r="BJ417" s="605">
        <f t="shared" si="1058"/>
        <v>692.22268907563023</v>
      </c>
    </row>
    <row r="418" spans="1:65">
      <c r="A418" s="62" t="s">
        <v>259</v>
      </c>
      <c r="B418" s="62"/>
      <c r="C418" s="62"/>
      <c r="D418" s="62"/>
      <c r="E418" s="62"/>
      <c r="F418" s="62"/>
      <c r="G418" s="62"/>
      <c r="H418" s="62"/>
      <c r="I418" s="62"/>
      <c r="J418" s="62"/>
      <c r="K418" s="62"/>
      <c r="L418" s="62"/>
      <c r="M418" s="62"/>
      <c r="N418" s="62"/>
      <c r="O418" s="82">
        <f t="shared" ref="O418:BJ418" si="1059">SUM(O410:O417)</f>
        <v>2318</v>
      </c>
      <c r="P418" s="82">
        <f t="shared" si="1059"/>
        <v>2544</v>
      </c>
      <c r="Q418" s="82">
        <f t="shared" si="1059"/>
        <v>2696</v>
      </c>
      <c r="R418" s="82"/>
      <c r="S418" s="694"/>
      <c r="T418" s="709">
        <f t="shared" si="1059"/>
        <v>2988</v>
      </c>
      <c r="U418" s="82"/>
      <c r="V418" s="694"/>
      <c r="W418" s="709">
        <f t="shared" si="1059"/>
        <v>3314</v>
      </c>
      <c r="X418" s="82"/>
      <c r="Y418" s="694"/>
      <c r="Z418" s="709">
        <f t="shared" si="1059"/>
        <v>3662</v>
      </c>
      <c r="AA418" s="190">
        <f t="shared" si="1059"/>
        <v>3832</v>
      </c>
      <c r="AB418" s="226">
        <f t="shared" si="1059"/>
        <v>3992</v>
      </c>
      <c r="AC418" s="555">
        <f t="shared" si="1059"/>
        <v>3992</v>
      </c>
      <c r="AD418" s="190">
        <f t="shared" si="1059"/>
        <v>2256</v>
      </c>
      <c r="AE418" s="226">
        <f t="shared" si="1059"/>
        <v>2610</v>
      </c>
      <c r="AF418" s="555">
        <f t="shared" si="1059"/>
        <v>2610</v>
      </c>
      <c r="AG418" s="190">
        <f t="shared" ref="AG418:AH418" si="1060">SUM(AG410:AG417)</f>
        <v>2764</v>
      </c>
      <c r="AH418" s="226">
        <f t="shared" si="1060"/>
        <v>3080</v>
      </c>
      <c r="AI418" s="555">
        <f t="shared" si="1059"/>
        <v>3080</v>
      </c>
      <c r="AJ418" s="190">
        <f t="shared" si="1059"/>
        <v>3278</v>
      </c>
      <c r="AK418" s="694">
        <f t="shared" ref="AK418" si="1061">SUM(AK410:AK417)</f>
        <v>3412</v>
      </c>
      <c r="AL418" s="709">
        <f t="shared" si="1059"/>
        <v>3412</v>
      </c>
      <c r="AM418" s="82">
        <f t="shared" ref="AM418:AO418" si="1062">SUM(AM410:AM417)</f>
        <v>3802</v>
      </c>
      <c r="AN418" s="694">
        <f t="shared" si="1062"/>
        <v>4072</v>
      </c>
      <c r="AO418" s="709">
        <f t="shared" si="1062"/>
        <v>4072</v>
      </c>
      <c r="AP418" s="82">
        <f t="shared" ref="AP418:AR418" si="1063">SUM(AP410:AP417)</f>
        <v>4234</v>
      </c>
      <c r="AQ418" s="694">
        <f t="shared" si="1063"/>
        <v>4360</v>
      </c>
      <c r="AR418" s="709">
        <f t="shared" si="1063"/>
        <v>4360</v>
      </c>
      <c r="AS418" s="82">
        <f t="shared" ref="AS418" si="1064">SUM(AS410:AS417)</f>
        <v>4490</v>
      </c>
      <c r="AT418" s="226">
        <f t="shared" si="1059"/>
        <v>4630</v>
      </c>
      <c r="AU418" s="555">
        <f t="shared" si="1059"/>
        <v>4630</v>
      </c>
      <c r="AV418" s="190">
        <f t="shared" si="1059"/>
        <v>4674</v>
      </c>
      <c r="AW418" s="241">
        <f t="shared" si="1059"/>
        <v>4772.0621183370704</v>
      </c>
      <c r="AX418" s="579">
        <f t="shared" si="1059"/>
        <v>4772.0621183370704</v>
      </c>
      <c r="AY418" s="204">
        <f t="shared" si="1059"/>
        <v>4992.2583348377193</v>
      </c>
      <c r="AZ418" s="241">
        <f t="shared" si="1059"/>
        <v>4992.2583348377193</v>
      </c>
      <c r="BA418" s="579">
        <f t="shared" si="1059"/>
        <v>4992.2583348377193</v>
      </c>
      <c r="BB418" s="204">
        <f t="shared" si="1059"/>
        <v>5235.2442655736504</v>
      </c>
      <c r="BC418" s="241">
        <f t="shared" si="1059"/>
        <v>5235.2442655736504</v>
      </c>
      <c r="BD418" s="579">
        <f t="shared" si="1059"/>
        <v>5235.2442655736504</v>
      </c>
      <c r="BE418" s="204">
        <f t="shared" si="1059"/>
        <v>5499.2993075904578</v>
      </c>
      <c r="BF418" s="241">
        <f t="shared" si="1059"/>
        <v>5499.2993075904578</v>
      </c>
      <c r="BG418" s="579">
        <f t="shared" si="1059"/>
        <v>5499.2993075904578</v>
      </c>
      <c r="BH418" s="204">
        <f t="shared" si="1059"/>
        <v>5765.7072907837346</v>
      </c>
      <c r="BI418" s="241">
        <f t="shared" si="1059"/>
        <v>5765.7072907837346</v>
      </c>
      <c r="BJ418" s="579">
        <f t="shared" si="1059"/>
        <v>5765.7072907837346</v>
      </c>
      <c r="BK418" s="182">
        <f>(BJ418/AL418)^(1/8)-1</f>
        <v>6.7776715130930532E-2</v>
      </c>
      <c r="BL418" s="39"/>
    </row>
    <row r="419" spans="1:65" ht="10.8" thickBot="1">
      <c r="A419" s="37" t="s">
        <v>260</v>
      </c>
      <c r="B419" s="37"/>
      <c r="C419" s="37"/>
      <c r="D419" s="37"/>
      <c r="E419" s="37"/>
      <c r="F419" s="37"/>
      <c r="G419" s="37"/>
      <c r="H419" s="37"/>
      <c r="I419" s="37"/>
      <c r="J419" s="37"/>
      <c r="K419" s="37"/>
      <c r="L419" s="37"/>
      <c r="M419" s="37"/>
      <c r="N419" s="37"/>
      <c r="O419" s="84">
        <f t="shared" ref="O419:BJ419" si="1065">O409+O418</f>
        <v>3802</v>
      </c>
      <c r="P419" s="84">
        <f t="shared" si="1065"/>
        <v>3911</v>
      </c>
      <c r="Q419" s="84">
        <f t="shared" si="1065"/>
        <v>3909</v>
      </c>
      <c r="R419" s="84"/>
      <c r="S419" s="632"/>
      <c r="T419" s="655">
        <f t="shared" si="1065"/>
        <v>4137</v>
      </c>
      <c r="U419" s="84"/>
      <c r="V419" s="632"/>
      <c r="W419" s="655">
        <f t="shared" si="1065"/>
        <v>4409</v>
      </c>
      <c r="X419" s="84"/>
      <c r="Y419" s="632"/>
      <c r="Z419" s="655">
        <f t="shared" si="1065"/>
        <v>4757</v>
      </c>
      <c r="AA419" s="22">
        <f t="shared" si="1065"/>
        <v>4897</v>
      </c>
      <c r="AB419" s="227">
        <f t="shared" si="1065"/>
        <v>5029</v>
      </c>
      <c r="AC419" s="557">
        <f t="shared" si="1065"/>
        <v>5029</v>
      </c>
      <c r="AD419" s="22">
        <f t="shared" si="1065"/>
        <v>2893</v>
      </c>
      <c r="AE419" s="227">
        <f t="shared" si="1065"/>
        <v>3271</v>
      </c>
      <c r="AF419" s="557">
        <f t="shared" si="1065"/>
        <v>3271</v>
      </c>
      <c r="AG419" s="22">
        <f t="shared" ref="AG419:AH419" si="1066">AG409+AG418</f>
        <v>3481</v>
      </c>
      <c r="AH419" s="227">
        <f t="shared" si="1066"/>
        <v>3821</v>
      </c>
      <c r="AI419" s="557">
        <f t="shared" si="1065"/>
        <v>3821</v>
      </c>
      <c r="AJ419" s="22">
        <f t="shared" si="1065"/>
        <v>4045</v>
      </c>
      <c r="AK419" s="632">
        <f t="shared" ref="AK419" si="1067">AK409+AK418</f>
        <v>4179</v>
      </c>
      <c r="AL419" s="655">
        <f t="shared" si="1065"/>
        <v>4179</v>
      </c>
      <c r="AM419" s="84">
        <f t="shared" ref="AM419:AO419" si="1068">AM409+AM418</f>
        <v>4593</v>
      </c>
      <c r="AN419" s="632">
        <f t="shared" si="1068"/>
        <v>4867</v>
      </c>
      <c r="AO419" s="655">
        <f t="shared" si="1068"/>
        <v>4867</v>
      </c>
      <c r="AP419" s="84">
        <f t="shared" ref="AP419:AR419" si="1069">AP409+AP418</f>
        <v>4993</v>
      </c>
      <c r="AQ419" s="632">
        <f t="shared" si="1069"/>
        <v>5103</v>
      </c>
      <c r="AR419" s="655">
        <f t="shared" si="1069"/>
        <v>5103</v>
      </c>
      <c r="AS419" s="84">
        <f t="shared" ref="AS419" si="1070">AS409+AS418</f>
        <v>5225</v>
      </c>
      <c r="AT419" s="227">
        <f t="shared" si="1065"/>
        <v>5325</v>
      </c>
      <c r="AU419" s="557">
        <f t="shared" si="1065"/>
        <v>5325</v>
      </c>
      <c r="AV419" s="22">
        <f t="shared" si="1065"/>
        <v>5371</v>
      </c>
      <c r="AW419" s="244">
        <f t="shared" si="1065"/>
        <v>5423.0621183370704</v>
      </c>
      <c r="AX419" s="581">
        <f t="shared" si="1065"/>
        <v>5423.0621183370704</v>
      </c>
      <c r="AY419" s="181">
        <f t="shared" si="1065"/>
        <v>5605.7583348377193</v>
      </c>
      <c r="AZ419" s="244">
        <f t="shared" si="1065"/>
        <v>5605.7583348377193</v>
      </c>
      <c r="BA419" s="581">
        <f t="shared" si="1065"/>
        <v>5605.7583348377193</v>
      </c>
      <c r="BB419" s="181">
        <f t="shared" si="1065"/>
        <v>5811.2442655736504</v>
      </c>
      <c r="BC419" s="244">
        <f t="shared" si="1065"/>
        <v>5811.2442655736504</v>
      </c>
      <c r="BD419" s="581">
        <f t="shared" si="1065"/>
        <v>5811.2442655736504</v>
      </c>
      <c r="BE419" s="181">
        <f t="shared" si="1065"/>
        <v>6037.7993075904578</v>
      </c>
      <c r="BF419" s="244">
        <f t="shared" si="1065"/>
        <v>6037.7993075904578</v>
      </c>
      <c r="BG419" s="581">
        <f t="shared" si="1065"/>
        <v>6037.7993075904578</v>
      </c>
      <c r="BH419" s="181">
        <f t="shared" si="1065"/>
        <v>6266.7072907837346</v>
      </c>
      <c r="BI419" s="244">
        <f t="shared" si="1065"/>
        <v>6266.7072907837346</v>
      </c>
      <c r="BJ419" s="581">
        <f t="shared" si="1065"/>
        <v>6266.7072907837346</v>
      </c>
      <c r="BL419" s="39"/>
      <c r="BM419" s="64"/>
    </row>
    <row r="420" spans="1:65">
      <c r="A420" s="66" t="s">
        <v>261</v>
      </c>
      <c r="B420" s="26"/>
      <c r="C420" s="26"/>
      <c r="D420" s="26"/>
      <c r="E420" s="26"/>
      <c r="F420" s="26"/>
      <c r="G420" s="26"/>
      <c r="H420" s="26"/>
      <c r="I420" s="26"/>
      <c r="J420" s="26"/>
      <c r="K420" s="26"/>
      <c r="L420" s="26"/>
      <c r="M420" s="26"/>
      <c r="N420" s="26"/>
      <c r="O420" s="40">
        <v>580</v>
      </c>
      <c r="P420" s="40">
        <v>506</v>
      </c>
      <c r="Q420" s="40">
        <v>460</v>
      </c>
      <c r="R420" s="40"/>
      <c r="S420" s="630"/>
      <c r="T420" s="653">
        <v>430</v>
      </c>
      <c r="U420" s="40"/>
      <c r="V420" s="630"/>
      <c r="W420" s="653">
        <v>404</v>
      </c>
      <c r="X420" s="40"/>
      <c r="Y420" s="630"/>
      <c r="Z420" s="653">
        <v>360</v>
      </c>
      <c r="AA420" s="10">
        <v>326</v>
      </c>
      <c r="AB420" s="216">
        <f t="shared" ref="AB420:AB424" si="1071">AC420</f>
        <v>284</v>
      </c>
      <c r="AC420" s="556">
        <v>284</v>
      </c>
      <c r="AD420" s="10">
        <v>264</v>
      </c>
      <c r="AE420" s="216">
        <f t="shared" ref="AE420:AE424" si="1072">AF420</f>
        <v>252</v>
      </c>
      <c r="AF420" s="556">
        <v>252</v>
      </c>
      <c r="AG420" s="10">
        <v>232</v>
      </c>
      <c r="AH420" s="216">
        <f t="shared" ref="AH420:AH424" si="1073">AI420</f>
        <v>236</v>
      </c>
      <c r="AI420" s="556">
        <v>236</v>
      </c>
      <c r="AJ420" s="10">
        <v>220</v>
      </c>
      <c r="AK420" s="630">
        <f t="shared" ref="AK420:AK424" si="1074">AL420</f>
        <v>210</v>
      </c>
      <c r="AL420" s="653">
        <v>210</v>
      </c>
      <c r="AM420" s="40">
        <v>190</v>
      </c>
      <c r="AN420" s="630">
        <f t="shared" ref="AN420:AN424" si="1075">AO420</f>
        <v>182</v>
      </c>
      <c r="AO420" s="653">
        <v>182</v>
      </c>
      <c r="AP420" s="40">
        <v>168</v>
      </c>
      <c r="AQ420" s="630">
        <f t="shared" ref="AQ420:AQ424" si="1076">AR420</f>
        <v>130</v>
      </c>
      <c r="AR420" s="653">
        <v>130</v>
      </c>
      <c r="AS420" s="40">
        <v>86</v>
      </c>
      <c r="AT420" s="630">
        <f t="shared" ref="AT420:AT424" si="1077">AU420</f>
        <v>92</v>
      </c>
      <c r="AU420" s="556">
        <v>92</v>
      </c>
      <c r="AV420" s="10">
        <v>88</v>
      </c>
      <c r="AW420" s="216"/>
      <c r="AX420" s="556"/>
      <c r="AY420" s="10"/>
      <c r="AZ420" s="216"/>
      <c r="BA420" s="556"/>
      <c r="BB420" s="10"/>
      <c r="BC420" s="216"/>
      <c r="BD420" s="556"/>
      <c r="BE420" s="10"/>
      <c r="BF420" s="216"/>
      <c r="BG420" s="556"/>
      <c r="BH420" s="10"/>
      <c r="BI420" s="216"/>
      <c r="BJ420" s="556"/>
    </row>
    <row r="421" spans="1:65">
      <c r="A421" s="66" t="s">
        <v>262</v>
      </c>
      <c r="B421" s="26"/>
      <c r="C421" s="26"/>
      <c r="D421" s="26"/>
      <c r="E421" s="26"/>
      <c r="F421" s="26"/>
      <c r="G421" s="26"/>
      <c r="H421" s="26"/>
      <c r="I421" s="26"/>
      <c r="J421" s="26"/>
      <c r="K421" s="26"/>
      <c r="L421" s="26"/>
      <c r="M421" s="26"/>
      <c r="N421" s="26"/>
      <c r="O421" s="40">
        <v>2019</v>
      </c>
      <c r="P421" s="40">
        <v>2011</v>
      </c>
      <c r="Q421" s="40">
        <v>2035</v>
      </c>
      <c r="R421" s="40"/>
      <c r="S421" s="630"/>
      <c r="T421" s="653">
        <v>2027</v>
      </c>
      <c r="U421" s="40"/>
      <c r="V421" s="630"/>
      <c r="W421" s="653">
        <v>1993</v>
      </c>
      <c r="X421" s="40"/>
      <c r="Y421" s="630"/>
      <c r="Z421" s="653">
        <v>2009</v>
      </c>
      <c r="AA421" s="10">
        <v>1972</v>
      </c>
      <c r="AB421" s="216">
        <f t="shared" si="1071"/>
        <v>2064</v>
      </c>
      <c r="AC421" s="556">
        <v>2064</v>
      </c>
      <c r="AD421" s="10">
        <v>1898</v>
      </c>
      <c r="AE421" s="216">
        <f t="shared" si="1072"/>
        <v>2004</v>
      </c>
      <c r="AF421" s="556">
        <v>2004</v>
      </c>
      <c r="AG421" s="10">
        <v>1884</v>
      </c>
      <c r="AH421" s="216">
        <f t="shared" si="1073"/>
        <v>1988</v>
      </c>
      <c r="AI421" s="556">
        <v>1988</v>
      </c>
      <c r="AJ421" s="10">
        <v>1854</v>
      </c>
      <c r="AK421" s="630">
        <f t="shared" si="1074"/>
        <v>1838</v>
      </c>
      <c r="AL421" s="653">
        <v>1838</v>
      </c>
      <c r="AM421" s="40">
        <v>1846</v>
      </c>
      <c r="AN421" s="630">
        <f t="shared" si="1075"/>
        <v>1832</v>
      </c>
      <c r="AO421" s="653">
        <v>1832</v>
      </c>
      <c r="AP421" s="40">
        <v>1818</v>
      </c>
      <c r="AQ421" s="630">
        <f t="shared" si="1076"/>
        <v>1790</v>
      </c>
      <c r="AR421" s="653">
        <v>1790</v>
      </c>
      <c r="AS421" s="40">
        <v>1764</v>
      </c>
      <c r="AT421" s="630">
        <f t="shared" si="1077"/>
        <v>1746</v>
      </c>
      <c r="AU421" s="556">
        <v>1746</v>
      </c>
      <c r="AV421" s="10">
        <v>1726</v>
      </c>
      <c r="AW421" s="216"/>
      <c r="AX421" s="556"/>
      <c r="AY421" s="10"/>
      <c r="AZ421" s="216"/>
      <c r="BA421" s="556"/>
      <c r="BB421" s="10"/>
      <c r="BC421" s="216"/>
      <c r="BD421" s="556"/>
      <c r="BE421" s="10"/>
      <c r="BF421" s="216"/>
      <c r="BG421" s="556"/>
      <c r="BH421" s="10"/>
      <c r="BI421" s="216"/>
      <c r="BJ421" s="556"/>
    </row>
    <row r="422" spans="1:65">
      <c r="A422" s="66" t="s">
        <v>263</v>
      </c>
      <c r="B422" s="26"/>
      <c r="C422" s="26"/>
      <c r="D422" s="26"/>
      <c r="E422" s="26"/>
      <c r="F422" s="26"/>
      <c r="G422" s="26"/>
      <c r="H422" s="26"/>
      <c r="I422" s="26"/>
      <c r="J422" s="26"/>
      <c r="K422" s="26"/>
      <c r="L422" s="26"/>
      <c r="M422" s="26"/>
      <c r="N422" s="26"/>
      <c r="O422" s="40">
        <v>2598</v>
      </c>
      <c r="P422" s="40">
        <v>2534</v>
      </c>
      <c r="Q422" s="40">
        <v>2468</v>
      </c>
      <c r="R422" s="40"/>
      <c r="S422" s="630"/>
      <c r="T422" s="653">
        <v>2326</v>
      </c>
      <c r="U422" s="40"/>
      <c r="V422" s="630"/>
      <c r="W422" s="653">
        <v>2302</v>
      </c>
      <c r="X422" s="40"/>
      <c r="Y422" s="630"/>
      <c r="Z422" s="653">
        <v>2448</v>
      </c>
      <c r="AA422" s="10">
        <v>2470</v>
      </c>
      <c r="AB422" s="216">
        <f t="shared" si="1071"/>
        <v>2472</v>
      </c>
      <c r="AC422" s="556">
        <v>2472</v>
      </c>
      <c r="AD422" s="10">
        <v>1968</v>
      </c>
      <c r="AE422" s="216">
        <f t="shared" si="1072"/>
        <v>2028</v>
      </c>
      <c r="AF422" s="556">
        <v>2028</v>
      </c>
      <c r="AG422" s="10">
        <v>2096</v>
      </c>
      <c r="AH422" s="216">
        <f t="shared" si="1073"/>
        <v>2124</v>
      </c>
      <c r="AI422" s="556">
        <v>2124</v>
      </c>
      <c r="AJ422" s="10">
        <v>2084</v>
      </c>
      <c r="AK422" s="630">
        <f t="shared" si="1074"/>
        <v>1954</v>
      </c>
      <c r="AL422" s="653">
        <v>1954</v>
      </c>
      <c r="AM422" s="40">
        <v>1986</v>
      </c>
      <c r="AN422" s="630">
        <f t="shared" si="1075"/>
        <v>2076</v>
      </c>
      <c r="AO422" s="653">
        <v>2076</v>
      </c>
      <c r="AP422" s="40">
        <v>1970</v>
      </c>
      <c r="AQ422" s="630">
        <f t="shared" si="1076"/>
        <v>1960</v>
      </c>
      <c r="AR422" s="653">
        <v>1960</v>
      </c>
      <c r="AS422" s="40">
        <v>2002</v>
      </c>
      <c r="AT422" s="630">
        <f t="shared" si="1077"/>
        <v>2030</v>
      </c>
      <c r="AU422" s="556">
        <v>2030</v>
      </c>
      <c r="AV422" s="10">
        <v>1944</v>
      </c>
      <c r="AW422" s="216"/>
      <c r="AX422" s="556"/>
      <c r="AY422" s="10"/>
      <c r="AZ422" s="216"/>
      <c r="BA422" s="556"/>
      <c r="BB422" s="10"/>
      <c r="BC422" s="216"/>
      <c r="BD422" s="556"/>
      <c r="BE422" s="10"/>
      <c r="BF422" s="216"/>
      <c r="BG422" s="556"/>
      <c r="BH422" s="10"/>
      <c r="BI422" s="216"/>
      <c r="BJ422" s="556"/>
    </row>
    <row r="423" spans="1:65">
      <c r="A423" s="66" t="s">
        <v>264</v>
      </c>
      <c r="B423" s="26"/>
      <c r="C423" s="26"/>
      <c r="D423" s="26"/>
      <c r="E423" s="26"/>
      <c r="F423" s="26"/>
      <c r="G423" s="26"/>
      <c r="H423" s="26"/>
      <c r="I423" s="26"/>
      <c r="J423" s="26"/>
      <c r="K423" s="26"/>
      <c r="L423" s="26"/>
      <c r="M423" s="26"/>
      <c r="N423" s="26"/>
      <c r="O423" s="40">
        <v>2696</v>
      </c>
      <c r="P423" s="40">
        <v>2964</v>
      </c>
      <c r="Q423" s="40">
        <v>3388</v>
      </c>
      <c r="R423" s="40"/>
      <c r="S423" s="630"/>
      <c r="T423" s="653">
        <v>3642</v>
      </c>
      <c r="U423" s="40"/>
      <c r="V423" s="630"/>
      <c r="W423" s="653">
        <v>3858</v>
      </c>
      <c r="X423" s="40"/>
      <c r="Y423" s="630"/>
      <c r="Z423" s="653">
        <v>4098</v>
      </c>
      <c r="AA423" s="10">
        <v>4190</v>
      </c>
      <c r="AB423" s="216">
        <f t="shared" si="1071"/>
        <v>4322</v>
      </c>
      <c r="AC423" s="556">
        <v>4322</v>
      </c>
      <c r="AD423" s="10">
        <v>4248</v>
      </c>
      <c r="AE423" s="216">
        <f t="shared" si="1072"/>
        <v>4314</v>
      </c>
      <c r="AF423" s="556">
        <v>4314</v>
      </c>
      <c r="AG423" s="10">
        <v>4332</v>
      </c>
      <c r="AH423" s="216">
        <f t="shared" si="1073"/>
        <v>4382</v>
      </c>
      <c r="AI423" s="556">
        <v>4382</v>
      </c>
      <c r="AJ423" s="10">
        <v>4382</v>
      </c>
      <c r="AK423" s="630">
        <f t="shared" si="1074"/>
        <v>4442</v>
      </c>
      <c r="AL423" s="653">
        <v>4442</v>
      </c>
      <c r="AM423" s="40">
        <v>4488</v>
      </c>
      <c r="AN423" s="630">
        <f t="shared" si="1075"/>
        <v>4560</v>
      </c>
      <c r="AO423" s="653">
        <v>4560</v>
      </c>
      <c r="AP423" s="40">
        <v>4532</v>
      </c>
      <c r="AQ423" s="630">
        <f t="shared" si="1076"/>
        <v>4522</v>
      </c>
      <c r="AR423" s="653">
        <v>4522</v>
      </c>
      <c r="AS423" s="40">
        <v>4556</v>
      </c>
      <c r="AT423" s="630">
        <f t="shared" si="1077"/>
        <v>4572</v>
      </c>
      <c r="AU423" s="556">
        <v>4572</v>
      </c>
      <c r="AV423" s="10">
        <v>4570</v>
      </c>
      <c r="AW423" s="216"/>
      <c r="AX423" s="556"/>
      <c r="AY423" s="10"/>
      <c r="AZ423" s="216"/>
      <c r="BA423" s="556"/>
      <c r="BB423" s="10"/>
      <c r="BC423" s="216"/>
      <c r="BD423" s="556"/>
      <c r="BE423" s="10"/>
      <c r="BF423" s="216"/>
      <c r="BG423" s="556"/>
      <c r="BH423" s="10"/>
      <c r="BI423" s="216"/>
      <c r="BJ423" s="556"/>
    </row>
    <row r="424" spans="1:65">
      <c r="A424" s="66" t="s">
        <v>734</v>
      </c>
      <c r="B424" s="26"/>
      <c r="C424" s="26"/>
      <c r="D424" s="26"/>
      <c r="E424" s="26"/>
      <c r="F424" s="26"/>
      <c r="G424" s="26"/>
      <c r="H424" s="26"/>
      <c r="I424" s="26"/>
      <c r="J424" s="26"/>
      <c r="K424" s="26"/>
      <c r="L424" s="26"/>
      <c r="M424" s="26"/>
      <c r="N424" s="26"/>
      <c r="O424" s="40"/>
      <c r="P424" s="40"/>
      <c r="Q424" s="40"/>
      <c r="R424" s="40"/>
      <c r="S424" s="630"/>
      <c r="T424" s="653"/>
      <c r="U424" s="40"/>
      <c r="V424" s="630"/>
      <c r="W424" s="653"/>
      <c r="X424" s="40"/>
      <c r="Y424" s="630"/>
      <c r="Z424" s="653"/>
      <c r="AA424" s="10">
        <v>0</v>
      </c>
      <c r="AB424" s="216">
        <f t="shared" si="1071"/>
        <v>0</v>
      </c>
      <c r="AC424" s="556">
        <v>0</v>
      </c>
      <c r="AD424" s="10">
        <v>14</v>
      </c>
      <c r="AE424" s="216">
        <f t="shared" si="1072"/>
        <v>36</v>
      </c>
      <c r="AF424" s="556">
        <v>36</v>
      </c>
      <c r="AG424" s="10">
        <v>58</v>
      </c>
      <c r="AH424" s="216">
        <f t="shared" si="1073"/>
        <v>84</v>
      </c>
      <c r="AI424" s="556">
        <v>84</v>
      </c>
      <c r="AJ424" s="10">
        <v>98</v>
      </c>
      <c r="AK424" s="630">
        <f t="shared" si="1074"/>
        <v>120</v>
      </c>
      <c r="AL424" s="653">
        <v>120</v>
      </c>
      <c r="AM424" s="40">
        <v>144</v>
      </c>
      <c r="AN424" s="630">
        <f t="shared" si="1075"/>
        <v>184</v>
      </c>
      <c r="AO424" s="653">
        <v>184</v>
      </c>
      <c r="AP424" s="40">
        <v>222</v>
      </c>
      <c r="AQ424" s="630">
        <f t="shared" si="1076"/>
        <v>296</v>
      </c>
      <c r="AR424" s="653">
        <v>296</v>
      </c>
      <c r="AS424" s="40">
        <v>380</v>
      </c>
      <c r="AT424" s="630">
        <f t="shared" si="1077"/>
        <v>498</v>
      </c>
      <c r="AU424" s="556">
        <v>498</v>
      </c>
      <c r="AV424" s="10">
        <v>606</v>
      </c>
      <c r="AW424" s="216"/>
      <c r="AX424" s="556"/>
      <c r="AY424" s="10"/>
      <c r="AZ424" s="216"/>
      <c r="BA424" s="556"/>
      <c r="BB424" s="10"/>
      <c r="BC424" s="216"/>
      <c r="BD424" s="556"/>
      <c r="BE424" s="10"/>
      <c r="BF424" s="216"/>
      <c r="BG424" s="556"/>
      <c r="BH424" s="10"/>
      <c r="BI424" s="216"/>
      <c r="BJ424" s="556"/>
    </row>
    <row r="425" spans="1:65">
      <c r="A425" s="62" t="s">
        <v>265</v>
      </c>
      <c r="B425" s="62"/>
      <c r="C425" s="62"/>
      <c r="D425" s="62"/>
      <c r="E425" s="62"/>
      <c r="F425" s="62"/>
      <c r="G425" s="62"/>
      <c r="H425" s="62"/>
      <c r="I425" s="62"/>
      <c r="J425" s="62"/>
      <c r="K425" s="62"/>
      <c r="L425" s="62"/>
      <c r="M425" s="62"/>
      <c r="N425" s="62"/>
      <c r="O425" s="82">
        <f>SUM(O420:O423)</f>
        <v>7893</v>
      </c>
      <c r="P425" s="82">
        <f t="shared" ref="P425:AL425" si="1078">SUM(P420:P424)</f>
        <v>8015</v>
      </c>
      <c r="Q425" s="82">
        <f t="shared" si="1078"/>
        <v>8351</v>
      </c>
      <c r="R425" s="82"/>
      <c r="S425" s="694"/>
      <c r="T425" s="709">
        <f t="shared" si="1078"/>
        <v>8425</v>
      </c>
      <c r="U425" s="82"/>
      <c r="V425" s="694"/>
      <c r="W425" s="709">
        <f t="shared" si="1078"/>
        <v>8557</v>
      </c>
      <c r="X425" s="82"/>
      <c r="Y425" s="694"/>
      <c r="Z425" s="709">
        <f t="shared" si="1078"/>
        <v>8915</v>
      </c>
      <c r="AA425" s="190">
        <f t="shared" si="1078"/>
        <v>8958</v>
      </c>
      <c r="AB425" s="226">
        <f t="shared" si="1078"/>
        <v>9142</v>
      </c>
      <c r="AC425" s="555">
        <f t="shared" si="1078"/>
        <v>9142</v>
      </c>
      <c r="AD425" s="190">
        <f t="shared" si="1078"/>
        <v>8392</v>
      </c>
      <c r="AE425" s="226">
        <f t="shared" si="1078"/>
        <v>8634</v>
      </c>
      <c r="AF425" s="555">
        <f t="shared" si="1078"/>
        <v>8634</v>
      </c>
      <c r="AG425" s="190">
        <f t="shared" ref="AG425:AH425" si="1079">SUM(AG420:AG424)</f>
        <v>8602</v>
      </c>
      <c r="AH425" s="226">
        <f t="shared" si="1079"/>
        <v>8814</v>
      </c>
      <c r="AI425" s="555">
        <f t="shared" si="1078"/>
        <v>8814</v>
      </c>
      <c r="AJ425" s="190">
        <f t="shared" si="1078"/>
        <v>8638</v>
      </c>
      <c r="AK425" s="694">
        <f t="shared" si="1078"/>
        <v>8564</v>
      </c>
      <c r="AL425" s="709">
        <f t="shared" si="1078"/>
        <v>8564</v>
      </c>
      <c r="AM425" s="82">
        <f t="shared" ref="AM425:AO425" si="1080">SUM(AM420:AM424)</f>
        <v>8654</v>
      </c>
      <c r="AN425" s="694">
        <f t="shared" si="1080"/>
        <v>8834</v>
      </c>
      <c r="AO425" s="709">
        <f t="shared" si="1080"/>
        <v>8834</v>
      </c>
      <c r="AP425" s="82">
        <f t="shared" ref="AP425:AV425" si="1081">SUM(AP420:AP424)</f>
        <v>8710</v>
      </c>
      <c r="AQ425" s="694">
        <f t="shared" si="1081"/>
        <v>8698</v>
      </c>
      <c r="AR425" s="709">
        <f t="shared" si="1081"/>
        <v>8698</v>
      </c>
      <c r="AS425" s="82">
        <f t="shared" ref="AS425" si="1082">SUM(AS420:AS424)</f>
        <v>8788</v>
      </c>
      <c r="AT425" s="694">
        <f t="shared" si="1081"/>
        <v>8938</v>
      </c>
      <c r="AU425" s="709">
        <f t="shared" si="1081"/>
        <v>8938</v>
      </c>
      <c r="AV425" s="82">
        <f t="shared" si="1081"/>
        <v>8934</v>
      </c>
      <c r="AW425" s="815"/>
      <c r="AX425" s="847"/>
      <c r="AY425" s="12"/>
      <c r="AZ425" s="815"/>
      <c r="BA425" s="847"/>
      <c r="BB425" s="12"/>
      <c r="BC425" s="815"/>
      <c r="BD425" s="847"/>
      <c r="BE425" s="12"/>
      <c r="BF425" s="815"/>
      <c r="BG425" s="847"/>
      <c r="BH425" s="12"/>
      <c r="BI425" s="815"/>
      <c r="BJ425" s="847"/>
    </row>
    <row r="426" spans="1:65">
      <c r="A426" s="31" t="s">
        <v>268</v>
      </c>
      <c r="B426" s="76"/>
      <c r="C426" s="76"/>
      <c r="D426" s="76"/>
      <c r="E426" s="76"/>
      <c r="F426" s="76"/>
      <c r="G426" s="76"/>
      <c r="H426" s="76"/>
      <c r="I426" s="76"/>
      <c r="J426" s="76"/>
      <c r="K426" s="76"/>
      <c r="L426" s="76"/>
      <c r="M426" s="76"/>
      <c r="N426" s="76"/>
      <c r="O426" s="51">
        <v>0</v>
      </c>
      <c r="P426" s="51">
        <v>0</v>
      </c>
      <c r="Q426" s="51">
        <v>0</v>
      </c>
      <c r="R426" s="51"/>
      <c r="S426" s="629"/>
      <c r="T426" s="652">
        <v>0</v>
      </c>
      <c r="U426" s="51"/>
      <c r="V426" s="629"/>
      <c r="W426" s="652">
        <v>0</v>
      </c>
      <c r="X426" s="51"/>
      <c r="Y426" s="629"/>
      <c r="Z426" s="652">
        <v>0</v>
      </c>
      <c r="AA426" s="27">
        <v>0</v>
      </c>
      <c r="AB426" s="216">
        <f>AC426</f>
        <v>0</v>
      </c>
      <c r="AC426" s="553">
        <v>0</v>
      </c>
      <c r="AD426" s="27">
        <v>0</v>
      </c>
      <c r="AE426" s="216">
        <f>AF426</f>
        <v>0</v>
      </c>
      <c r="AF426" s="553">
        <v>0</v>
      </c>
      <c r="AG426" s="27">
        <v>0</v>
      </c>
      <c r="AH426" s="216">
        <f>AI426</f>
        <v>0</v>
      </c>
      <c r="AI426" s="553">
        <v>0</v>
      </c>
      <c r="AJ426" s="27">
        <v>0</v>
      </c>
      <c r="AK426" s="630">
        <f>AL426</f>
        <v>0</v>
      </c>
      <c r="AL426" s="652">
        <v>0</v>
      </c>
      <c r="AM426" s="51">
        <v>0</v>
      </c>
      <c r="AN426" s="630">
        <f>AO426</f>
        <v>0</v>
      </c>
      <c r="AO426" s="652">
        <v>0</v>
      </c>
      <c r="AP426" s="51">
        <v>0</v>
      </c>
      <c r="AQ426" s="630">
        <f>AR426</f>
        <v>0</v>
      </c>
      <c r="AR426" s="652">
        <v>0</v>
      </c>
      <c r="AS426" s="51">
        <v>0</v>
      </c>
      <c r="AT426" s="630">
        <f>AU426</f>
        <v>0</v>
      </c>
      <c r="AU426" s="652">
        <v>0</v>
      </c>
      <c r="AV426" s="51">
        <v>0</v>
      </c>
      <c r="AW426" s="542"/>
      <c r="AX426" s="580"/>
      <c r="AY426" s="21"/>
      <c r="AZ426" s="542"/>
      <c r="BA426" s="580"/>
      <c r="BB426" s="21"/>
      <c r="BC426" s="542"/>
      <c r="BD426" s="580"/>
      <c r="BE426" s="21"/>
      <c r="BF426" s="542"/>
      <c r="BG426" s="580"/>
      <c r="BH426" s="21"/>
      <c r="BI426" s="542"/>
      <c r="BJ426" s="580"/>
    </row>
    <row r="427" spans="1:65" ht="10.8" thickBot="1">
      <c r="A427" s="37" t="s">
        <v>266</v>
      </c>
      <c r="B427" s="37"/>
      <c r="C427" s="37"/>
      <c r="D427" s="37"/>
      <c r="E427" s="37"/>
      <c r="F427" s="37"/>
      <c r="G427" s="37"/>
      <c r="H427" s="37"/>
      <c r="I427" s="37"/>
      <c r="J427" s="37"/>
      <c r="K427" s="37"/>
      <c r="L427" s="37"/>
      <c r="M427" s="37"/>
      <c r="N427" s="37"/>
      <c r="O427" s="84">
        <f t="shared" ref="O427:AC427" si="1083">O419+O425+O426</f>
        <v>11695</v>
      </c>
      <c r="P427" s="84">
        <f t="shared" si="1083"/>
        <v>11926</v>
      </c>
      <c r="Q427" s="84">
        <f t="shared" si="1083"/>
        <v>12260</v>
      </c>
      <c r="R427" s="84"/>
      <c r="S427" s="632"/>
      <c r="T427" s="655">
        <f t="shared" si="1083"/>
        <v>12562</v>
      </c>
      <c r="U427" s="84"/>
      <c r="V427" s="632"/>
      <c r="W427" s="655">
        <f t="shared" si="1083"/>
        <v>12966</v>
      </c>
      <c r="X427" s="84"/>
      <c r="Y427" s="632"/>
      <c r="Z427" s="655">
        <f t="shared" si="1083"/>
        <v>13672</v>
      </c>
      <c r="AA427" s="22">
        <f>AA419+AA425+AA426</f>
        <v>13855</v>
      </c>
      <c r="AB427" s="227">
        <f>AB419+AB425+AB426</f>
        <v>14171</v>
      </c>
      <c r="AC427" s="557">
        <f t="shared" si="1083"/>
        <v>14171</v>
      </c>
      <c r="AD427" s="22">
        <f t="shared" ref="AD427:AM427" si="1084">AD419+AD425+AD426</f>
        <v>11285</v>
      </c>
      <c r="AE427" s="227">
        <f t="shared" si="1084"/>
        <v>11905</v>
      </c>
      <c r="AF427" s="557">
        <f t="shared" si="1084"/>
        <v>11905</v>
      </c>
      <c r="AG427" s="22">
        <f t="shared" si="1084"/>
        <v>12083</v>
      </c>
      <c r="AH427" s="227">
        <f t="shared" si="1084"/>
        <v>12635</v>
      </c>
      <c r="AI427" s="557">
        <f t="shared" si="1084"/>
        <v>12635</v>
      </c>
      <c r="AJ427" s="22">
        <f t="shared" si="1084"/>
        <v>12683</v>
      </c>
      <c r="AK427" s="632">
        <f t="shared" si="1084"/>
        <v>12743</v>
      </c>
      <c r="AL427" s="655">
        <f t="shared" si="1084"/>
        <v>12743</v>
      </c>
      <c r="AM427" s="84">
        <f t="shared" si="1084"/>
        <v>13247</v>
      </c>
      <c r="AN427" s="632">
        <f t="shared" ref="AN427:AO427" si="1085">AN419+AN425+AN426</f>
        <v>13701</v>
      </c>
      <c r="AO427" s="655">
        <f t="shared" si="1085"/>
        <v>13701</v>
      </c>
      <c r="AP427" s="84">
        <f t="shared" ref="AP427:AR427" si="1086">AP419+AP425+AP426</f>
        <v>13703</v>
      </c>
      <c r="AQ427" s="632">
        <f t="shared" si="1086"/>
        <v>13801</v>
      </c>
      <c r="AR427" s="655">
        <f t="shared" si="1086"/>
        <v>13801</v>
      </c>
      <c r="AS427" s="84">
        <f t="shared" ref="AS427:AU427" si="1087">AS419+AS425+AS426</f>
        <v>14013</v>
      </c>
      <c r="AT427" s="632">
        <f t="shared" si="1087"/>
        <v>14263</v>
      </c>
      <c r="AU427" s="655">
        <f t="shared" si="1087"/>
        <v>14263</v>
      </c>
      <c r="AV427" s="84">
        <f t="shared" ref="AV427" si="1088">AV419+AV425+AV426</f>
        <v>14305</v>
      </c>
      <c r="AW427" s="718"/>
      <c r="AX427" s="727"/>
      <c r="AY427" s="9"/>
      <c r="AZ427" s="718"/>
      <c r="BA427" s="727"/>
      <c r="BB427" s="9"/>
      <c r="BC427" s="718"/>
      <c r="BD427" s="727"/>
      <c r="BE427" s="9"/>
      <c r="BF427" s="718"/>
      <c r="BG427" s="727"/>
      <c r="BH427" s="9"/>
      <c r="BI427" s="718"/>
      <c r="BJ427" s="727"/>
    </row>
    <row r="428" spans="1:65">
      <c r="A428" s="31"/>
      <c r="D428" s="31"/>
      <c r="E428" s="31"/>
      <c r="F428" s="31"/>
      <c r="G428" s="31"/>
      <c r="H428" s="31"/>
      <c r="I428" s="31"/>
      <c r="J428" s="31"/>
      <c r="K428" s="31"/>
      <c r="L428" s="31"/>
      <c r="M428" s="31"/>
      <c r="N428" s="31"/>
      <c r="O428" s="31"/>
      <c r="P428" s="31"/>
      <c r="Q428" s="31"/>
      <c r="R428" s="31"/>
      <c r="S428" s="793"/>
      <c r="T428" s="824"/>
      <c r="U428" s="31"/>
      <c r="V428" s="793"/>
      <c r="W428" s="824"/>
      <c r="X428" s="31"/>
      <c r="Y428" s="793"/>
      <c r="Z428" s="824"/>
      <c r="AA428" s="31"/>
      <c r="AB428" s="793"/>
      <c r="AC428" s="824"/>
      <c r="AD428" s="31"/>
      <c r="AE428" s="793"/>
      <c r="AF428" s="824"/>
      <c r="AG428" s="31"/>
      <c r="AH428" s="793"/>
      <c r="AI428" s="824"/>
      <c r="AJ428" s="31"/>
      <c r="AK428" s="793"/>
      <c r="AL428" s="824"/>
      <c r="AM428" s="31"/>
      <c r="AN428" s="541"/>
      <c r="AO428" s="578"/>
      <c r="AP428" s="2"/>
      <c r="AQ428" s="541"/>
      <c r="AR428" s="578"/>
      <c r="AS428" s="2"/>
      <c r="AT428" s="541"/>
      <c r="AU428" s="578"/>
      <c r="AV428" s="2"/>
      <c r="AW428" s="541"/>
      <c r="AX428" s="578"/>
      <c r="AY428" s="2"/>
      <c r="AZ428" s="541"/>
      <c r="BA428" s="578"/>
      <c r="BB428" s="2"/>
      <c r="BC428" s="541"/>
      <c r="BD428" s="578"/>
      <c r="BE428" s="2"/>
      <c r="BF428" s="541"/>
      <c r="BG428" s="578"/>
      <c r="BH428" s="2"/>
      <c r="BI428" s="541"/>
      <c r="BJ428" s="578"/>
    </row>
    <row r="429" spans="1:65">
      <c r="A429" s="31" t="s">
        <v>993</v>
      </c>
      <c r="D429" s="31"/>
      <c r="E429" s="31"/>
      <c r="F429" s="31"/>
      <c r="G429" s="31"/>
      <c r="H429" s="31"/>
      <c r="I429" s="31"/>
      <c r="J429" s="31"/>
      <c r="K429" s="31"/>
      <c r="L429" s="31"/>
      <c r="M429" s="31"/>
      <c r="N429" s="31"/>
      <c r="O429" s="31"/>
      <c r="P429" s="31"/>
      <c r="Q429" s="31"/>
      <c r="R429" s="31"/>
      <c r="S429" s="793"/>
      <c r="T429" s="824"/>
      <c r="U429" s="31"/>
      <c r="V429" s="793"/>
      <c r="W429" s="824"/>
      <c r="X429" s="31"/>
      <c r="Y429" s="793"/>
      <c r="Z429" s="824"/>
      <c r="AA429" s="31"/>
      <c r="AB429" s="793"/>
      <c r="AC429" s="824"/>
      <c r="AD429" s="31"/>
      <c r="AE429" s="793"/>
      <c r="AF429" s="824"/>
      <c r="AG429" s="31"/>
      <c r="AH429" s="793"/>
      <c r="AI429" s="824"/>
      <c r="AJ429" s="31"/>
      <c r="AK429" s="793"/>
      <c r="AL429" s="824"/>
      <c r="AM429" s="31"/>
      <c r="AN429" s="541"/>
      <c r="AO429" s="578"/>
      <c r="AP429" s="2"/>
      <c r="AQ429" s="541"/>
      <c r="AR429" s="578"/>
      <c r="AS429" s="2"/>
      <c r="AT429" s="541"/>
      <c r="AU429" s="578"/>
      <c r="AV429" s="2"/>
      <c r="AW429" s="541"/>
      <c r="AX429" s="578"/>
      <c r="AY429" s="2"/>
      <c r="AZ429" s="541"/>
      <c r="BA429" s="578"/>
      <c r="BB429" s="2"/>
      <c r="BC429" s="541"/>
      <c r="BD429" s="578"/>
      <c r="BE429" s="2"/>
      <c r="BF429" s="541"/>
      <c r="BG429" s="578"/>
      <c r="BH429" s="2"/>
      <c r="BI429" s="541"/>
      <c r="BJ429" s="578"/>
    </row>
    <row r="430" spans="1:65" s="33" customFormat="1">
      <c r="A430" s="1011" t="s">
        <v>994</v>
      </c>
      <c r="S430" s="866"/>
      <c r="T430" s="890"/>
      <c r="V430" s="866"/>
      <c r="W430" s="890"/>
      <c r="Y430" s="866"/>
      <c r="Z430" s="890"/>
      <c r="AB430" s="866"/>
      <c r="AC430" s="833">
        <f>(AC410+AC411+AC412+AC413)/AC418</f>
        <v>0.6497995991983968</v>
      </c>
      <c r="AD430" s="33">
        <f t="shared" ref="AD430:AE430" si="1089">(AD410+AD411+AD412+AD413)/AD418</f>
        <v>0.53368794326241131</v>
      </c>
      <c r="AE430" s="802">
        <f t="shared" si="1089"/>
        <v>0.50727969348659008</v>
      </c>
      <c r="AF430" s="833">
        <f>(AF410+AF411+AF412+AF413)/AF418</f>
        <v>0.50727969348659008</v>
      </c>
      <c r="AG430" s="33">
        <f t="shared" ref="AG430:AH430" si="1090">(AG410+AG411+AG412+AG413)/AG418</f>
        <v>0.50289435600578869</v>
      </c>
      <c r="AH430" s="802">
        <f t="shared" si="1090"/>
        <v>0.51363636363636367</v>
      </c>
      <c r="AI430" s="833">
        <f>(AI410+AI411+AI412+AI413)/AI418</f>
        <v>0.51363636363636367</v>
      </c>
      <c r="AJ430" s="33">
        <f t="shared" ref="AJ430:AK430" si="1091">(AJ410+AJ411+AJ412+AJ413)/AJ418</f>
        <v>0.51189749847467969</v>
      </c>
      <c r="AK430" s="802">
        <f t="shared" si="1091"/>
        <v>0.49648300117233296</v>
      </c>
      <c r="AL430" s="833">
        <f>(AL410+AL411+AL412+AL413)/AL418</f>
        <v>0.49648300117233296</v>
      </c>
      <c r="AM430" s="33">
        <f t="shared" ref="AM430:AN430" si="1092">(AM410+AM411+AM412+AM413)/AM418</f>
        <v>0.4992109416096791</v>
      </c>
      <c r="AN430" s="802">
        <f t="shared" si="1092"/>
        <v>0.49115913555992141</v>
      </c>
      <c r="AO430" s="833">
        <f>(AO410+AO411+AO412+AO413)/AO418</f>
        <v>0.49115913555992141</v>
      </c>
      <c r="AP430" s="33">
        <f t="shared" ref="AP430:AQ430" si="1093">(AP410+AP411+AP412+AP413)/AP418</f>
        <v>0.4851204534718942</v>
      </c>
      <c r="AQ430" s="802">
        <f t="shared" si="1093"/>
        <v>0.47614678899082569</v>
      </c>
      <c r="AR430" s="833">
        <f>(AR410+AR411+AR412+AR413)/AR418</f>
        <v>0.47614678899082569</v>
      </c>
      <c r="AS430" s="169">
        <f>(AS410+AS411+AS412+AS413)/AS418</f>
        <v>0.46636971046770603</v>
      </c>
      <c r="AT430" s="931">
        <f t="shared" ref="AT430" si="1094">(AT410+AT411+AT412+AT413)/AT418</f>
        <v>0.45961123110151186</v>
      </c>
      <c r="AU430" s="937">
        <f>(AU410+AU411+AU412+AU413)/AU418</f>
        <v>0.45961123110151186</v>
      </c>
      <c r="AV430" s="262">
        <f t="shared" ref="AV430:AW430" si="1095">(AV410+AV411+AV412+AV413)/AV418</f>
        <v>0.44159178433889601</v>
      </c>
      <c r="AW430" s="752">
        <f t="shared" si="1095"/>
        <v>0.43418336740386276</v>
      </c>
      <c r="AX430" s="765">
        <f>(AX410+AX411+AX412+AX413)/AX418</f>
        <v>0.43418336740386276</v>
      </c>
      <c r="AY430" s="324">
        <f t="shared" ref="AY430:AZ430" si="1096">(AY410+AY411+AY412+AY413)/AY418</f>
        <v>0.40126128610392053</v>
      </c>
      <c r="AZ430" s="752">
        <f t="shared" si="1096"/>
        <v>0.40126128610392053</v>
      </c>
      <c r="BA430" s="765">
        <f>(BA410+BA411+BA412+BA413)/BA418</f>
        <v>0.40126128610392053</v>
      </c>
      <c r="BB430" s="324">
        <f t="shared" ref="BB430:BC430" si="1097">(BB410+BB411+BB412+BB413)/BB418</f>
        <v>0.3695052039349368</v>
      </c>
      <c r="BC430" s="752">
        <f t="shared" si="1097"/>
        <v>0.3695052039349368</v>
      </c>
      <c r="BD430" s="765">
        <f>(BD410+BD411+BD412+BD413)/BD418</f>
        <v>0.3695052039349368</v>
      </c>
      <c r="BE430" s="324">
        <f t="shared" ref="BE430:BF430" si="1098">(BE410+BE411+BE412+BE413)/BE418</f>
        <v>0.33926140325274723</v>
      </c>
      <c r="BF430" s="752">
        <f t="shared" si="1098"/>
        <v>0.33926140325274723</v>
      </c>
      <c r="BG430" s="765">
        <f>(BG410+BG411+BG412+BG413)/BG418</f>
        <v>0.33926140325274723</v>
      </c>
      <c r="BH430" s="324">
        <f t="shared" ref="BH430:BI430" si="1099">(BH410+BH411+BH412+BH413)/BH418</f>
        <v>0.31166167642127041</v>
      </c>
      <c r="BI430" s="752">
        <f t="shared" si="1099"/>
        <v>0.31166167642127041</v>
      </c>
      <c r="BJ430" s="765">
        <f>(BJ410+BJ411+BJ412+BJ413)/BJ418</f>
        <v>0.31166167642127041</v>
      </c>
      <c r="BK430" s="169"/>
    </row>
    <row r="431" spans="1:65" s="33" customFormat="1">
      <c r="A431" s="1011" t="s">
        <v>995</v>
      </c>
      <c r="S431" s="866"/>
      <c r="T431" s="890"/>
      <c r="V431" s="866"/>
      <c r="W431" s="890"/>
      <c r="Y431" s="866"/>
      <c r="Z431" s="890"/>
      <c r="AB431" s="866"/>
      <c r="AC431" s="833">
        <f>1-AC430</f>
        <v>0.3502004008016032</v>
      </c>
      <c r="AD431" s="33">
        <f t="shared" ref="AD431" si="1100">1-AD430</f>
        <v>0.46631205673758869</v>
      </c>
      <c r="AE431" s="802">
        <f t="shared" ref="AE431" si="1101">1-AE430</f>
        <v>0.49272030651340992</v>
      </c>
      <c r="AF431" s="833">
        <f>1-AF430</f>
        <v>0.49272030651340992</v>
      </c>
      <c r="AG431" s="33">
        <f t="shared" ref="AG431" si="1102">1-AG430</f>
        <v>0.49710564399421131</v>
      </c>
      <c r="AH431" s="802">
        <f t="shared" ref="AH431" si="1103">1-AH430</f>
        <v>0.48636363636363633</v>
      </c>
      <c r="AI431" s="833">
        <f>1-AI430</f>
        <v>0.48636363636363633</v>
      </c>
      <c r="AJ431" s="33">
        <f t="shared" ref="AJ431" si="1104">1-AJ430</f>
        <v>0.48810250152532031</v>
      </c>
      <c r="AK431" s="802">
        <f t="shared" ref="AK431" si="1105">1-AK430</f>
        <v>0.50351699882766709</v>
      </c>
      <c r="AL431" s="833">
        <f>1-AL430</f>
        <v>0.50351699882766709</v>
      </c>
      <c r="AM431" s="33">
        <f t="shared" ref="AM431" si="1106">1-AM430</f>
        <v>0.50078905839032095</v>
      </c>
      <c r="AN431" s="802">
        <f t="shared" ref="AN431" si="1107">1-AN430</f>
        <v>0.50884086444007859</v>
      </c>
      <c r="AO431" s="833">
        <f>1-AO430</f>
        <v>0.50884086444007859</v>
      </c>
      <c r="AP431" s="33">
        <f t="shared" ref="AP431:AQ431" si="1108">1-AP430</f>
        <v>0.51487954652810575</v>
      </c>
      <c r="AQ431" s="802">
        <f t="shared" si="1108"/>
        <v>0.52385321100917426</v>
      </c>
      <c r="AR431" s="833">
        <f>1-AR430</f>
        <v>0.52385321100917426</v>
      </c>
      <c r="AS431" s="169">
        <f>1-AS430</f>
        <v>0.53363028953229397</v>
      </c>
      <c r="AT431" s="931">
        <f t="shared" ref="AT431" si="1109">1-AT430</f>
        <v>0.54038876889848808</v>
      </c>
      <c r="AU431" s="937">
        <f>1-AU430</f>
        <v>0.54038876889848808</v>
      </c>
      <c r="AV431" s="262">
        <f t="shared" ref="AV431" si="1110">1-AV430</f>
        <v>0.55840821566110399</v>
      </c>
      <c r="AW431" s="752">
        <f t="shared" ref="AW431" si="1111">1-AW430</f>
        <v>0.56581663259613724</v>
      </c>
      <c r="AX431" s="765">
        <f>1-AX430</f>
        <v>0.56581663259613724</v>
      </c>
      <c r="AY431" s="324">
        <f t="shared" ref="AY431" si="1112">1-AY430</f>
        <v>0.59873871389607947</v>
      </c>
      <c r="AZ431" s="752">
        <f t="shared" ref="AZ431" si="1113">1-AZ430</f>
        <v>0.59873871389607947</v>
      </c>
      <c r="BA431" s="765">
        <f>1-BA430</f>
        <v>0.59873871389607947</v>
      </c>
      <c r="BB431" s="324">
        <f t="shared" ref="BB431" si="1114">1-BB430</f>
        <v>0.6304947960650632</v>
      </c>
      <c r="BC431" s="752">
        <f t="shared" ref="BC431" si="1115">1-BC430</f>
        <v>0.6304947960650632</v>
      </c>
      <c r="BD431" s="765">
        <f>1-BD430</f>
        <v>0.6304947960650632</v>
      </c>
      <c r="BE431" s="324">
        <f t="shared" ref="BE431" si="1116">1-BE430</f>
        <v>0.66073859674725277</v>
      </c>
      <c r="BF431" s="752">
        <f t="shared" ref="BF431" si="1117">1-BF430</f>
        <v>0.66073859674725277</v>
      </c>
      <c r="BG431" s="765">
        <f>1-BG430</f>
        <v>0.66073859674725277</v>
      </c>
      <c r="BH431" s="324">
        <f t="shared" ref="BH431" si="1118">1-BH430</f>
        <v>0.68833832357872959</v>
      </c>
      <c r="BI431" s="752">
        <f t="shared" ref="BI431" si="1119">1-BI430</f>
        <v>0.68833832357872959</v>
      </c>
      <c r="BJ431" s="765">
        <f>1-BJ430</f>
        <v>0.68833832357872959</v>
      </c>
      <c r="BK431" s="169"/>
    </row>
    <row r="432" spans="1:65">
      <c r="A432" s="31"/>
      <c r="D432" s="31"/>
      <c r="E432" s="31"/>
      <c r="F432" s="31"/>
      <c r="G432" s="31"/>
      <c r="H432" s="31"/>
      <c r="I432" s="31"/>
      <c r="J432" s="31"/>
      <c r="K432" s="31"/>
      <c r="L432" s="31"/>
      <c r="M432" s="31"/>
      <c r="N432" s="31"/>
      <c r="O432" s="31"/>
      <c r="P432" s="31"/>
      <c r="Q432" s="31"/>
      <c r="R432" s="31"/>
      <c r="S432" s="793"/>
      <c r="T432" s="824"/>
      <c r="U432" s="31"/>
      <c r="V432" s="793"/>
      <c r="W432" s="824"/>
      <c r="X432" s="31"/>
      <c r="Y432" s="793"/>
      <c r="Z432" s="824"/>
      <c r="AA432" s="31"/>
      <c r="AB432" s="793"/>
      <c r="AC432" s="824"/>
      <c r="AD432" s="31"/>
      <c r="AE432" s="793"/>
      <c r="AF432" s="824"/>
      <c r="AG432" s="31"/>
      <c r="AH432" s="793"/>
      <c r="AI432" s="824"/>
      <c r="AJ432" s="31"/>
      <c r="AK432" s="793"/>
      <c r="AL432" s="824"/>
      <c r="AM432" s="31"/>
      <c r="AN432" s="541"/>
      <c r="AO432" s="1012"/>
      <c r="AP432" s="2"/>
      <c r="AQ432" s="541"/>
      <c r="AR432" s="578"/>
      <c r="AS432" s="2"/>
      <c r="AT432" s="541"/>
      <c r="AU432" s="578"/>
      <c r="AV432" s="2"/>
      <c r="AW432" s="541"/>
      <c r="AX432" s="578"/>
      <c r="AY432" s="2"/>
      <c r="AZ432" s="541"/>
      <c r="BA432" s="578"/>
      <c r="BB432" s="2"/>
      <c r="BC432" s="541"/>
      <c r="BD432" s="578"/>
      <c r="BE432" s="2"/>
      <c r="BF432" s="541"/>
      <c r="BG432" s="578"/>
      <c r="BH432" s="2"/>
      <c r="BI432" s="541"/>
      <c r="BJ432" s="578"/>
    </row>
    <row r="433" spans="1:65">
      <c r="A433" s="310" t="s">
        <v>413</v>
      </c>
      <c r="B433" s="311"/>
      <c r="C433" s="311"/>
      <c r="D433" s="311"/>
      <c r="E433" s="311"/>
      <c r="F433" s="311"/>
      <c r="G433" s="311"/>
      <c r="H433" s="311"/>
      <c r="I433" s="311"/>
      <c r="J433" s="311"/>
      <c r="K433" s="311"/>
      <c r="L433" s="311"/>
      <c r="M433" s="311"/>
      <c r="N433" s="311"/>
      <c r="O433" s="311"/>
      <c r="P433" s="311"/>
      <c r="Q433" s="311"/>
      <c r="R433" s="525"/>
      <c r="S433" s="317"/>
      <c r="T433" s="551"/>
      <c r="U433" s="525"/>
      <c r="V433" s="317"/>
      <c r="W433" s="551"/>
      <c r="X433" s="525"/>
      <c r="Y433" s="317"/>
      <c r="Z433" s="551"/>
      <c r="AA433" s="525"/>
      <c r="AB433" s="317"/>
      <c r="AC433" s="551"/>
      <c r="AD433" s="525"/>
      <c r="AE433" s="317"/>
      <c r="AF433" s="551"/>
      <c r="AG433" s="525"/>
      <c r="AH433" s="317"/>
      <c r="AI433" s="551"/>
      <c r="AJ433" s="525"/>
      <c r="AK433" s="317"/>
      <c r="AL433" s="551"/>
      <c r="AM433" s="525"/>
      <c r="AN433" s="317"/>
      <c r="AO433" s="551"/>
      <c r="AP433" s="525"/>
      <c r="AQ433" s="317"/>
      <c r="AR433" s="551"/>
      <c r="AS433" s="525"/>
      <c r="AT433" s="317"/>
      <c r="AU433" s="551"/>
      <c r="AV433" s="525"/>
      <c r="AW433" s="814"/>
      <c r="AX433" s="846"/>
      <c r="AY433" s="536"/>
      <c r="AZ433" s="814"/>
      <c r="BA433" s="846"/>
      <c r="BB433" s="536"/>
      <c r="BC433" s="814"/>
      <c r="BD433" s="846"/>
      <c r="BE433" s="536"/>
      <c r="BF433" s="814"/>
      <c r="BG433" s="846"/>
      <c r="BH433" s="536"/>
      <c r="BI433" s="814"/>
      <c r="BJ433" s="846"/>
    </row>
    <row r="434" spans="1:65" ht="11.4">
      <c r="R434" s="38"/>
      <c r="S434" s="737"/>
      <c r="T434" s="741"/>
      <c r="U434" s="38"/>
      <c r="V434" s="737"/>
      <c r="W434" s="741"/>
      <c r="X434" s="38"/>
      <c r="Y434" s="737"/>
      <c r="Z434" s="741"/>
      <c r="AA434" s="38"/>
      <c r="AB434" s="737"/>
      <c r="AC434" s="741"/>
      <c r="AD434" s="38"/>
      <c r="AE434" s="737"/>
      <c r="AF434" s="741"/>
      <c r="AG434" s="38"/>
      <c r="AH434" s="737"/>
      <c r="AI434" s="741"/>
      <c r="AJ434" s="38"/>
      <c r="AK434" s="737"/>
      <c r="AL434" s="741"/>
      <c r="AM434" s="38"/>
      <c r="AN434" s="688"/>
      <c r="AO434" s="685"/>
      <c r="AP434" s="19"/>
      <c r="AQ434" s="688"/>
      <c r="AR434" s="685"/>
      <c r="AS434" s="19"/>
      <c r="AT434" s="688"/>
      <c r="AU434" s="685"/>
      <c r="AV434" s="19"/>
      <c r="AW434" s="688"/>
      <c r="AX434" s="685"/>
      <c r="AY434" s="19"/>
      <c r="AZ434" s="688"/>
      <c r="BA434" s="685"/>
      <c r="BB434" s="19"/>
      <c r="BC434" s="688"/>
      <c r="BD434" s="685"/>
      <c r="BE434" s="19"/>
      <c r="BF434" s="688"/>
      <c r="BG434" s="685"/>
      <c r="BH434" s="19"/>
      <c r="BI434" s="688"/>
      <c r="BJ434" s="685"/>
    </row>
    <row r="435" spans="1:65">
      <c r="A435" s="80" t="s">
        <v>251</v>
      </c>
      <c r="B435" s="40">
        <v>14.94</v>
      </c>
      <c r="C435" s="40">
        <v>11.7</v>
      </c>
      <c r="D435" s="40">
        <v>9.9</v>
      </c>
      <c r="E435" s="40">
        <v>9.36</v>
      </c>
      <c r="F435" s="40">
        <v>7.92</v>
      </c>
      <c r="G435" s="40">
        <v>7.2</v>
      </c>
      <c r="H435" s="40">
        <v>4.8600000000000003</v>
      </c>
      <c r="I435" s="40">
        <v>3.96</v>
      </c>
      <c r="J435" s="40">
        <v>2.52</v>
      </c>
      <c r="K435" s="40">
        <v>1.8</v>
      </c>
      <c r="L435" s="40">
        <v>1.26</v>
      </c>
      <c r="M435" s="40">
        <v>0.72</v>
      </c>
      <c r="N435" s="40">
        <v>0.72</v>
      </c>
      <c r="O435" s="40">
        <v>0.36</v>
      </c>
      <c r="P435" s="40">
        <v>0.36</v>
      </c>
      <c r="Q435" s="40">
        <v>0.36</v>
      </c>
      <c r="R435" s="40"/>
      <c r="S435" s="630"/>
      <c r="T435" s="653">
        <v>0.36</v>
      </c>
      <c r="U435" s="40"/>
      <c r="V435" s="630"/>
      <c r="W435" s="653">
        <v>0.36</v>
      </c>
      <c r="X435" s="40"/>
      <c r="Y435" s="630"/>
      <c r="Z435" s="653">
        <v>0.18</v>
      </c>
      <c r="AA435" s="40">
        <v>0.12</v>
      </c>
      <c r="AB435" s="630">
        <v>0.12</v>
      </c>
      <c r="AC435" s="653">
        <v>0.12</v>
      </c>
      <c r="AD435" s="40">
        <v>0.12</v>
      </c>
      <c r="AE435" s="630">
        <v>0.12</v>
      </c>
      <c r="AF435" s="653">
        <v>0.12</v>
      </c>
      <c r="AG435" s="40">
        <v>0</v>
      </c>
      <c r="AH435" s="630">
        <v>0</v>
      </c>
      <c r="AI435" s="653">
        <v>0</v>
      </c>
      <c r="AJ435" s="40">
        <v>0</v>
      </c>
      <c r="AK435" s="630">
        <v>0</v>
      </c>
      <c r="AL435" s="653">
        <v>0</v>
      </c>
      <c r="AM435" s="40">
        <v>0</v>
      </c>
      <c r="AN435" s="630">
        <v>0</v>
      </c>
      <c r="AO435" s="653">
        <v>0</v>
      </c>
      <c r="AP435" s="40">
        <v>0</v>
      </c>
      <c r="AQ435" s="630">
        <v>0</v>
      </c>
      <c r="AR435" s="653">
        <v>0</v>
      </c>
      <c r="AS435" s="40">
        <v>0</v>
      </c>
      <c r="AT435" s="216">
        <v>0</v>
      </c>
      <c r="AU435" s="556">
        <v>0</v>
      </c>
      <c r="AV435" s="10">
        <v>0</v>
      </c>
      <c r="AW435" s="236">
        <v>0</v>
      </c>
      <c r="AX435" s="605">
        <v>0</v>
      </c>
      <c r="AY435" s="56">
        <v>0</v>
      </c>
      <c r="AZ435" s="236">
        <v>0</v>
      </c>
      <c r="BA435" s="605">
        <v>0</v>
      </c>
      <c r="BB435" s="56">
        <v>0</v>
      </c>
      <c r="BC435" s="236">
        <v>0</v>
      </c>
      <c r="BD435" s="605">
        <v>0</v>
      </c>
      <c r="BE435" s="56">
        <v>0</v>
      </c>
      <c r="BF435" s="236">
        <v>0</v>
      </c>
      <c r="BG435" s="605">
        <v>0</v>
      </c>
      <c r="BH435" s="56">
        <v>0</v>
      </c>
      <c r="BI435" s="236">
        <v>0</v>
      </c>
      <c r="BJ435" s="605">
        <v>0</v>
      </c>
    </row>
    <row r="436" spans="1:65">
      <c r="A436" s="80" t="s">
        <v>252</v>
      </c>
      <c r="B436" s="40">
        <v>64.14</v>
      </c>
      <c r="C436" s="40">
        <v>63.48</v>
      </c>
      <c r="D436" s="40">
        <v>62.52</v>
      </c>
      <c r="E436" s="40">
        <v>61.14</v>
      </c>
      <c r="F436" s="40">
        <v>60.18</v>
      </c>
      <c r="G436" s="40">
        <v>59.64</v>
      </c>
      <c r="H436" s="40">
        <v>57.18</v>
      </c>
      <c r="I436" s="40">
        <v>56.64</v>
      </c>
      <c r="J436" s="40">
        <v>53.7</v>
      </c>
      <c r="K436" s="40">
        <v>50.88</v>
      </c>
      <c r="L436" s="40">
        <v>46.98</v>
      </c>
      <c r="M436" s="40">
        <v>45.12</v>
      </c>
      <c r="N436" s="40">
        <v>41.1</v>
      </c>
      <c r="O436" s="40">
        <v>37.56</v>
      </c>
      <c r="P436" s="40">
        <v>34.44</v>
      </c>
      <c r="Q436" s="40">
        <v>29.52</v>
      </c>
      <c r="R436" s="40"/>
      <c r="S436" s="630"/>
      <c r="T436" s="653">
        <v>22.38</v>
      </c>
      <c r="U436" s="40"/>
      <c r="V436" s="630"/>
      <c r="W436" s="653">
        <v>20.82</v>
      </c>
      <c r="X436" s="40"/>
      <c r="Y436" s="630"/>
      <c r="Z436" s="653">
        <v>18.18</v>
      </c>
      <c r="AA436" s="40">
        <v>14.64</v>
      </c>
      <c r="AB436" s="630">
        <v>14.64</v>
      </c>
      <c r="AC436" s="653">
        <v>14.64</v>
      </c>
      <c r="AD436" s="40">
        <v>8.4</v>
      </c>
      <c r="AE436" s="630">
        <v>8.4</v>
      </c>
      <c r="AF436" s="653">
        <v>8.4</v>
      </c>
      <c r="AG436" s="40">
        <v>8.4</v>
      </c>
      <c r="AH436" s="630">
        <v>8.4</v>
      </c>
      <c r="AI436" s="653">
        <v>8.4</v>
      </c>
      <c r="AJ436" s="40">
        <v>8.4</v>
      </c>
      <c r="AK436" s="630">
        <v>8.4</v>
      </c>
      <c r="AL436" s="653">
        <v>8.4</v>
      </c>
      <c r="AM436" s="40">
        <v>8.16</v>
      </c>
      <c r="AN436" s="630">
        <v>8.16</v>
      </c>
      <c r="AO436" s="653">
        <v>8.16</v>
      </c>
      <c r="AP436" s="40">
        <v>7.92</v>
      </c>
      <c r="AQ436" s="630">
        <v>7.92</v>
      </c>
      <c r="AR436" s="653">
        <v>7.92</v>
      </c>
      <c r="AS436" s="40">
        <v>7.68</v>
      </c>
      <c r="AT436" s="216">
        <v>7.68</v>
      </c>
      <c r="AU436" s="556">
        <v>7.68</v>
      </c>
      <c r="AV436" s="10">
        <v>7.2</v>
      </c>
      <c r="AW436" s="236">
        <v>0</v>
      </c>
      <c r="AX436" s="605">
        <v>0</v>
      </c>
      <c r="AY436" s="56">
        <v>0</v>
      </c>
      <c r="AZ436" s="236">
        <v>0</v>
      </c>
      <c r="BA436" s="605">
        <v>0</v>
      </c>
      <c r="BB436" s="56">
        <v>0</v>
      </c>
      <c r="BC436" s="236">
        <v>0</v>
      </c>
      <c r="BD436" s="605">
        <v>0</v>
      </c>
      <c r="BE436" s="56">
        <v>0</v>
      </c>
      <c r="BF436" s="236">
        <v>0</v>
      </c>
      <c r="BG436" s="605">
        <v>0</v>
      </c>
      <c r="BH436" s="56">
        <v>0</v>
      </c>
      <c r="BI436" s="236">
        <v>0</v>
      </c>
      <c r="BJ436" s="605">
        <v>0</v>
      </c>
    </row>
    <row r="437" spans="1:65">
      <c r="A437" s="80" t="s">
        <v>253</v>
      </c>
      <c r="B437" s="40">
        <v>43.84</v>
      </c>
      <c r="C437" s="40">
        <v>46.56</v>
      </c>
      <c r="D437" s="40">
        <v>47.84</v>
      </c>
      <c r="E437" s="40">
        <v>48.24</v>
      </c>
      <c r="F437" s="40">
        <v>48.72</v>
      </c>
      <c r="G437" s="40">
        <v>48.56</v>
      </c>
      <c r="H437" s="40">
        <v>48.4</v>
      </c>
      <c r="I437" s="40">
        <v>48.24</v>
      </c>
      <c r="J437" s="40">
        <v>48.16</v>
      </c>
      <c r="K437" s="40">
        <v>47.84</v>
      </c>
      <c r="L437" s="40">
        <v>47.84</v>
      </c>
      <c r="M437" s="40">
        <v>46.88</v>
      </c>
      <c r="N437" s="40">
        <v>46.64</v>
      </c>
      <c r="O437" s="40">
        <v>46.16</v>
      </c>
      <c r="P437" s="40">
        <v>45.52</v>
      </c>
      <c r="Q437" s="40">
        <v>44.8</v>
      </c>
      <c r="R437" s="40"/>
      <c r="S437" s="630"/>
      <c r="T437" s="653">
        <v>41.76</v>
      </c>
      <c r="U437" s="40"/>
      <c r="V437" s="630"/>
      <c r="W437" s="653">
        <v>40.08</v>
      </c>
      <c r="X437" s="40"/>
      <c r="Y437" s="630"/>
      <c r="Z437" s="653">
        <v>39.04</v>
      </c>
      <c r="AA437" s="40">
        <v>37.840000000000003</v>
      </c>
      <c r="AB437" s="630">
        <v>37.840000000000003</v>
      </c>
      <c r="AC437" s="653">
        <v>37.840000000000003</v>
      </c>
      <c r="AD437" s="40">
        <v>37.119999999999997</v>
      </c>
      <c r="AE437" s="630">
        <v>37.119999999999997</v>
      </c>
      <c r="AF437" s="653">
        <v>37.119999999999997</v>
      </c>
      <c r="AG437" s="40">
        <v>36.479999999999997</v>
      </c>
      <c r="AH437" s="630">
        <v>36.479999999999997</v>
      </c>
      <c r="AI437" s="653">
        <v>36.479999999999997</v>
      </c>
      <c r="AJ437" s="40">
        <v>35.92</v>
      </c>
      <c r="AK437" s="630">
        <v>35.92</v>
      </c>
      <c r="AL437" s="653">
        <v>35.92</v>
      </c>
      <c r="AM437" s="40">
        <v>35.04</v>
      </c>
      <c r="AN437" s="630">
        <v>34.24</v>
      </c>
      <c r="AO437" s="653">
        <v>34.24</v>
      </c>
      <c r="AP437" s="40">
        <v>33.44</v>
      </c>
      <c r="AQ437" s="630">
        <v>32.72</v>
      </c>
      <c r="AR437" s="653">
        <v>32.72</v>
      </c>
      <c r="AS437" s="40">
        <v>32.08</v>
      </c>
      <c r="AT437" s="216">
        <v>31.6</v>
      </c>
      <c r="AU437" s="556">
        <v>31.6</v>
      </c>
      <c r="AV437" s="10">
        <v>31.36</v>
      </c>
      <c r="AW437" s="236">
        <v>0</v>
      </c>
      <c r="AX437" s="605">
        <v>0</v>
      </c>
      <c r="AY437" s="56">
        <v>0</v>
      </c>
      <c r="AZ437" s="236">
        <v>0</v>
      </c>
      <c r="BA437" s="605">
        <v>0</v>
      </c>
      <c r="BB437" s="56">
        <v>0</v>
      </c>
      <c r="BC437" s="236">
        <v>0</v>
      </c>
      <c r="BD437" s="605">
        <v>0</v>
      </c>
      <c r="BE437" s="56">
        <v>0</v>
      </c>
      <c r="BF437" s="236">
        <v>0</v>
      </c>
      <c r="BG437" s="605">
        <v>0</v>
      </c>
      <c r="BH437" s="56">
        <v>0</v>
      </c>
      <c r="BI437" s="236">
        <v>0</v>
      </c>
      <c r="BJ437" s="605">
        <v>0</v>
      </c>
    </row>
    <row r="438" spans="1:65">
      <c r="A438" s="82" t="s">
        <v>267</v>
      </c>
      <c r="B438" s="82">
        <f t="shared" ref="B438:Q438" si="1120">SUM(B435:B437)</f>
        <v>122.92</v>
      </c>
      <c r="C438" s="82">
        <f t="shared" si="1120"/>
        <v>121.74</v>
      </c>
      <c r="D438" s="82">
        <f t="shared" si="1120"/>
        <v>120.26</v>
      </c>
      <c r="E438" s="82">
        <f t="shared" si="1120"/>
        <v>118.74000000000001</v>
      </c>
      <c r="F438" s="82">
        <f t="shared" si="1120"/>
        <v>116.82</v>
      </c>
      <c r="G438" s="82">
        <f t="shared" si="1120"/>
        <v>115.4</v>
      </c>
      <c r="H438" s="82">
        <f t="shared" si="1120"/>
        <v>110.44</v>
      </c>
      <c r="I438" s="82">
        <f t="shared" si="1120"/>
        <v>108.84</v>
      </c>
      <c r="J438" s="82">
        <f t="shared" si="1120"/>
        <v>104.38</v>
      </c>
      <c r="K438" s="82">
        <f t="shared" si="1120"/>
        <v>100.52000000000001</v>
      </c>
      <c r="L438" s="82">
        <f t="shared" si="1120"/>
        <v>96.08</v>
      </c>
      <c r="M438" s="82">
        <f t="shared" si="1120"/>
        <v>92.72</v>
      </c>
      <c r="N438" s="82">
        <f t="shared" si="1120"/>
        <v>88.460000000000008</v>
      </c>
      <c r="O438" s="82">
        <f t="shared" si="1120"/>
        <v>84.08</v>
      </c>
      <c r="P438" s="82">
        <f t="shared" si="1120"/>
        <v>80.319999999999993</v>
      </c>
      <c r="Q438" s="82">
        <f t="shared" si="1120"/>
        <v>74.679999999999993</v>
      </c>
      <c r="R438" s="82"/>
      <c r="S438" s="694"/>
      <c r="T438" s="709">
        <f>SUM(T435:T437)</f>
        <v>64.5</v>
      </c>
      <c r="U438" s="82"/>
      <c r="V438" s="694"/>
      <c r="W438" s="709">
        <f>SUM(W435:W437)</f>
        <v>61.26</v>
      </c>
      <c r="X438" s="82"/>
      <c r="Y438" s="694"/>
      <c r="Z438" s="709">
        <f t="shared" ref="Z438" si="1121">W438/W384*Z384</f>
        <v>57.959645756457562</v>
      </c>
      <c r="AA438" s="82">
        <f>AC438/AC384*AA384</f>
        <v>53.890715867158669</v>
      </c>
      <c r="AB438" s="694">
        <f>AD438/AD384*AB384</f>
        <v>53.890715867158669</v>
      </c>
      <c r="AC438" s="709">
        <f>Z438/Z384*AC384</f>
        <v>53.890715867158669</v>
      </c>
      <c r="AD438" s="82">
        <f>AF438/AF384*AD384</f>
        <v>48.375055350553502</v>
      </c>
      <c r="AE438" s="694">
        <f>AG438/AG384*AE384</f>
        <v>48.375055350553502</v>
      </c>
      <c r="AF438" s="709">
        <f>AC438/AC384*AF384</f>
        <v>48.375055350553502</v>
      </c>
      <c r="AG438" s="82">
        <f>AI438/AI384*AG384</f>
        <v>47.561269372693722</v>
      </c>
      <c r="AH438" s="694">
        <f>AJ438/AJ384*AH384</f>
        <v>47.561269372693722</v>
      </c>
      <c r="AI438" s="709">
        <f>AF438/AF384*AI384</f>
        <v>47.561269372693722</v>
      </c>
      <c r="AJ438" s="82">
        <f>AL438/AL384*AJ384</f>
        <v>46.928324723247229</v>
      </c>
      <c r="AK438" s="694">
        <f>AM438/AM384*AK384</f>
        <v>46.928324723247229</v>
      </c>
      <c r="AL438" s="709">
        <f>AI438/AI384*AL384</f>
        <v>46.928324723247229</v>
      </c>
      <c r="AM438" s="82">
        <f>AO438/AO384*AM384</f>
        <v>45.752856088560883</v>
      </c>
      <c r="AN438" s="694">
        <f>AP438/AP384*AN384</f>
        <v>44.84864944649447</v>
      </c>
      <c r="AO438" s="709">
        <f>AL438/AL384*AO384</f>
        <v>44.848649446494463</v>
      </c>
      <c r="AP438" s="82">
        <f>AR438/AR384*AP384</f>
        <v>43.763601476014763</v>
      </c>
      <c r="AQ438" s="694">
        <f>AS438/AS384*AQ384</f>
        <v>42.949815498154983</v>
      </c>
      <c r="AR438" s="709">
        <f>AO438/AO384*AR384</f>
        <v>42.949815498154983</v>
      </c>
      <c r="AS438" s="82">
        <f>AU438/AU384*AS384</f>
        <v>42.045608856088563</v>
      </c>
      <c r="AT438" s="226">
        <f>AQ438/AQ384*AT384</f>
        <v>41.50308487084871</v>
      </c>
      <c r="AU438" s="1116">
        <f>IFERROR(AR438/AR384*AU384,0)</f>
        <v>41.50308487084871</v>
      </c>
      <c r="AV438" s="1119">
        <f>IFERROR(AS438/AS384*AV384,0)</f>
        <v>40.870140221402217</v>
      </c>
      <c r="AW438" s="241">
        <f>AT438/AT384*AW384</f>
        <v>39.242568265682664</v>
      </c>
      <c r="AX438" s="855">
        <f>IFERROR(AU438/AU384*AX384,0)</f>
        <v>39.242568265682664</v>
      </c>
      <c r="AY438" s="981">
        <f>IFERROR(AV438/AV384*AY384,0)</f>
        <v>36.982051660516611</v>
      </c>
      <c r="AZ438" s="241">
        <f>AW438/AW384*AZ384</f>
        <v>36.982051660516611</v>
      </c>
      <c r="BA438" s="855">
        <f>IFERROR(AX438/AX384*BA384,0)</f>
        <v>36.982051660516611</v>
      </c>
      <c r="BB438" s="981">
        <f>IFERROR(AY438/AY384*BB384,0)</f>
        <v>34.721535055350557</v>
      </c>
      <c r="BC438" s="241">
        <f>AZ438/AZ384*BC384</f>
        <v>34.721535055350557</v>
      </c>
      <c r="BD438" s="855">
        <f>IFERROR(BA438/BA384*BD384,0)</f>
        <v>34.721535055350557</v>
      </c>
      <c r="BE438" s="981">
        <f>IFERROR(BB438/BB384*BE384,0)</f>
        <v>32.461018450184504</v>
      </c>
      <c r="BF438" s="241">
        <f>BC438/BC384*BF384</f>
        <v>32.461018450184504</v>
      </c>
      <c r="BG438" s="855">
        <f>IFERROR(BD438/BD384*BG384,0)</f>
        <v>32.461018450184504</v>
      </c>
      <c r="BH438" s="981">
        <f>IFERROR(BE438/BE384*BH384,0)</f>
        <v>30.200501845018454</v>
      </c>
      <c r="BI438" s="241">
        <f>BF438/BF384*BI384</f>
        <v>30.200501845018454</v>
      </c>
      <c r="BJ438" s="855">
        <f t="shared" ref="BJ438" si="1122">IFERROR(BG438/BG384*BJ384,0)</f>
        <v>30.200501845018454</v>
      </c>
    </row>
    <row r="439" spans="1:65">
      <c r="A439" s="80" t="s">
        <v>254</v>
      </c>
      <c r="B439" s="40">
        <v>0</v>
      </c>
      <c r="C439" s="40">
        <v>0.67200000000000004</v>
      </c>
      <c r="D439" s="40">
        <v>2.6880000000000002</v>
      </c>
      <c r="E439" s="40">
        <v>7.3920000000000003</v>
      </c>
      <c r="F439" s="40">
        <v>12.32</v>
      </c>
      <c r="G439" s="40">
        <v>16.8</v>
      </c>
      <c r="H439" s="40">
        <v>21.728000000000002</v>
      </c>
      <c r="I439" s="40">
        <v>23.744</v>
      </c>
      <c r="J439" s="40">
        <v>25.536000000000001</v>
      </c>
      <c r="K439" s="40">
        <v>28.448</v>
      </c>
      <c r="L439" s="40">
        <v>29.12</v>
      </c>
      <c r="M439" s="40">
        <v>29.344000000000001</v>
      </c>
      <c r="N439" s="40">
        <v>29.344000000000001</v>
      </c>
      <c r="O439" s="40">
        <v>29.12</v>
      </c>
      <c r="P439" s="40">
        <v>28.896000000000001</v>
      </c>
      <c r="Q439" s="40">
        <v>28</v>
      </c>
      <c r="R439" s="40"/>
      <c r="S439" s="630"/>
      <c r="T439" s="653">
        <v>27.327999999999999</v>
      </c>
      <c r="U439" s="40"/>
      <c r="V439" s="630"/>
      <c r="W439" s="653">
        <v>26.88</v>
      </c>
      <c r="X439" s="40"/>
      <c r="Y439" s="630"/>
      <c r="Z439" s="653">
        <v>26.431999999999999</v>
      </c>
      <c r="AA439" s="40">
        <v>23.968</v>
      </c>
      <c r="AB439" s="630">
        <v>23.968</v>
      </c>
      <c r="AC439" s="653">
        <v>23.968</v>
      </c>
      <c r="AD439" s="40">
        <v>20.16</v>
      </c>
      <c r="AE439" s="630">
        <v>20.16</v>
      </c>
      <c r="AF439" s="653">
        <v>20.16</v>
      </c>
      <c r="AG439" s="40">
        <v>19.936</v>
      </c>
      <c r="AH439" s="630">
        <v>19.936</v>
      </c>
      <c r="AI439" s="653">
        <v>19.936</v>
      </c>
      <c r="AJ439" s="40">
        <v>19.936</v>
      </c>
      <c r="AK439" s="630">
        <v>19.936</v>
      </c>
      <c r="AL439" s="653">
        <v>19.936</v>
      </c>
      <c r="AM439" s="40">
        <v>18.143999999999998</v>
      </c>
      <c r="AN439" s="630">
        <v>17.920000000000002</v>
      </c>
      <c r="AO439" s="653">
        <v>17.920000000000002</v>
      </c>
      <c r="AP439" s="40">
        <v>17.248000000000001</v>
      </c>
      <c r="AQ439" s="630">
        <v>17.472000000000001</v>
      </c>
      <c r="AR439" s="653">
        <v>17.472000000000001</v>
      </c>
      <c r="AS439" s="40">
        <v>17.248000000000001</v>
      </c>
      <c r="AT439" s="216">
        <v>16.576000000000001</v>
      </c>
      <c r="AU439" s="556">
        <v>16.576000000000001</v>
      </c>
      <c r="AV439" s="10">
        <v>16.128</v>
      </c>
      <c r="AW439" s="236">
        <v>15.456</v>
      </c>
      <c r="AX439" s="605">
        <v>15.456</v>
      </c>
      <c r="AY439" s="56">
        <v>14.336</v>
      </c>
      <c r="AZ439" s="236">
        <v>14.336</v>
      </c>
      <c r="BA439" s="605">
        <v>14.336</v>
      </c>
      <c r="BB439" s="56">
        <v>13.215999999999999</v>
      </c>
      <c r="BC439" s="236">
        <v>13.215999999999999</v>
      </c>
      <c r="BD439" s="605">
        <v>13.215999999999999</v>
      </c>
      <c r="BE439" s="56">
        <v>12.096</v>
      </c>
      <c r="BF439" s="236">
        <v>12.096</v>
      </c>
      <c r="BG439" s="605">
        <v>12.096</v>
      </c>
      <c r="BH439" s="56">
        <v>10.976000000000001</v>
      </c>
      <c r="BI439" s="236">
        <v>10.976000000000001</v>
      </c>
      <c r="BJ439" s="605">
        <v>10.976000000000001</v>
      </c>
    </row>
    <row r="440" spans="1:65">
      <c r="A440" s="80" t="s">
        <v>255</v>
      </c>
      <c r="B440" s="40">
        <v>9.6479999999999997</v>
      </c>
      <c r="C440" s="40">
        <v>12.816000000000001</v>
      </c>
      <c r="D440" s="40">
        <v>14.832000000000001</v>
      </c>
      <c r="E440" s="40">
        <v>16.847999999999999</v>
      </c>
      <c r="F440" s="40">
        <v>19.007999999999999</v>
      </c>
      <c r="G440" s="40">
        <v>22.032</v>
      </c>
      <c r="H440" s="40">
        <v>26.207999999999998</v>
      </c>
      <c r="I440" s="40">
        <v>30.527999999999999</v>
      </c>
      <c r="J440" s="40">
        <v>35.567999999999998</v>
      </c>
      <c r="K440" s="40">
        <v>43.776000000000003</v>
      </c>
      <c r="L440" s="40">
        <v>52.128</v>
      </c>
      <c r="M440" s="40">
        <v>60.48</v>
      </c>
      <c r="N440" s="40">
        <v>70.56</v>
      </c>
      <c r="O440" s="40">
        <v>82.367999999999995</v>
      </c>
      <c r="P440" s="40">
        <v>94.176000000000002</v>
      </c>
      <c r="Q440" s="40">
        <v>103.968</v>
      </c>
      <c r="R440" s="40"/>
      <c r="S440" s="630"/>
      <c r="T440" s="653">
        <v>110.736</v>
      </c>
      <c r="U440" s="40"/>
      <c r="V440" s="630"/>
      <c r="W440" s="653">
        <v>118.512</v>
      </c>
      <c r="X440" s="40"/>
      <c r="Y440" s="630"/>
      <c r="Z440" s="653">
        <v>124.70399999999999</v>
      </c>
      <c r="AA440" s="40">
        <v>124.416</v>
      </c>
      <c r="AB440" s="630">
        <v>124.416</v>
      </c>
      <c r="AC440" s="653">
        <v>124.416</v>
      </c>
      <c r="AD440" s="40">
        <v>123.98399999999999</v>
      </c>
      <c r="AE440" s="630">
        <v>123.98399999999999</v>
      </c>
      <c r="AF440" s="653">
        <v>123.98399999999999</v>
      </c>
      <c r="AG440" s="40">
        <v>123.696</v>
      </c>
      <c r="AH440" s="630">
        <v>123.696</v>
      </c>
      <c r="AI440" s="653">
        <v>123.696</v>
      </c>
      <c r="AJ440" s="40">
        <v>123.84</v>
      </c>
      <c r="AK440" s="630">
        <v>123.84</v>
      </c>
      <c r="AL440" s="653">
        <v>123.84</v>
      </c>
      <c r="AM440" s="40">
        <v>122.976</v>
      </c>
      <c r="AN440" s="630">
        <v>121.968</v>
      </c>
      <c r="AO440" s="653">
        <v>121.968</v>
      </c>
      <c r="AP440" s="40">
        <v>118.512</v>
      </c>
      <c r="AQ440" s="630">
        <v>118.36799999999999</v>
      </c>
      <c r="AR440" s="653">
        <v>118.36799999999999</v>
      </c>
      <c r="AS440" s="40">
        <v>117.648</v>
      </c>
      <c r="AT440" s="216">
        <v>117.648</v>
      </c>
      <c r="AU440" s="556">
        <v>117.648</v>
      </c>
      <c r="AV440" s="10">
        <v>117.36</v>
      </c>
      <c r="AW440" s="236">
        <v>115.56</v>
      </c>
      <c r="AX440" s="605">
        <v>115.56</v>
      </c>
      <c r="AY440" s="56">
        <v>113.4</v>
      </c>
      <c r="AZ440" s="236">
        <v>113.4</v>
      </c>
      <c r="BA440" s="605">
        <v>113.4</v>
      </c>
      <c r="BB440" s="56">
        <v>111.24</v>
      </c>
      <c r="BC440" s="236">
        <v>111.24</v>
      </c>
      <c r="BD440" s="605">
        <v>111.24</v>
      </c>
      <c r="BE440" s="56">
        <v>109.08</v>
      </c>
      <c r="BF440" s="236">
        <v>109.08</v>
      </c>
      <c r="BG440" s="605">
        <v>109.08</v>
      </c>
      <c r="BH440" s="56">
        <v>106.92</v>
      </c>
      <c r="BI440" s="236">
        <v>106.92</v>
      </c>
      <c r="BJ440" s="605">
        <v>106.92</v>
      </c>
    </row>
    <row r="441" spans="1:65">
      <c r="A441" s="80" t="s">
        <v>256</v>
      </c>
      <c r="B441" s="40">
        <v>20.608000000000001</v>
      </c>
      <c r="C441" s="40">
        <v>27.231999999999999</v>
      </c>
      <c r="D441" s="40">
        <v>31.648</v>
      </c>
      <c r="E441" s="40">
        <v>34.591999999999999</v>
      </c>
      <c r="F441" s="40">
        <v>36.064</v>
      </c>
      <c r="G441" s="40">
        <v>37.536000000000001</v>
      </c>
      <c r="H441" s="40">
        <v>39.744</v>
      </c>
      <c r="I441" s="40">
        <v>40.847999999999999</v>
      </c>
      <c r="J441" s="40">
        <v>40.664000000000001</v>
      </c>
      <c r="K441" s="40">
        <v>41.4</v>
      </c>
      <c r="L441" s="40">
        <v>41.4</v>
      </c>
      <c r="M441" s="40">
        <v>41.4</v>
      </c>
      <c r="N441" s="40">
        <v>41.4</v>
      </c>
      <c r="O441" s="40">
        <v>40.847999999999999</v>
      </c>
      <c r="P441" s="40">
        <v>40.112000000000002</v>
      </c>
      <c r="Q441" s="40">
        <v>39.375999999999998</v>
      </c>
      <c r="R441" s="40"/>
      <c r="S441" s="630"/>
      <c r="T441" s="653">
        <v>38.64</v>
      </c>
      <c r="U441" s="40"/>
      <c r="V441" s="630"/>
      <c r="W441" s="653">
        <v>37.904000000000003</v>
      </c>
      <c r="X441" s="40"/>
      <c r="Y441" s="630"/>
      <c r="Z441" s="653">
        <v>36.432000000000002</v>
      </c>
      <c r="AA441" s="40">
        <v>34.591999999999999</v>
      </c>
      <c r="AB441" s="630">
        <v>34.591999999999999</v>
      </c>
      <c r="AC441" s="653">
        <v>34.591999999999999</v>
      </c>
      <c r="AD441" s="40">
        <v>34.223999999999997</v>
      </c>
      <c r="AE441" s="630">
        <v>34.223999999999997</v>
      </c>
      <c r="AF441" s="653">
        <v>34.223999999999997</v>
      </c>
      <c r="AG441" s="40">
        <v>34.04</v>
      </c>
      <c r="AH441" s="630">
        <v>34.04</v>
      </c>
      <c r="AI441" s="653">
        <v>34.04</v>
      </c>
      <c r="AJ441" s="40">
        <v>33.856000000000002</v>
      </c>
      <c r="AK441" s="630">
        <v>33.856000000000002</v>
      </c>
      <c r="AL441" s="653">
        <v>33.856000000000002</v>
      </c>
      <c r="AM441" s="40">
        <v>33.856000000000002</v>
      </c>
      <c r="AN441" s="630">
        <v>32.936</v>
      </c>
      <c r="AO441" s="653">
        <v>32.936</v>
      </c>
      <c r="AP441" s="40">
        <v>32.567999999999998</v>
      </c>
      <c r="AQ441" s="630">
        <v>32.384</v>
      </c>
      <c r="AR441" s="653">
        <v>32.384</v>
      </c>
      <c r="AS441" s="40">
        <v>31.096</v>
      </c>
      <c r="AT441" s="216">
        <v>30.175999999999998</v>
      </c>
      <c r="AU441" s="556">
        <v>30.175999999999998</v>
      </c>
      <c r="AV441" s="10">
        <v>29.992000000000001</v>
      </c>
      <c r="AW441" s="236">
        <v>27.876000000000001</v>
      </c>
      <c r="AX441" s="605">
        <v>27.876000000000001</v>
      </c>
      <c r="AY441" s="56">
        <v>25.576000000000001</v>
      </c>
      <c r="AZ441" s="236">
        <v>25.576000000000001</v>
      </c>
      <c r="BA441" s="605">
        <v>25.576000000000001</v>
      </c>
      <c r="BB441" s="56">
        <v>23.276</v>
      </c>
      <c r="BC441" s="236">
        <v>23.276</v>
      </c>
      <c r="BD441" s="605">
        <v>23.276</v>
      </c>
      <c r="BE441" s="56">
        <v>20.975999999999999</v>
      </c>
      <c r="BF441" s="236">
        <v>20.975999999999999</v>
      </c>
      <c r="BG441" s="605">
        <v>20.975999999999999</v>
      </c>
      <c r="BH441" s="56">
        <v>18.675999999999998</v>
      </c>
      <c r="BI441" s="236">
        <v>18.675999999999998</v>
      </c>
      <c r="BJ441" s="605">
        <v>18.675999999999998</v>
      </c>
    </row>
    <row r="442" spans="1:65">
      <c r="A442" s="80" t="s">
        <v>257</v>
      </c>
      <c r="B442" s="40">
        <v>0</v>
      </c>
      <c r="C442" s="40">
        <v>0</v>
      </c>
      <c r="D442" s="40">
        <v>0</v>
      </c>
      <c r="E442" s="40">
        <v>0</v>
      </c>
      <c r="F442" s="40">
        <v>0</v>
      </c>
      <c r="G442" s="40">
        <v>0</v>
      </c>
      <c r="H442" s="40">
        <v>1.1200000000000001</v>
      </c>
      <c r="I442" s="40">
        <v>1.4</v>
      </c>
      <c r="J442" s="40">
        <v>2.52</v>
      </c>
      <c r="K442" s="40">
        <v>4.76</v>
      </c>
      <c r="L442" s="40">
        <v>6.72</v>
      </c>
      <c r="M442" s="40">
        <v>10.64</v>
      </c>
      <c r="N442" s="40">
        <v>15.12</v>
      </c>
      <c r="O442" s="40">
        <v>17.64</v>
      </c>
      <c r="P442" s="40">
        <v>20.72</v>
      </c>
      <c r="Q442" s="40">
        <v>22.4</v>
      </c>
      <c r="R442" s="40"/>
      <c r="S442" s="630"/>
      <c r="T442" s="653">
        <v>23.8</v>
      </c>
      <c r="U442" s="40"/>
      <c r="V442" s="630"/>
      <c r="W442" s="653">
        <v>26.32</v>
      </c>
      <c r="X442" s="40"/>
      <c r="Y442" s="630"/>
      <c r="Z442" s="653">
        <v>28.84</v>
      </c>
      <c r="AA442" s="40">
        <v>31.08</v>
      </c>
      <c r="AB442" s="630">
        <v>31.08</v>
      </c>
      <c r="AC442" s="653">
        <v>31.08</v>
      </c>
      <c r="AD442" s="40">
        <v>31.64</v>
      </c>
      <c r="AE442" s="630">
        <v>31.64</v>
      </c>
      <c r="AF442" s="653">
        <v>31.64</v>
      </c>
      <c r="AG442" s="40">
        <v>32.479999999999997</v>
      </c>
      <c r="AH442" s="630">
        <v>32.479999999999997</v>
      </c>
      <c r="AI442" s="653">
        <v>32.479999999999997</v>
      </c>
      <c r="AJ442" s="40">
        <v>31.36</v>
      </c>
      <c r="AK442" s="630">
        <v>31.36</v>
      </c>
      <c r="AL442" s="653">
        <v>31.36</v>
      </c>
      <c r="AM442" s="40">
        <v>31.36</v>
      </c>
      <c r="AN442" s="630">
        <v>30.8</v>
      </c>
      <c r="AO442" s="653">
        <v>30.8</v>
      </c>
      <c r="AP442" s="40">
        <v>30.24</v>
      </c>
      <c r="AQ442" s="630">
        <v>29.96</v>
      </c>
      <c r="AR442" s="653">
        <v>29.96</v>
      </c>
      <c r="AS442" s="40">
        <v>28</v>
      </c>
      <c r="AT442" s="216">
        <v>27.16</v>
      </c>
      <c r="AU442" s="556">
        <v>27.16</v>
      </c>
      <c r="AV442" s="10">
        <v>26.6</v>
      </c>
      <c r="AW442" s="236">
        <v>25.76</v>
      </c>
      <c r="AX442" s="605">
        <v>25.76</v>
      </c>
      <c r="AY442" s="56">
        <v>24.36</v>
      </c>
      <c r="AZ442" s="236">
        <v>24.36</v>
      </c>
      <c r="BA442" s="605">
        <v>24.36</v>
      </c>
      <c r="BB442" s="56">
        <v>22.96</v>
      </c>
      <c r="BC442" s="236">
        <v>22.96</v>
      </c>
      <c r="BD442" s="605">
        <v>22.96</v>
      </c>
      <c r="BE442" s="56">
        <v>21.56</v>
      </c>
      <c r="BF442" s="236">
        <v>21.56</v>
      </c>
      <c r="BG442" s="605">
        <v>21.56</v>
      </c>
      <c r="BH442" s="56">
        <v>20.16</v>
      </c>
      <c r="BI442" s="236">
        <v>20.16</v>
      </c>
      <c r="BJ442" s="605">
        <v>20.16</v>
      </c>
    </row>
    <row r="443" spans="1:65">
      <c r="A443" s="80" t="s">
        <v>258</v>
      </c>
      <c r="B443" s="40">
        <v>0</v>
      </c>
      <c r="C443" s="40">
        <v>0</v>
      </c>
      <c r="D443" s="40">
        <v>0</v>
      </c>
      <c r="E443" s="40">
        <v>0</v>
      </c>
      <c r="F443" s="40">
        <v>0</v>
      </c>
      <c r="G443" s="40">
        <v>0</v>
      </c>
      <c r="H443" s="40">
        <v>0</v>
      </c>
      <c r="I443" s="40">
        <v>0</v>
      </c>
      <c r="J443" s="40">
        <v>0</v>
      </c>
      <c r="K443" s="40">
        <v>0</v>
      </c>
      <c r="L443" s="40">
        <v>0</v>
      </c>
      <c r="M443" s="40">
        <v>0.99399999999999999</v>
      </c>
      <c r="N443" s="40">
        <v>3.6920000000000002</v>
      </c>
      <c r="O443" s="40">
        <v>6.6740000000000004</v>
      </c>
      <c r="P443" s="40">
        <v>12.638</v>
      </c>
      <c r="Q443" s="40">
        <v>19.170000000000002</v>
      </c>
      <c r="R443" s="40"/>
      <c r="S443" s="630"/>
      <c r="T443" s="653">
        <v>27.974</v>
      </c>
      <c r="U443" s="40"/>
      <c r="V443" s="630"/>
      <c r="W443" s="653">
        <v>35.073999999999998</v>
      </c>
      <c r="X443" s="40"/>
      <c r="Y443" s="630"/>
      <c r="Z443" s="653">
        <v>42.884</v>
      </c>
      <c r="AA443" s="40">
        <v>49.7</v>
      </c>
      <c r="AB443" s="630">
        <v>49.7</v>
      </c>
      <c r="AC443" s="653">
        <v>49.7</v>
      </c>
      <c r="AD443" s="40">
        <v>51.545999999999999</v>
      </c>
      <c r="AE443" s="630">
        <v>51.545999999999999</v>
      </c>
      <c r="AF443" s="653">
        <v>51.545999999999999</v>
      </c>
      <c r="AG443" s="40">
        <v>52.398000000000003</v>
      </c>
      <c r="AH443" s="630">
        <v>52.398000000000003</v>
      </c>
      <c r="AI443" s="653">
        <v>52.398000000000003</v>
      </c>
      <c r="AJ443" s="40">
        <v>53.25</v>
      </c>
      <c r="AK443" s="630">
        <v>53.25</v>
      </c>
      <c r="AL443" s="653">
        <v>53.25</v>
      </c>
      <c r="AM443" s="40">
        <v>53.533999999999999</v>
      </c>
      <c r="AN443" s="630">
        <v>55.948</v>
      </c>
      <c r="AO443" s="653">
        <v>55.948</v>
      </c>
      <c r="AP443" s="40">
        <v>56.8</v>
      </c>
      <c r="AQ443" s="630">
        <v>57.084000000000003</v>
      </c>
      <c r="AR443" s="653">
        <v>57.084000000000003</v>
      </c>
      <c r="AS443" s="40">
        <v>57.652000000000001</v>
      </c>
      <c r="AT443" s="216">
        <v>58.93</v>
      </c>
      <c r="AU443" s="556">
        <v>58.93</v>
      </c>
      <c r="AV443" s="10">
        <v>60.207999999999998</v>
      </c>
      <c r="AW443" s="236">
        <v>61.479545454545452</v>
      </c>
      <c r="AX443" s="605">
        <v>61.479545454545452</v>
      </c>
      <c r="AY443" s="56">
        <v>64.423957219251335</v>
      </c>
      <c r="AZ443" s="236">
        <v>64.423957219251335</v>
      </c>
      <c r="BA443" s="605">
        <v>64.423957219251335</v>
      </c>
      <c r="BB443" s="56">
        <v>67.368368983957211</v>
      </c>
      <c r="BC443" s="236">
        <v>67.368368983957211</v>
      </c>
      <c r="BD443" s="605">
        <v>67.368368983957211</v>
      </c>
      <c r="BE443" s="56">
        <v>70.312780748663116</v>
      </c>
      <c r="BF443" s="236">
        <v>70.312780748663116</v>
      </c>
      <c r="BG443" s="605">
        <v>70.312780748663116</v>
      </c>
      <c r="BH443" s="56">
        <v>73.257192513368977</v>
      </c>
      <c r="BI443" s="236">
        <v>73.257192513368977</v>
      </c>
      <c r="BJ443" s="605">
        <v>73.257192513368977</v>
      </c>
    </row>
    <row r="444" spans="1:65">
      <c r="A444" s="80" t="s">
        <v>486</v>
      </c>
      <c r="B444" s="40">
        <v>0</v>
      </c>
      <c r="C444" s="40">
        <v>0</v>
      </c>
      <c r="D444" s="40">
        <v>0</v>
      </c>
      <c r="E444" s="40">
        <v>0</v>
      </c>
      <c r="F444" s="40">
        <v>0</v>
      </c>
      <c r="G444" s="40">
        <v>0</v>
      </c>
      <c r="H444" s="40">
        <v>0</v>
      </c>
      <c r="I444" s="40">
        <v>0</v>
      </c>
      <c r="J444" s="40">
        <v>0</v>
      </c>
      <c r="K444" s="40">
        <v>0</v>
      </c>
      <c r="L444" s="40">
        <v>0</v>
      </c>
      <c r="M444" s="40">
        <v>0</v>
      </c>
      <c r="N444" s="40">
        <v>0</v>
      </c>
      <c r="O444" s="40">
        <v>0</v>
      </c>
      <c r="P444" s="40">
        <v>1.008</v>
      </c>
      <c r="Q444" s="40">
        <v>3.1920000000000002</v>
      </c>
      <c r="R444" s="40"/>
      <c r="S444" s="630"/>
      <c r="T444" s="653">
        <v>11.087999999999999</v>
      </c>
      <c r="U444" s="40"/>
      <c r="V444" s="630"/>
      <c r="W444" s="653">
        <v>24.36</v>
      </c>
      <c r="X444" s="40"/>
      <c r="Y444" s="630"/>
      <c r="Z444" s="653">
        <v>37.631999999999998</v>
      </c>
      <c r="AA444" s="40">
        <v>50.567999999999998</v>
      </c>
      <c r="AB444" s="630">
        <v>50.567999999999998</v>
      </c>
      <c r="AC444" s="653">
        <v>50.567999999999998</v>
      </c>
      <c r="AD444" s="40">
        <v>59.808</v>
      </c>
      <c r="AE444" s="630">
        <v>59.808</v>
      </c>
      <c r="AF444" s="653">
        <v>59.808</v>
      </c>
      <c r="AG444" s="40">
        <v>61.488</v>
      </c>
      <c r="AH444" s="630">
        <v>61.488</v>
      </c>
      <c r="AI444" s="653">
        <v>61.488</v>
      </c>
      <c r="AJ444" s="40">
        <v>69.552000000000007</v>
      </c>
      <c r="AK444" s="630">
        <v>69.552000000000007</v>
      </c>
      <c r="AL444" s="653">
        <v>69.552000000000007</v>
      </c>
      <c r="AM444" s="40">
        <v>72.912000000000006</v>
      </c>
      <c r="AN444" s="630">
        <v>78.959999999999994</v>
      </c>
      <c r="AO444" s="653">
        <v>78.959999999999994</v>
      </c>
      <c r="AP444" s="40">
        <v>81.816000000000003</v>
      </c>
      <c r="AQ444" s="630">
        <v>86.183999999999997</v>
      </c>
      <c r="AR444" s="653">
        <v>86.183999999999997</v>
      </c>
      <c r="AS444" s="40">
        <v>89.543999999999997</v>
      </c>
      <c r="AT444" s="216">
        <v>93.24</v>
      </c>
      <c r="AU444" s="556">
        <v>93.24</v>
      </c>
      <c r="AV444" s="10">
        <v>96.263999999999996</v>
      </c>
      <c r="AW444" s="236">
        <v>102.82588235294116</v>
      </c>
      <c r="AX444" s="605">
        <v>102.82588235294116</v>
      </c>
      <c r="AY444" s="56">
        <v>114.42960328317372</v>
      </c>
      <c r="AZ444" s="236">
        <v>114.42960328317372</v>
      </c>
      <c r="BA444" s="605">
        <v>114.42960328317372</v>
      </c>
      <c r="BB444" s="56">
        <v>127.43760328317373</v>
      </c>
      <c r="BC444" s="236">
        <v>127.43760328317373</v>
      </c>
      <c r="BD444" s="605">
        <v>127.43760328317373</v>
      </c>
      <c r="BE444" s="56">
        <v>141.69360328317373</v>
      </c>
      <c r="BF444" s="236">
        <v>141.69360328317373</v>
      </c>
      <c r="BG444" s="605">
        <v>141.69360328317373</v>
      </c>
      <c r="BH444" s="56">
        <v>155.94960328317373</v>
      </c>
      <c r="BI444" s="236">
        <v>155.94960328317373</v>
      </c>
      <c r="BJ444" s="605">
        <v>155.94960328317373</v>
      </c>
    </row>
    <row r="445" spans="1:65">
      <c r="A445" s="80" t="s">
        <v>487</v>
      </c>
      <c r="B445" s="40">
        <v>0</v>
      </c>
      <c r="C445" s="40">
        <v>0</v>
      </c>
      <c r="D445" s="40">
        <v>0</v>
      </c>
      <c r="E445" s="40">
        <v>0</v>
      </c>
      <c r="F445" s="40">
        <v>0</v>
      </c>
      <c r="G445" s="40">
        <v>0</v>
      </c>
      <c r="H445" s="40">
        <v>0</v>
      </c>
      <c r="I445" s="40">
        <v>0</v>
      </c>
      <c r="J445" s="40">
        <v>0</v>
      </c>
      <c r="K445" s="40">
        <v>0</v>
      </c>
      <c r="L445" s="40">
        <v>0</v>
      </c>
      <c r="M445" s="40">
        <v>0</v>
      </c>
      <c r="N445" s="40">
        <v>0</v>
      </c>
      <c r="O445" s="40">
        <v>0</v>
      </c>
      <c r="P445" s="40">
        <v>0</v>
      </c>
      <c r="Q445" s="40">
        <v>0</v>
      </c>
      <c r="R445" s="40"/>
      <c r="S445" s="630"/>
      <c r="T445" s="653">
        <v>0</v>
      </c>
      <c r="U445" s="40"/>
      <c r="V445" s="630"/>
      <c r="W445" s="653">
        <v>0.58199999999999996</v>
      </c>
      <c r="X445" s="40"/>
      <c r="Y445" s="630"/>
      <c r="Z445" s="653">
        <v>4.2679999999999998</v>
      </c>
      <c r="AA445" s="40">
        <v>9.6999999999999993</v>
      </c>
      <c r="AB445" s="630">
        <v>9.6999999999999993</v>
      </c>
      <c r="AC445" s="653">
        <v>9.6999999999999993</v>
      </c>
      <c r="AD445" s="40">
        <v>10.476000000000001</v>
      </c>
      <c r="AE445" s="630">
        <v>10.476000000000001</v>
      </c>
      <c r="AF445" s="653">
        <v>10.476000000000001</v>
      </c>
      <c r="AG445" s="40">
        <v>11.64</v>
      </c>
      <c r="AH445" s="630">
        <v>11.64</v>
      </c>
      <c r="AI445" s="653">
        <v>11.64</v>
      </c>
      <c r="AJ445" s="40">
        <v>13.58</v>
      </c>
      <c r="AK445" s="630">
        <v>13.58</v>
      </c>
      <c r="AL445" s="653">
        <v>13.58</v>
      </c>
      <c r="AM445" s="40">
        <v>14.55</v>
      </c>
      <c r="AN445" s="630">
        <v>15.907999999999999</v>
      </c>
      <c r="AO445" s="653">
        <v>15.907999999999999</v>
      </c>
      <c r="AP445" s="40">
        <v>16.684000000000001</v>
      </c>
      <c r="AQ445" s="630">
        <v>18.236000000000001</v>
      </c>
      <c r="AR445" s="653">
        <v>18.236000000000001</v>
      </c>
      <c r="AS445" s="40">
        <v>18.818000000000001</v>
      </c>
      <c r="AT445" s="216">
        <v>21.34</v>
      </c>
      <c r="AU445" s="556">
        <v>21.34</v>
      </c>
      <c r="AV445" s="10">
        <v>22.31</v>
      </c>
      <c r="AW445" s="236">
        <v>23.233064516129033</v>
      </c>
      <c r="AX445" s="605">
        <v>23.233064516129033</v>
      </c>
      <c r="AY445" s="56">
        <v>27.345371456500487</v>
      </c>
      <c r="AZ445" s="236">
        <v>27.345371456500487</v>
      </c>
      <c r="BA445" s="605">
        <v>27.345371456500487</v>
      </c>
      <c r="BB445" s="56">
        <v>32.046672704272325</v>
      </c>
      <c r="BC445" s="236">
        <v>32.046672704272325</v>
      </c>
      <c r="BD445" s="605">
        <v>32.046672704272325</v>
      </c>
      <c r="BE445" s="56">
        <v>37.239025645448791</v>
      </c>
      <c r="BF445" s="236">
        <v>37.239025645448791</v>
      </c>
      <c r="BG445" s="605">
        <v>37.239025645448791</v>
      </c>
      <c r="BH445" s="56">
        <v>42.65961388074291</v>
      </c>
      <c r="BI445" s="236">
        <v>42.65961388074291</v>
      </c>
      <c r="BJ445" s="605">
        <v>42.65961388074291</v>
      </c>
    </row>
    <row r="446" spans="1:65">
      <c r="A446" s="80" t="s">
        <v>277</v>
      </c>
      <c r="B446" s="40">
        <v>0</v>
      </c>
      <c r="C446" s="40">
        <v>0</v>
      </c>
      <c r="D446" s="40">
        <v>0</v>
      </c>
      <c r="E446" s="40">
        <v>0</v>
      </c>
      <c r="F446" s="40">
        <v>0</v>
      </c>
      <c r="G446" s="40">
        <v>0</v>
      </c>
      <c r="H446" s="40">
        <v>0</v>
      </c>
      <c r="I446" s="40">
        <v>0</v>
      </c>
      <c r="J446" s="40">
        <v>0</v>
      </c>
      <c r="K446" s="40">
        <v>0</v>
      </c>
      <c r="L446" s="40">
        <v>0</v>
      </c>
      <c r="M446" s="40">
        <v>0</v>
      </c>
      <c r="N446" s="40">
        <v>0</v>
      </c>
      <c r="O446" s="40">
        <v>0</v>
      </c>
      <c r="P446" s="40">
        <v>0</v>
      </c>
      <c r="Q446" s="40">
        <v>0</v>
      </c>
      <c r="R446" s="40"/>
      <c r="S446" s="630"/>
      <c r="T446" s="653">
        <v>0</v>
      </c>
      <c r="U446" s="40"/>
      <c r="V446" s="630"/>
      <c r="W446" s="653">
        <v>0</v>
      </c>
      <c r="X446" s="40"/>
      <c r="Y446" s="630"/>
      <c r="Z446" s="653">
        <v>0.86399999999999999</v>
      </c>
      <c r="AA446" s="40">
        <v>6.7679999999999998</v>
      </c>
      <c r="AB446" s="630">
        <v>6.7679999999999998</v>
      </c>
      <c r="AC446" s="653">
        <v>6.7679999999999998</v>
      </c>
      <c r="AD446" s="40">
        <v>8.64</v>
      </c>
      <c r="AE446" s="630">
        <v>8.64</v>
      </c>
      <c r="AF446" s="653">
        <v>8.64</v>
      </c>
      <c r="AG446" s="40">
        <v>10.512</v>
      </c>
      <c r="AH446" s="630">
        <v>10.512</v>
      </c>
      <c r="AI446" s="653">
        <v>10.512</v>
      </c>
      <c r="AJ446" s="40">
        <v>13.824</v>
      </c>
      <c r="AK446" s="630">
        <v>13.824</v>
      </c>
      <c r="AL446" s="653">
        <v>13.824</v>
      </c>
      <c r="AM446" s="40">
        <v>15.552</v>
      </c>
      <c r="AN446" s="630">
        <v>18</v>
      </c>
      <c r="AO446" s="653">
        <v>18</v>
      </c>
      <c r="AP446" s="40">
        <v>19.872</v>
      </c>
      <c r="AQ446" s="630">
        <v>22.32</v>
      </c>
      <c r="AR446" s="653">
        <v>22.32</v>
      </c>
      <c r="AS446" s="40">
        <v>23.904</v>
      </c>
      <c r="AT446" s="216">
        <v>27.216000000000001</v>
      </c>
      <c r="AU446" s="556">
        <v>27.216000000000001</v>
      </c>
      <c r="AV446" s="10">
        <v>28.367999999999999</v>
      </c>
      <c r="AW446" s="236">
        <v>31.366588235294113</v>
      </c>
      <c r="AX446" s="605">
        <v>31.366588235294113</v>
      </c>
      <c r="AY446" s="56">
        <v>36.597176470588231</v>
      </c>
      <c r="AZ446" s="236">
        <v>36.597176470588231</v>
      </c>
      <c r="BA446" s="605">
        <v>36.597176470588231</v>
      </c>
      <c r="BB446" s="56">
        <v>41.827764705882345</v>
      </c>
      <c r="BC446" s="236">
        <v>41.827764705882345</v>
      </c>
      <c r="BD446" s="605">
        <v>41.827764705882345</v>
      </c>
      <c r="BE446" s="56">
        <v>47.14547899159664</v>
      </c>
      <c r="BF446" s="236">
        <v>47.14547899159664</v>
      </c>
      <c r="BG446" s="605">
        <v>47.14547899159664</v>
      </c>
      <c r="BH446" s="56">
        <v>52.463193277310921</v>
      </c>
      <c r="BI446" s="236">
        <v>52.463193277310921</v>
      </c>
      <c r="BJ446" s="605">
        <v>52.463193277310921</v>
      </c>
    </row>
    <row r="447" spans="1:65">
      <c r="A447" s="82" t="s">
        <v>259</v>
      </c>
      <c r="B447" s="82">
        <f t="shared" ref="B447:BJ447" si="1123">SUM(B439:B446)</f>
        <v>30.256</v>
      </c>
      <c r="C447" s="82">
        <f t="shared" si="1123"/>
        <v>40.72</v>
      </c>
      <c r="D447" s="82">
        <f t="shared" si="1123"/>
        <v>49.167999999999999</v>
      </c>
      <c r="E447" s="82">
        <f t="shared" si="1123"/>
        <v>58.831999999999994</v>
      </c>
      <c r="F447" s="82">
        <f t="shared" si="1123"/>
        <v>67.391999999999996</v>
      </c>
      <c r="G447" s="82">
        <f t="shared" si="1123"/>
        <v>76.367999999999995</v>
      </c>
      <c r="H447" s="82">
        <f t="shared" si="1123"/>
        <v>88.800000000000011</v>
      </c>
      <c r="I447" s="82">
        <f t="shared" si="1123"/>
        <v>96.52000000000001</v>
      </c>
      <c r="J447" s="82">
        <f t="shared" si="1123"/>
        <v>104.288</v>
      </c>
      <c r="K447" s="82">
        <f t="shared" si="1123"/>
        <v>118.384</v>
      </c>
      <c r="L447" s="82">
        <f t="shared" si="1123"/>
        <v>129.36799999999999</v>
      </c>
      <c r="M447" s="82">
        <f t="shared" si="1123"/>
        <v>142.85799999999998</v>
      </c>
      <c r="N447" s="82">
        <f t="shared" si="1123"/>
        <v>160.11600000000001</v>
      </c>
      <c r="O447" s="82">
        <f t="shared" si="1123"/>
        <v>176.65</v>
      </c>
      <c r="P447" s="82">
        <f t="shared" si="1123"/>
        <v>197.55</v>
      </c>
      <c r="Q447" s="82">
        <f t="shared" si="1123"/>
        <v>216.10600000000005</v>
      </c>
      <c r="R447" s="82"/>
      <c r="S447" s="694"/>
      <c r="T447" s="709">
        <f t="shared" si="1123"/>
        <v>239.566</v>
      </c>
      <c r="U447" s="82"/>
      <c r="V447" s="694"/>
      <c r="W447" s="709">
        <f t="shared" si="1123"/>
        <v>269.63200000000001</v>
      </c>
      <c r="X447" s="82"/>
      <c r="Y447" s="694"/>
      <c r="Z447" s="709">
        <f t="shared" si="1123"/>
        <v>302.05599999999993</v>
      </c>
      <c r="AA447" s="82">
        <f t="shared" si="1123"/>
        <v>330.79199999999992</v>
      </c>
      <c r="AB447" s="694">
        <f t="shared" si="1123"/>
        <v>330.79199999999992</v>
      </c>
      <c r="AC447" s="709">
        <f t="shared" si="1123"/>
        <v>330.79199999999992</v>
      </c>
      <c r="AD447" s="82">
        <f t="shared" si="1123"/>
        <v>340.47799999999995</v>
      </c>
      <c r="AE447" s="694">
        <f t="shared" si="1123"/>
        <v>340.47799999999995</v>
      </c>
      <c r="AF447" s="709">
        <f t="shared" si="1123"/>
        <v>340.47799999999995</v>
      </c>
      <c r="AG447" s="82">
        <f t="shared" ref="AG447:AH447" si="1124">SUM(AG439:AG446)</f>
        <v>346.19</v>
      </c>
      <c r="AH447" s="694">
        <f t="shared" si="1124"/>
        <v>346.19</v>
      </c>
      <c r="AI447" s="709">
        <f t="shared" si="1123"/>
        <v>346.19</v>
      </c>
      <c r="AJ447" s="82">
        <f t="shared" si="1123"/>
        <v>359.19800000000004</v>
      </c>
      <c r="AK447" s="694">
        <f t="shared" ref="AK447" si="1125">SUM(AK439:AK446)</f>
        <v>359.19800000000004</v>
      </c>
      <c r="AL447" s="709">
        <f t="shared" si="1123"/>
        <v>359.19800000000004</v>
      </c>
      <c r="AM447" s="82">
        <f t="shared" ref="AM447:AN447" si="1126">SUM(AM439:AM446)</f>
        <v>362.88400000000007</v>
      </c>
      <c r="AN447" s="694">
        <f t="shared" si="1126"/>
        <v>372.44</v>
      </c>
      <c r="AO447" s="709">
        <f t="shared" ref="AO447:AQ447" si="1127">SUM(AO439:AO446)</f>
        <v>372.44</v>
      </c>
      <c r="AP447" s="82">
        <f t="shared" si="1127"/>
        <v>373.74</v>
      </c>
      <c r="AQ447" s="694">
        <f t="shared" si="1127"/>
        <v>382.00799999999998</v>
      </c>
      <c r="AR447" s="709">
        <f t="shared" ref="AR447:AS447" si="1128">SUM(AR439:AR446)</f>
        <v>382.00799999999998</v>
      </c>
      <c r="AS447" s="82">
        <f t="shared" si="1128"/>
        <v>383.90999999999997</v>
      </c>
      <c r="AT447" s="226">
        <f t="shared" si="1123"/>
        <v>392.28599999999994</v>
      </c>
      <c r="AU447" s="555">
        <f t="shared" si="1123"/>
        <v>392.28599999999994</v>
      </c>
      <c r="AV447" s="190">
        <f t="shared" si="1123"/>
        <v>397.22999999999996</v>
      </c>
      <c r="AW447" s="241">
        <f t="shared" si="1123"/>
        <v>403.55708055890977</v>
      </c>
      <c r="AX447" s="579">
        <f t="shared" si="1123"/>
        <v>403.55708055890977</v>
      </c>
      <c r="AY447" s="204">
        <f t="shared" si="1123"/>
        <v>420.46810842951379</v>
      </c>
      <c r="AZ447" s="241">
        <f t="shared" si="1123"/>
        <v>420.46810842951379</v>
      </c>
      <c r="BA447" s="579">
        <f t="shared" si="1123"/>
        <v>420.46810842951379</v>
      </c>
      <c r="BB447" s="204">
        <f t="shared" si="1123"/>
        <v>439.37240967728565</v>
      </c>
      <c r="BC447" s="241">
        <f t="shared" si="1123"/>
        <v>439.37240967728565</v>
      </c>
      <c r="BD447" s="579">
        <f t="shared" si="1123"/>
        <v>439.37240967728565</v>
      </c>
      <c r="BE447" s="204">
        <f t="shared" si="1123"/>
        <v>460.10288866888226</v>
      </c>
      <c r="BF447" s="241">
        <f t="shared" si="1123"/>
        <v>460.10288866888226</v>
      </c>
      <c r="BG447" s="579">
        <f t="shared" si="1123"/>
        <v>460.10288866888226</v>
      </c>
      <c r="BH447" s="204">
        <f t="shared" si="1123"/>
        <v>481.06160295459654</v>
      </c>
      <c r="BI447" s="241">
        <f t="shared" si="1123"/>
        <v>481.06160295459654</v>
      </c>
      <c r="BJ447" s="579">
        <f t="shared" si="1123"/>
        <v>481.06160295459654</v>
      </c>
    </row>
    <row r="448" spans="1:65" ht="10.8" thickBot="1">
      <c r="A448" s="84" t="s">
        <v>260</v>
      </c>
      <c r="B448" s="84">
        <f t="shared" ref="B448:AL448" si="1129">B438+B447</f>
        <v>153.17599999999999</v>
      </c>
      <c r="C448" s="84">
        <f t="shared" si="1129"/>
        <v>162.45999999999998</v>
      </c>
      <c r="D448" s="84">
        <f t="shared" si="1129"/>
        <v>169.428</v>
      </c>
      <c r="E448" s="84">
        <f t="shared" si="1129"/>
        <v>177.572</v>
      </c>
      <c r="F448" s="84">
        <f t="shared" si="1129"/>
        <v>184.21199999999999</v>
      </c>
      <c r="G448" s="84">
        <f t="shared" si="1129"/>
        <v>191.768</v>
      </c>
      <c r="H448" s="84">
        <f t="shared" si="1129"/>
        <v>199.24</v>
      </c>
      <c r="I448" s="84">
        <f t="shared" si="1129"/>
        <v>205.36</v>
      </c>
      <c r="J448" s="84">
        <f t="shared" si="1129"/>
        <v>208.66800000000001</v>
      </c>
      <c r="K448" s="84">
        <f t="shared" si="1129"/>
        <v>218.904</v>
      </c>
      <c r="L448" s="84">
        <f t="shared" si="1129"/>
        <v>225.44799999999998</v>
      </c>
      <c r="M448" s="84">
        <f t="shared" si="1129"/>
        <v>235.57799999999997</v>
      </c>
      <c r="N448" s="84">
        <f t="shared" si="1129"/>
        <v>248.57600000000002</v>
      </c>
      <c r="O448" s="84">
        <f t="shared" si="1129"/>
        <v>260.73</v>
      </c>
      <c r="P448" s="84">
        <f t="shared" si="1129"/>
        <v>277.87</v>
      </c>
      <c r="Q448" s="84">
        <f t="shared" si="1129"/>
        <v>290.78600000000006</v>
      </c>
      <c r="R448" s="84"/>
      <c r="S448" s="632"/>
      <c r="T448" s="655">
        <f t="shared" si="1129"/>
        <v>304.06600000000003</v>
      </c>
      <c r="U448" s="84"/>
      <c r="V448" s="632"/>
      <c r="W448" s="655">
        <f t="shared" si="1129"/>
        <v>330.892</v>
      </c>
      <c r="X448" s="84"/>
      <c r="Y448" s="632"/>
      <c r="Z448" s="655">
        <f t="shared" si="1129"/>
        <v>360.0156457564575</v>
      </c>
      <c r="AA448" s="84">
        <f t="shared" si="1129"/>
        <v>384.68271586715861</v>
      </c>
      <c r="AB448" s="632">
        <f t="shared" si="1129"/>
        <v>384.68271586715861</v>
      </c>
      <c r="AC448" s="655">
        <f t="shared" si="1129"/>
        <v>384.68271586715861</v>
      </c>
      <c r="AD448" s="84">
        <f t="shared" si="1129"/>
        <v>388.85305535055346</v>
      </c>
      <c r="AE448" s="632">
        <f t="shared" si="1129"/>
        <v>388.85305535055346</v>
      </c>
      <c r="AF448" s="655">
        <f t="shared" si="1129"/>
        <v>388.85305535055346</v>
      </c>
      <c r="AG448" s="84">
        <f t="shared" ref="AG448:AH448" si="1130">AG438+AG447</f>
        <v>393.75126937269374</v>
      </c>
      <c r="AH448" s="632">
        <f t="shared" si="1130"/>
        <v>393.75126937269374</v>
      </c>
      <c r="AI448" s="655">
        <f t="shared" si="1129"/>
        <v>393.75126937269374</v>
      </c>
      <c r="AJ448" s="84">
        <f t="shared" si="1129"/>
        <v>406.12632472324725</v>
      </c>
      <c r="AK448" s="632">
        <f t="shared" ref="AK448" si="1131">AK438+AK447</f>
        <v>406.12632472324725</v>
      </c>
      <c r="AL448" s="655">
        <f t="shared" si="1129"/>
        <v>406.12632472324725</v>
      </c>
      <c r="AM448" s="84">
        <f t="shared" ref="AM448:AO448" si="1132">AM438+AM447</f>
        <v>408.63685608856093</v>
      </c>
      <c r="AN448" s="632">
        <f t="shared" si="1132"/>
        <v>417.28864944649445</v>
      </c>
      <c r="AO448" s="655">
        <f t="shared" si="1132"/>
        <v>417.28864944649445</v>
      </c>
      <c r="AP448" s="84">
        <f t="shared" ref="AP448:AR448" si="1133">AP438+AP447</f>
        <v>417.50360147601475</v>
      </c>
      <c r="AQ448" s="632">
        <f t="shared" si="1133"/>
        <v>424.95781549815496</v>
      </c>
      <c r="AR448" s="655">
        <f t="shared" si="1133"/>
        <v>424.95781549815496</v>
      </c>
      <c r="AS448" s="84">
        <f t="shared" ref="AS448" si="1134">AS438+AS447</f>
        <v>425.95560885608853</v>
      </c>
      <c r="AT448" s="227">
        <f t="shared" ref="AT448" si="1135">AT438+AT447</f>
        <v>433.78908487084868</v>
      </c>
      <c r="AU448" s="1117">
        <f t="shared" ref="AU448:BJ448" si="1136">IFERROR(AU438+AU447,"na")</f>
        <v>433.78908487084868</v>
      </c>
      <c r="AV448" s="1118">
        <f t="shared" si="1136"/>
        <v>438.10014022140217</v>
      </c>
      <c r="AW448" s="244">
        <f t="shared" ref="AW448" si="1137">AW438+AW447</f>
        <v>442.79964882459245</v>
      </c>
      <c r="AX448" s="856">
        <f t="shared" si="1136"/>
        <v>442.79964882459245</v>
      </c>
      <c r="AY448" s="982">
        <f t="shared" si="1136"/>
        <v>457.45016009003041</v>
      </c>
      <c r="AZ448" s="244">
        <f t="shared" ref="AZ448" si="1138">AZ438+AZ447</f>
        <v>457.45016009003041</v>
      </c>
      <c r="BA448" s="856">
        <f t="shared" si="1136"/>
        <v>457.45016009003041</v>
      </c>
      <c r="BB448" s="982">
        <f t="shared" si="1136"/>
        <v>474.0939447326362</v>
      </c>
      <c r="BC448" s="244">
        <f t="shared" ref="BC448" si="1139">BC438+BC447</f>
        <v>474.0939447326362</v>
      </c>
      <c r="BD448" s="856">
        <f t="shared" si="1136"/>
        <v>474.0939447326362</v>
      </c>
      <c r="BE448" s="982">
        <f t="shared" si="1136"/>
        <v>492.56390711906676</v>
      </c>
      <c r="BF448" s="244">
        <f t="shared" ref="BF448" si="1140">BF438+BF447</f>
        <v>492.56390711906676</v>
      </c>
      <c r="BG448" s="856">
        <f t="shared" si="1136"/>
        <v>492.56390711906676</v>
      </c>
      <c r="BH448" s="982">
        <f t="shared" si="1136"/>
        <v>511.26210479961497</v>
      </c>
      <c r="BI448" s="244">
        <f t="shared" ref="BI448" si="1141">BI438+BI447</f>
        <v>511.26210479961497</v>
      </c>
      <c r="BJ448" s="856">
        <f t="shared" si="1136"/>
        <v>511.26210479961497</v>
      </c>
      <c r="BM448" s="64"/>
    </row>
    <row r="449" spans="1:62">
      <c r="A449" s="80" t="s">
        <v>261</v>
      </c>
      <c r="B449" s="40">
        <v>16.192</v>
      </c>
      <c r="C449" s="40">
        <v>15.862</v>
      </c>
      <c r="D449" s="40">
        <v>15.488</v>
      </c>
      <c r="E449" s="40">
        <v>15.135999999999999</v>
      </c>
      <c r="F449" s="40">
        <v>14.762</v>
      </c>
      <c r="G449" s="40">
        <v>13.706</v>
      </c>
      <c r="H449" s="40">
        <v>13.244</v>
      </c>
      <c r="I449" s="40">
        <v>12.738</v>
      </c>
      <c r="J449" s="40">
        <v>12.452</v>
      </c>
      <c r="K449" s="40">
        <v>11.616</v>
      </c>
      <c r="L449" s="40">
        <v>11</v>
      </c>
      <c r="M449" s="40">
        <v>9.8119999999999994</v>
      </c>
      <c r="N449" s="40">
        <v>9.3279999999999994</v>
      </c>
      <c r="O449" s="40">
        <v>8.4480000000000004</v>
      </c>
      <c r="P449" s="40">
        <v>7.59</v>
      </c>
      <c r="Q449" s="40">
        <v>6.49</v>
      </c>
      <c r="R449" s="40"/>
      <c r="S449" s="630"/>
      <c r="T449" s="653">
        <v>5.6760000000000002</v>
      </c>
      <c r="U449" s="40"/>
      <c r="V449" s="630"/>
      <c r="W449" s="653">
        <v>4.774</v>
      </c>
      <c r="X449" s="40"/>
      <c r="Y449" s="630"/>
      <c r="Z449" s="653">
        <v>4.3120000000000003</v>
      </c>
      <c r="AA449" s="40">
        <v>3.63</v>
      </c>
      <c r="AB449" s="630">
        <v>3.63</v>
      </c>
      <c r="AC449" s="653">
        <v>3.63</v>
      </c>
      <c r="AD449" s="40">
        <v>3.1240000000000001</v>
      </c>
      <c r="AE449" s="630">
        <v>3.1240000000000001</v>
      </c>
      <c r="AF449" s="653">
        <v>3.1240000000000001</v>
      </c>
      <c r="AG449" s="40">
        <v>2.992</v>
      </c>
      <c r="AH449" s="630">
        <v>2.992</v>
      </c>
      <c r="AI449" s="653">
        <v>2.992</v>
      </c>
      <c r="AJ449" s="40">
        <v>2.86</v>
      </c>
      <c r="AK449" s="630">
        <v>2.86</v>
      </c>
      <c r="AL449" s="653">
        <v>2.86</v>
      </c>
      <c r="AM449" s="40">
        <v>2.75</v>
      </c>
      <c r="AN449" s="630">
        <v>2.706</v>
      </c>
      <c r="AO449" s="653">
        <v>2.706</v>
      </c>
      <c r="AP449" s="40">
        <v>2.4860000000000002</v>
      </c>
      <c r="AQ449" s="630">
        <v>2.2879999999999998</v>
      </c>
      <c r="AR449" s="653">
        <v>2.2879999999999998</v>
      </c>
      <c r="AS449" s="40">
        <v>1.5620000000000001</v>
      </c>
      <c r="AT449" s="216">
        <v>1.3420000000000001</v>
      </c>
      <c r="AU449" s="556">
        <v>1.3420000000000001</v>
      </c>
      <c r="AV449" s="10">
        <v>1.3420000000000001</v>
      </c>
      <c r="AW449" s="236">
        <v>2.3980000000000001</v>
      </c>
      <c r="AX449" s="605">
        <v>2.3980000000000001</v>
      </c>
      <c r="AY449" s="56">
        <v>2.2879999999999998</v>
      </c>
      <c r="AZ449" s="236">
        <v>2.2879999999999998</v>
      </c>
      <c r="BA449" s="605">
        <v>2.2879999999999998</v>
      </c>
      <c r="BB449" s="56">
        <v>2.1779999999999999</v>
      </c>
      <c r="BC449" s="236">
        <v>2.1779999999999999</v>
      </c>
      <c r="BD449" s="605">
        <v>2.1779999999999999</v>
      </c>
      <c r="BE449" s="56">
        <v>2.0680000000000001</v>
      </c>
      <c r="BF449" s="236">
        <v>2.0680000000000001</v>
      </c>
      <c r="BG449" s="605">
        <v>2.0680000000000001</v>
      </c>
      <c r="BH449" s="56">
        <v>1.958</v>
      </c>
      <c r="BI449" s="236">
        <v>1.958</v>
      </c>
      <c r="BJ449" s="605">
        <v>1.958</v>
      </c>
    </row>
    <row r="450" spans="1:62">
      <c r="A450" s="80" t="s">
        <v>262</v>
      </c>
      <c r="B450" s="40">
        <v>24.6</v>
      </c>
      <c r="C450" s="40">
        <v>25.71</v>
      </c>
      <c r="D450" s="40">
        <v>26.58</v>
      </c>
      <c r="E450" s="40">
        <v>27.45</v>
      </c>
      <c r="F450" s="40">
        <v>27.704999999999998</v>
      </c>
      <c r="G450" s="40">
        <v>27.99</v>
      </c>
      <c r="H450" s="40">
        <v>28.35</v>
      </c>
      <c r="I450" s="40">
        <v>28.545000000000002</v>
      </c>
      <c r="J450" s="40">
        <v>29.265000000000001</v>
      </c>
      <c r="K450" s="40">
        <v>30.254999999999999</v>
      </c>
      <c r="L450" s="40">
        <v>30.855</v>
      </c>
      <c r="M450" s="40">
        <v>31.155000000000001</v>
      </c>
      <c r="N450" s="40">
        <v>31.785</v>
      </c>
      <c r="O450" s="40">
        <v>32.325000000000003</v>
      </c>
      <c r="P450" s="40">
        <v>32.655000000000001</v>
      </c>
      <c r="Q450" s="40">
        <v>33.015000000000001</v>
      </c>
      <c r="R450" s="40"/>
      <c r="S450" s="630"/>
      <c r="T450" s="653">
        <v>33.045000000000002</v>
      </c>
      <c r="U450" s="40"/>
      <c r="V450" s="630"/>
      <c r="W450" s="653">
        <v>32.414999999999999</v>
      </c>
      <c r="X450" s="40"/>
      <c r="Y450" s="630"/>
      <c r="Z450" s="653">
        <v>31.664999999999999</v>
      </c>
      <c r="AA450" s="40">
        <v>30.99</v>
      </c>
      <c r="AB450" s="630">
        <v>30.99</v>
      </c>
      <c r="AC450" s="653">
        <v>30.99</v>
      </c>
      <c r="AD450" s="40">
        <v>31.664999999999999</v>
      </c>
      <c r="AE450" s="630">
        <v>31.664999999999999</v>
      </c>
      <c r="AF450" s="653">
        <v>31.664999999999999</v>
      </c>
      <c r="AG450" s="40">
        <v>29.64</v>
      </c>
      <c r="AH450" s="630">
        <v>29.64</v>
      </c>
      <c r="AI450" s="653">
        <v>29.64</v>
      </c>
      <c r="AJ450" s="40">
        <v>29.49</v>
      </c>
      <c r="AK450" s="630">
        <v>29.49</v>
      </c>
      <c r="AL450" s="653">
        <v>29.49</v>
      </c>
      <c r="AM450" s="40">
        <v>29.43</v>
      </c>
      <c r="AN450" s="630">
        <v>29.31</v>
      </c>
      <c r="AO450" s="653">
        <v>29.31</v>
      </c>
      <c r="AP450" s="40">
        <v>29.13</v>
      </c>
      <c r="AQ450" s="630">
        <v>28.89</v>
      </c>
      <c r="AR450" s="653">
        <v>28.89</v>
      </c>
      <c r="AS450" s="40">
        <v>28.77</v>
      </c>
      <c r="AT450" s="216">
        <v>28.23</v>
      </c>
      <c r="AU450" s="556">
        <v>28.23</v>
      </c>
      <c r="AV450" s="10">
        <v>28.11</v>
      </c>
      <c r="AW450" s="236">
        <v>27.78</v>
      </c>
      <c r="AX450" s="605">
        <v>27.78</v>
      </c>
      <c r="AY450" s="56">
        <v>27.33</v>
      </c>
      <c r="AZ450" s="236">
        <v>27.33</v>
      </c>
      <c r="BA450" s="605">
        <v>27.33</v>
      </c>
      <c r="BB450" s="56">
        <v>26.88</v>
      </c>
      <c r="BC450" s="236">
        <v>26.88</v>
      </c>
      <c r="BD450" s="605">
        <v>26.88</v>
      </c>
      <c r="BE450" s="56">
        <v>26.43</v>
      </c>
      <c r="BF450" s="236">
        <v>26.43</v>
      </c>
      <c r="BG450" s="605">
        <v>26.43</v>
      </c>
      <c r="BH450" s="56">
        <v>25.98</v>
      </c>
      <c r="BI450" s="236">
        <v>25.98</v>
      </c>
      <c r="BJ450" s="605">
        <v>25.98</v>
      </c>
    </row>
    <row r="451" spans="1:62">
      <c r="A451" s="80" t="s">
        <v>263</v>
      </c>
      <c r="B451" s="40">
        <v>7.3949999999999996</v>
      </c>
      <c r="C451" s="40">
        <v>10.35</v>
      </c>
      <c r="D451" s="40">
        <v>12.885</v>
      </c>
      <c r="E451" s="40">
        <v>14.744999999999999</v>
      </c>
      <c r="F451" s="40">
        <v>16.5</v>
      </c>
      <c r="G451" s="40">
        <v>17.774999999999999</v>
      </c>
      <c r="H451" s="40">
        <v>18.57</v>
      </c>
      <c r="I451" s="40">
        <v>19.47</v>
      </c>
      <c r="J451" s="40">
        <v>20.324999999999999</v>
      </c>
      <c r="K451" s="40">
        <v>20.864999999999998</v>
      </c>
      <c r="L451" s="40">
        <v>21.105</v>
      </c>
      <c r="M451" s="40">
        <v>21.375</v>
      </c>
      <c r="N451" s="40">
        <v>21.72</v>
      </c>
      <c r="O451" s="40">
        <v>22.125</v>
      </c>
      <c r="P451" s="40">
        <v>22.32</v>
      </c>
      <c r="Q451" s="40">
        <v>22.274999999999999</v>
      </c>
      <c r="R451" s="40"/>
      <c r="S451" s="630"/>
      <c r="T451" s="653">
        <v>22.245000000000001</v>
      </c>
      <c r="U451" s="40"/>
      <c r="V451" s="630"/>
      <c r="W451" s="653">
        <v>22.035</v>
      </c>
      <c r="X451" s="40"/>
      <c r="Y451" s="630"/>
      <c r="Z451" s="653">
        <v>21.93</v>
      </c>
      <c r="AA451" s="40">
        <v>21.48</v>
      </c>
      <c r="AB451" s="630">
        <v>21.48</v>
      </c>
      <c r="AC451" s="653">
        <v>21.48</v>
      </c>
      <c r="AD451" s="40">
        <v>21.93</v>
      </c>
      <c r="AE451" s="630">
        <v>21.93</v>
      </c>
      <c r="AF451" s="653">
        <v>21.93</v>
      </c>
      <c r="AG451" s="40">
        <v>20.684999999999999</v>
      </c>
      <c r="AH451" s="630">
        <v>20.684999999999999</v>
      </c>
      <c r="AI451" s="653">
        <v>20.684999999999999</v>
      </c>
      <c r="AJ451" s="40">
        <v>20.55</v>
      </c>
      <c r="AK451" s="630">
        <v>20.55</v>
      </c>
      <c r="AL451" s="653">
        <v>20.55</v>
      </c>
      <c r="AM451" s="40">
        <v>20.355</v>
      </c>
      <c r="AN451" s="630">
        <v>20.204999999999998</v>
      </c>
      <c r="AO451" s="653">
        <v>20.204999999999998</v>
      </c>
      <c r="AP451" s="40">
        <v>20.055</v>
      </c>
      <c r="AQ451" s="630">
        <v>19.71</v>
      </c>
      <c r="AR451" s="653">
        <v>19.71</v>
      </c>
      <c r="AS451" s="40">
        <v>19.62</v>
      </c>
      <c r="AT451" s="216">
        <v>19.484999999999999</v>
      </c>
      <c r="AU451" s="556">
        <v>19.484999999999999</v>
      </c>
      <c r="AV451" s="10">
        <v>19.440000000000001</v>
      </c>
      <c r="AW451" s="236">
        <v>19.11</v>
      </c>
      <c r="AX451" s="605">
        <v>19.11</v>
      </c>
      <c r="AY451" s="56">
        <v>18.734999999999999</v>
      </c>
      <c r="AZ451" s="236">
        <v>18.734999999999999</v>
      </c>
      <c r="BA451" s="605">
        <v>18.734999999999999</v>
      </c>
      <c r="BB451" s="56">
        <v>18.36</v>
      </c>
      <c r="BC451" s="236">
        <v>18.36</v>
      </c>
      <c r="BD451" s="605">
        <v>18.36</v>
      </c>
      <c r="BE451" s="56">
        <v>17.984999999999999</v>
      </c>
      <c r="BF451" s="236">
        <v>17.984999999999999</v>
      </c>
      <c r="BG451" s="605">
        <v>17.984999999999999</v>
      </c>
      <c r="BH451" s="56">
        <v>17.61</v>
      </c>
      <c r="BI451" s="236">
        <v>17.61</v>
      </c>
      <c r="BJ451" s="605">
        <v>17.61</v>
      </c>
    </row>
    <row r="452" spans="1:62">
      <c r="A452" s="80" t="s">
        <v>264</v>
      </c>
      <c r="B452" s="40">
        <v>6.72</v>
      </c>
      <c r="C452" s="40">
        <v>9.93</v>
      </c>
      <c r="D452" s="40">
        <v>11.88</v>
      </c>
      <c r="E452" s="40">
        <v>13.56</v>
      </c>
      <c r="F452" s="40">
        <v>15.09</v>
      </c>
      <c r="G452" s="40">
        <v>17.46</v>
      </c>
      <c r="H452" s="40">
        <v>19.68</v>
      </c>
      <c r="I452" s="40">
        <v>22.2</v>
      </c>
      <c r="J452" s="40">
        <v>24.75</v>
      </c>
      <c r="K452" s="40">
        <v>27.48</v>
      </c>
      <c r="L452" s="40">
        <v>30.48</v>
      </c>
      <c r="M452" s="40">
        <v>33.39</v>
      </c>
      <c r="N452" s="40">
        <v>36.72</v>
      </c>
      <c r="O452" s="40">
        <v>41.16</v>
      </c>
      <c r="P452" s="40">
        <v>46.26</v>
      </c>
      <c r="Q452" s="40">
        <v>51.48</v>
      </c>
      <c r="R452" s="40"/>
      <c r="S452" s="630"/>
      <c r="T452" s="653">
        <v>55.26</v>
      </c>
      <c r="U452" s="40"/>
      <c r="V452" s="630"/>
      <c r="W452" s="653">
        <v>58.98</v>
      </c>
      <c r="X452" s="40"/>
      <c r="Y452" s="630"/>
      <c r="Z452" s="653">
        <v>62.25</v>
      </c>
      <c r="AA452" s="40">
        <v>65.94</v>
      </c>
      <c r="AB452" s="630">
        <v>65.94</v>
      </c>
      <c r="AC452" s="653">
        <v>65.94</v>
      </c>
      <c r="AD452" s="40">
        <v>67.23</v>
      </c>
      <c r="AE452" s="630">
        <v>67.23</v>
      </c>
      <c r="AF452" s="653">
        <v>67.23</v>
      </c>
      <c r="AG452" s="40">
        <v>68.64</v>
      </c>
      <c r="AH452" s="630">
        <v>68.64</v>
      </c>
      <c r="AI452" s="653">
        <v>68.64</v>
      </c>
      <c r="AJ452" s="40">
        <v>70.14</v>
      </c>
      <c r="AK452" s="630">
        <v>70.14</v>
      </c>
      <c r="AL452" s="653">
        <v>70.14</v>
      </c>
      <c r="AM452" s="40">
        <v>70.53</v>
      </c>
      <c r="AN452" s="630">
        <v>71.31</v>
      </c>
      <c r="AO452" s="653">
        <v>71.31</v>
      </c>
      <c r="AP452" s="40">
        <v>71.7</v>
      </c>
      <c r="AQ452" s="630">
        <v>71.31</v>
      </c>
      <c r="AR452" s="653">
        <v>71.31</v>
      </c>
      <c r="AS452" s="40">
        <v>71.73</v>
      </c>
      <c r="AT452" s="216">
        <v>71.61</v>
      </c>
      <c r="AU452" s="556">
        <v>71.61</v>
      </c>
      <c r="AV452" s="10">
        <v>71.52</v>
      </c>
      <c r="AW452" s="236">
        <v>71.16</v>
      </c>
      <c r="AX452" s="605">
        <v>71.16</v>
      </c>
      <c r="AY452" s="56">
        <v>70.709999999999994</v>
      </c>
      <c r="AZ452" s="236">
        <v>70.709999999999994</v>
      </c>
      <c r="BA452" s="605">
        <v>70.709999999999994</v>
      </c>
      <c r="BB452" s="56">
        <v>70.260000000000005</v>
      </c>
      <c r="BC452" s="236">
        <v>70.260000000000005</v>
      </c>
      <c r="BD452" s="605">
        <v>70.260000000000005</v>
      </c>
      <c r="BE452" s="56">
        <v>69.81</v>
      </c>
      <c r="BF452" s="236">
        <v>69.81</v>
      </c>
      <c r="BG452" s="605">
        <v>69.81</v>
      </c>
      <c r="BH452" s="56">
        <v>69.36</v>
      </c>
      <c r="BI452" s="236">
        <v>69.36</v>
      </c>
      <c r="BJ452" s="605">
        <v>69.36</v>
      </c>
    </row>
    <row r="453" spans="1:62">
      <c r="A453" s="82" t="s">
        <v>265</v>
      </c>
      <c r="B453" s="82">
        <f t="shared" ref="B453:T453" si="1142">SUM(B449:B452)</f>
        <v>54.906999999999996</v>
      </c>
      <c r="C453" s="82">
        <f t="shared" si="1142"/>
        <v>61.852000000000004</v>
      </c>
      <c r="D453" s="82">
        <f t="shared" si="1142"/>
        <v>66.832999999999998</v>
      </c>
      <c r="E453" s="82">
        <f t="shared" si="1142"/>
        <v>70.890999999999991</v>
      </c>
      <c r="F453" s="82">
        <f t="shared" si="1142"/>
        <v>74.057000000000002</v>
      </c>
      <c r="G453" s="82">
        <f t="shared" si="1142"/>
        <v>76.930999999999997</v>
      </c>
      <c r="H453" s="82">
        <f t="shared" si="1142"/>
        <v>79.843999999999994</v>
      </c>
      <c r="I453" s="82">
        <f t="shared" si="1142"/>
        <v>82.953000000000003</v>
      </c>
      <c r="J453" s="82">
        <f t="shared" si="1142"/>
        <v>86.792000000000002</v>
      </c>
      <c r="K453" s="82">
        <f t="shared" si="1142"/>
        <v>90.215999999999994</v>
      </c>
      <c r="L453" s="82">
        <f t="shared" si="1142"/>
        <v>93.440000000000012</v>
      </c>
      <c r="M453" s="82">
        <f t="shared" si="1142"/>
        <v>95.731999999999999</v>
      </c>
      <c r="N453" s="82">
        <f t="shared" si="1142"/>
        <v>99.552999999999997</v>
      </c>
      <c r="O453" s="82">
        <f t="shared" si="1142"/>
        <v>104.05799999999999</v>
      </c>
      <c r="P453" s="82">
        <f t="shared" si="1142"/>
        <v>108.825</v>
      </c>
      <c r="Q453" s="82">
        <f t="shared" si="1142"/>
        <v>113.25999999999999</v>
      </c>
      <c r="R453" s="82"/>
      <c r="S453" s="694"/>
      <c r="T453" s="709">
        <f t="shared" si="1142"/>
        <v>116.226</v>
      </c>
      <c r="U453" s="82"/>
      <c r="V453" s="694"/>
      <c r="W453" s="709">
        <f>SUM(W449:W452)</f>
        <v>118.20400000000001</v>
      </c>
      <c r="X453" s="82"/>
      <c r="Y453" s="694"/>
      <c r="Z453" s="709">
        <f t="shared" ref="Z453:BJ453" si="1143">SUM(Z449:Z452)</f>
        <v>120.157</v>
      </c>
      <c r="AA453" s="82">
        <f t="shared" si="1143"/>
        <v>122.03999999999999</v>
      </c>
      <c r="AB453" s="694">
        <f t="shared" si="1143"/>
        <v>122.03999999999999</v>
      </c>
      <c r="AC453" s="709">
        <f t="shared" si="1143"/>
        <v>122.03999999999999</v>
      </c>
      <c r="AD453" s="82">
        <f t="shared" si="1143"/>
        <v>123.94900000000001</v>
      </c>
      <c r="AE453" s="694">
        <f t="shared" si="1143"/>
        <v>123.94900000000001</v>
      </c>
      <c r="AF453" s="709">
        <f t="shared" si="1143"/>
        <v>123.94900000000001</v>
      </c>
      <c r="AG453" s="82">
        <f t="shared" ref="AG453:AH453" si="1144">SUM(AG449:AG452)</f>
        <v>121.95699999999999</v>
      </c>
      <c r="AH453" s="694">
        <f t="shared" si="1144"/>
        <v>121.95699999999999</v>
      </c>
      <c r="AI453" s="709">
        <f t="shared" si="1143"/>
        <v>121.95699999999999</v>
      </c>
      <c r="AJ453" s="82">
        <f t="shared" si="1143"/>
        <v>123.04</v>
      </c>
      <c r="AK453" s="694">
        <f t="shared" ref="AK453" si="1145">SUM(AK449:AK452)</f>
        <v>123.04</v>
      </c>
      <c r="AL453" s="709">
        <f t="shared" si="1143"/>
        <v>123.04</v>
      </c>
      <c r="AM453" s="82">
        <f t="shared" ref="AM453:AO453" si="1146">SUM(AM449:AM452)</f>
        <v>123.065</v>
      </c>
      <c r="AN453" s="694">
        <f t="shared" si="1146"/>
        <v>123.53100000000001</v>
      </c>
      <c r="AO453" s="709">
        <f t="shared" si="1146"/>
        <v>123.53100000000001</v>
      </c>
      <c r="AP453" s="82">
        <f t="shared" ref="AP453:AR453" si="1147">SUM(AP449:AP452)</f>
        <v>123.37100000000001</v>
      </c>
      <c r="AQ453" s="694">
        <f t="shared" si="1147"/>
        <v>122.19800000000001</v>
      </c>
      <c r="AR453" s="709">
        <f t="shared" si="1147"/>
        <v>122.19800000000001</v>
      </c>
      <c r="AS453" s="82">
        <f t="shared" ref="AS453" si="1148">SUM(AS449:AS452)</f>
        <v>121.682</v>
      </c>
      <c r="AT453" s="226">
        <f t="shared" si="1143"/>
        <v>120.667</v>
      </c>
      <c r="AU453" s="555">
        <f t="shared" si="1143"/>
        <v>120.667</v>
      </c>
      <c r="AV453" s="190">
        <f t="shared" si="1143"/>
        <v>120.41199999999999</v>
      </c>
      <c r="AW453" s="241">
        <f t="shared" si="1143"/>
        <v>120.44799999999999</v>
      </c>
      <c r="AX453" s="579">
        <f t="shared" si="1143"/>
        <v>120.44799999999999</v>
      </c>
      <c r="AY453" s="204">
        <f t="shared" si="1143"/>
        <v>119.06299999999999</v>
      </c>
      <c r="AZ453" s="241">
        <f t="shared" si="1143"/>
        <v>119.06299999999999</v>
      </c>
      <c r="BA453" s="579">
        <f t="shared" si="1143"/>
        <v>119.06299999999999</v>
      </c>
      <c r="BB453" s="204">
        <f t="shared" si="1143"/>
        <v>117.678</v>
      </c>
      <c r="BC453" s="241">
        <f t="shared" si="1143"/>
        <v>117.678</v>
      </c>
      <c r="BD453" s="579">
        <f t="shared" si="1143"/>
        <v>117.678</v>
      </c>
      <c r="BE453" s="204">
        <f t="shared" si="1143"/>
        <v>116.29300000000001</v>
      </c>
      <c r="BF453" s="241">
        <f t="shared" si="1143"/>
        <v>116.29300000000001</v>
      </c>
      <c r="BG453" s="579">
        <f t="shared" si="1143"/>
        <v>116.29300000000001</v>
      </c>
      <c r="BH453" s="204">
        <f t="shared" si="1143"/>
        <v>114.908</v>
      </c>
      <c r="BI453" s="241">
        <f t="shared" si="1143"/>
        <v>114.908</v>
      </c>
      <c r="BJ453" s="579">
        <f t="shared" si="1143"/>
        <v>114.908</v>
      </c>
    </row>
    <row r="454" spans="1:62">
      <c r="A454" s="51" t="s">
        <v>268</v>
      </c>
      <c r="B454" s="40">
        <v>17.545000000000002</v>
      </c>
      <c r="C454" s="40">
        <v>20.872499999999999</v>
      </c>
      <c r="D454" s="40">
        <v>23.952500000000001</v>
      </c>
      <c r="E454" s="40">
        <v>26.702500000000001</v>
      </c>
      <c r="F454" s="40">
        <v>29.7</v>
      </c>
      <c r="G454" s="40">
        <v>33.467500000000001</v>
      </c>
      <c r="H454" s="40">
        <v>37.427500000000002</v>
      </c>
      <c r="I454" s="40">
        <v>41.14</v>
      </c>
      <c r="J454" s="40">
        <v>45.375</v>
      </c>
      <c r="K454" s="40">
        <v>49.335000000000001</v>
      </c>
      <c r="L454" s="40">
        <v>53.597499999999997</v>
      </c>
      <c r="M454" s="40">
        <v>58.272500000000001</v>
      </c>
      <c r="N454" s="40">
        <v>0</v>
      </c>
      <c r="O454" s="40">
        <v>0</v>
      </c>
      <c r="P454" s="40">
        <v>0</v>
      </c>
      <c r="Q454" s="40">
        <v>0</v>
      </c>
      <c r="R454" s="40"/>
      <c r="S454" s="630"/>
      <c r="T454" s="653">
        <v>0</v>
      </c>
      <c r="U454" s="40"/>
      <c r="V454" s="630"/>
      <c r="W454" s="653">
        <v>0</v>
      </c>
      <c r="X454" s="40"/>
      <c r="Y454" s="630"/>
      <c r="Z454" s="653">
        <v>0</v>
      </c>
      <c r="AA454" s="40">
        <v>0</v>
      </c>
      <c r="AB454" s="630">
        <v>0</v>
      </c>
      <c r="AC454" s="653">
        <v>0</v>
      </c>
      <c r="AD454" s="40">
        <v>0</v>
      </c>
      <c r="AE454" s="630">
        <v>0</v>
      </c>
      <c r="AF454" s="653">
        <v>0</v>
      </c>
      <c r="AG454" s="40">
        <v>0</v>
      </c>
      <c r="AH454" s="630">
        <v>0</v>
      </c>
      <c r="AI454" s="653">
        <v>0</v>
      </c>
      <c r="AJ454" s="40">
        <v>0</v>
      </c>
      <c r="AK454" s="630">
        <v>0</v>
      </c>
      <c r="AL454" s="653">
        <v>0</v>
      </c>
      <c r="AM454" s="40">
        <v>0</v>
      </c>
      <c r="AN454" s="630">
        <v>0</v>
      </c>
      <c r="AO454" s="653">
        <v>0</v>
      </c>
      <c r="AP454" s="40">
        <v>0</v>
      </c>
      <c r="AQ454" s="630">
        <v>0</v>
      </c>
      <c r="AR454" s="653">
        <v>0</v>
      </c>
      <c r="AS454" s="40">
        <v>0</v>
      </c>
      <c r="AT454" s="216">
        <v>0</v>
      </c>
      <c r="AU454" s="556">
        <v>0</v>
      </c>
      <c r="AV454" s="10">
        <v>0</v>
      </c>
      <c r="AW454" s="236">
        <v>0</v>
      </c>
      <c r="AX454" s="605">
        <v>0</v>
      </c>
      <c r="AY454" s="56">
        <v>0</v>
      </c>
      <c r="AZ454" s="236">
        <v>0</v>
      </c>
      <c r="BA454" s="605">
        <v>0</v>
      </c>
      <c r="BB454" s="56">
        <v>0</v>
      </c>
      <c r="BC454" s="236">
        <v>0</v>
      </c>
      <c r="BD454" s="605">
        <v>0</v>
      </c>
      <c r="BE454" s="56">
        <v>0</v>
      </c>
      <c r="BF454" s="236">
        <v>0</v>
      </c>
      <c r="BG454" s="605">
        <v>0</v>
      </c>
      <c r="BH454" s="56">
        <v>0</v>
      </c>
      <c r="BI454" s="236">
        <v>0</v>
      </c>
      <c r="BJ454" s="605">
        <v>0</v>
      </c>
    </row>
    <row r="455" spans="1:62" ht="10.8" thickBot="1">
      <c r="A455" s="84" t="s">
        <v>266</v>
      </c>
      <c r="B455" s="84">
        <f t="shared" ref="B455:AL455" si="1149">B448+B453+B454</f>
        <v>225.62799999999999</v>
      </c>
      <c r="C455" s="84">
        <f t="shared" si="1149"/>
        <v>245.18449999999999</v>
      </c>
      <c r="D455" s="84">
        <f t="shared" si="1149"/>
        <v>260.21350000000001</v>
      </c>
      <c r="E455" s="84">
        <f t="shared" si="1149"/>
        <v>275.16550000000001</v>
      </c>
      <c r="F455" s="84">
        <f t="shared" si="1149"/>
        <v>287.96899999999999</v>
      </c>
      <c r="G455" s="84">
        <f t="shared" si="1149"/>
        <v>302.16650000000004</v>
      </c>
      <c r="H455" s="84">
        <f t="shared" si="1149"/>
        <v>316.51150000000001</v>
      </c>
      <c r="I455" s="84">
        <f t="shared" si="1149"/>
        <v>329.45299999999997</v>
      </c>
      <c r="J455" s="84">
        <f t="shared" si="1149"/>
        <v>340.83500000000004</v>
      </c>
      <c r="K455" s="84">
        <f t="shared" si="1149"/>
        <v>358.45499999999998</v>
      </c>
      <c r="L455" s="84">
        <f t="shared" si="1149"/>
        <v>372.4855</v>
      </c>
      <c r="M455" s="84">
        <f t="shared" si="1149"/>
        <v>389.58249999999992</v>
      </c>
      <c r="N455" s="84">
        <f t="shared" si="1149"/>
        <v>348.12900000000002</v>
      </c>
      <c r="O455" s="84">
        <f t="shared" si="1149"/>
        <v>364.78800000000001</v>
      </c>
      <c r="P455" s="84">
        <f t="shared" si="1149"/>
        <v>386.69499999999999</v>
      </c>
      <c r="Q455" s="84">
        <f t="shared" si="1149"/>
        <v>404.04600000000005</v>
      </c>
      <c r="R455" s="84"/>
      <c r="S455" s="632"/>
      <c r="T455" s="655">
        <f t="shared" si="1149"/>
        <v>420.29200000000003</v>
      </c>
      <c r="U455" s="84"/>
      <c r="V455" s="632"/>
      <c r="W455" s="655">
        <f>W448+W453+W454</f>
        <v>449.096</v>
      </c>
      <c r="X455" s="84"/>
      <c r="Y455" s="632"/>
      <c r="Z455" s="655">
        <f t="shared" si="1149"/>
        <v>480.17264575645748</v>
      </c>
      <c r="AA455" s="84">
        <f t="shared" si="1149"/>
        <v>506.72271586715863</v>
      </c>
      <c r="AB455" s="632">
        <f t="shared" si="1149"/>
        <v>506.72271586715863</v>
      </c>
      <c r="AC455" s="655">
        <f t="shared" si="1149"/>
        <v>506.72271586715863</v>
      </c>
      <c r="AD455" s="84">
        <f t="shared" si="1149"/>
        <v>512.80205535055347</v>
      </c>
      <c r="AE455" s="632">
        <f t="shared" si="1149"/>
        <v>512.80205535055347</v>
      </c>
      <c r="AF455" s="655">
        <f t="shared" si="1149"/>
        <v>512.80205535055347</v>
      </c>
      <c r="AG455" s="84">
        <f t="shared" ref="AG455:AH455" si="1150">AG448+AG453+AG454</f>
        <v>515.70826937269374</v>
      </c>
      <c r="AH455" s="632">
        <f t="shared" si="1150"/>
        <v>515.70826937269374</v>
      </c>
      <c r="AI455" s="655">
        <f t="shared" si="1149"/>
        <v>515.70826937269374</v>
      </c>
      <c r="AJ455" s="84">
        <f t="shared" si="1149"/>
        <v>529.16632472324727</v>
      </c>
      <c r="AK455" s="632">
        <f t="shared" ref="AK455" si="1151">AK448+AK453+AK454</f>
        <v>529.16632472324727</v>
      </c>
      <c r="AL455" s="655">
        <f t="shared" si="1149"/>
        <v>529.16632472324727</v>
      </c>
      <c r="AM455" s="84">
        <f t="shared" ref="AM455:AO455" si="1152">AM448+AM453+AM454</f>
        <v>531.70185608856093</v>
      </c>
      <c r="AN455" s="632">
        <f t="shared" si="1152"/>
        <v>540.8196494464944</v>
      </c>
      <c r="AO455" s="655">
        <f t="shared" si="1152"/>
        <v>540.8196494464944</v>
      </c>
      <c r="AP455" s="84">
        <f t="shared" ref="AP455:AR455" si="1153">AP448+AP453+AP454</f>
        <v>540.87460147601473</v>
      </c>
      <c r="AQ455" s="632">
        <f t="shared" si="1153"/>
        <v>547.15581549815499</v>
      </c>
      <c r="AR455" s="655">
        <f t="shared" si="1153"/>
        <v>547.15581549815499</v>
      </c>
      <c r="AS455" s="84">
        <f t="shared" ref="AS455" si="1154">AS448+AS453+AS454</f>
        <v>547.63760885608849</v>
      </c>
      <c r="AT455" s="227">
        <f>AT448+AT453+AT454</f>
        <v>554.45608487084871</v>
      </c>
      <c r="AU455" s="1117">
        <f t="shared" ref="AU455:BJ455" si="1155">IFERROR(AU448+AU453+AU454,"na")</f>
        <v>554.45608487084871</v>
      </c>
      <c r="AV455" s="1118">
        <f>IFERROR(AV448+AV453+AV454,"na")</f>
        <v>558.51214022140221</v>
      </c>
      <c r="AW455" s="244">
        <f>AW448+AW453+AW454</f>
        <v>563.24764882459249</v>
      </c>
      <c r="AX455" s="856">
        <f t="shared" si="1155"/>
        <v>563.24764882459249</v>
      </c>
      <c r="AY455" s="982">
        <f>IFERROR(AY448+AY453+AY454,"na")</f>
        <v>576.5131600900304</v>
      </c>
      <c r="AZ455" s="244">
        <f>AZ448+AZ453+AZ454</f>
        <v>576.5131600900304</v>
      </c>
      <c r="BA455" s="856">
        <f t="shared" si="1155"/>
        <v>576.5131600900304</v>
      </c>
      <c r="BB455" s="982">
        <f>IFERROR(BB448+BB453+BB454,"na")</f>
        <v>591.77194473263626</v>
      </c>
      <c r="BC455" s="244">
        <f>BC448+BC453+BC454</f>
        <v>591.77194473263626</v>
      </c>
      <c r="BD455" s="856">
        <f t="shared" si="1155"/>
        <v>591.77194473263626</v>
      </c>
      <c r="BE455" s="982">
        <f>IFERROR(BE448+BE453+BE454,"na")</f>
        <v>608.85690711906682</v>
      </c>
      <c r="BF455" s="244">
        <f>BF448+BF453+BF454</f>
        <v>608.85690711906682</v>
      </c>
      <c r="BG455" s="856">
        <f t="shared" si="1155"/>
        <v>608.85690711906682</v>
      </c>
      <c r="BH455" s="982">
        <f>IFERROR(BH448+BH453+BH454,"na")</f>
        <v>626.17010479961493</v>
      </c>
      <c r="BI455" s="244">
        <f>BI448+BI453+BI454</f>
        <v>626.17010479961493</v>
      </c>
      <c r="BJ455" s="856">
        <f t="shared" si="1155"/>
        <v>626.17010479961493</v>
      </c>
    </row>
    <row r="456" spans="1:62" ht="11.4">
      <c r="R456" s="38"/>
      <c r="S456" s="737"/>
      <c r="T456" s="741"/>
      <c r="U456" s="38"/>
      <c r="V456" s="737"/>
      <c r="W456" s="741"/>
      <c r="X456" s="38"/>
      <c r="Y456" s="737"/>
      <c r="Z456" s="741"/>
      <c r="AA456" s="115"/>
      <c r="AB456" s="877"/>
      <c r="AC456" s="741"/>
      <c r="AD456" s="115"/>
      <c r="AE456" s="877"/>
      <c r="AF456" s="901"/>
      <c r="AG456" s="115"/>
      <c r="AH456" s="877"/>
      <c r="AI456" s="901"/>
      <c r="AJ456" s="115"/>
      <c r="AK456" s="877"/>
      <c r="AL456" s="901"/>
      <c r="AM456" s="115"/>
      <c r="AN456" s="592"/>
      <c r="AO456" s="614"/>
      <c r="AP456" s="983"/>
      <c r="AQ456" s="592"/>
      <c r="AR456" s="614"/>
      <c r="AS456" s="983"/>
      <c r="AT456" s="592"/>
      <c r="AU456" s="614"/>
      <c r="AV456" s="983"/>
      <c r="AW456" s="592"/>
      <c r="AX456" s="614"/>
      <c r="AY456" s="983"/>
      <c r="AZ456" s="592"/>
      <c r="BA456" s="614"/>
      <c r="BB456" s="983"/>
      <c r="BC456" s="592"/>
      <c r="BD456" s="614"/>
      <c r="BE456" s="983"/>
      <c r="BF456" s="592"/>
      <c r="BG456" s="614"/>
      <c r="BH456" s="983"/>
      <c r="BI456" s="592"/>
      <c r="BJ456" s="614"/>
    </row>
    <row r="457" spans="1:62">
      <c r="A457" s="31" t="s">
        <v>614</v>
      </c>
      <c r="B457" s="112">
        <v>0.12272727272727273</v>
      </c>
      <c r="C457" s="112">
        <v>0.19538334707337179</v>
      </c>
      <c r="D457" s="112">
        <v>0.19120696806304438</v>
      </c>
      <c r="E457" s="112">
        <v>0.15233722871452421</v>
      </c>
      <c r="F457" s="112">
        <v>0.12952705581593524</v>
      </c>
      <c r="G457" s="112">
        <v>0.14089347079037801</v>
      </c>
      <c r="H457" s="112">
        <v>0.1271523178807947</v>
      </c>
      <c r="I457" s="112">
        <v>0.12483100495718792</v>
      </c>
      <c r="J457" s="112">
        <v>0.15133115366651098</v>
      </c>
      <c r="K457" s="112">
        <v>0.14207920792079207</v>
      </c>
      <c r="L457" s="112">
        <v>0.13640973630831643</v>
      </c>
      <c r="M457" s="112">
        <v>0.12623891497130935</v>
      </c>
      <c r="N457" s="112">
        <v>0.15</v>
      </c>
      <c r="O457" s="112">
        <f t="shared" ref="O457:AL457" si="1156">1-O409/O384</f>
        <v>0.16909294512877937</v>
      </c>
      <c r="P457" s="112">
        <f t="shared" si="1156"/>
        <v>0.20430733410942958</v>
      </c>
      <c r="Q457" s="112">
        <f t="shared" si="1156"/>
        <v>0.25030902348578488</v>
      </c>
      <c r="R457" s="112"/>
      <c r="S457" s="865"/>
      <c r="T457" s="889">
        <f t="shared" si="1156"/>
        <v>0.19255094869992972</v>
      </c>
      <c r="U457" s="112"/>
      <c r="V457" s="865"/>
      <c r="W457" s="889">
        <f t="shared" si="1156"/>
        <v>0.19188191881918815</v>
      </c>
      <c r="X457" s="112"/>
      <c r="Y457" s="865"/>
      <c r="Z457" s="889">
        <f t="shared" si="1156"/>
        <v>0.14586583463338532</v>
      </c>
      <c r="AA457" s="951">
        <f t="shared" si="1156"/>
        <v>0.10654362416107388</v>
      </c>
      <c r="AB457" s="865">
        <f t="shared" si="1156"/>
        <v>0.13003355704697983</v>
      </c>
      <c r="AC457" s="889">
        <f t="shared" si="1156"/>
        <v>0.13003355704697983</v>
      </c>
      <c r="AD457" s="951">
        <f t="shared" si="1156"/>
        <v>0.40467289719626165</v>
      </c>
      <c r="AE457" s="865">
        <f t="shared" si="1156"/>
        <v>0.38224299065420564</v>
      </c>
      <c r="AF457" s="889">
        <f t="shared" si="1156"/>
        <v>0.38224299065420564</v>
      </c>
      <c r="AG457" s="951">
        <f t="shared" ref="AG457:AH457" si="1157">1-AG409/AG384</f>
        <v>0.3184410646387833</v>
      </c>
      <c r="AH457" s="865">
        <f t="shared" si="1157"/>
        <v>0.29562737642585546</v>
      </c>
      <c r="AI457" s="889">
        <f t="shared" si="1156"/>
        <v>0.29562737642585546</v>
      </c>
      <c r="AJ457" s="951">
        <f t="shared" si="1156"/>
        <v>0.26107899807321777</v>
      </c>
      <c r="AK457" s="865">
        <f t="shared" ref="AK457" si="1158">1-AK409/AK384</f>
        <v>0.26107899807321777</v>
      </c>
      <c r="AL457" s="889">
        <f t="shared" si="1156"/>
        <v>0.26107899807321777</v>
      </c>
      <c r="AM457" s="951">
        <f t="shared" ref="AM457:AR457" si="1159">1-AM409/AM384</f>
        <v>0.21837944664031617</v>
      </c>
      <c r="AN457" s="865">
        <f t="shared" si="1159"/>
        <v>0.19858870967741937</v>
      </c>
      <c r="AO457" s="889">
        <f t="shared" si="1159"/>
        <v>0.19858870967741937</v>
      </c>
      <c r="AP457" s="951">
        <f>1-AP409/AP384</f>
        <v>0.21590909090909094</v>
      </c>
      <c r="AQ457" s="865">
        <f t="shared" si="1159"/>
        <v>0.21789473684210525</v>
      </c>
      <c r="AR457" s="889">
        <f t="shared" si="1159"/>
        <v>0.21789473684210525</v>
      </c>
      <c r="AS457" s="951">
        <f>1-AS409/AS384</f>
        <v>0.20967741935483875</v>
      </c>
      <c r="AT457" s="865">
        <f t="shared" ref="AT457:AU457" si="1160">1-AT409/AT384</f>
        <v>0.2429193899782135</v>
      </c>
      <c r="AU457" s="889">
        <f t="shared" si="1160"/>
        <v>0.2429193899782135</v>
      </c>
      <c r="AV457" s="951">
        <f>1-AV409/AV384</f>
        <v>0.22898230088495575</v>
      </c>
      <c r="AW457" s="803">
        <f>AX457</f>
        <v>0.25</v>
      </c>
      <c r="AX457" s="848">
        <v>0.25</v>
      </c>
      <c r="AY457" s="957">
        <f>BA457</f>
        <v>0.25</v>
      </c>
      <c r="AZ457" s="803">
        <f>BA457</f>
        <v>0.25</v>
      </c>
      <c r="BA457" s="834">
        <f>+AX457</f>
        <v>0.25</v>
      </c>
      <c r="BB457" s="957">
        <f>BD457</f>
        <v>0.25</v>
      </c>
      <c r="BC457" s="803">
        <f>BD457</f>
        <v>0.25</v>
      </c>
      <c r="BD457" s="834">
        <f>+BA457</f>
        <v>0.25</v>
      </c>
      <c r="BE457" s="957">
        <f>BG457</f>
        <v>0.25</v>
      </c>
      <c r="BF457" s="803">
        <f>BG457</f>
        <v>0.25</v>
      </c>
      <c r="BG457" s="834">
        <f>+BD457</f>
        <v>0.25</v>
      </c>
      <c r="BH457" s="957">
        <f>BJ457</f>
        <v>0.25</v>
      </c>
      <c r="BI457" s="803">
        <f>BJ457</f>
        <v>0.25</v>
      </c>
      <c r="BJ457" s="834">
        <f t="shared" ref="BJ457" si="1161">+BG457</f>
        <v>0.25</v>
      </c>
    </row>
    <row r="458" spans="1:62" ht="11.4">
      <c r="B458" s="40"/>
      <c r="C458" s="40"/>
      <c r="D458" s="40"/>
      <c r="E458" s="40"/>
      <c r="F458" s="40"/>
      <c r="G458" s="40"/>
      <c r="H458" s="40"/>
      <c r="I458" s="40"/>
      <c r="J458" s="40"/>
      <c r="K458" s="40"/>
      <c r="L458" s="40"/>
      <c r="M458" s="40"/>
      <c r="N458" s="40"/>
      <c r="O458" s="108"/>
      <c r="P458" s="108"/>
      <c r="Q458" s="108"/>
      <c r="R458" s="108"/>
      <c r="S458" s="676"/>
      <c r="T458" s="679"/>
      <c r="U458" s="108"/>
      <c r="V458" s="676"/>
      <c r="W458" s="679"/>
      <c r="X458" s="108"/>
      <c r="Y458" s="676"/>
      <c r="Z458" s="679"/>
      <c r="AA458" s="108"/>
      <c r="AB458" s="676"/>
      <c r="AC458" s="679"/>
      <c r="AD458" s="108"/>
      <c r="AE458" s="676"/>
      <c r="AF458" s="679"/>
      <c r="AG458" s="108"/>
      <c r="AH458" s="676"/>
      <c r="AI458" s="679"/>
      <c r="AJ458" s="108"/>
      <c r="AK458" s="676"/>
      <c r="AL458" s="679"/>
      <c r="AM458" s="108"/>
      <c r="AN458" s="676"/>
      <c r="AO458" s="679"/>
      <c r="AP458" s="108"/>
      <c r="AQ458" s="688"/>
      <c r="AR458" s="685"/>
      <c r="AS458" s="19"/>
      <c r="AT458" s="688"/>
      <c r="AU458" s="685"/>
      <c r="AV458" s="19"/>
      <c r="AW458" s="688"/>
      <c r="AX458" s="685"/>
      <c r="AY458" s="19"/>
      <c r="AZ458" s="688"/>
      <c r="BA458" s="685"/>
      <c r="BB458" s="19"/>
      <c r="BC458" s="688"/>
      <c r="BD458" s="685"/>
      <c r="BE458" s="19"/>
      <c r="BF458" s="688"/>
      <c r="BG458" s="685"/>
      <c r="BH458" s="19"/>
      <c r="BI458" s="688"/>
      <c r="BJ458" s="685"/>
    </row>
    <row r="459" spans="1:62">
      <c r="A459" s="31" t="s">
        <v>680</v>
      </c>
      <c r="B459" s="40"/>
      <c r="C459" s="112">
        <f t="shared" ref="C459:AC459" si="1162">1-SUM(C484:C491)/SUM(C439:C446)</f>
        <v>0</v>
      </c>
      <c r="D459" s="112">
        <f t="shared" si="1162"/>
        <v>3.3894338877573649E-3</v>
      </c>
      <c r="E459" s="112">
        <f t="shared" si="1162"/>
        <v>0</v>
      </c>
      <c r="F459" s="112">
        <f t="shared" si="1162"/>
        <v>5.712844254510796E-3</v>
      </c>
      <c r="G459" s="112">
        <f t="shared" si="1162"/>
        <v>3.999771441631772E-3</v>
      </c>
      <c r="H459" s="112">
        <f t="shared" si="1162"/>
        <v>3.2624624624625342E-3</v>
      </c>
      <c r="I459" s="112">
        <f t="shared" si="1162"/>
        <v>2.5360910190078689E-3</v>
      </c>
      <c r="J459" s="112">
        <f t="shared" si="1162"/>
        <v>9.9817197079784536E-3</v>
      </c>
      <c r="K459" s="112">
        <f t="shared" si="1162"/>
        <v>2.333258825690232E-2</v>
      </c>
      <c r="L459" s="112">
        <f t="shared" si="1162"/>
        <v>3.2840612324199214E-2</v>
      </c>
      <c r="M459" s="112">
        <f t="shared" si="1162"/>
        <v>3.777998819610362E-2</v>
      </c>
      <c r="N459" s="112">
        <f t="shared" si="1162"/>
        <v>3.829235082760496E-2</v>
      </c>
      <c r="O459" s="112">
        <f t="shared" si="1162"/>
        <v>4.8944240022643748E-2</v>
      </c>
      <c r="P459" s="112">
        <f t="shared" si="1162"/>
        <v>6.5046823588964742E-2</v>
      </c>
      <c r="Q459" s="112">
        <f t="shared" si="1162"/>
        <v>9.668403468668163E-2</v>
      </c>
      <c r="R459" s="112"/>
      <c r="S459" s="865"/>
      <c r="T459" s="889">
        <f t="shared" si="1162"/>
        <v>9.3193524957631668E-2</v>
      </c>
      <c r="U459" s="112"/>
      <c r="V459" s="865"/>
      <c r="W459" s="889">
        <f t="shared" si="1162"/>
        <v>9.7102717778305148E-2</v>
      </c>
      <c r="X459" s="112"/>
      <c r="Y459" s="865"/>
      <c r="Z459" s="889">
        <f t="shared" si="1162"/>
        <v>9.748523452604807E-2</v>
      </c>
      <c r="AA459" s="951">
        <f t="shared" ref="AA459:AB459" si="1163">1-(AA418/AA393)</f>
        <v>0.14311270125223619</v>
      </c>
      <c r="AB459" s="865">
        <f t="shared" si="1163"/>
        <v>0.10733452593917714</v>
      </c>
      <c r="AC459" s="889">
        <f t="shared" si="1162"/>
        <v>0.1012479140970759</v>
      </c>
      <c r="AD459" s="951">
        <f t="shared" ref="AD459:AE459" si="1164">1-(AD418/AD393)</f>
        <v>0.50656167979002631</v>
      </c>
      <c r="AE459" s="865">
        <f t="shared" si="1164"/>
        <v>0.42913385826771655</v>
      </c>
      <c r="AF459" s="889">
        <f t="shared" ref="AF459:BJ459" si="1165">1-(AF418/AF393)</f>
        <v>0.42913385826771655</v>
      </c>
      <c r="AG459" s="951">
        <f t="shared" ref="AG459:AH459" si="1166">1-(AG418/AG393)</f>
        <v>0.40482342807924199</v>
      </c>
      <c r="AH459" s="865">
        <f t="shared" si="1166"/>
        <v>0.33677863910422046</v>
      </c>
      <c r="AI459" s="889">
        <f t="shared" si="1165"/>
        <v>0.33677863910422046</v>
      </c>
      <c r="AJ459" s="951">
        <f t="shared" si="1165"/>
        <v>0.31736776343190343</v>
      </c>
      <c r="AK459" s="865">
        <f t="shared" ref="AK459" si="1167">1-(AK418/AK393)</f>
        <v>0.28946272386505623</v>
      </c>
      <c r="AL459" s="889">
        <f t="shared" si="1165"/>
        <v>0.28946272386505623</v>
      </c>
      <c r="AM459" s="951">
        <f t="shared" ref="AM459:AO459" si="1168">1-(AM418/AM393)</f>
        <v>0.21381306865177829</v>
      </c>
      <c r="AN459" s="865">
        <f t="shared" si="1168"/>
        <v>0.17803794913201454</v>
      </c>
      <c r="AO459" s="889">
        <f t="shared" si="1168"/>
        <v>0.17803794913201454</v>
      </c>
      <c r="AP459" s="951">
        <f t="shared" ref="AP459:AR459" si="1169">1-(AP418/AP393)</f>
        <v>0.14671503426037891</v>
      </c>
      <c r="AQ459" s="865">
        <f t="shared" si="1169"/>
        <v>0.13902053712480256</v>
      </c>
      <c r="AR459" s="889">
        <f t="shared" si="1169"/>
        <v>0.13902053712480256</v>
      </c>
      <c r="AS459" s="951">
        <f t="shared" ref="AS459:AU459" si="1170">1-(AS418/AS393)</f>
        <v>0.1168371361132966</v>
      </c>
      <c r="AT459" s="865">
        <f t="shared" si="1170"/>
        <v>0.10686728395061729</v>
      </c>
      <c r="AU459" s="889">
        <f t="shared" si="1170"/>
        <v>0.10686728395061729</v>
      </c>
      <c r="AV459" s="951">
        <f t="shared" ref="AV459" si="1171">1-(AV418/AV393)</f>
        <v>0.10835558946966806</v>
      </c>
      <c r="AW459" s="803">
        <f t="shared" si="1165"/>
        <v>0.10252178596050143</v>
      </c>
      <c r="AX459" s="834">
        <f t="shared" si="1165"/>
        <v>0.10252178596050143</v>
      </c>
      <c r="AY459" s="957">
        <f t="shared" si="1165"/>
        <v>9.5087676517302211E-2</v>
      </c>
      <c r="AZ459" s="803">
        <f t="shared" si="1165"/>
        <v>9.5087676517302211E-2</v>
      </c>
      <c r="BA459" s="834">
        <f t="shared" si="1165"/>
        <v>9.5087676517302211E-2</v>
      </c>
      <c r="BB459" s="957">
        <f t="shared" si="1165"/>
        <v>8.7822729532173627E-2</v>
      </c>
      <c r="BC459" s="803">
        <f t="shared" si="1165"/>
        <v>8.7822729532173627E-2</v>
      </c>
      <c r="BD459" s="834">
        <f t="shared" si="1165"/>
        <v>8.7822729532173627E-2</v>
      </c>
      <c r="BE459" s="957">
        <f t="shared" si="1165"/>
        <v>8.0823609668088214E-2</v>
      </c>
      <c r="BF459" s="803">
        <f t="shared" si="1165"/>
        <v>8.0823609668088214E-2</v>
      </c>
      <c r="BG459" s="834">
        <f t="shared" si="1165"/>
        <v>8.0823609668088214E-2</v>
      </c>
      <c r="BH459" s="957">
        <f t="shared" si="1165"/>
        <v>7.4343992299714334E-2</v>
      </c>
      <c r="BI459" s="803">
        <f t="shared" si="1165"/>
        <v>7.4343992299714334E-2</v>
      </c>
      <c r="BJ459" s="834">
        <f t="shared" si="1165"/>
        <v>7.4343992299714334E-2</v>
      </c>
    </row>
    <row r="460" spans="1:62">
      <c r="A460" s="25" t="s">
        <v>254</v>
      </c>
      <c r="B460" s="40"/>
      <c r="C460" s="50">
        <v>0</v>
      </c>
      <c r="D460" s="50">
        <v>0</v>
      </c>
      <c r="E460" s="50">
        <v>0</v>
      </c>
      <c r="F460" s="50">
        <v>3.125E-2</v>
      </c>
      <c r="G460" s="50">
        <v>1.8181818181818181E-2</v>
      </c>
      <c r="H460" s="50">
        <v>1.3333333333333334E-2</v>
      </c>
      <c r="I460" s="50">
        <v>1.0309278350515464E-2</v>
      </c>
      <c r="J460" s="50">
        <v>9.5238095238095247E-3</v>
      </c>
      <c r="K460" s="50">
        <v>7.6923076923076927E-2</v>
      </c>
      <c r="L460" s="50">
        <v>7.874015748031496E-2</v>
      </c>
      <c r="M460" s="50">
        <v>5.3435114503816793E-2</v>
      </c>
      <c r="N460" s="50">
        <v>7.6335877862595422E-2</v>
      </c>
      <c r="O460" s="50">
        <f>1-O410/O385</f>
        <v>0.15384615384615385</v>
      </c>
      <c r="P460" s="50">
        <f>1-P410/P385</f>
        <v>0.24806201550387597</v>
      </c>
      <c r="Q460" s="50">
        <f>1-Q410/Q385</f>
        <v>0.29600000000000004</v>
      </c>
      <c r="R460" s="50"/>
      <c r="S460" s="647"/>
      <c r="T460" s="671">
        <f>1-T410/T385</f>
        <v>0.31147540983606559</v>
      </c>
      <c r="U460" s="50"/>
      <c r="V460" s="647"/>
      <c r="W460" s="671">
        <f>1-W410/W385</f>
        <v>0.41666666666666663</v>
      </c>
      <c r="X460" s="50"/>
      <c r="Y460" s="647"/>
      <c r="Z460" s="671">
        <f t="shared" ref="Z460:AJ460" si="1172">1-Z410/Z385</f>
        <v>0.39830508474576276</v>
      </c>
      <c r="AA460" s="952">
        <f t="shared" si="1172"/>
        <v>0.42990654205607481</v>
      </c>
      <c r="AB460" s="647">
        <f t="shared" si="1172"/>
        <v>0.43925233644859818</v>
      </c>
      <c r="AC460" s="671">
        <f t="shared" si="1172"/>
        <v>0.43925233644859818</v>
      </c>
      <c r="AD460" s="952">
        <f t="shared" si="1172"/>
        <v>0.73333333333333339</v>
      </c>
      <c r="AE460" s="647">
        <f t="shared" si="1172"/>
        <v>0.81111111111111112</v>
      </c>
      <c r="AF460" s="671">
        <f t="shared" si="1172"/>
        <v>0.81111111111111112</v>
      </c>
      <c r="AG460" s="952">
        <f t="shared" si="1172"/>
        <v>0.75280898876404501</v>
      </c>
      <c r="AH460" s="647">
        <f t="shared" si="1172"/>
        <v>0.7415730337078652</v>
      </c>
      <c r="AI460" s="671">
        <f t="shared" si="1172"/>
        <v>0.7415730337078652</v>
      </c>
      <c r="AJ460" s="952">
        <f t="shared" si="1172"/>
        <v>0.69662921348314599</v>
      </c>
      <c r="AK460" s="647">
        <f t="shared" ref="AK460" si="1173">1-AK410/AK385</f>
        <v>0.7752808988764045</v>
      </c>
      <c r="AL460" s="671">
        <f t="shared" ref="AL460:AR460" si="1174">1-AL410/AL385</f>
        <v>0.7752808988764045</v>
      </c>
      <c r="AM460" s="952">
        <f t="shared" si="1174"/>
        <v>0.70370370370370372</v>
      </c>
      <c r="AN460" s="647">
        <f t="shared" si="1174"/>
        <v>0.67500000000000004</v>
      </c>
      <c r="AO460" s="671">
        <f t="shared" si="1174"/>
        <v>0.67500000000000004</v>
      </c>
      <c r="AP460" s="952">
        <f t="shared" si="1174"/>
        <v>0.62337662337662336</v>
      </c>
      <c r="AQ460" s="647">
        <f t="shared" si="1174"/>
        <v>0.61538461538461542</v>
      </c>
      <c r="AR460" s="671">
        <f t="shared" si="1174"/>
        <v>0.61538461538461542</v>
      </c>
      <c r="AS460" s="952">
        <f t="shared" ref="AS460:AU460" si="1175">1-AS410/AS385</f>
        <v>0.66233766233766234</v>
      </c>
      <c r="AT460" s="647">
        <f t="shared" si="1175"/>
        <v>0.64864864864864868</v>
      </c>
      <c r="AU460" s="671">
        <f t="shared" si="1175"/>
        <v>0.64864864864864868</v>
      </c>
      <c r="AV460" s="952">
        <f t="shared" ref="AV460" si="1176">1-AV410/AV385</f>
        <v>0.76388888888888884</v>
      </c>
      <c r="AW460" s="252">
        <f t="shared" ref="AW460:AW467" si="1177">AX460</f>
        <v>0.75</v>
      </c>
      <c r="AX460" s="618">
        <v>0.75</v>
      </c>
      <c r="AY460" s="251">
        <f>BA460</f>
        <v>0.75</v>
      </c>
      <c r="AZ460" s="252">
        <f t="shared" ref="AZ460:AZ467" si="1178">BA460</f>
        <v>0.75</v>
      </c>
      <c r="BA460" s="577">
        <f>+AX460</f>
        <v>0.75</v>
      </c>
      <c r="BB460" s="251">
        <f>BD460</f>
        <v>0.75</v>
      </c>
      <c r="BC460" s="252">
        <f t="shared" ref="BC460:BC467" si="1179">BD460</f>
        <v>0.75</v>
      </c>
      <c r="BD460" s="577">
        <f>+BA460</f>
        <v>0.75</v>
      </c>
      <c r="BE460" s="251">
        <f>BG460</f>
        <v>0.75</v>
      </c>
      <c r="BF460" s="252">
        <f t="shared" ref="BF460:BF467" si="1180">BG460</f>
        <v>0.75</v>
      </c>
      <c r="BG460" s="577">
        <f>+BD460</f>
        <v>0.75</v>
      </c>
      <c r="BH460" s="251">
        <f>BJ460</f>
        <v>0.75</v>
      </c>
      <c r="BI460" s="252">
        <f t="shared" ref="BI460:BI467" si="1181">BJ460</f>
        <v>0.75</v>
      </c>
      <c r="BJ460" s="577">
        <f t="shared" ref="BJ460" si="1182">+BG460</f>
        <v>0.75</v>
      </c>
    </row>
    <row r="461" spans="1:62">
      <c r="A461" s="25" t="s">
        <v>255</v>
      </c>
      <c r="B461" s="40"/>
      <c r="C461" s="50">
        <v>0</v>
      </c>
      <c r="D461" s="50">
        <v>1.1235955056179775E-2</v>
      </c>
      <c r="E461" s="50">
        <v>0</v>
      </c>
      <c r="F461" s="50">
        <v>0</v>
      </c>
      <c r="G461" s="50">
        <v>0</v>
      </c>
      <c r="H461" s="50">
        <v>0</v>
      </c>
      <c r="I461" s="50">
        <v>0</v>
      </c>
      <c r="J461" s="50">
        <v>4.7169811320754715E-3</v>
      </c>
      <c r="K461" s="50">
        <v>4.048582995951417E-3</v>
      </c>
      <c r="L461" s="50">
        <v>2.6402640264026403E-2</v>
      </c>
      <c r="M461" s="50">
        <v>4.1322314049586778E-2</v>
      </c>
      <c r="N461" s="50">
        <v>2.8571428571428571E-2</v>
      </c>
      <c r="O461" s="50">
        <f t="shared" ref="O461:AL461" si="1183">1-O411/O386</f>
        <v>2.6223776223776252E-2</v>
      </c>
      <c r="P461" s="50">
        <f t="shared" si="1183"/>
        <v>1.5290519877675823E-2</v>
      </c>
      <c r="Q461" s="50">
        <f t="shared" si="1183"/>
        <v>3.878116343490301E-2</v>
      </c>
      <c r="R461" s="50"/>
      <c r="S461" s="647"/>
      <c r="T461" s="671">
        <f t="shared" si="1183"/>
        <v>5.0715214564369338E-2</v>
      </c>
      <c r="U461" s="50"/>
      <c r="V461" s="647"/>
      <c r="W461" s="671">
        <f t="shared" si="1183"/>
        <v>3.402187120291611E-2</v>
      </c>
      <c r="X461" s="50"/>
      <c r="Y461" s="647"/>
      <c r="Z461" s="671">
        <f t="shared" si="1183"/>
        <v>5.5427251732101612E-2</v>
      </c>
      <c r="AA461" s="952">
        <f t="shared" ref="AA461:AB461" si="1184">1-AA411/AA386</f>
        <v>4.398148148148151E-2</v>
      </c>
      <c r="AB461" s="647">
        <f t="shared" si="1184"/>
        <v>7.060185185185186E-2</v>
      </c>
      <c r="AC461" s="671">
        <f t="shared" si="1183"/>
        <v>7.060185185185186E-2</v>
      </c>
      <c r="AD461" s="952">
        <f t="shared" ref="AD461:AE461" si="1185">1-AD411/AD386</f>
        <v>0.42624854819976776</v>
      </c>
      <c r="AE461" s="647">
        <f t="shared" si="1185"/>
        <v>0.38792102206736356</v>
      </c>
      <c r="AF461" s="671">
        <f t="shared" si="1183"/>
        <v>0.38792102206736356</v>
      </c>
      <c r="AG461" s="952">
        <f t="shared" si="1183"/>
        <v>0.38882421420256108</v>
      </c>
      <c r="AH461" s="647">
        <f t="shared" ref="AH461:AH467" si="1186">1-AH411/AH386</f>
        <v>0.3329452852153667</v>
      </c>
      <c r="AI461" s="671">
        <f t="shared" si="1183"/>
        <v>0.3329452852153667</v>
      </c>
      <c r="AJ461" s="952">
        <f t="shared" ref="AJ461:AJ467" si="1187">1-AJ411/AJ386</f>
        <v>0.3220930232558139</v>
      </c>
      <c r="AK461" s="647">
        <f t="shared" ref="AK461" si="1188">1-AK411/AK386</f>
        <v>0.31511627906976747</v>
      </c>
      <c r="AL461" s="671">
        <f t="shared" si="1183"/>
        <v>0.31511627906976747</v>
      </c>
      <c r="AM461" s="952">
        <f t="shared" ref="AM461" si="1189">1-AM411/AM386</f>
        <v>0.22599531615925061</v>
      </c>
      <c r="AN461" s="647">
        <f t="shared" ref="AN461:AP467" si="1190">1-AN411/AN386</f>
        <v>0.19008264462809921</v>
      </c>
      <c r="AO461" s="671">
        <f t="shared" si="1190"/>
        <v>0.19008264462809921</v>
      </c>
      <c r="AP461" s="952">
        <f>1-AP411/AP386</f>
        <v>0.14702308626974481</v>
      </c>
      <c r="AQ461" s="647">
        <f t="shared" ref="AQ461:AR461" si="1191">1-AQ411/AQ386</f>
        <v>0.13990267639902676</v>
      </c>
      <c r="AR461" s="671">
        <f t="shared" si="1191"/>
        <v>0.13990267639902676</v>
      </c>
      <c r="AS461" s="952">
        <f>1-AS411/AS386</f>
        <v>0.12239902080783349</v>
      </c>
      <c r="AT461" s="647">
        <f t="shared" ref="AT461:AU461" si="1192">1-AT411/AT386</f>
        <v>0.10526315789473684</v>
      </c>
      <c r="AU461" s="671">
        <f t="shared" si="1192"/>
        <v>0.10526315789473684</v>
      </c>
      <c r="AV461" s="952">
        <f>1-AV411/AV386</f>
        <v>0.1128834355828221</v>
      </c>
      <c r="AW461" s="252">
        <f t="shared" si="1177"/>
        <v>0.1</v>
      </c>
      <c r="AX461" s="618">
        <v>0.1</v>
      </c>
      <c r="AY461" s="251">
        <f>BA461</f>
        <v>0.1</v>
      </c>
      <c r="AZ461" s="252">
        <f t="shared" si="1178"/>
        <v>0.1</v>
      </c>
      <c r="BA461" s="577">
        <f>+AX461</f>
        <v>0.1</v>
      </c>
      <c r="BB461" s="251">
        <f>BD461</f>
        <v>0.1</v>
      </c>
      <c r="BC461" s="252">
        <f t="shared" si="1179"/>
        <v>0.1</v>
      </c>
      <c r="BD461" s="577">
        <f>+BA461</f>
        <v>0.1</v>
      </c>
      <c r="BE461" s="251">
        <f>BG461</f>
        <v>0.1</v>
      </c>
      <c r="BF461" s="252">
        <f t="shared" si="1180"/>
        <v>0.1</v>
      </c>
      <c r="BG461" s="577">
        <f>+BD461</f>
        <v>0.1</v>
      </c>
      <c r="BH461" s="251">
        <f>BJ461</f>
        <v>0.1</v>
      </c>
      <c r="BI461" s="252">
        <f t="shared" si="1181"/>
        <v>0.1</v>
      </c>
      <c r="BJ461" s="577">
        <f t="shared" ref="BJ461" si="1193">+BG461</f>
        <v>0.1</v>
      </c>
    </row>
    <row r="462" spans="1:62">
      <c r="A462" s="25" t="s">
        <v>256</v>
      </c>
      <c r="B462" s="40"/>
      <c r="C462" s="50">
        <v>0</v>
      </c>
      <c r="D462" s="50">
        <v>0</v>
      </c>
      <c r="E462" s="50">
        <v>0</v>
      </c>
      <c r="F462" s="50">
        <v>0</v>
      </c>
      <c r="G462" s="50">
        <v>0</v>
      </c>
      <c r="H462" s="50">
        <v>0</v>
      </c>
      <c r="I462" s="50">
        <v>0</v>
      </c>
      <c r="J462" s="50">
        <v>0</v>
      </c>
      <c r="K462" s="50">
        <v>0</v>
      </c>
      <c r="L462" s="50">
        <v>4.4444444444444444E-3</v>
      </c>
      <c r="M462" s="50">
        <v>0</v>
      </c>
      <c r="N462" s="50">
        <v>1.3333333333333334E-2</v>
      </c>
      <c r="O462" s="50">
        <f t="shared" ref="O462:AL462" si="1194">1-O412/O387</f>
        <v>1.8018018018018056E-2</v>
      </c>
      <c r="P462" s="50">
        <f t="shared" si="1194"/>
        <v>3.2110091743119296E-2</v>
      </c>
      <c r="Q462" s="50">
        <f t="shared" si="1194"/>
        <v>0.15420560747663548</v>
      </c>
      <c r="R462" s="50"/>
      <c r="S462" s="647"/>
      <c r="T462" s="671">
        <f t="shared" si="1194"/>
        <v>0.16190476190476188</v>
      </c>
      <c r="U462" s="50"/>
      <c r="V462" s="647"/>
      <c r="W462" s="671">
        <f t="shared" si="1194"/>
        <v>0.19902912621359226</v>
      </c>
      <c r="X462" s="50"/>
      <c r="Y462" s="647"/>
      <c r="Z462" s="671">
        <f t="shared" si="1194"/>
        <v>0.15656565656565657</v>
      </c>
      <c r="AA462" s="952">
        <f t="shared" ref="AA462:AB462" si="1195">1-AA412/AA387</f>
        <v>0.13829787234042556</v>
      </c>
      <c r="AB462" s="647">
        <f t="shared" si="1195"/>
        <v>0.14893617021276595</v>
      </c>
      <c r="AC462" s="671">
        <f t="shared" si="1194"/>
        <v>0.14893617021276595</v>
      </c>
      <c r="AD462" s="952">
        <f t="shared" ref="AD462:AE462" si="1196">1-AD412/AD387</f>
        <v>0.74193548387096775</v>
      </c>
      <c r="AE462" s="647">
        <f t="shared" si="1196"/>
        <v>0.63978494623655913</v>
      </c>
      <c r="AF462" s="671">
        <f t="shared" si="1194"/>
        <v>0.63978494623655913</v>
      </c>
      <c r="AG462" s="952">
        <f t="shared" si="1194"/>
        <v>0.56756756756756754</v>
      </c>
      <c r="AH462" s="647">
        <f t="shared" si="1186"/>
        <v>0.5243243243243243</v>
      </c>
      <c r="AI462" s="671">
        <f t="shared" si="1194"/>
        <v>0.5243243243243243</v>
      </c>
      <c r="AJ462" s="952">
        <f t="shared" si="1187"/>
        <v>0.5</v>
      </c>
      <c r="AK462" s="647">
        <f t="shared" ref="AK462" si="1197">1-AK412/AK387</f>
        <v>0.5</v>
      </c>
      <c r="AL462" s="671">
        <f t="shared" si="1194"/>
        <v>0.5</v>
      </c>
      <c r="AM462" s="952">
        <f t="shared" ref="AM462" si="1198">1-AM412/AM387</f>
        <v>0.45652173913043481</v>
      </c>
      <c r="AN462" s="647">
        <f t="shared" si="1190"/>
        <v>0.37430167597765363</v>
      </c>
      <c r="AO462" s="671">
        <f t="shared" si="1190"/>
        <v>0.37430167597765363</v>
      </c>
      <c r="AP462" s="952">
        <f t="shared" si="1190"/>
        <v>0.35028248587570621</v>
      </c>
      <c r="AQ462" s="647">
        <f t="shared" ref="AQ462:AS462" si="1199">1-AQ412/AQ387</f>
        <v>0.36931818181818177</v>
      </c>
      <c r="AR462" s="671">
        <f t="shared" si="1199"/>
        <v>0.36931818181818177</v>
      </c>
      <c r="AS462" s="952">
        <f t="shared" si="1199"/>
        <v>0.31360946745562135</v>
      </c>
      <c r="AT462" s="647">
        <f t="shared" ref="AT462:AV462" si="1200">1-AT412/AT387</f>
        <v>0.27439024390243905</v>
      </c>
      <c r="AU462" s="671">
        <f t="shared" si="1200"/>
        <v>0.27439024390243905</v>
      </c>
      <c r="AV462" s="952">
        <f t="shared" si="1200"/>
        <v>0.29447852760736193</v>
      </c>
      <c r="AW462" s="252">
        <f t="shared" si="1177"/>
        <v>0.25</v>
      </c>
      <c r="AX462" s="618">
        <v>0.25</v>
      </c>
      <c r="AY462" s="957">
        <f t="shared" ref="AY462:AY464" si="1201">BA462</f>
        <v>0.25</v>
      </c>
      <c r="AZ462" s="252">
        <f t="shared" si="1178"/>
        <v>0.25</v>
      </c>
      <c r="BA462" s="577">
        <f>AX462</f>
        <v>0.25</v>
      </c>
      <c r="BB462" s="957">
        <f t="shared" ref="BB462:BB464" si="1202">BD462</f>
        <v>0.25</v>
      </c>
      <c r="BC462" s="252">
        <f t="shared" si="1179"/>
        <v>0.25</v>
      </c>
      <c r="BD462" s="577">
        <f>BA462</f>
        <v>0.25</v>
      </c>
      <c r="BE462" s="957">
        <f t="shared" ref="BE462:BE464" si="1203">BG462</f>
        <v>0.25</v>
      </c>
      <c r="BF462" s="252">
        <f t="shared" si="1180"/>
        <v>0.25</v>
      </c>
      <c r="BG462" s="577">
        <f>BD462</f>
        <v>0.25</v>
      </c>
      <c r="BH462" s="957">
        <f t="shared" ref="BH462:BH464" si="1204">BJ462</f>
        <v>0.25</v>
      </c>
      <c r="BI462" s="252">
        <f t="shared" si="1181"/>
        <v>0.25</v>
      </c>
      <c r="BJ462" s="577">
        <f>BG462</f>
        <v>0.25</v>
      </c>
    </row>
    <row r="463" spans="1:62">
      <c r="A463" s="25" t="s">
        <v>257</v>
      </c>
      <c r="B463" s="40"/>
      <c r="C463" s="50">
        <v>0</v>
      </c>
      <c r="D463" s="50">
        <v>0</v>
      </c>
      <c r="E463" s="50">
        <v>0</v>
      </c>
      <c r="F463" s="50">
        <v>0</v>
      </c>
      <c r="G463" s="50">
        <v>0</v>
      </c>
      <c r="H463" s="50">
        <v>0</v>
      </c>
      <c r="I463" s="50">
        <v>0</v>
      </c>
      <c r="J463" s="50">
        <v>0.25</v>
      </c>
      <c r="K463" s="50">
        <v>8.3333333333333329E-2</v>
      </c>
      <c r="L463" s="50">
        <v>5.8823529411764705E-2</v>
      </c>
      <c r="M463" s="50">
        <v>0.125</v>
      </c>
      <c r="N463" s="50">
        <v>5.2631578947368418E-2</v>
      </c>
      <c r="O463" s="50">
        <f t="shared" ref="O463:AL463" si="1205">1-O413/O388</f>
        <v>3.1746031746031744E-2</v>
      </c>
      <c r="P463" s="50">
        <f t="shared" si="1205"/>
        <v>5.4054054054054057E-2</v>
      </c>
      <c r="Q463" s="50">
        <f t="shared" si="1205"/>
        <v>5.0000000000000044E-2</v>
      </c>
      <c r="R463" s="50"/>
      <c r="S463" s="647"/>
      <c r="T463" s="671">
        <f t="shared" si="1205"/>
        <v>2.352941176470591E-2</v>
      </c>
      <c r="U463" s="50"/>
      <c r="V463" s="647"/>
      <c r="W463" s="671">
        <f t="shared" si="1205"/>
        <v>4.2553191489361653E-2</v>
      </c>
      <c r="X463" s="50"/>
      <c r="Y463" s="647"/>
      <c r="Z463" s="671">
        <f t="shared" si="1205"/>
        <v>2.9126213592232997E-2</v>
      </c>
      <c r="AA463" s="952">
        <f t="shared" ref="AA463:AB463" si="1206">1-AA413/AA388</f>
        <v>6.3063063063063085E-2</v>
      </c>
      <c r="AB463" s="647">
        <f t="shared" si="1206"/>
        <v>3.6036036036036001E-2</v>
      </c>
      <c r="AC463" s="671">
        <f t="shared" si="1205"/>
        <v>3.6036036036036001E-2</v>
      </c>
      <c r="AD463" s="952">
        <f t="shared" ref="AD463:AE463" si="1207">1-AD413/AD388</f>
        <v>0.94690265486725667</v>
      </c>
      <c r="AE463" s="647">
        <f t="shared" si="1207"/>
        <v>0.84955752212389379</v>
      </c>
      <c r="AF463" s="671">
        <f t="shared" si="1205"/>
        <v>0.84955752212389379</v>
      </c>
      <c r="AG463" s="952">
        <f t="shared" si="1205"/>
        <v>0.80172413793103448</v>
      </c>
      <c r="AH463" s="647">
        <f t="shared" si="1186"/>
        <v>0.63793103448275867</v>
      </c>
      <c r="AI463" s="671">
        <f t="shared" si="1205"/>
        <v>0.63793103448275867</v>
      </c>
      <c r="AJ463" s="952">
        <f t="shared" si="1187"/>
        <v>0.5089285714285714</v>
      </c>
      <c r="AK463" s="647">
        <f t="shared" ref="AK463" si="1208">1-AK413/AK388</f>
        <v>0.4375</v>
      </c>
      <c r="AL463" s="671">
        <f t="shared" si="1205"/>
        <v>0.4375</v>
      </c>
      <c r="AM463" s="952">
        <f t="shared" ref="AM463" si="1209">1-AM413/AM388</f>
        <v>0.375</v>
      </c>
      <c r="AN463" s="647">
        <f t="shared" si="1190"/>
        <v>0.31818181818181823</v>
      </c>
      <c r="AO463" s="671">
        <f t="shared" si="1190"/>
        <v>0.31818181818181823</v>
      </c>
      <c r="AP463" s="952">
        <f t="shared" si="1190"/>
        <v>0.29629629629629628</v>
      </c>
      <c r="AQ463" s="647">
        <f t="shared" ref="AQ463:AS463" si="1210">1-AQ413/AQ388</f>
        <v>0.25233644859813087</v>
      </c>
      <c r="AR463" s="671">
        <f t="shared" si="1210"/>
        <v>0.25233644859813087</v>
      </c>
      <c r="AS463" s="952">
        <f t="shared" si="1210"/>
        <v>0.18999999999999995</v>
      </c>
      <c r="AT463" s="647">
        <f t="shared" ref="AT463:AV463" si="1211">1-AT413/AT388</f>
        <v>0.16494845360824739</v>
      </c>
      <c r="AU463" s="671">
        <f t="shared" si="1211"/>
        <v>0.16494845360824739</v>
      </c>
      <c r="AV463" s="952">
        <f t="shared" si="1211"/>
        <v>0.15789473684210531</v>
      </c>
      <c r="AW463" s="252">
        <f t="shared" si="1177"/>
        <v>0.1</v>
      </c>
      <c r="AX463" s="618">
        <v>0.1</v>
      </c>
      <c r="AY463" s="957">
        <f t="shared" si="1201"/>
        <v>0.1</v>
      </c>
      <c r="AZ463" s="252">
        <f t="shared" si="1178"/>
        <v>0.1</v>
      </c>
      <c r="BA463" s="577">
        <f>AX463</f>
        <v>0.1</v>
      </c>
      <c r="BB463" s="957">
        <f t="shared" ref="BB463" si="1212">BD463</f>
        <v>0.1</v>
      </c>
      <c r="BC463" s="252">
        <f t="shared" ref="BC463" si="1213">BD463</f>
        <v>0.1</v>
      </c>
      <c r="BD463" s="577">
        <f>BA463</f>
        <v>0.1</v>
      </c>
      <c r="BE463" s="957">
        <f t="shared" ref="BE463" si="1214">BG463</f>
        <v>0.1</v>
      </c>
      <c r="BF463" s="252">
        <f t="shared" ref="BF463" si="1215">BG463</f>
        <v>0.1</v>
      </c>
      <c r="BG463" s="577">
        <f>BD463</f>
        <v>0.1</v>
      </c>
      <c r="BH463" s="957">
        <f t="shared" ref="BH463" si="1216">BJ463</f>
        <v>0.1</v>
      </c>
      <c r="BI463" s="252">
        <f t="shared" ref="BI463" si="1217">BJ463</f>
        <v>0.1</v>
      </c>
      <c r="BJ463" s="577">
        <f>BG463</f>
        <v>0.1</v>
      </c>
    </row>
    <row r="464" spans="1:62">
      <c r="A464" s="25" t="s">
        <v>258</v>
      </c>
      <c r="B464" s="40"/>
      <c r="C464" s="50">
        <v>0</v>
      </c>
      <c r="D464" s="50">
        <v>0</v>
      </c>
      <c r="E464" s="50">
        <v>0</v>
      </c>
      <c r="F464" s="50">
        <v>0</v>
      </c>
      <c r="G464" s="50">
        <v>0</v>
      </c>
      <c r="H464" s="50">
        <v>0</v>
      </c>
      <c r="I464" s="50">
        <v>0</v>
      </c>
      <c r="J464" s="50">
        <v>0</v>
      </c>
      <c r="K464" s="50">
        <v>0</v>
      </c>
      <c r="L464" s="50">
        <v>0</v>
      </c>
      <c r="M464" s="50">
        <v>0</v>
      </c>
      <c r="N464" s="50">
        <v>0.14285714285714285</v>
      </c>
      <c r="O464" s="50">
        <f t="shared" ref="O464:AL464" si="1218">1-O414/O389</f>
        <v>0.1063829787234043</v>
      </c>
      <c r="P464" s="50">
        <f t="shared" si="1218"/>
        <v>7.8651685393258397E-2</v>
      </c>
      <c r="Q464" s="50">
        <f t="shared" si="1218"/>
        <v>3.703703703703709E-2</v>
      </c>
      <c r="R464" s="50"/>
      <c r="S464" s="647"/>
      <c r="T464" s="671">
        <f t="shared" si="1218"/>
        <v>2.5380710659898442E-2</v>
      </c>
      <c r="U464" s="50"/>
      <c r="V464" s="647"/>
      <c r="W464" s="671">
        <f t="shared" si="1218"/>
        <v>3.6437246963562764E-2</v>
      </c>
      <c r="X464" s="50"/>
      <c r="Y464" s="647"/>
      <c r="Z464" s="671">
        <f t="shared" si="1218"/>
        <v>9.6026490066225212E-2</v>
      </c>
      <c r="AA464" s="952">
        <f t="shared" ref="AA464:AB464" si="1219">1-AA414/AA389</f>
        <v>0.14000000000000001</v>
      </c>
      <c r="AB464" s="647">
        <f t="shared" si="1219"/>
        <v>6.0000000000000053E-2</v>
      </c>
      <c r="AC464" s="671">
        <f t="shared" si="1218"/>
        <v>6.0000000000000053E-2</v>
      </c>
      <c r="AD464" s="952">
        <f t="shared" ref="AD464:AE464" si="1220">1-AD414/AD389</f>
        <v>0.37465564738292012</v>
      </c>
      <c r="AE464" s="647">
        <f t="shared" si="1220"/>
        <v>0.25895316804407709</v>
      </c>
      <c r="AF464" s="671">
        <f t="shared" si="1218"/>
        <v>0.25895316804407709</v>
      </c>
      <c r="AG464" s="952">
        <f t="shared" si="1218"/>
        <v>0.23306233062330628</v>
      </c>
      <c r="AH464" s="647">
        <f t="shared" si="1186"/>
        <v>0.18157181571815717</v>
      </c>
      <c r="AI464" s="671">
        <f t="shared" si="1218"/>
        <v>0.18157181571815717</v>
      </c>
      <c r="AJ464" s="952">
        <f t="shared" si="1187"/>
        <v>0.16000000000000003</v>
      </c>
      <c r="AK464" s="647">
        <f t="shared" ref="AK464" si="1221">1-AK414/AK389</f>
        <v>0.11733333333333329</v>
      </c>
      <c r="AL464" s="671">
        <f t="shared" si="1218"/>
        <v>0.11733333333333329</v>
      </c>
      <c r="AM464" s="952">
        <f t="shared" ref="AM464" si="1222">1-AM414/AM389</f>
        <v>7.6923076923076872E-2</v>
      </c>
      <c r="AN464" s="647">
        <f t="shared" si="1190"/>
        <v>6.3451776649746217E-2</v>
      </c>
      <c r="AO464" s="671">
        <f t="shared" si="1190"/>
        <v>6.3451776649746217E-2</v>
      </c>
      <c r="AP464" s="952">
        <f t="shared" si="1190"/>
        <v>6.9999999999999951E-2</v>
      </c>
      <c r="AQ464" s="647">
        <f t="shared" ref="AQ464:AS464" si="1223">1-AQ414/AQ389</f>
        <v>7.9601990049751215E-2</v>
      </c>
      <c r="AR464" s="671">
        <f t="shared" si="1223"/>
        <v>7.9601990049751215E-2</v>
      </c>
      <c r="AS464" s="952">
        <f t="shared" si="1223"/>
        <v>3.9408866995073843E-2</v>
      </c>
      <c r="AT464" s="647">
        <f t="shared" ref="AT464:AV464" si="1224">1-AT414/AT389</f>
        <v>6.26506024096386E-2</v>
      </c>
      <c r="AU464" s="671">
        <f t="shared" si="1224"/>
        <v>6.26506024096386E-2</v>
      </c>
      <c r="AV464" s="952">
        <f t="shared" si="1224"/>
        <v>3.0660377358490587E-2</v>
      </c>
      <c r="AW464" s="252">
        <f t="shared" si="1177"/>
        <v>0.05</v>
      </c>
      <c r="AX464" s="618">
        <v>0.05</v>
      </c>
      <c r="AY464" s="957">
        <f t="shared" si="1201"/>
        <v>0.05</v>
      </c>
      <c r="AZ464" s="252">
        <f t="shared" si="1178"/>
        <v>0.05</v>
      </c>
      <c r="BA464" s="577">
        <f>+AX464</f>
        <v>0.05</v>
      </c>
      <c r="BB464" s="957">
        <f t="shared" si="1202"/>
        <v>0.05</v>
      </c>
      <c r="BC464" s="252">
        <f t="shared" si="1179"/>
        <v>0.05</v>
      </c>
      <c r="BD464" s="577">
        <f>+BA464</f>
        <v>0.05</v>
      </c>
      <c r="BE464" s="957">
        <f t="shared" si="1203"/>
        <v>0.05</v>
      </c>
      <c r="BF464" s="252">
        <f t="shared" si="1180"/>
        <v>0.05</v>
      </c>
      <c r="BG464" s="577">
        <f>+BD464</f>
        <v>0.05</v>
      </c>
      <c r="BH464" s="957">
        <f t="shared" si="1204"/>
        <v>0.05</v>
      </c>
      <c r="BI464" s="252">
        <f t="shared" si="1181"/>
        <v>0.05</v>
      </c>
      <c r="BJ464" s="577">
        <f t="shared" ref="BJ464" si="1225">+BG464</f>
        <v>0.05</v>
      </c>
    </row>
    <row r="465" spans="1:63">
      <c r="A465" s="25" t="s">
        <v>486</v>
      </c>
      <c r="B465" s="40"/>
      <c r="C465" s="50">
        <v>0</v>
      </c>
      <c r="D465" s="50">
        <v>0</v>
      </c>
      <c r="E465" s="50">
        <v>0</v>
      </c>
      <c r="F465" s="50">
        <v>0</v>
      </c>
      <c r="G465" s="50">
        <v>0</v>
      </c>
      <c r="H465" s="50">
        <v>0</v>
      </c>
      <c r="I465" s="50">
        <v>0</v>
      </c>
      <c r="J465" s="50">
        <v>0</v>
      </c>
      <c r="K465" s="50">
        <v>0</v>
      </c>
      <c r="L465" s="50">
        <v>0</v>
      </c>
      <c r="M465" s="50">
        <v>0</v>
      </c>
      <c r="N465" s="50">
        <v>0</v>
      </c>
      <c r="O465" s="50"/>
      <c r="P465" s="50">
        <f t="shared" ref="P465:AI465" si="1226">1-P415/P390</f>
        <v>0.83333333333333337</v>
      </c>
      <c r="Q465" s="50">
        <f t="shared" si="1226"/>
        <v>0.21052631578947367</v>
      </c>
      <c r="R465" s="50"/>
      <c r="S465" s="647"/>
      <c r="T465" s="671">
        <f t="shared" si="1226"/>
        <v>6.0606060606060552E-2</v>
      </c>
      <c r="U465" s="50"/>
      <c r="V465" s="647"/>
      <c r="W465" s="671">
        <f t="shared" si="1226"/>
        <v>4.1379310344827558E-2</v>
      </c>
      <c r="X465" s="50"/>
      <c r="Y465" s="647"/>
      <c r="Z465" s="671">
        <f t="shared" si="1226"/>
        <v>3.5714285714285698E-2</v>
      </c>
      <c r="AA465" s="952">
        <f t="shared" ref="AA465:AB465" si="1227">1-AA415/AA390</f>
        <v>0.13621262458471761</v>
      </c>
      <c r="AB465" s="647">
        <f t="shared" si="1227"/>
        <v>1.9933554817275767E-2</v>
      </c>
      <c r="AC465" s="671">
        <f t="shared" si="1226"/>
        <v>1.9933554817275767E-2</v>
      </c>
      <c r="AD465" s="952">
        <f t="shared" ref="AD465:AE465" si="1228">1-AD415/AD390</f>
        <v>0.3398876404494382</v>
      </c>
      <c r="AE465" s="647">
        <f t="shared" si="1228"/>
        <v>0.2106741573033708</v>
      </c>
      <c r="AF465" s="671">
        <f t="shared" si="1226"/>
        <v>0.2106741573033708</v>
      </c>
      <c r="AG465" s="952">
        <f t="shared" si="1226"/>
        <v>0.15846994535519121</v>
      </c>
      <c r="AH465" s="647">
        <f t="shared" si="1186"/>
        <v>9.0163934426229497E-2</v>
      </c>
      <c r="AI465" s="671">
        <f t="shared" si="1226"/>
        <v>9.0163934426229497E-2</v>
      </c>
      <c r="AJ465" s="952">
        <f t="shared" si="1187"/>
        <v>0.14009661835748788</v>
      </c>
      <c r="AK465" s="647">
        <f t="shared" ref="AK465" si="1229">1-AK415/AK390</f>
        <v>7.9710144927536253E-2</v>
      </c>
      <c r="AL465" s="671">
        <f>1-AL415/AL390</f>
        <v>7.9710144927536253E-2</v>
      </c>
      <c r="AM465" s="952">
        <f t="shared" ref="AM465" si="1230">1-AM415/AM390</f>
        <v>4.6082949308755561E-3</v>
      </c>
      <c r="AN465" s="647">
        <f t="shared" si="1190"/>
        <v>-1.2765957446808418E-2</v>
      </c>
      <c r="AO465" s="671">
        <f t="shared" si="1190"/>
        <v>-1.2765957446808418E-2</v>
      </c>
      <c r="AP465" s="952">
        <f>1-AP415/AP390</f>
        <v>-3.696098562628336E-2</v>
      </c>
      <c r="AQ465" s="647">
        <f t="shared" ref="AQ465:AR465" si="1231">1-AQ415/AQ390</f>
        <v>-3.7037037037036979E-2</v>
      </c>
      <c r="AR465" s="671">
        <f t="shared" si="1231"/>
        <v>-3.7037037037036979E-2</v>
      </c>
      <c r="AS465" s="952">
        <f>1-AS415/AS390</f>
        <v>-4.3151969981238381E-2</v>
      </c>
      <c r="AT465" s="647">
        <f t="shared" ref="AT465:AU465" si="1232">1-AT415/AT390</f>
        <v>-4.5045045045045029E-2</v>
      </c>
      <c r="AU465" s="671">
        <f t="shared" si="1232"/>
        <v>-4.5045045045045029E-2</v>
      </c>
      <c r="AV465" s="952">
        <f>1-AV415/AV390</f>
        <v>-5.2356020942408321E-2</v>
      </c>
      <c r="AW465" s="252">
        <f t="shared" si="1177"/>
        <v>0</v>
      </c>
      <c r="AX465" s="618">
        <v>0</v>
      </c>
      <c r="AY465" s="251">
        <f>BA465</f>
        <v>0</v>
      </c>
      <c r="AZ465" s="252">
        <f t="shared" si="1178"/>
        <v>0</v>
      </c>
      <c r="BA465" s="577">
        <f>AX465</f>
        <v>0</v>
      </c>
      <c r="BB465" s="251">
        <f>BD465</f>
        <v>0</v>
      </c>
      <c r="BC465" s="252">
        <f t="shared" si="1179"/>
        <v>0</v>
      </c>
      <c r="BD465" s="577">
        <f>BA465</f>
        <v>0</v>
      </c>
      <c r="BE465" s="251">
        <f>BG465</f>
        <v>0</v>
      </c>
      <c r="BF465" s="252">
        <f t="shared" si="1180"/>
        <v>0</v>
      </c>
      <c r="BG465" s="577">
        <f>BD465</f>
        <v>0</v>
      </c>
      <c r="BH465" s="251">
        <f>BJ465</f>
        <v>0</v>
      </c>
      <c r="BI465" s="252">
        <f t="shared" si="1181"/>
        <v>0</v>
      </c>
      <c r="BJ465" s="577">
        <f t="shared" ref="BJ465:BJ467" si="1233">BG465</f>
        <v>0</v>
      </c>
    </row>
    <row r="466" spans="1:63">
      <c r="A466" s="25" t="s">
        <v>487</v>
      </c>
      <c r="B466" s="40"/>
      <c r="C466" s="50">
        <v>0</v>
      </c>
      <c r="D466" s="50">
        <v>0</v>
      </c>
      <c r="E466" s="50">
        <v>0</v>
      </c>
      <c r="F466" s="50">
        <v>0</v>
      </c>
      <c r="G466" s="50">
        <v>0</v>
      </c>
      <c r="H466" s="50">
        <v>0</v>
      </c>
      <c r="I466" s="50">
        <v>0</v>
      </c>
      <c r="J466" s="50">
        <v>0</v>
      </c>
      <c r="K466" s="50">
        <v>0</v>
      </c>
      <c r="L466" s="50">
        <v>0</v>
      </c>
      <c r="M466" s="50">
        <v>0</v>
      </c>
      <c r="N466" s="50">
        <v>0</v>
      </c>
      <c r="O466" s="50"/>
      <c r="P466" s="50"/>
      <c r="Q466" s="50"/>
      <c r="R466" s="50"/>
      <c r="S466" s="647"/>
      <c r="T466" s="671"/>
      <c r="U466" s="50"/>
      <c r="V466" s="647"/>
      <c r="W466" s="671"/>
      <c r="X466" s="50"/>
      <c r="Y466" s="647"/>
      <c r="Z466" s="671"/>
      <c r="AA466" s="952">
        <f t="shared" ref="AA466:AB466" si="1234">1-AA416/AA391</f>
        <v>0.58000000000000007</v>
      </c>
      <c r="AB466" s="647">
        <f t="shared" si="1234"/>
        <v>0.30000000000000004</v>
      </c>
      <c r="AC466" s="671">
        <f>1-AC416/AC391</f>
        <v>0.30000000000000004</v>
      </c>
      <c r="AD466" s="952">
        <f t="shared" ref="AD466:AE466" si="1235">1-AD416/AD391</f>
        <v>0.29629629629629628</v>
      </c>
      <c r="AE466" s="647">
        <f t="shared" si="1235"/>
        <v>0.11111111111111116</v>
      </c>
      <c r="AF466" s="671">
        <f>1-AF416/AF391</f>
        <v>0.11111111111111116</v>
      </c>
      <c r="AG466" s="952">
        <f>1-AG416/AG391</f>
        <v>0.18333333333333335</v>
      </c>
      <c r="AH466" s="647">
        <f t="shared" si="1186"/>
        <v>0.18333333333333335</v>
      </c>
      <c r="AI466" s="671">
        <f>1-AI416/AI391</f>
        <v>0.18333333333333335</v>
      </c>
      <c r="AJ466" s="952">
        <f t="shared" si="1187"/>
        <v>0.18571428571428572</v>
      </c>
      <c r="AK466" s="647">
        <f t="shared" ref="AK466" si="1236">1-AK416/AK391</f>
        <v>0.11428571428571432</v>
      </c>
      <c r="AL466" s="671">
        <f>1-AL416/AL391</f>
        <v>0.11428571428571432</v>
      </c>
      <c r="AM466" s="952">
        <f t="shared" ref="AM466" si="1237">1-AM416/AM391</f>
        <v>1.3333333333333308E-2</v>
      </c>
      <c r="AN466" s="647">
        <f t="shared" si="1190"/>
        <v>1.2195121951219523E-2</v>
      </c>
      <c r="AO466" s="671">
        <f t="shared" si="1190"/>
        <v>1.2195121951219523E-2</v>
      </c>
      <c r="AP466" s="952">
        <f t="shared" si="1190"/>
        <v>2.3255813953488413E-2</v>
      </c>
      <c r="AQ466" s="647">
        <f t="shared" ref="AQ466:AS466" si="1238">1-AQ416/AQ391</f>
        <v>1.0638297872340385E-2</v>
      </c>
      <c r="AR466" s="671">
        <f t="shared" si="1238"/>
        <v>1.0638297872340385E-2</v>
      </c>
      <c r="AS466" s="952">
        <f t="shared" si="1238"/>
        <v>1.0309278350515427E-2</v>
      </c>
      <c r="AT466" s="647">
        <f t="shared" ref="AT466:AV466" si="1239">1-AT416/AT391</f>
        <v>3.6363636363636376E-2</v>
      </c>
      <c r="AU466" s="671">
        <f t="shared" si="1239"/>
        <v>3.6363636363636376E-2</v>
      </c>
      <c r="AV466" s="952">
        <f t="shared" si="1239"/>
        <v>2.6086956521739091E-2</v>
      </c>
      <c r="AW466" s="252">
        <f t="shared" si="1177"/>
        <v>0</v>
      </c>
      <c r="AX466" s="618">
        <v>0</v>
      </c>
      <c r="AY466" s="251">
        <f>BA466</f>
        <v>0</v>
      </c>
      <c r="AZ466" s="252">
        <f t="shared" si="1178"/>
        <v>0</v>
      </c>
      <c r="BA466" s="577">
        <f>+AX466</f>
        <v>0</v>
      </c>
      <c r="BB466" s="251">
        <f>BD466</f>
        <v>0</v>
      </c>
      <c r="BC466" s="252">
        <f t="shared" si="1179"/>
        <v>0</v>
      </c>
      <c r="BD466" s="577">
        <f>+BA466</f>
        <v>0</v>
      </c>
      <c r="BE466" s="251">
        <f>BG466</f>
        <v>0</v>
      </c>
      <c r="BF466" s="252">
        <f t="shared" si="1180"/>
        <v>0</v>
      </c>
      <c r="BG466" s="577">
        <f>BD466</f>
        <v>0</v>
      </c>
      <c r="BH466" s="251">
        <f>BJ466</f>
        <v>0</v>
      </c>
      <c r="BI466" s="252">
        <f t="shared" si="1181"/>
        <v>0</v>
      </c>
      <c r="BJ466" s="577">
        <f>BG466</f>
        <v>0</v>
      </c>
    </row>
    <row r="467" spans="1:63">
      <c r="A467" s="25" t="s">
        <v>277</v>
      </c>
      <c r="B467" s="40"/>
      <c r="C467" s="50">
        <v>0</v>
      </c>
      <c r="D467" s="50">
        <v>0</v>
      </c>
      <c r="E467" s="50">
        <v>0</v>
      </c>
      <c r="F467" s="50">
        <v>0</v>
      </c>
      <c r="G467" s="50">
        <v>0</v>
      </c>
      <c r="H467" s="50">
        <v>0</v>
      </c>
      <c r="I467" s="50">
        <v>0</v>
      </c>
      <c r="J467" s="50">
        <v>0</v>
      </c>
      <c r="K467" s="50">
        <v>0</v>
      </c>
      <c r="L467" s="50">
        <v>0</v>
      </c>
      <c r="M467" s="50">
        <v>0</v>
      </c>
      <c r="N467" s="50">
        <v>0</v>
      </c>
      <c r="O467" s="50"/>
      <c r="P467" s="50"/>
      <c r="Q467" s="50"/>
      <c r="R467" s="50"/>
      <c r="S467" s="647"/>
      <c r="T467" s="671"/>
      <c r="U467" s="50"/>
      <c r="V467" s="647"/>
      <c r="W467" s="671"/>
      <c r="X467" s="50"/>
      <c r="Y467" s="647"/>
      <c r="Z467" s="671"/>
      <c r="AA467" s="952">
        <f t="shared" ref="AA467:AB467" si="1240">1-AA417/AA392</f>
        <v>0.65957446808510634</v>
      </c>
      <c r="AB467" s="647">
        <f t="shared" si="1240"/>
        <v>0.14893617021276595</v>
      </c>
      <c r="AC467" s="671">
        <f>1-AC417/AC392</f>
        <v>0.14893617021276595</v>
      </c>
      <c r="AD467" s="952">
        <f t="shared" ref="AD467:AE467" si="1241">1-AD417/AD392</f>
        <v>0.56666666666666665</v>
      </c>
      <c r="AE467" s="647">
        <f t="shared" si="1241"/>
        <v>0.25</v>
      </c>
      <c r="AF467" s="671">
        <f>1-AF417/AF392</f>
        <v>0.25</v>
      </c>
      <c r="AG467" s="952">
        <f>1-AG417/AG392</f>
        <v>0.35616438356164382</v>
      </c>
      <c r="AH467" s="647">
        <f t="shared" si="1186"/>
        <v>0.1095890410958904</v>
      </c>
      <c r="AI467" s="671">
        <f>1-AI417/AI392</f>
        <v>0.1095890410958904</v>
      </c>
      <c r="AJ467" s="952">
        <f t="shared" si="1187"/>
        <v>0.25</v>
      </c>
      <c r="AK467" s="647">
        <f t="shared" ref="AK467" si="1242">1-AK417/AK392</f>
        <v>0.11458333333333337</v>
      </c>
      <c r="AL467" s="671">
        <f>1-AL417/AL392</f>
        <v>0.11458333333333337</v>
      </c>
      <c r="AM467" s="952">
        <f t="shared" ref="AM467" si="1243">1-AM417/AM392</f>
        <v>9.259259259259256E-2</v>
      </c>
      <c r="AN467" s="647">
        <f t="shared" si="1190"/>
        <v>0.12</v>
      </c>
      <c r="AO467" s="671">
        <f t="shared" si="1190"/>
        <v>0.12</v>
      </c>
      <c r="AP467" s="952">
        <f t="shared" si="1190"/>
        <v>6.5217391304347783E-2</v>
      </c>
      <c r="AQ467" s="647">
        <f t="shared" ref="AQ467:AS467" si="1244">1-AQ417/AQ392</f>
        <v>5.1612903225806472E-2</v>
      </c>
      <c r="AR467" s="671">
        <f t="shared" si="1244"/>
        <v>5.1612903225806472E-2</v>
      </c>
      <c r="AS467" s="952">
        <f t="shared" si="1244"/>
        <v>6.0240963855421659E-2</v>
      </c>
      <c r="AT467" s="647">
        <f t="shared" ref="AT467:AV467" si="1245">1-AT417/AT392</f>
        <v>6.8783068783068835E-2</v>
      </c>
      <c r="AU467" s="671">
        <f t="shared" si="1245"/>
        <v>6.8783068783068835E-2</v>
      </c>
      <c r="AV467" s="952">
        <f t="shared" si="1245"/>
        <v>9.137055837563457E-2</v>
      </c>
      <c r="AW467" s="252">
        <f t="shared" si="1177"/>
        <v>0.05</v>
      </c>
      <c r="AX467" s="618">
        <v>0.05</v>
      </c>
      <c r="AY467" s="251">
        <f>BA467</f>
        <v>0.05</v>
      </c>
      <c r="AZ467" s="252">
        <f t="shared" si="1178"/>
        <v>0.05</v>
      </c>
      <c r="BA467" s="577">
        <f>AX467</f>
        <v>0.05</v>
      </c>
      <c r="BB467" s="251">
        <f>BD467</f>
        <v>0.05</v>
      </c>
      <c r="BC467" s="252">
        <f t="shared" si="1179"/>
        <v>0.05</v>
      </c>
      <c r="BD467" s="577">
        <f>BA467</f>
        <v>0.05</v>
      </c>
      <c r="BE467" s="251">
        <f>BG467</f>
        <v>0.05</v>
      </c>
      <c r="BF467" s="252">
        <f t="shared" si="1180"/>
        <v>0.05</v>
      </c>
      <c r="BG467" s="577">
        <f>BD467</f>
        <v>0.05</v>
      </c>
      <c r="BH467" s="251">
        <f>BJ467</f>
        <v>0.05</v>
      </c>
      <c r="BI467" s="252">
        <f t="shared" si="1181"/>
        <v>0.05</v>
      </c>
      <c r="BJ467" s="577">
        <f t="shared" si="1233"/>
        <v>0.05</v>
      </c>
    </row>
    <row r="468" spans="1:63">
      <c r="B468" s="40"/>
      <c r="C468" s="40"/>
      <c r="D468" s="40"/>
      <c r="E468" s="40"/>
      <c r="F468" s="40"/>
      <c r="G468" s="40"/>
      <c r="H468" s="40"/>
      <c r="I468" s="40"/>
      <c r="J468" s="40"/>
      <c r="K468" s="40"/>
      <c r="L468" s="40"/>
      <c r="M468" s="40"/>
      <c r="N468" s="40"/>
      <c r="O468" s="40"/>
      <c r="P468" s="40"/>
      <c r="Q468" s="50"/>
      <c r="R468" s="50"/>
      <c r="S468" s="647"/>
      <c r="T468" s="671"/>
      <c r="U468" s="50"/>
      <c r="V468" s="647"/>
      <c r="W468" s="671"/>
      <c r="X468" s="50"/>
      <c r="Y468" s="647"/>
      <c r="Z468" s="671"/>
      <c r="AA468" s="50"/>
      <c r="AB468" s="647"/>
      <c r="AC468" s="671"/>
      <c r="AD468" s="50"/>
      <c r="AE468" s="647"/>
      <c r="AF468" s="671"/>
      <c r="AG468" s="50"/>
      <c r="AH468" s="647"/>
      <c r="AI468" s="671"/>
      <c r="AJ468" s="50"/>
      <c r="AK468" s="647"/>
      <c r="AL468" s="671"/>
      <c r="AM468" s="50"/>
      <c r="AN468" s="252"/>
      <c r="AO468" s="577"/>
      <c r="AP468" s="182"/>
      <c r="AQ468" s="252"/>
      <c r="AR468" s="618"/>
      <c r="AS468" s="182"/>
      <c r="AT468" s="252"/>
      <c r="AU468" s="618"/>
      <c r="AV468" s="182"/>
      <c r="AW468" s="252"/>
      <c r="AX468" s="618"/>
      <c r="AY468" s="182"/>
      <c r="AZ468" s="252"/>
      <c r="BA468" s="618"/>
      <c r="BB468" s="182"/>
      <c r="BC468" s="252"/>
      <c r="BD468" s="618"/>
      <c r="BE468" s="182"/>
      <c r="BF468" s="252"/>
      <c r="BG468" s="618"/>
      <c r="BH468" s="182"/>
      <c r="BI468" s="252"/>
      <c r="BJ468" s="618"/>
    </row>
    <row r="469" spans="1:63">
      <c r="A469" s="31" t="s">
        <v>997</v>
      </c>
      <c r="B469" s="40"/>
      <c r="C469" s="40"/>
      <c r="D469" s="40"/>
      <c r="E469" s="40"/>
      <c r="F469" s="40"/>
      <c r="G469" s="40"/>
      <c r="H469" s="40"/>
      <c r="I469" s="40"/>
      <c r="J469" s="40"/>
      <c r="K469" s="40"/>
      <c r="L469" s="40"/>
      <c r="M469" s="40"/>
      <c r="N469" s="40"/>
      <c r="O469" s="40"/>
      <c r="P469" s="40"/>
      <c r="Q469" s="50"/>
      <c r="R469" s="50"/>
      <c r="S469" s="647"/>
      <c r="T469" s="671"/>
      <c r="U469" s="50"/>
      <c r="V469" s="647"/>
      <c r="W469" s="671"/>
      <c r="X469" s="50"/>
      <c r="Y469" s="647"/>
      <c r="Z469" s="671"/>
      <c r="AA469" s="50"/>
      <c r="AB469" s="647"/>
      <c r="AC469" s="671"/>
      <c r="AD469" s="50"/>
      <c r="AE469" s="647"/>
      <c r="AF469" s="671"/>
      <c r="AG469" s="50"/>
      <c r="AH469" s="647"/>
      <c r="AI469" s="671"/>
      <c r="AJ469" s="50"/>
      <c r="AK469" s="647"/>
      <c r="AL469" s="671"/>
      <c r="AM469" s="50"/>
      <c r="AN469" s="594"/>
      <c r="AO469" s="618"/>
      <c r="AP469" s="43"/>
      <c r="AQ469" s="594"/>
      <c r="AR469" s="618"/>
      <c r="AS469" s="43"/>
      <c r="AT469" s="594"/>
      <c r="AU469" s="618"/>
      <c r="AV469" s="43"/>
      <c r="AW469" s="594"/>
      <c r="AX469" s="618"/>
      <c r="AY469" s="43"/>
      <c r="AZ469" s="594"/>
      <c r="BA469" s="618"/>
      <c r="BB469" s="43"/>
      <c r="BC469" s="594"/>
      <c r="BD469" s="618"/>
      <c r="BE469" s="43"/>
      <c r="BF469" s="594"/>
      <c r="BG469" s="618"/>
      <c r="BH469" s="43"/>
      <c r="BI469" s="594"/>
      <c r="BJ469" s="618"/>
    </row>
    <row r="470" spans="1:63">
      <c r="A470" s="1013" t="s">
        <v>267</v>
      </c>
      <c r="B470" s="1013"/>
      <c r="C470" s="1013">
        <f t="shared" ref="C470:BJ470" si="1246">+C384*(1-C457)</f>
        <v>1944.7584501236604</v>
      </c>
      <c r="D470" s="1013">
        <f t="shared" si="1246"/>
        <v>1943.5296557445045</v>
      </c>
      <c r="E470" s="1013">
        <f t="shared" si="1246"/>
        <v>2018.285058430718</v>
      </c>
      <c r="F470" s="1013">
        <f t="shared" si="1246"/>
        <v>2048.2228376651042</v>
      </c>
      <c r="G470" s="1013">
        <f t="shared" si="1246"/>
        <v>2000.0000000000002</v>
      </c>
      <c r="H470" s="1013">
        <f t="shared" si="1246"/>
        <v>1958.6701986754965</v>
      </c>
      <c r="I470" s="1013">
        <f t="shared" si="1246"/>
        <v>1939.3744930148716</v>
      </c>
      <c r="J470" s="1013">
        <f t="shared" si="1246"/>
        <v>1817</v>
      </c>
      <c r="K470" s="1013">
        <f t="shared" si="1246"/>
        <v>1779.3277227722772</v>
      </c>
      <c r="L470" s="1013">
        <f t="shared" si="1246"/>
        <v>1727.1805273833672</v>
      </c>
      <c r="M470" s="1013">
        <f t="shared" si="1246"/>
        <v>1691.6014606155452</v>
      </c>
      <c r="N470" s="1013">
        <f t="shared" si="1246"/>
        <v>1583.55</v>
      </c>
      <c r="O470" s="1013">
        <f t="shared" si="1246"/>
        <v>1484</v>
      </c>
      <c r="P470" s="1013">
        <f t="shared" si="1246"/>
        <v>1367</v>
      </c>
      <c r="Q470" s="1013">
        <f t="shared" si="1246"/>
        <v>1213</v>
      </c>
      <c r="R470" s="1013"/>
      <c r="S470" s="1014"/>
      <c r="T470" s="1015">
        <f t="shared" si="1246"/>
        <v>1149</v>
      </c>
      <c r="U470" s="1013"/>
      <c r="V470" s="1014"/>
      <c r="W470" s="1015">
        <f t="shared" si="1246"/>
        <v>1095</v>
      </c>
      <c r="X470" s="1013"/>
      <c r="Y470" s="1014"/>
      <c r="Z470" s="1015">
        <f t="shared" si="1246"/>
        <v>1095</v>
      </c>
      <c r="AA470" s="1013">
        <f t="shared" si="1246"/>
        <v>1065</v>
      </c>
      <c r="AB470" s="1014">
        <f t="shared" si="1246"/>
        <v>1037</v>
      </c>
      <c r="AC470" s="1015">
        <f t="shared" si="1246"/>
        <v>1037</v>
      </c>
      <c r="AD470" s="1013">
        <f t="shared" si="1246"/>
        <v>637</v>
      </c>
      <c r="AE470" s="1014">
        <f t="shared" si="1246"/>
        <v>661</v>
      </c>
      <c r="AF470" s="1015">
        <f t="shared" si="1246"/>
        <v>661</v>
      </c>
      <c r="AG470" s="1013">
        <f t="shared" ref="AG470:AH470" si="1247">+AG384*(1-AG457)</f>
        <v>717</v>
      </c>
      <c r="AH470" s="1014">
        <f t="shared" si="1247"/>
        <v>741</v>
      </c>
      <c r="AI470" s="1015">
        <f t="shared" si="1246"/>
        <v>741</v>
      </c>
      <c r="AJ470" s="1013">
        <f t="shared" si="1246"/>
        <v>767</v>
      </c>
      <c r="AK470" s="1014">
        <f t="shared" ref="AK470" si="1248">+AK384*(1-AK457)</f>
        <v>767</v>
      </c>
      <c r="AL470" s="1015">
        <f t="shared" si="1246"/>
        <v>767</v>
      </c>
      <c r="AM470" s="1013">
        <f t="shared" ref="AM470:AO470" si="1249">+AM384*(1-AM457)</f>
        <v>791</v>
      </c>
      <c r="AN470" s="1014">
        <f t="shared" si="1249"/>
        <v>795</v>
      </c>
      <c r="AO470" s="1015">
        <f t="shared" si="1249"/>
        <v>795</v>
      </c>
      <c r="AP470" s="1013">
        <f t="shared" ref="AP470:AR470" si="1250">+AP384*(1-AP457)</f>
        <v>759</v>
      </c>
      <c r="AQ470" s="1014">
        <f t="shared" si="1250"/>
        <v>743</v>
      </c>
      <c r="AR470" s="1015">
        <f t="shared" si="1250"/>
        <v>743</v>
      </c>
      <c r="AS470" s="1013">
        <f t="shared" ref="AS470:AU470" si="1251">+AS384*(1-AS457)</f>
        <v>735</v>
      </c>
      <c r="AT470" s="1014">
        <f t="shared" si="1251"/>
        <v>695</v>
      </c>
      <c r="AU470" s="1015">
        <f t="shared" si="1251"/>
        <v>695</v>
      </c>
      <c r="AV470" s="166">
        <f t="shared" si="1246"/>
        <v>697</v>
      </c>
      <c r="AW470" s="243">
        <f t="shared" si="1246"/>
        <v>651</v>
      </c>
      <c r="AX470" s="1016">
        <f t="shared" si="1246"/>
        <v>651</v>
      </c>
      <c r="AY470" s="242">
        <f t="shared" si="1246"/>
        <v>613.5</v>
      </c>
      <c r="AZ470" s="243">
        <f t="shared" si="1246"/>
        <v>613.5</v>
      </c>
      <c r="BA470" s="1016">
        <f t="shared" si="1246"/>
        <v>613.5</v>
      </c>
      <c r="BB470" s="242">
        <f t="shared" si="1246"/>
        <v>576</v>
      </c>
      <c r="BC470" s="243">
        <f t="shared" si="1246"/>
        <v>576</v>
      </c>
      <c r="BD470" s="1016">
        <f t="shared" si="1246"/>
        <v>576</v>
      </c>
      <c r="BE470" s="242">
        <f t="shared" si="1246"/>
        <v>538.5</v>
      </c>
      <c r="BF470" s="243">
        <f t="shared" si="1246"/>
        <v>538.5</v>
      </c>
      <c r="BG470" s="1016">
        <f t="shared" si="1246"/>
        <v>538.5</v>
      </c>
      <c r="BH470" s="242">
        <f t="shared" si="1246"/>
        <v>501</v>
      </c>
      <c r="BI470" s="243">
        <f t="shared" si="1246"/>
        <v>501</v>
      </c>
      <c r="BJ470" s="1016">
        <f t="shared" si="1246"/>
        <v>501</v>
      </c>
    </row>
    <row r="471" spans="1:63">
      <c r="A471" s="101" t="s">
        <v>254</v>
      </c>
      <c r="B471" s="40"/>
      <c r="C471" s="40">
        <f t="shared" ref="C471:Q471" si="1252">+C385*(1-C460)</f>
        <v>12</v>
      </c>
      <c r="D471" s="40">
        <f t="shared" si="1252"/>
        <v>48</v>
      </c>
      <c r="E471" s="40">
        <f t="shared" si="1252"/>
        <v>132</v>
      </c>
      <c r="F471" s="40">
        <f t="shared" si="1252"/>
        <v>213.125</v>
      </c>
      <c r="G471" s="40">
        <f t="shared" si="1252"/>
        <v>294.54545454545456</v>
      </c>
      <c r="H471" s="40">
        <f t="shared" si="1252"/>
        <v>382.82666666666665</v>
      </c>
      <c r="I471" s="40">
        <f t="shared" si="1252"/>
        <v>419.62886597938143</v>
      </c>
      <c r="J471" s="40">
        <f t="shared" si="1252"/>
        <v>451.65714285714284</v>
      </c>
      <c r="K471" s="40">
        <f t="shared" si="1252"/>
        <v>468.92307692307696</v>
      </c>
      <c r="L471" s="40">
        <f t="shared" si="1252"/>
        <v>479.05511811023621</v>
      </c>
      <c r="M471" s="40">
        <f t="shared" si="1252"/>
        <v>496</v>
      </c>
      <c r="N471" s="40">
        <f t="shared" si="1252"/>
        <v>484</v>
      </c>
      <c r="O471" s="40">
        <f t="shared" si="1252"/>
        <v>440</v>
      </c>
      <c r="P471" s="40">
        <f t="shared" si="1252"/>
        <v>388</v>
      </c>
      <c r="Q471" s="40">
        <f t="shared" si="1252"/>
        <v>352</v>
      </c>
      <c r="R471" s="40"/>
      <c r="S471" s="630"/>
      <c r="T471" s="653">
        <f>+T385*(1-T460)</f>
        <v>336</v>
      </c>
      <c r="U471" s="40"/>
      <c r="V471" s="630"/>
      <c r="W471" s="653">
        <f>+W385*(1-W460)</f>
        <v>280</v>
      </c>
      <c r="X471" s="40"/>
      <c r="Y471" s="630"/>
      <c r="Z471" s="653">
        <f t="shared" ref="Z471:AJ471" si="1253">+Z385*(1-Z460)</f>
        <v>284</v>
      </c>
      <c r="AA471" s="40">
        <f t="shared" si="1253"/>
        <v>243.99999999999997</v>
      </c>
      <c r="AB471" s="630">
        <f t="shared" si="1253"/>
        <v>239.99999999999997</v>
      </c>
      <c r="AC471" s="653">
        <f t="shared" si="1253"/>
        <v>239.99999999999997</v>
      </c>
      <c r="AD471" s="40">
        <f t="shared" si="1253"/>
        <v>95.999999999999972</v>
      </c>
      <c r="AE471" s="630">
        <f t="shared" si="1253"/>
        <v>68</v>
      </c>
      <c r="AF471" s="653">
        <f t="shared" si="1253"/>
        <v>68</v>
      </c>
      <c r="AG471" s="40">
        <f t="shared" si="1253"/>
        <v>87.999999999999972</v>
      </c>
      <c r="AH471" s="630">
        <f t="shared" si="1253"/>
        <v>91.999999999999986</v>
      </c>
      <c r="AI471" s="653">
        <f t="shared" si="1253"/>
        <v>91.999999999999986</v>
      </c>
      <c r="AJ471" s="40">
        <f t="shared" si="1253"/>
        <v>108.00000000000003</v>
      </c>
      <c r="AK471" s="630">
        <f t="shared" ref="AK471" si="1254">+AK385*(1-AK460)</f>
        <v>80</v>
      </c>
      <c r="AL471" s="653">
        <f t="shared" ref="AL471:AR471" si="1255">+AL385*(1-AL460)</f>
        <v>80</v>
      </c>
      <c r="AM471" s="40">
        <f t="shared" si="1255"/>
        <v>96</v>
      </c>
      <c r="AN471" s="630">
        <f t="shared" si="1255"/>
        <v>103.99999999999999</v>
      </c>
      <c r="AO471" s="653">
        <f t="shared" si="1255"/>
        <v>103.99999999999999</v>
      </c>
      <c r="AP471" s="40">
        <f t="shared" si="1255"/>
        <v>116</v>
      </c>
      <c r="AQ471" s="630">
        <f t="shared" si="1255"/>
        <v>119.99999999999999</v>
      </c>
      <c r="AR471" s="653">
        <f t="shared" si="1255"/>
        <v>119.99999999999999</v>
      </c>
      <c r="AS471" s="40">
        <f t="shared" ref="AS471:AU471" si="1256">+AS385*(1-AS460)</f>
        <v>104</v>
      </c>
      <c r="AT471" s="630">
        <f t="shared" si="1256"/>
        <v>103.99999999999999</v>
      </c>
      <c r="AU471" s="653">
        <f t="shared" si="1256"/>
        <v>103.99999999999999</v>
      </c>
      <c r="AV471" s="10">
        <f t="shared" ref="AV471:BJ471" si="1257">+AV385*(1-AV460)</f>
        <v>68.000000000000014</v>
      </c>
      <c r="AW471" s="236">
        <f t="shared" si="1257"/>
        <v>69</v>
      </c>
      <c r="AX471" s="605">
        <f t="shared" si="1257"/>
        <v>69</v>
      </c>
      <c r="AY471" s="56">
        <f t="shared" si="1257"/>
        <v>64</v>
      </c>
      <c r="AZ471" s="236">
        <f t="shared" si="1257"/>
        <v>64</v>
      </c>
      <c r="BA471" s="605">
        <f t="shared" si="1257"/>
        <v>64</v>
      </c>
      <c r="BB471" s="56">
        <f t="shared" si="1257"/>
        <v>59</v>
      </c>
      <c r="BC471" s="236">
        <f t="shared" si="1257"/>
        <v>59</v>
      </c>
      <c r="BD471" s="605">
        <f t="shared" si="1257"/>
        <v>59</v>
      </c>
      <c r="BE471" s="56">
        <f t="shared" si="1257"/>
        <v>54</v>
      </c>
      <c r="BF471" s="236">
        <f t="shared" si="1257"/>
        <v>54</v>
      </c>
      <c r="BG471" s="605">
        <f t="shared" si="1257"/>
        <v>54</v>
      </c>
      <c r="BH471" s="56">
        <f t="shared" si="1257"/>
        <v>49</v>
      </c>
      <c r="BI471" s="236">
        <f t="shared" si="1257"/>
        <v>49</v>
      </c>
      <c r="BJ471" s="605">
        <f t="shared" si="1257"/>
        <v>49</v>
      </c>
    </row>
    <row r="472" spans="1:63">
      <c r="A472" s="101" t="s">
        <v>255</v>
      </c>
      <c r="B472" s="40"/>
      <c r="C472" s="40">
        <f t="shared" ref="C472:BJ472" si="1258">+C386*(1-C461)</f>
        <v>178</v>
      </c>
      <c r="D472" s="40">
        <f t="shared" si="1258"/>
        <v>203.68539325842696</v>
      </c>
      <c r="E472" s="40">
        <f t="shared" si="1258"/>
        <v>234</v>
      </c>
      <c r="F472" s="40">
        <f t="shared" si="1258"/>
        <v>264</v>
      </c>
      <c r="G472" s="40">
        <f t="shared" si="1258"/>
        <v>306</v>
      </c>
      <c r="H472" s="40">
        <f t="shared" si="1258"/>
        <v>364</v>
      </c>
      <c r="I472" s="40">
        <f t="shared" si="1258"/>
        <v>424</v>
      </c>
      <c r="J472" s="40">
        <f t="shared" si="1258"/>
        <v>491.66981132075472</v>
      </c>
      <c r="K472" s="40">
        <f t="shared" si="1258"/>
        <v>605.53846153846155</v>
      </c>
      <c r="L472" s="40">
        <f t="shared" si="1258"/>
        <v>704.88448844884488</v>
      </c>
      <c r="M472" s="40">
        <f t="shared" si="1258"/>
        <v>805.28925619834718</v>
      </c>
      <c r="N472" s="40">
        <f t="shared" si="1258"/>
        <v>952</v>
      </c>
      <c r="O472" s="40">
        <f t="shared" si="1258"/>
        <v>1114</v>
      </c>
      <c r="P472" s="40">
        <f t="shared" si="1258"/>
        <v>1288</v>
      </c>
      <c r="Q472" s="40">
        <f t="shared" si="1258"/>
        <v>1388</v>
      </c>
      <c r="R472" s="40"/>
      <c r="S472" s="630"/>
      <c r="T472" s="653">
        <f t="shared" si="1258"/>
        <v>1460</v>
      </c>
      <c r="U472" s="40"/>
      <c r="V472" s="630"/>
      <c r="W472" s="653">
        <f t="shared" si="1258"/>
        <v>1590</v>
      </c>
      <c r="X472" s="40"/>
      <c r="Y472" s="630"/>
      <c r="Z472" s="653">
        <f t="shared" si="1258"/>
        <v>1636</v>
      </c>
      <c r="AA472" s="40">
        <f t="shared" ref="AA472:AB472" si="1259">+AA386*(1-AA461)</f>
        <v>1652</v>
      </c>
      <c r="AB472" s="630">
        <f t="shared" si="1259"/>
        <v>1606</v>
      </c>
      <c r="AC472" s="653">
        <f t="shared" si="1258"/>
        <v>1606</v>
      </c>
      <c r="AD472" s="40">
        <f t="shared" ref="AD472:AE472" si="1260">+AD386*(1-AD461)</f>
        <v>987.99999999999989</v>
      </c>
      <c r="AE472" s="630">
        <f t="shared" si="1260"/>
        <v>1054</v>
      </c>
      <c r="AF472" s="653">
        <f t="shared" si="1258"/>
        <v>1054</v>
      </c>
      <c r="AG472" s="40">
        <f t="shared" si="1258"/>
        <v>1050</v>
      </c>
      <c r="AH472" s="630">
        <f t="shared" ref="AH472:AH478" si="1261">+AH386*(1-AH461)</f>
        <v>1146</v>
      </c>
      <c r="AI472" s="653">
        <f t="shared" si="1258"/>
        <v>1146</v>
      </c>
      <c r="AJ472" s="40">
        <f t="shared" ref="AJ472:AJ478" si="1262">+AJ386*(1-AJ461)</f>
        <v>1166</v>
      </c>
      <c r="AK472" s="630">
        <f t="shared" ref="AK472" si="1263">+AK386*(1-AK461)</f>
        <v>1178</v>
      </c>
      <c r="AL472" s="653">
        <f t="shared" si="1258"/>
        <v>1178</v>
      </c>
      <c r="AM472" s="40">
        <f t="shared" ref="AM472" si="1264">+AM386*(1-AM461)</f>
        <v>1322</v>
      </c>
      <c r="AN472" s="630">
        <f t="shared" ref="AN472:AP478" si="1265">+AN386*(1-AN461)</f>
        <v>1372</v>
      </c>
      <c r="AO472" s="653">
        <f t="shared" si="1265"/>
        <v>1372</v>
      </c>
      <c r="AP472" s="40">
        <f t="shared" si="1265"/>
        <v>1404</v>
      </c>
      <c r="AQ472" s="630">
        <f t="shared" ref="AQ472:AS472" si="1266">+AQ386*(1-AQ461)</f>
        <v>1414</v>
      </c>
      <c r="AR472" s="653">
        <f t="shared" si="1266"/>
        <v>1414</v>
      </c>
      <c r="AS472" s="40">
        <f t="shared" si="1266"/>
        <v>1434</v>
      </c>
      <c r="AT472" s="630">
        <f t="shared" ref="AT472:AU472" si="1267">+AT386*(1-AT461)</f>
        <v>1462</v>
      </c>
      <c r="AU472" s="653">
        <f t="shared" si="1267"/>
        <v>1462</v>
      </c>
      <c r="AV472" s="10">
        <f t="shared" ref="AV472:AW478" si="1268">+AV386*(1-AV461)</f>
        <v>1446</v>
      </c>
      <c r="AW472" s="236">
        <f t="shared" si="1268"/>
        <v>1444.5</v>
      </c>
      <c r="AX472" s="605">
        <f t="shared" si="1258"/>
        <v>1444.5</v>
      </c>
      <c r="AY472" s="56">
        <f t="shared" ref="AY472:AZ478" si="1269">+AY386*(1-AY461)</f>
        <v>1417.5</v>
      </c>
      <c r="AZ472" s="236">
        <f t="shared" si="1269"/>
        <v>1417.5</v>
      </c>
      <c r="BA472" s="605">
        <f t="shared" si="1258"/>
        <v>1417.5</v>
      </c>
      <c r="BB472" s="56">
        <f t="shared" ref="BB472:BC478" si="1270">+BB386*(1-BB461)</f>
        <v>1390.5</v>
      </c>
      <c r="BC472" s="236">
        <f t="shared" si="1270"/>
        <v>1390.5</v>
      </c>
      <c r="BD472" s="605">
        <f t="shared" si="1258"/>
        <v>1390.5</v>
      </c>
      <c r="BE472" s="56">
        <f t="shared" ref="BE472:BF478" si="1271">+BE386*(1-BE461)</f>
        <v>1363.5</v>
      </c>
      <c r="BF472" s="236">
        <f t="shared" si="1271"/>
        <v>1363.5</v>
      </c>
      <c r="BG472" s="605">
        <f t="shared" si="1258"/>
        <v>1363.5</v>
      </c>
      <c r="BH472" s="56">
        <f t="shared" ref="BH472:BI478" si="1272">+BH386*(1-BH461)</f>
        <v>1336.5</v>
      </c>
      <c r="BI472" s="236">
        <f t="shared" si="1272"/>
        <v>1336.5</v>
      </c>
      <c r="BJ472" s="605">
        <f t="shared" si="1258"/>
        <v>1336.5</v>
      </c>
    </row>
    <row r="473" spans="1:63">
      <c r="A473" s="101" t="s">
        <v>256</v>
      </c>
      <c r="B473" s="40"/>
      <c r="C473" s="40">
        <f t="shared" ref="C473:BJ473" si="1273">+C387*(1-C462)</f>
        <v>296</v>
      </c>
      <c r="D473" s="40">
        <f t="shared" si="1273"/>
        <v>344</v>
      </c>
      <c r="E473" s="40">
        <f t="shared" si="1273"/>
        <v>376</v>
      </c>
      <c r="F473" s="40">
        <f t="shared" si="1273"/>
        <v>392</v>
      </c>
      <c r="G473" s="40">
        <f t="shared" si="1273"/>
        <v>408</v>
      </c>
      <c r="H473" s="40">
        <f t="shared" si="1273"/>
        <v>432</v>
      </c>
      <c r="I473" s="40">
        <f t="shared" si="1273"/>
        <v>444</v>
      </c>
      <c r="J473" s="40">
        <f t="shared" si="1273"/>
        <v>442</v>
      </c>
      <c r="K473" s="40">
        <f t="shared" si="1273"/>
        <v>450</v>
      </c>
      <c r="L473" s="40">
        <f t="shared" si="1273"/>
        <v>448</v>
      </c>
      <c r="M473" s="40">
        <f t="shared" si="1273"/>
        <v>450</v>
      </c>
      <c r="N473" s="40">
        <f t="shared" si="1273"/>
        <v>444</v>
      </c>
      <c r="O473" s="40">
        <f t="shared" si="1273"/>
        <v>436</v>
      </c>
      <c r="P473" s="40">
        <f t="shared" si="1273"/>
        <v>422</v>
      </c>
      <c r="Q473" s="40">
        <f t="shared" si="1273"/>
        <v>362</v>
      </c>
      <c r="R473" s="40"/>
      <c r="S473" s="630"/>
      <c r="T473" s="653">
        <f t="shared" si="1273"/>
        <v>352</v>
      </c>
      <c r="U473" s="40"/>
      <c r="V473" s="630"/>
      <c r="W473" s="653">
        <f t="shared" si="1273"/>
        <v>330</v>
      </c>
      <c r="X473" s="40"/>
      <c r="Y473" s="630"/>
      <c r="Z473" s="653">
        <f t="shared" si="1273"/>
        <v>334</v>
      </c>
      <c r="AA473" s="40">
        <f t="shared" ref="AA473:AB473" si="1274">+AA387*(1-AA462)</f>
        <v>324</v>
      </c>
      <c r="AB473" s="630">
        <f t="shared" si="1274"/>
        <v>320</v>
      </c>
      <c r="AC473" s="653">
        <f t="shared" si="1273"/>
        <v>320</v>
      </c>
      <c r="AD473" s="40">
        <f t="shared" ref="AD473:AE473" si="1275">+AD387*(1-AD462)</f>
        <v>96</v>
      </c>
      <c r="AE473" s="630">
        <f t="shared" si="1275"/>
        <v>134</v>
      </c>
      <c r="AF473" s="653">
        <f t="shared" si="1273"/>
        <v>134</v>
      </c>
      <c r="AG473" s="40">
        <f t="shared" si="1273"/>
        <v>160</v>
      </c>
      <c r="AH473" s="630">
        <f t="shared" si="1261"/>
        <v>176</v>
      </c>
      <c r="AI473" s="653">
        <f t="shared" si="1273"/>
        <v>176</v>
      </c>
      <c r="AJ473" s="40">
        <f t="shared" si="1262"/>
        <v>184</v>
      </c>
      <c r="AK473" s="630">
        <f t="shared" ref="AK473" si="1276">+AK387*(1-AK462)</f>
        <v>184</v>
      </c>
      <c r="AL473" s="653">
        <f t="shared" si="1273"/>
        <v>184</v>
      </c>
      <c r="AM473" s="40">
        <f t="shared" ref="AM473" si="1277">+AM387*(1-AM462)</f>
        <v>200</v>
      </c>
      <c r="AN473" s="630">
        <f t="shared" si="1265"/>
        <v>224</v>
      </c>
      <c r="AO473" s="653">
        <f t="shared" si="1265"/>
        <v>224</v>
      </c>
      <c r="AP473" s="40">
        <f t="shared" si="1265"/>
        <v>230</v>
      </c>
      <c r="AQ473" s="630">
        <f t="shared" ref="AQ473:AS473" si="1278">+AQ387*(1-AQ462)</f>
        <v>222.00000000000003</v>
      </c>
      <c r="AR473" s="653">
        <f t="shared" si="1278"/>
        <v>222.00000000000003</v>
      </c>
      <c r="AS473" s="40">
        <f t="shared" si="1278"/>
        <v>231.99999999999997</v>
      </c>
      <c r="AT473" s="630">
        <f t="shared" ref="AT473:AU473" si="1279">+AT387*(1-AT462)</f>
        <v>238</v>
      </c>
      <c r="AU473" s="653">
        <f t="shared" si="1279"/>
        <v>238</v>
      </c>
      <c r="AV473" s="10">
        <f t="shared" si="1268"/>
        <v>230</v>
      </c>
      <c r="AW473" s="236">
        <f t="shared" si="1268"/>
        <v>227.25</v>
      </c>
      <c r="AX473" s="605">
        <f t="shared" si="1273"/>
        <v>227.25</v>
      </c>
      <c r="AY473" s="56">
        <f t="shared" si="1269"/>
        <v>208.5</v>
      </c>
      <c r="AZ473" s="236">
        <f t="shared" si="1269"/>
        <v>208.5</v>
      </c>
      <c r="BA473" s="605">
        <f t="shared" si="1273"/>
        <v>208.5</v>
      </c>
      <c r="BB473" s="56">
        <f t="shared" si="1270"/>
        <v>189.75</v>
      </c>
      <c r="BC473" s="236">
        <f t="shared" si="1270"/>
        <v>189.75</v>
      </c>
      <c r="BD473" s="605">
        <f t="shared" si="1273"/>
        <v>189.75</v>
      </c>
      <c r="BE473" s="56">
        <f t="shared" si="1271"/>
        <v>171</v>
      </c>
      <c r="BF473" s="236">
        <f t="shared" si="1271"/>
        <v>171</v>
      </c>
      <c r="BG473" s="605">
        <f t="shared" si="1273"/>
        <v>171</v>
      </c>
      <c r="BH473" s="56">
        <f t="shared" si="1272"/>
        <v>152.25</v>
      </c>
      <c r="BI473" s="236">
        <f t="shared" si="1272"/>
        <v>152.25</v>
      </c>
      <c r="BJ473" s="605">
        <f t="shared" si="1273"/>
        <v>152.25</v>
      </c>
    </row>
    <row r="474" spans="1:63">
      <c r="A474" s="101" t="s">
        <v>257</v>
      </c>
      <c r="B474" s="40"/>
      <c r="C474" s="40">
        <f t="shared" ref="C474:BJ474" si="1280">+C388*(1-C463)</f>
        <v>0</v>
      </c>
      <c r="D474" s="40">
        <f t="shared" si="1280"/>
        <v>0</v>
      </c>
      <c r="E474" s="40">
        <f t="shared" si="1280"/>
        <v>0</v>
      </c>
      <c r="F474" s="40">
        <f t="shared" si="1280"/>
        <v>0</v>
      </c>
      <c r="G474" s="40">
        <f t="shared" si="1280"/>
        <v>0</v>
      </c>
      <c r="H474" s="40">
        <f t="shared" si="1280"/>
        <v>16</v>
      </c>
      <c r="I474" s="40">
        <f t="shared" si="1280"/>
        <v>20</v>
      </c>
      <c r="J474" s="40">
        <f t="shared" si="1280"/>
        <v>27</v>
      </c>
      <c r="K474" s="40">
        <f t="shared" si="1280"/>
        <v>62.333333333333329</v>
      </c>
      <c r="L474" s="40">
        <f t="shared" si="1280"/>
        <v>90.35294117647058</v>
      </c>
      <c r="M474" s="40">
        <f t="shared" si="1280"/>
        <v>133</v>
      </c>
      <c r="N474" s="40">
        <f t="shared" si="1280"/>
        <v>204.63157894736844</v>
      </c>
      <c r="O474" s="40">
        <f t="shared" si="1280"/>
        <v>244</v>
      </c>
      <c r="P474" s="40">
        <f t="shared" si="1280"/>
        <v>280</v>
      </c>
      <c r="Q474" s="40">
        <f t="shared" si="1280"/>
        <v>304</v>
      </c>
      <c r="R474" s="40"/>
      <c r="S474" s="630"/>
      <c r="T474" s="653">
        <f t="shared" si="1280"/>
        <v>332</v>
      </c>
      <c r="U474" s="40"/>
      <c r="V474" s="630"/>
      <c r="W474" s="653">
        <f t="shared" si="1280"/>
        <v>360</v>
      </c>
      <c r="X474" s="40"/>
      <c r="Y474" s="630"/>
      <c r="Z474" s="653">
        <f t="shared" si="1280"/>
        <v>400</v>
      </c>
      <c r="AA474" s="40">
        <f t="shared" ref="AA474:AB474" si="1281">+AA388*(1-AA463)</f>
        <v>416</v>
      </c>
      <c r="AB474" s="630">
        <f t="shared" si="1281"/>
        <v>428</v>
      </c>
      <c r="AC474" s="653">
        <f t="shared" si="1280"/>
        <v>428</v>
      </c>
      <c r="AD474" s="40">
        <f t="shared" ref="AD474:AE474" si="1282">+AD388*(1-AD463)</f>
        <v>23.999999999999986</v>
      </c>
      <c r="AE474" s="630">
        <f t="shared" si="1282"/>
        <v>68</v>
      </c>
      <c r="AF474" s="653">
        <f t="shared" si="1280"/>
        <v>68</v>
      </c>
      <c r="AG474" s="40">
        <f t="shared" si="1280"/>
        <v>92</v>
      </c>
      <c r="AH474" s="630">
        <f t="shared" si="1261"/>
        <v>167.99999999999997</v>
      </c>
      <c r="AI474" s="653">
        <f t="shared" si="1280"/>
        <v>167.99999999999997</v>
      </c>
      <c r="AJ474" s="40">
        <f t="shared" si="1262"/>
        <v>220</v>
      </c>
      <c r="AK474" s="630">
        <f t="shared" ref="AK474" si="1283">+AK388*(1-AK463)</f>
        <v>252</v>
      </c>
      <c r="AL474" s="653">
        <f t="shared" si="1280"/>
        <v>252</v>
      </c>
      <c r="AM474" s="40">
        <f t="shared" ref="AM474" si="1284">+AM388*(1-AM463)</f>
        <v>280</v>
      </c>
      <c r="AN474" s="630">
        <f t="shared" si="1265"/>
        <v>300</v>
      </c>
      <c r="AO474" s="653">
        <f t="shared" si="1265"/>
        <v>300</v>
      </c>
      <c r="AP474" s="40">
        <f t="shared" si="1265"/>
        <v>304</v>
      </c>
      <c r="AQ474" s="630">
        <f t="shared" ref="AQ474:AS474" si="1285">+AQ388*(1-AQ463)</f>
        <v>320</v>
      </c>
      <c r="AR474" s="653">
        <f t="shared" si="1285"/>
        <v>320</v>
      </c>
      <c r="AS474" s="40">
        <f t="shared" si="1285"/>
        <v>324</v>
      </c>
      <c r="AT474" s="630">
        <f t="shared" ref="AT474:AU474" si="1286">+AT388*(1-AT463)</f>
        <v>324</v>
      </c>
      <c r="AU474" s="653">
        <f t="shared" si="1286"/>
        <v>324</v>
      </c>
      <c r="AV474" s="10">
        <f t="shared" si="1268"/>
        <v>320</v>
      </c>
      <c r="AW474" s="236">
        <f t="shared" si="1268"/>
        <v>331.2</v>
      </c>
      <c r="AX474" s="605">
        <f t="shared" si="1280"/>
        <v>331.2</v>
      </c>
      <c r="AY474" s="56">
        <f t="shared" si="1269"/>
        <v>313.2</v>
      </c>
      <c r="AZ474" s="236">
        <f t="shared" si="1269"/>
        <v>313.2</v>
      </c>
      <c r="BA474" s="605">
        <f t="shared" si="1280"/>
        <v>313.2</v>
      </c>
      <c r="BB474" s="56">
        <f t="shared" si="1270"/>
        <v>295.2</v>
      </c>
      <c r="BC474" s="236">
        <f t="shared" si="1270"/>
        <v>295.2</v>
      </c>
      <c r="BD474" s="605">
        <f t="shared" si="1280"/>
        <v>295.2</v>
      </c>
      <c r="BE474" s="56">
        <f t="shared" si="1271"/>
        <v>277.2</v>
      </c>
      <c r="BF474" s="236">
        <f t="shared" si="1271"/>
        <v>277.2</v>
      </c>
      <c r="BG474" s="605">
        <f t="shared" si="1280"/>
        <v>277.2</v>
      </c>
      <c r="BH474" s="56">
        <f t="shared" si="1272"/>
        <v>259.2</v>
      </c>
      <c r="BI474" s="236">
        <f t="shared" si="1272"/>
        <v>259.2</v>
      </c>
      <c r="BJ474" s="605">
        <f t="shared" si="1280"/>
        <v>259.2</v>
      </c>
    </row>
    <row r="475" spans="1:63">
      <c r="A475" s="101" t="s">
        <v>258</v>
      </c>
      <c r="B475" s="40"/>
      <c r="C475" s="40">
        <f t="shared" ref="C475:BJ475" si="1287">+C389*(1-C464)</f>
        <v>0</v>
      </c>
      <c r="D475" s="40">
        <f t="shared" si="1287"/>
        <v>0</v>
      </c>
      <c r="E475" s="40">
        <f t="shared" si="1287"/>
        <v>0</v>
      </c>
      <c r="F475" s="40">
        <f t="shared" si="1287"/>
        <v>0</v>
      </c>
      <c r="G475" s="40">
        <f t="shared" si="1287"/>
        <v>0</v>
      </c>
      <c r="H475" s="40">
        <f t="shared" si="1287"/>
        <v>0</v>
      </c>
      <c r="I475" s="40">
        <f t="shared" si="1287"/>
        <v>0</v>
      </c>
      <c r="J475" s="40">
        <f t="shared" si="1287"/>
        <v>0</v>
      </c>
      <c r="K475" s="40">
        <f t="shared" si="1287"/>
        <v>0</v>
      </c>
      <c r="L475" s="40">
        <f t="shared" si="1287"/>
        <v>0</v>
      </c>
      <c r="M475" s="40">
        <f t="shared" si="1287"/>
        <v>14</v>
      </c>
      <c r="N475" s="40">
        <f t="shared" si="1287"/>
        <v>44.571428571428577</v>
      </c>
      <c r="O475" s="40">
        <f t="shared" si="1287"/>
        <v>84</v>
      </c>
      <c r="P475" s="40">
        <f t="shared" si="1287"/>
        <v>164</v>
      </c>
      <c r="Q475" s="40">
        <f t="shared" si="1287"/>
        <v>260</v>
      </c>
      <c r="R475" s="40"/>
      <c r="S475" s="630"/>
      <c r="T475" s="653">
        <f t="shared" si="1287"/>
        <v>384</v>
      </c>
      <c r="U475" s="40"/>
      <c r="V475" s="630"/>
      <c r="W475" s="653">
        <f t="shared" si="1287"/>
        <v>476</v>
      </c>
      <c r="X475" s="40"/>
      <c r="Y475" s="630"/>
      <c r="Z475" s="653">
        <f t="shared" si="1287"/>
        <v>546</v>
      </c>
      <c r="AA475" s="40">
        <f t="shared" ref="AA475:AB475" si="1288">+AA389*(1-AA464)</f>
        <v>602</v>
      </c>
      <c r="AB475" s="630">
        <f t="shared" si="1288"/>
        <v>658</v>
      </c>
      <c r="AC475" s="653">
        <f t="shared" si="1287"/>
        <v>658</v>
      </c>
      <c r="AD475" s="40">
        <f t="shared" ref="AD475:AE475" si="1289">+AD389*(1-AD464)</f>
        <v>454</v>
      </c>
      <c r="AE475" s="630">
        <f t="shared" si="1289"/>
        <v>538</v>
      </c>
      <c r="AF475" s="653">
        <f t="shared" si="1287"/>
        <v>538</v>
      </c>
      <c r="AG475" s="40">
        <f t="shared" si="1287"/>
        <v>566</v>
      </c>
      <c r="AH475" s="630">
        <f t="shared" si="1261"/>
        <v>604</v>
      </c>
      <c r="AI475" s="653">
        <f t="shared" si="1287"/>
        <v>604</v>
      </c>
      <c r="AJ475" s="40">
        <f t="shared" si="1262"/>
        <v>630</v>
      </c>
      <c r="AK475" s="630">
        <f t="shared" ref="AK475" si="1290">+AK389*(1-AK464)</f>
        <v>662</v>
      </c>
      <c r="AL475" s="653">
        <f t="shared" si="1287"/>
        <v>662</v>
      </c>
      <c r="AM475" s="40">
        <f t="shared" ref="AM475" si="1291">+AM389*(1-AM464)</f>
        <v>696</v>
      </c>
      <c r="AN475" s="630">
        <f t="shared" si="1265"/>
        <v>738</v>
      </c>
      <c r="AO475" s="653">
        <f t="shared" si="1265"/>
        <v>738</v>
      </c>
      <c r="AP475" s="40">
        <f t="shared" si="1265"/>
        <v>744</v>
      </c>
      <c r="AQ475" s="630">
        <f t="shared" ref="AQ475:AS475" si="1292">+AQ389*(1-AQ464)</f>
        <v>740</v>
      </c>
      <c r="AR475" s="653">
        <f t="shared" si="1292"/>
        <v>740</v>
      </c>
      <c r="AS475" s="40">
        <f t="shared" si="1292"/>
        <v>780</v>
      </c>
      <c r="AT475" s="630">
        <f t="shared" ref="AT475:AU475" si="1293">+AT389*(1-AT464)</f>
        <v>778</v>
      </c>
      <c r="AU475" s="653">
        <f t="shared" si="1293"/>
        <v>778</v>
      </c>
      <c r="AV475" s="10">
        <f t="shared" si="1268"/>
        <v>822</v>
      </c>
      <c r="AW475" s="236">
        <f t="shared" si="1268"/>
        <v>822.61363636363626</v>
      </c>
      <c r="AX475" s="605">
        <f t="shared" si="1287"/>
        <v>822.61363636363626</v>
      </c>
      <c r="AY475" s="56">
        <f t="shared" si="1269"/>
        <v>862.01069518716577</v>
      </c>
      <c r="AZ475" s="236">
        <f t="shared" si="1269"/>
        <v>862.01069518716577</v>
      </c>
      <c r="BA475" s="605">
        <f t="shared" si="1287"/>
        <v>862.01069518716577</v>
      </c>
      <c r="BB475" s="56">
        <f t="shared" si="1270"/>
        <v>901.40775401069516</v>
      </c>
      <c r="BC475" s="236">
        <f t="shared" si="1270"/>
        <v>901.40775401069516</v>
      </c>
      <c r="BD475" s="605">
        <f t="shared" si="1287"/>
        <v>901.40775401069516</v>
      </c>
      <c r="BE475" s="56">
        <f t="shared" si="1271"/>
        <v>940.80481283422455</v>
      </c>
      <c r="BF475" s="236">
        <f t="shared" si="1271"/>
        <v>940.80481283422455</v>
      </c>
      <c r="BG475" s="605">
        <f t="shared" si="1287"/>
        <v>940.80481283422455</v>
      </c>
      <c r="BH475" s="56">
        <f t="shared" si="1272"/>
        <v>980.20187165775394</v>
      </c>
      <c r="BI475" s="236">
        <f t="shared" si="1272"/>
        <v>980.20187165775394</v>
      </c>
      <c r="BJ475" s="605">
        <f t="shared" si="1287"/>
        <v>980.20187165775394</v>
      </c>
    </row>
    <row r="476" spans="1:63">
      <c r="A476" s="101" t="s">
        <v>486</v>
      </c>
      <c r="B476" s="40"/>
      <c r="C476" s="40">
        <f t="shared" ref="C476:BJ476" si="1294">+C390*(1-C465)</f>
        <v>0</v>
      </c>
      <c r="D476" s="40">
        <f t="shared" si="1294"/>
        <v>0</v>
      </c>
      <c r="E476" s="40">
        <f t="shared" si="1294"/>
        <v>0</v>
      </c>
      <c r="F476" s="40">
        <f t="shared" si="1294"/>
        <v>0</v>
      </c>
      <c r="G476" s="40">
        <f t="shared" si="1294"/>
        <v>0</v>
      </c>
      <c r="H476" s="40">
        <f t="shared" si="1294"/>
        <v>0</v>
      </c>
      <c r="I476" s="40">
        <f t="shared" si="1294"/>
        <v>0</v>
      </c>
      <c r="J476" s="40">
        <f t="shared" si="1294"/>
        <v>0</v>
      </c>
      <c r="K476" s="40">
        <f t="shared" si="1294"/>
        <v>0</v>
      </c>
      <c r="L476" s="40">
        <f t="shared" si="1294"/>
        <v>0</v>
      </c>
      <c r="M476" s="40">
        <f t="shared" si="1294"/>
        <v>0</v>
      </c>
      <c r="N476" s="40">
        <f t="shared" si="1294"/>
        <v>0</v>
      </c>
      <c r="O476" s="40">
        <f t="shared" si="1294"/>
        <v>0</v>
      </c>
      <c r="P476" s="40">
        <f t="shared" si="1294"/>
        <v>1.9999999999999996</v>
      </c>
      <c r="Q476" s="40">
        <f t="shared" si="1294"/>
        <v>30</v>
      </c>
      <c r="R476" s="40"/>
      <c r="S476" s="630"/>
      <c r="T476" s="653">
        <f t="shared" si="1294"/>
        <v>124</v>
      </c>
      <c r="U476" s="40"/>
      <c r="V476" s="630"/>
      <c r="W476" s="653">
        <f t="shared" si="1294"/>
        <v>278</v>
      </c>
      <c r="X476" s="40"/>
      <c r="Y476" s="630"/>
      <c r="Z476" s="653">
        <f t="shared" si="1294"/>
        <v>432</v>
      </c>
      <c r="AA476" s="40">
        <f t="shared" ref="AA476:AB476" si="1295">+AA390*(1-AA465)</f>
        <v>520</v>
      </c>
      <c r="AB476" s="630">
        <f t="shared" si="1295"/>
        <v>590</v>
      </c>
      <c r="AC476" s="653">
        <f t="shared" si="1294"/>
        <v>590</v>
      </c>
      <c r="AD476" s="40">
        <f t="shared" ref="AD476:AE476" si="1296">+AD390*(1-AD465)</f>
        <v>470</v>
      </c>
      <c r="AE476" s="630">
        <f t="shared" si="1296"/>
        <v>562</v>
      </c>
      <c r="AF476" s="653">
        <f t="shared" si="1294"/>
        <v>562</v>
      </c>
      <c r="AG476" s="40">
        <f t="shared" si="1294"/>
        <v>616</v>
      </c>
      <c r="AH476" s="630">
        <f t="shared" si="1261"/>
        <v>666</v>
      </c>
      <c r="AI476" s="653">
        <f t="shared" si="1294"/>
        <v>666</v>
      </c>
      <c r="AJ476" s="40">
        <f t="shared" si="1262"/>
        <v>712</v>
      </c>
      <c r="AK476" s="630">
        <f t="shared" ref="AK476" si="1297">+AK390*(1-AK465)</f>
        <v>762</v>
      </c>
      <c r="AL476" s="653">
        <f t="shared" si="1294"/>
        <v>762</v>
      </c>
      <c r="AM476" s="40">
        <f t="shared" ref="AM476" si="1298">+AM390*(1-AM465)</f>
        <v>864</v>
      </c>
      <c r="AN476" s="630">
        <f t="shared" si="1265"/>
        <v>951.99999999999989</v>
      </c>
      <c r="AO476" s="653">
        <f t="shared" si="1265"/>
        <v>951.99999999999989</v>
      </c>
      <c r="AP476" s="40">
        <f t="shared" si="1265"/>
        <v>1010</v>
      </c>
      <c r="AQ476" s="630">
        <f t="shared" ref="AQ476:AS476" si="1299">+AQ390*(1-AQ465)</f>
        <v>1064</v>
      </c>
      <c r="AR476" s="653">
        <f t="shared" si="1299"/>
        <v>1064</v>
      </c>
      <c r="AS476" s="40">
        <f t="shared" si="1299"/>
        <v>1112</v>
      </c>
      <c r="AT476" s="630">
        <f t="shared" ref="AT476:AU476" si="1300">+AT390*(1-AT465)</f>
        <v>1160</v>
      </c>
      <c r="AU476" s="653">
        <f t="shared" si="1300"/>
        <v>1160</v>
      </c>
      <c r="AV476" s="10">
        <f t="shared" si="1268"/>
        <v>1206</v>
      </c>
      <c r="AW476" s="236">
        <f t="shared" si="1268"/>
        <v>1224.1176470588234</v>
      </c>
      <c r="AX476" s="605">
        <f t="shared" si="1294"/>
        <v>1224.1176470588234</v>
      </c>
      <c r="AY476" s="56">
        <f t="shared" si="1269"/>
        <v>1362.2571819425443</v>
      </c>
      <c r="AZ476" s="236">
        <f t="shared" si="1269"/>
        <v>1362.2571819425443</v>
      </c>
      <c r="BA476" s="605">
        <f t="shared" si="1294"/>
        <v>1362.2571819425443</v>
      </c>
      <c r="BB476" s="56">
        <f t="shared" si="1270"/>
        <v>1517.1143247996872</v>
      </c>
      <c r="BC476" s="236">
        <f t="shared" si="1270"/>
        <v>1517.1143247996872</v>
      </c>
      <c r="BD476" s="605">
        <f t="shared" si="1294"/>
        <v>1517.1143247996872</v>
      </c>
      <c r="BE476" s="56">
        <f t="shared" si="1271"/>
        <v>1686.828610513973</v>
      </c>
      <c r="BF476" s="236">
        <f t="shared" si="1271"/>
        <v>1686.828610513973</v>
      </c>
      <c r="BG476" s="605">
        <f t="shared" si="1294"/>
        <v>1686.828610513973</v>
      </c>
      <c r="BH476" s="56">
        <f t="shared" si="1272"/>
        <v>1856.5428962282588</v>
      </c>
      <c r="BI476" s="236">
        <f t="shared" si="1272"/>
        <v>1856.5428962282588</v>
      </c>
      <c r="BJ476" s="605">
        <f t="shared" si="1294"/>
        <v>1856.5428962282588</v>
      </c>
    </row>
    <row r="477" spans="1:63">
      <c r="A477" s="101" t="s">
        <v>487</v>
      </c>
      <c r="B477" s="40"/>
      <c r="C477" s="40">
        <f t="shared" ref="C477:BJ477" si="1301">+C391*(1-C466)</f>
        <v>0</v>
      </c>
      <c r="D477" s="40">
        <f t="shared" si="1301"/>
        <v>0</v>
      </c>
      <c r="E477" s="40">
        <f t="shared" si="1301"/>
        <v>0</v>
      </c>
      <c r="F477" s="40">
        <f t="shared" si="1301"/>
        <v>0</v>
      </c>
      <c r="G477" s="40">
        <f t="shared" si="1301"/>
        <v>0</v>
      </c>
      <c r="H477" s="40">
        <f t="shared" si="1301"/>
        <v>0</v>
      </c>
      <c r="I477" s="40">
        <f t="shared" si="1301"/>
        <v>0</v>
      </c>
      <c r="J477" s="40">
        <f t="shared" si="1301"/>
        <v>0</v>
      </c>
      <c r="K477" s="40">
        <f t="shared" si="1301"/>
        <v>0</v>
      </c>
      <c r="L477" s="40">
        <f t="shared" si="1301"/>
        <v>0</v>
      </c>
      <c r="M477" s="40">
        <f t="shared" si="1301"/>
        <v>0</v>
      </c>
      <c r="N477" s="40">
        <f t="shared" si="1301"/>
        <v>0</v>
      </c>
      <c r="O477" s="40">
        <f t="shared" si="1301"/>
        <v>0</v>
      </c>
      <c r="P477" s="40">
        <f t="shared" si="1301"/>
        <v>0</v>
      </c>
      <c r="Q477" s="40">
        <f t="shared" si="1301"/>
        <v>0</v>
      </c>
      <c r="R477" s="40"/>
      <c r="S477" s="630"/>
      <c r="T477" s="653">
        <f t="shared" si="1301"/>
        <v>0</v>
      </c>
      <c r="U477" s="40"/>
      <c r="V477" s="630"/>
      <c r="W477" s="653">
        <f t="shared" si="1301"/>
        <v>6</v>
      </c>
      <c r="X477" s="40"/>
      <c r="Y477" s="630"/>
      <c r="Z477" s="653">
        <f t="shared" si="1301"/>
        <v>44</v>
      </c>
      <c r="AA477" s="40">
        <f t="shared" ref="AA477:AB477" si="1302">+AA391*(1-AA466)</f>
        <v>41.999999999999993</v>
      </c>
      <c r="AB477" s="630">
        <f t="shared" si="1302"/>
        <v>70</v>
      </c>
      <c r="AC477" s="653">
        <f t="shared" si="1301"/>
        <v>70</v>
      </c>
      <c r="AD477" s="40">
        <f t="shared" ref="AD477:AE477" si="1303">+AD391*(1-AD466)</f>
        <v>76</v>
      </c>
      <c r="AE477" s="630">
        <f t="shared" si="1303"/>
        <v>96</v>
      </c>
      <c r="AF477" s="653">
        <f t="shared" si="1301"/>
        <v>96</v>
      </c>
      <c r="AG477" s="40">
        <f t="shared" si="1301"/>
        <v>98</v>
      </c>
      <c r="AH477" s="630">
        <f t="shared" si="1261"/>
        <v>98</v>
      </c>
      <c r="AI477" s="653">
        <f t="shared" si="1301"/>
        <v>98</v>
      </c>
      <c r="AJ477" s="40">
        <f t="shared" si="1262"/>
        <v>114</v>
      </c>
      <c r="AK477" s="630">
        <f t="shared" ref="AK477" si="1304">+AK391*(1-AK466)</f>
        <v>124</v>
      </c>
      <c r="AL477" s="653">
        <f t="shared" si="1301"/>
        <v>124</v>
      </c>
      <c r="AM477" s="40">
        <f t="shared" ref="AM477" si="1305">+AM391*(1-AM466)</f>
        <v>148</v>
      </c>
      <c r="AN477" s="630">
        <f t="shared" si="1265"/>
        <v>162</v>
      </c>
      <c r="AO477" s="653">
        <f t="shared" si="1265"/>
        <v>162</v>
      </c>
      <c r="AP477" s="40">
        <f t="shared" si="1265"/>
        <v>168</v>
      </c>
      <c r="AQ477" s="630">
        <f t="shared" ref="AQ477:AS477" si="1306">+AQ391*(1-AQ466)</f>
        <v>186</v>
      </c>
      <c r="AR477" s="653">
        <f t="shared" si="1306"/>
        <v>186</v>
      </c>
      <c r="AS477" s="40">
        <f t="shared" si="1306"/>
        <v>192</v>
      </c>
      <c r="AT477" s="630">
        <f t="shared" ref="AT477:AU477" si="1307">+AT391*(1-AT466)</f>
        <v>212</v>
      </c>
      <c r="AU477" s="653">
        <f t="shared" si="1307"/>
        <v>212</v>
      </c>
      <c r="AV477" s="10">
        <f t="shared" si="1268"/>
        <v>224</v>
      </c>
      <c r="AW477" s="236">
        <f t="shared" si="1268"/>
        <v>239.51612903225805</v>
      </c>
      <c r="AX477" s="605">
        <f t="shared" si="1301"/>
        <v>239.51612903225805</v>
      </c>
      <c r="AY477" s="56">
        <f t="shared" si="1269"/>
        <v>281.91104594330398</v>
      </c>
      <c r="AZ477" s="236">
        <f t="shared" si="1269"/>
        <v>281.91104594330398</v>
      </c>
      <c r="BA477" s="605">
        <f t="shared" si="1301"/>
        <v>281.91104594330398</v>
      </c>
      <c r="BB477" s="56">
        <f t="shared" si="1270"/>
        <v>330.37806911620953</v>
      </c>
      <c r="BC477" s="236">
        <f t="shared" si="1270"/>
        <v>330.37806911620953</v>
      </c>
      <c r="BD477" s="605">
        <f t="shared" si="1301"/>
        <v>330.37806911620953</v>
      </c>
      <c r="BE477" s="56">
        <f t="shared" si="1271"/>
        <v>383.90748088091539</v>
      </c>
      <c r="BF477" s="236">
        <f t="shared" si="1271"/>
        <v>383.90748088091539</v>
      </c>
      <c r="BG477" s="605">
        <f t="shared" si="1301"/>
        <v>383.90748088091539</v>
      </c>
      <c r="BH477" s="56">
        <f t="shared" si="1272"/>
        <v>439.78983382209185</v>
      </c>
      <c r="BI477" s="236">
        <f t="shared" si="1272"/>
        <v>439.78983382209185</v>
      </c>
      <c r="BJ477" s="605">
        <f t="shared" si="1301"/>
        <v>439.78983382209185</v>
      </c>
    </row>
    <row r="478" spans="1:63">
      <c r="A478" s="101" t="s">
        <v>277</v>
      </c>
      <c r="B478" s="40"/>
      <c r="C478" s="40">
        <f t="shared" ref="C478:BJ478" si="1308">+C392*(1-C467)</f>
        <v>0</v>
      </c>
      <c r="D478" s="40">
        <f t="shared" si="1308"/>
        <v>0</v>
      </c>
      <c r="E478" s="40">
        <f t="shared" si="1308"/>
        <v>0</v>
      </c>
      <c r="F478" s="40">
        <f t="shared" si="1308"/>
        <v>0</v>
      </c>
      <c r="G478" s="40">
        <f t="shared" si="1308"/>
        <v>0</v>
      </c>
      <c r="H478" s="40">
        <f t="shared" si="1308"/>
        <v>0</v>
      </c>
      <c r="I478" s="40">
        <f t="shared" si="1308"/>
        <v>0</v>
      </c>
      <c r="J478" s="40">
        <f t="shared" si="1308"/>
        <v>0</v>
      </c>
      <c r="K478" s="40">
        <f t="shared" si="1308"/>
        <v>0</v>
      </c>
      <c r="L478" s="40">
        <f t="shared" si="1308"/>
        <v>0</v>
      </c>
      <c r="M478" s="40">
        <f t="shared" si="1308"/>
        <v>0</v>
      </c>
      <c r="N478" s="40">
        <f t="shared" si="1308"/>
        <v>0</v>
      </c>
      <c r="O478" s="40">
        <f t="shared" si="1308"/>
        <v>0</v>
      </c>
      <c r="P478" s="40">
        <f t="shared" si="1308"/>
        <v>0</v>
      </c>
      <c r="Q478" s="40">
        <f t="shared" si="1308"/>
        <v>0</v>
      </c>
      <c r="R478" s="40"/>
      <c r="S478" s="630"/>
      <c r="T478" s="653">
        <f t="shared" si="1308"/>
        <v>0</v>
      </c>
      <c r="U478" s="40"/>
      <c r="V478" s="630"/>
      <c r="W478" s="653">
        <f t="shared" si="1308"/>
        <v>0</v>
      </c>
      <c r="X478" s="40"/>
      <c r="Y478" s="630"/>
      <c r="Z478" s="653">
        <f t="shared" si="1308"/>
        <v>12</v>
      </c>
      <c r="AA478" s="40">
        <f t="shared" ref="AA478:AB478" si="1309">+AA392*(1-AA467)</f>
        <v>32.000000000000007</v>
      </c>
      <c r="AB478" s="630">
        <f t="shared" si="1309"/>
        <v>80</v>
      </c>
      <c r="AC478" s="653">
        <f t="shared" si="1308"/>
        <v>80</v>
      </c>
      <c r="AD478" s="40">
        <f t="shared" ref="AD478:AE478" si="1310">+AD392*(1-AD467)</f>
        <v>52</v>
      </c>
      <c r="AE478" s="630">
        <f t="shared" si="1310"/>
        <v>90</v>
      </c>
      <c r="AF478" s="653">
        <f t="shared" si="1308"/>
        <v>90</v>
      </c>
      <c r="AG478" s="40">
        <f t="shared" si="1308"/>
        <v>94</v>
      </c>
      <c r="AH478" s="630">
        <f t="shared" si="1261"/>
        <v>130</v>
      </c>
      <c r="AI478" s="653">
        <f t="shared" si="1308"/>
        <v>130</v>
      </c>
      <c r="AJ478" s="40">
        <f t="shared" si="1262"/>
        <v>144</v>
      </c>
      <c r="AK478" s="630">
        <f t="shared" ref="AK478" si="1311">+AK392*(1-AK467)</f>
        <v>170</v>
      </c>
      <c r="AL478" s="653">
        <f t="shared" si="1308"/>
        <v>170</v>
      </c>
      <c r="AM478" s="40">
        <f t="shared" ref="AM478" si="1312">+AM392*(1-AM467)</f>
        <v>196</v>
      </c>
      <c r="AN478" s="630">
        <f t="shared" si="1265"/>
        <v>220</v>
      </c>
      <c r="AO478" s="653">
        <f t="shared" si="1265"/>
        <v>220</v>
      </c>
      <c r="AP478" s="40">
        <f t="shared" si="1265"/>
        <v>258</v>
      </c>
      <c r="AQ478" s="630">
        <f t="shared" ref="AQ478:AS478" si="1313">+AQ392*(1-AQ467)</f>
        <v>294</v>
      </c>
      <c r="AR478" s="653">
        <f t="shared" si="1313"/>
        <v>294</v>
      </c>
      <c r="AS478" s="40">
        <f t="shared" si="1313"/>
        <v>312</v>
      </c>
      <c r="AT478" s="630">
        <f t="shared" ref="AT478:AU478" si="1314">+AT392*(1-AT467)</f>
        <v>352</v>
      </c>
      <c r="AU478" s="653">
        <f t="shared" si="1314"/>
        <v>352</v>
      </c>
      <c r="AV478" s="10">
        <f t="shared" si="1268"/>
        <v>358</v>
      </c>
      <c r="AW478" s="236">
        <f t="shared" si="1268"/>
        <v>413.86470588235289</v>
      </c>
      <c r="AX478" s="605">
        <f t="shared" si="1308"/>
        <v>413.86470588235289</v>
      </c>
      <c r="AY478" s="56">
        <f t="shared" si="1269"/>
        <v>482.87941176470582</v>
      </c>
      <c r="AZ478" s="236">
        <f t="shared" si="1269"/>
        <v>482.87941176470582</v>
      </c>
      <c r="BA478" s="605">
        <f t="shared" si="1308"/>
        <v>482.87941176470582</v>
      </c>
      <c r="BB478" s="56">
        <f t="shared" si="1270"/>
        <v>551.89411764705869</v>
      </c>
      <c r="BC478" s="236">
        <f t="shared" si="1270"/>
        <v>551.89411764705869</v>
      </c>
      <c r="BD478" s="605">
        <f t="shared" si="1308"/>
        <v>551.89411764705869</v>
      </c>
      <c r="BE478" s="56">
        <f t="shared" si="1271"/>
        <v>622.05840336134452</v>
      </c>
      <c r="BF478" s="236">
        <f t="shared" si="1271"/>
        <v>622.05840336134452</v>
      </c>
      <c r="BG478" s="605">
        <f t="shared" si="1308"/>
        <v>622.05840336134452</v>
      </c>
      <c r="BH478" s="56">
        <f t="shared" si="1272"/>
        <v>692.22268907563023</v>
      </c>
      <c r="BI478" s="236">
        <f t="shared" si="1272"/>
        <v>692.22268907563023</v>
      </c>
      <c r="BJ478" s="605">
        <f t="shared" si="1308"/>
        <v>692.22268907563023</v>
      </c>
    </row>
    <row r="479" spans="1:63">
      <c r="A479" s="82" t="s">
        <v>561</v>
      </c>
      <c r="B479" s="82"/>
      <c r="C479" s="82">
        <f t="shared" ref="C479:BJ479" si="1315">+SUM(C471:C478)</f>
        <v>486</v>
      </c>
      <c r="D479" s="82">
        <f t="shared" si="1315"/>
        <v>595.68539325842698</v>
      </c>
      <c r="E479" s="82">
        <f t="shared" si="1315"/>
        <v>742</v>
      </c>
      <c r="F479" s="82">
        <f t="shared" si="1315"/>
        <v>869.125</v>
      </c>
      <c r="G479" s="82">
        <f t="shared" si="1315"/>
        <v>1008.5454545454545</v>
      </c>
      <c r="H479" s="82">
        <f t="shared" si="1315"/>
        <v>1194.8266666666666</v>
      </c>
      <c r="I479" s="82">
        <f t="shared" si="1315"/>
        <v>1307.6288659793813</v>
      </c>
      <c r="J479" s="82">
        <f t="shared" si="1315"/>
        <v>1412.3269541778975</v>
      </c>
      <c r="K479" s="82">
        <f t="shared" si="1315"/>
        <v>1586.7948717948718</v>
      </c>
      <c r="L479" s="82">
        <f t="shared" si="1315"/>
        <v>1722.2925477355516</v>
      </c>
      <c r="M479" s="82">
        <f t="shared" si="1315"/>
        <v>1898.2892561983472</v>
      </c>
      <c r="N479" s="82">
        <f t="shared" si="1315"/>
        <v>2129.2030075187968</v>
      </c>
      <c r="O479" s="82">
        <f t="shared" si="1315"/>
        <v>2318</v>
      </c>
      <c r="P479" s="82">
        <f t="shared" si="1315"/>
        <v>2544</v>
      </c>
      <c r="Q479" s="82">
        <f t="shared" si="1315"/>
        <v>2696</v>
      </c>
      <c r="R479" s="82"/>
      <c r="S479" s="694"/>
      <c r="T479" s="709">
        <f t="shared" si="1315"/>
        <v>2988</v>
      </c>
      <c r="U479" s="82"/>
      <c r="V479" s="694"/>
      <c r="W479" s="709">
        <f t="shared" si="1315"/>
        <v>3320</v>
      </c>
      <c r="X479" s="82"/>
      <c r="Y479" s="694"/>
      <c r="Z479" s="709">
        <f t="shared" si="1315"/>
        <v>3688</v>
      </c>
      <c r="AA479" s="82">
        <f t="shared" si="1315"/>
        <v>3832</v>
      </c>
      <c r="AB479" s="694">
        <f t="shared" si="1315"/>
        <v>3992</v>
      </c>
      <c r="AC479" s="709">
        <f t="shared" si="1315"/>
        <v>3992</v>
      </c>
      <c r="AD479" s="82">
        <f t="shared" si="1315"/>
        <v>2256</v>
      </c>
      <c r="AE479" s="694">
        <f t="shared" si="1315"/>
        <v>2610</v>
      </c>
      <c r="AF479" s="709">
        <f t="shared" si="1315"/>
        <v>2610</v>
      </c>
      <c r="AG479" s="82">
        <f t="shared" ref="AG479:AH479" si="1316">+SUM(AG471:AG478)</f>
        <v>2764</v>
      </c>
      <c r="AH479" s="694">
        <f t="shared" si="1316"/>
        <v>3080</v>
      </c>
      <c r="AI479" s="709">
        <f t="shared" si="1315"/>
        <v>3080</v>
      </c>
      <c r="AJ479" s="82">
        <f t="shared" si="1315"/>
        <v>3278</v>
      </c>
      <c r="AK479" s="694">
        <f t="shared" ref="AK479" si="1317">+SUM(AK471:AK478)</f>
        <v>3412</v>
      </c>
      <c r="AL479" s="709">
        <f t="shared" si="1315"/>
        <v>3412</v>
      </c>
      <c r="AM479" s="82">
        <f t="shared" ref="AM479:AN479" si="1318">+SUM(AM471:AM478)</f>
        <v>3802</v>
      </c>
      <c r="AN479" s="694">
        <f t="shared" si="1318"/>
        <v>4072</v>
      </c>
      <c r="AO479" s="709">
        <f t="shared" ref="AO479:AQ479" si="1319">+SUM(AO471:AO478)</f>
        <v>4072</v>
      </c>
      <c r="AP479" s="82">
        <f t="shared" si="1319"/>
        <v>4234</v>
      </c>
      <c r="AQ479" s="694">
        <f t="shared" si="1319"/>
        <v>4360</v>
      </c>
      <c r="AR479" s="709">
        <f t="shared" ref="AR479:AT479" si="1320">+SUM(AR471:AR478)</f>
        <v>4360</v>
      </c>
      <c r="AS479" s="82">
        <f t="shared" si="1320"/>
        <v>4490</v>
      </c>
      <c r="AT479" s="694">
        <f t="shared" si="1320"/>
        <v>4630</v>
      </c>
      <c r="AU479" s="709">
        <f t="shared" ref="AU479" si="1321">+SUM(AU471:AU478)</f>
        <v>4630</v>
      </c>
      <c r="AV479" s="190">
        <f t="shared" si="1315"/>
        <v>4674</v>
      </c>
      <c r="AW479" s="241">
        <f t="shared" si="1315"/>
        <v>4772.0621183370704</v>
      </c>
      <c r="AX479" s="579">
        <f t="shared" si="1315"/>
        <v>4772.0621183370704</v>
      </c>
      <c r="AY479" s="204">
        <f t="shared" si="1315"/>
        <v>4992.2583348377193</v>
      </c>
      <c r="AZ479" s="241">
        <f t="shared" si="1315"/>
        <v>4992.2583348377193</v>
      </c>
      <c r="BA479" s="579">
        <f t="shared" si="1315"/>
        <v>4992.2583348377193</v>
      </c>
      <c r="BB479" s="204">
        <f t="shared" si="1315"/>
        <v>5235.2442655736504</v>
      </c>
      <c r="BC479" s="241">
        <f t="shared" si="1315"/>
        <v>5235.2442655736504</v>
      </c>
      <c r="BD479" s="579">
        <f t="shared" si="1315"/>
        <v>5235.2442655736504</v>
      </c>
      <c r="BE479" s="204">
        <f t="shared" si="1315"/>
        <v>5499.2993075904578</v>
      </c>
      <c r="BF479" s="241">
        <f t="shared" si="1315"/>
        <v>5499.2993075904578</v>
      </c>
      <c r="BG479" s="579">
        <f t="shared" si="1315"/>
        <v>5499.2993075904578</v>
      </c>
      <c r="BH479" s="204">
        <f t="shared" si="1315"/>
        <v>5765.7072907837346</v>
      </c>
      <c r="BI479" s="241">
        <f t="shared" si="1315"/>
        <v>5765.7072907837346</v>
      </c>
      <c r="BJ479" s="579">
        <f t="shared" si="1315"/>
        <v>5765.7072907837346</v>
      </c>
      <c r="BK479" s="957">
        <f>(BJ479/AL479)^(1/8)-1</f>
        <v>6.7776715130930532E-2</v>
      </c>
    </row>
    <row r="480" spans="1:63" ht="10.8" thickBot="1">
      <c r="A480" s="113" t="s">
        <v>556</v>
      </c>
      <c r="B480" s="301"/>
      <c r="C480" s="84">
        <f t="shared" ref="C480:BJ480" si="1322">+C479+C470</f>
        <v>2430.7584501236606</v>
      </c>
      <c r="D480" s="84">
        <f t="shared" si="1322"/>
        <v>2539.2150490029317</v>
      </c>
      <c r="E480" s="84">
        <f t="shared" si="1322"/>
        <v>2760.285058430718</v>
      </c>
      <c r="F480" s="84">
        <f t="shared" si="1322"/>
        <v>2917.3478376651042</v>
      </c>
      <c r="G480" s="84">
        <f t="shared" si="1322"/>
        <v>3008.545454545455</v>
      </c>
      <c r="H480" s="84">
        <f t="shared" si="1322"/>
        <v>3153.4968653421629</v>
      </c>
      <c r="I480" s="84">
        <f t="shared" si="1322"/>
        <v>3247.0033589942532</v>
      </c>
      <c r="J480" s="84">
        <f t="shared" si="1322"/>
        <v>3229.3269541778973</v>
      </c>
      <c r="K480" s="84">
        <f t="shared" si="1322"/>
        <v>3366.122594567149</v>
      </c>
      <c r="L480" s="84">
        <f t="shared" si="1322"/>
        <v>3449.473075118919</v>
      </c>
      <c r="M480" s="84">
        <f t="shared" si="1322"/>
        <v>3589.8907168138921</v>
      </c>
      <c r="N480" s="84">
        <f t="shared" si="1322"/>
        <v>3712.7530075187969</v>
      </c>
      <c r="O480" s="84">
        <f t="shared" si="1322"/>
        <v>3802</v>
      </c>
      <c r="P480" s="84">
        <f t="shared" si="1322"/>
        <v>3911</v>
      </c>
      <c r="Q480" s="84">
        <f t="shared" si="1322"/>
        <v>3909</v>
      </c>
      <c r="R480" s="84"/>
      <c r="S480" s="632"/>
      <c r="T480" s="655">
        <f t="shared" si="1322"/>
        <v>4137</v>
      </c>
      <c r="U480" s="84"/>
      <c r="V480" s="632"/>
      <c r="W480" s="655">
        <f t="shared" si="1322"/>
        <v>4415</v>
      </c>
      <c r="X480" s="84"/>
      <c r="Y480" s="632"/>
      <c r="Z480" s="655">
        <f t="shared" si="1322"/>
        <v>4783</v>
      </c>
      <c r="AA480" s="84">
        <f t="shared" si="1322"/>
        <v>4897</v>
      </c>
      <c r="AB480" s="632">
        <f t="shared" si="1322"/>
        <v>5029</v>
      </c>
      <c r="AC480" s="655">
        <f t="shared" si="1322"/>
        <v>5029</v>
      </c>
      <c r="AD480" s="84">
        <f t="shared" si="1322"/>
        <v>2893</v>
      </c>
      <c r="AE480" s="632">
        <f t="shared" si="1322"/>
        <v>3271</v>
      </c>
      <c r="AF480" s="655">
        <f t="shared" si="1322"/>
        <v>3271</v>
      </c>
      <c r="AG480" s="84">
        <f t="shared" ref="AG480:AH480" si="1323">+AG479+AG470</f>
        <v>3481</v>
      </c>
      <c r="AH480" s="632">
        <f t="shared" si="1323"/>
        <v>3821</v>
      </c>
      <c r="AI480" s="655">
        <f t="shared" si="1322"/>
        <v>3821</v>
      </c>
      <c r="AJ480" s="84">
        <f t="shared" si="1322"/>
        <v>4045</v>
      </c>
      <c r="AK480" s="632">
        <f t="shared" ref="AK480" si="1324">+AK479+AK470</f>
        <v>4179</v>
      </c>
      <c r="AL480" s="655">
        <f t="shared" si="1322"/>
        <v>4179</v>
      </c>
      <c r="AM480" s="84">
        <f t="shared" ref="AM480:AO480" si="1325">+AM479+AM470</f>
        <v>4593</v>
      </c>
      <c r="AN480" s="632">
        <f t="shared" si="1325"/>
        <v>4867</v>
      </c>
      <c r="AO480" s="655">
        <f t="shared" si="1325"/>
        <v>4867</v>
      </c>
      <c r="AP480" s="84">
        <f t="shared" ref="AP480:AR480" si="1326">+AP479+AP470</f>
        <v>4993</v>
      </c>
      <c r="AQ480" s="632">
        <f t="shared" si="1326"/>
        <v>5103</v>
      </c>
      <c r="AR480" s="655">
        <f t="shared" si="1326"/>
        <v>5103</v>
      </c>
      <c r="AS480" s="84">
        <f t="shared" ref="AS480:AU480" si="1327">+AS479+AS470</f>
        <v>5225</v>
      </c>
      <c r="AT480" s="632">
        <f t="shared" si="1327"/>
        <v>5325</v>
      </c>
      <c r="AU480" s="655">
        <f t="shared" si="1327"/>
        <v>5325</v>
      </c>
      <c r="AV480" s="22">
        <f t="shared" si="1322"/>
        <v>5371</v>
      </c>
      <c r="AW480" s="244">
        <f t="shared" si="1322"/>
        <v>5423.0621183370704</v>
      </c>
      <c r="AX480" s="581">
        <f t="shared" si="1322"/>
        <v>5423.0621183370704</v>
      </c>
      <c r="AY480" s="181">
        <f t="shared" si="1322"/>
        <v>5605.7583348377193</v>
      </c>
      <c r="AZ480" s="244">
        <f t="shared" si="1322"/>
        <v>5605.7583348377193</v>
      </c>
      <c r="BA480" s="581">
        <f t="shared" si="1322"/>
        <v>5605.7583348377193</v>
      </c>
      <c r="BB480" s="181">
        <f t="shared" si="1322"/>
        <v>5811.2442655736504</v>
      </c>
      <c r="BC480" s="244">
        <f t="shared" si="1322"/>
        <v>5811.2442655736504</v>
      </c>
      <c r="BD480" s="581">
        <f t="shared" si="1322"/>
        <v>5811.2442655736504</v>
      </c>
      <c r="BE480" s="181">
        <f t="shared" si="1322"/>
        <v>6037.7993075904578</v>
      </c>
      <c r="BF480" s="244">
        <f t="shared" si="1322"/>
        <v>6037.7993075904578</v>
      </c>
      <c r="BG480" s="581">
        <f t="shared" si="1322"/>
        <v>6037.7993075904578</v>
      </c>
      <c r="BH480" s="181">
        <f t="shared" si="1322"/>
        <v>6266.7072907837346</v>
      </c>
      <c r="BI480" s="244">
        <f t="shared" si="1322"/>
        <v>6266.7072907837346</v>
      </c>
      <c r="BJ480" s="581">
        <f t="shared" si="1322"/>
        <v>6266.7072907837346</v>
      </c>
      <c r="BK480" s="957">
        <f>(BJ480/AL480)^(1/8)-1</f>
        <v>5.1951893893265488E-2</v>
      </c>
    </row>
    <row r="481" spans="1:65">
      <c r="R481" s="32"/>
      <c r="S481" s="736"/>
      <c r="T481" s="740"/>
      <c r="U481" s="32"/>
      <c r="V481" s="736"/>
      <c r="W481" s="740"/>
      <c r="X481" s="32"/>
      <c r="Y481" s="736"/>
      <c r="Z481" s="740"/>
      <c r="AB481" s="595"/>
      <c r="AC481" s="740"/>
      <c r="AE481" s="595"/>
      <c r="AF481" s="619"/>
      <c r="AH481" s="595"/>
      <c r="AI481" s="619"/>
      <c r="AK481" s="595"/>
      <c r="AL481" s="619"/>
      <c r="AN481" s="539"/>
      <c r="AO481" s="550"/>
      <c r="AP481"/>
      <c r="AQ481" s="539"/>
      <c r="AR481" s="550"/>
      <c r="AS481"/>
      <c r="AT481" s="539"/>
      <c r="AU481" s="550"/>
      <c r="AV481" s="10"/>
      <c r="AW481" s="539"/>
      <c r="AX481" s="550"/>
      <c r="AY481"/>
      <c r="AZ481" s="539"/>
      <c r="BA481" s="550"/>
      <c r="BB481"/>
      <c r="BC481" s="539"/>
      <c r="BD481" s="550"/>
      <c r="BE481"/>
      <c r="BF481" s="539"/>
      <c r="BG481" s="550"/>
      <c r="BH481"/>
      <c r="BI481" s="539"/>
      <c r="BJ481" s="550"/>
    </row>
    <row r="482" spans="1:65">
      <c r="A482" s="31" t="s">
        <v>559</v>
      </c>
      <c r="Q482" s="92"/>
      <c r="R482" s="59"/>
      <c r="S482" s="806"/>
      <c r="T482" s="837"/>
      <c r="U482" s="59"/>
      <c r="V482" s="806"/>
      <c r="W482" s="837"/>
      <c r="X482" s="59"/>
      <c r="Y482" s="806"/>
      <c r="Z482" s="837"/>
      <c r="AA482" s="59"/>
      <c r="AB482" s="806"/>
      <c r="AC482" s="837"/>
      <c r="AD482" s="59"/>
      <c r="AE482" s="806"/>
      <c r="AF482" s="837"/>
      <c r="AG482" s="59"/>
      <c r="AH482" s="806"/>
      <c r="AI482" s="837"/>
      <c r="AJ482" s="59"/>
      <c r="AK482" s="806"/>
      <c r="AL482" s="837"/>
      <c r="AM482" s="59"/>
      <c r="AN482" s="594"/>
      <c r="AO482" s="618"/>
      <c r="AP482" s="43"/>
      <c r="AQ482" s="594"/>
      <c r="AR482" s="618"/>
      <c r="AS482" s="43"/>
      <c r="AT482" s="594"/>
      <c r="AU482" s="618"/>
      <c r="AV482" s="186"/>
      <c r="AW482" s="594"/>
      <c r="AX482" s="618"/>
      <c r="AY482" s="43"/>
      <c r="AZ482" s="594"/>
      <c r="BA482" s="618"/>
      <c r="BB482" s="43"/>
      <c r="BC482" s="594"/>
      <c r="BD482" s="618"/>
      <c r="BE482" s="43"/>
      <c r="BF482" s="594"/>
      <c r="BG482" s="618"/>
      <c r="BH482" s="43"/>
      <c r="BI482" s="594"/>
      <c r="BJ482" s="618"/>
    </row>
    <row r="483" spans="1:65" ht="10.8" thickBot="1">
      <c r="A483" s="84" t="s">
        <v>615</v>
      </c>
      <c r="B483" s="84">
        <f t="shared" ref="B483:AC483" si="1328">+B438*(1-B457)</f>
        <v>107.83436363636365</v>
      </c>
      <c r="C483" s="84">
        <f t="shared" si="1328"/>
        <v>97.954031327287709</v>
      </c>
      <c r="D483" s="84">
        <f t="shared" si="1328"/>
        <v>97.265450020738285</v>
      </c>
      <c r="E483" s="84">
        <f t="shared" si="1328"/>
        <v>100.65147746243741</v>
      </c>
      <c r="F483" s="84">
        <f t="shared" si="1328"/>
        <v>101.68864933958244</v>
      </c>
      <c r="G483" s="84">
        <f t="shared" si="1328"/>
        <v>99.140893470790388</v>
      </c>
      <c r="H483" s="84">
        <f t="shared" si="1328"/>
        <v>96.397298013245035</v>
      </c>
      <c r="I483" s="84">
        <f t="shared" si="1328"/>
        <v>95.253393420459673</v>
      </c>
      <c r="J483" s="84">
        <f t="shared" si="1328"/>
        <v>88.584054180289584</v>
      </c>
      <c r="K483" s="84">
        <f t="shared" si="1328"/>
        <v>86.238198019801985</v>
      </c>
      <c r="L483" s="84">
        <f t="shared" si="1328"/>
        <v>82.973752535496956</v>
      </c>
      <c r="M483" s="84">
        <f t="shared" si="1328"/>
        <v>81.015127803860196</v>
      </c>
      <c r="N483" s="84">
        <f t="shared" si="1328"/>
        <v>75.191000000000003</v>
      </c>
      <c r="O483" s="84">
        <f t="shared" si="1328"/>
        <v>69.862665173572225</v>
      </c>
      <c r="P483" s="84">
        <f t="shared" si="1328"/>
        <v>63.91003492433061</v>
      </c>
      <c r="Q483" s="84">
        <f t="shared" si="1328"/>
        <v>55.986922126081581</v>
      </c>
      <c r="R483" s="84"/>
      <c r="S483" s="632"/>
      <c r="T483" s="655">
        <f t="shared" si="1328"/>
        <v>52.080463808854532</v>
      </c>
      <c r="U483" s="84"/>
      <c r="V483" s="632"/>
      <c r="W483" s="655">
        <f t="shared" si="1328"/>
        <v>49.505313653136533</v>
      </c>
      <c r="X483" s="84"/>
      <c r="Y483" s="632"/>
      <c r="Z483" s="655">
        <f t="shared" si="1328"/>
        <v>49.505313653136533</v>
      </c>
      <c r="AA483" s="84">
        <f>+AA438*(1-AA457)</f>
        <v>48.149003690036892</v>
      </c>
      <c r="AB483" s="632">
        <f>+AB438*(1-AB457)</f>
        <v>46.883114391143913</v>
      </c>
      <c r="AC483" s="655">
        <f t="shared" si="1328"/>
        <v>46.883114391143913</v>
      </c>
      <c r="AD483" s="84">
        <f>+AD438*(1-AD457)</f>
        <v>28.798981549815498</v>
      </c>
      <c r="AE483" s="632">
        <f>+AE438*(1-AE457)</f>
        <v>29.884029520295201</v>
      </c>
      <c r="AF483" s="655">
        <v>28</v>
      </c>
      <c r="AG483" s="84">
        <f t="shared" ref="AG483:AM483" si="1329">+AG438*(1-AG457)</f>
        <v>32.415808118081173</v>
      </c>
      <c r="AH483" s="632">
        <f t="shared" si="1329"/>
        <v>33.500856088560887</v>
      </c>
      <c r="AI483" s="655">
        <f t="shared" si="1329"/>
        <v>33.500856088560887</v>
      </c>
      <c r="AJ483" s="84">
        <f t="shared" si="1329"/>
        <v>34.676324723247227</v>
      </c>
      <c r="AK483" s="632">
        <f t="shared" si="1329"/>
        <v>34.676324723247227</v>
      </c>
      <c r="AL483" s="655">
        <f t="shared" si="1329"/>
        <v>34.676324723247227</v>
      </c>
      <c r="AM483" s="84">
        <f t="shared" si="1329"/>
        <v>35.761372693726933</v>
      </c>
      <c r="AN483" s="632">
        <f t="shared" ref="AN483:AP483" si="1330">+AN438*(1-AN457)</f>
        <v>35.942214022140227</v>
      </c>
      <c r="AO483" s="655">
        <f t="shared" si="1330"/>
        <v>35.94221402214022</v>
      </c>
      <c r="AP483" s="84">
        <f t="shared" si="1330"/>
        <v>34.314642066420667</v>
      </c>
      <c r="AQ483" s="632">
        <f t="shared" ref="AQ483:AS483" si="1331">+AQ438*(1-AQ457)</f>
        <v>33.591276752767527</v>
      </c>
      <c r="AR483" s="655">
        <f t="shared" si="1331"/>
        <v>33.591276752767527</v>
      </c>
      <c r="AS483" s="84">
        <f t="shared" si="1331"/>
        <v>33.229594095940961</v>
      </c>
      <c r="AT483" s="632">
        <f t="shared" ref="AT483:AU483" si="1332">+AT438*(1-AT457)</f>
        <v>31.421180811808121</v>
      </c>
      <c r="AU483" s="655">
        <f t="shared" si="1332"/>
        <v>31.421180811808121</v>
      </c>
      <c r="AV483" s="1118">
        <f t="shared" ref="AV483:BJ483" si="1333">IFERROR(AV438*(1-AV457),0)</f>
        <v>31.511601476014761</v>
      </c>
      <c r="AW483" s="244">
        <f>+AW438*(1-AW457)</f>
        <v>29.431926199261998</v>
      </c>
      <c r="AX483" s="856">
        <f t="shared" si="1333"/>
        <v>29.431926199261998</v>
      </c>
      <c r="AY483" s="982">
        <f t="shared" si="1333"/>
        <v>27.736538745387456</v>
      </c>
      <c r="AZ483" s="244">
        <f>+AZ438*(1-AZ457)</f>
        <v>27.736538745387456</v>
      </c>
      <c r="BA483" s="856">
        <f t="shared" si="1333"/>
        <v>27.736538745387456</v>
      </c>
      <c r="BB483" s="982">
        <f t="shared" si="1333"/>
        <v>26.041151291512918</v>
      </c>
      <c r="BC483" s="244">
        <f>+BC438*(1-BC457)</f>
        <v>26.041151291512918</v>
      </c>
      <c r="BD483" s="856">
        <f t="shared" si="1333"/>
        <v>26.041151291512918</v>
      </c>
      <c r="BE483" s="982">
        <f t="shared" si="1333"/>
        <v>24.34576383763838</v>
      </c>
      <c r="BF483" s="244">
        <f>+BF438*(1-BF457)</f>
        <v>24.34576383763838</v>
      </c>
      <c r="BG483" s="856">
        <f t="shared" si="1333"/>
        <v>24.34576383763838</v>
      </c>
      <c r="BH483" s="982">
        <f t="shared" si="1333"/>
        <v>22.650376383763842</v>
      </c>
      <c r="BI483" s="244">
        <f>+BI438*(1-BI457)</f>
        <v>22.650376383763842</v>
      </c>
      <c r="BJ483" s="856">
        <f t="shared" si="1333"/>
        <v>22.650376383763842</v>
      </c>
    </row>
    <row r="484" spans="1:65">
      <c r="A484" s="101" t="s">
        <v>254</v>
      </c>
      <c r="B484" s="40"/>
      <c r="C484" s="40">
        <f t="shared" ref="C484:BJ491" si="1334">+C439*(1-C460)</f>
        <v>0.67200000000000004</v>
      </c>
      <c r="D484" s="40">
        <f t="shared" si="1334"/>
        <v>2.6880000000000002</v>
      </c>
      <c r="E484" s="40">
        <f t="shared" si="1334"/>
        <v>7.3920000000000003</v>
      </c>
      <c r="F484" s="40">
        <f t="shared" si="1334"/>
        <v>11.935</v>
      </c>
      <c r="G484" s="40">
        <f t="shared" si="1334"/>
        <v>16.494545454545456</v>
      </c>
      <c r="H484" s="40">
        <f t="shared" si="1334"/>
        <v>21.438293333333334</v>
      </c>
      <c r="I484" s="40">
        <f t="shared" si="1334"/>
        <v>23.49921649484536</v>
      </c>
      <c r="J484" s="40">
        <f t="shared" si="1334"/>
        <v>25.292800000000003</v>
      </c>
      <c r="K484" s="40">
        <f t="shared" si="1334"/>
        <v>26.259692307692308</v>
      </c>
      <c r="L484" s="40">
        <f t="shared" si="1334"/>
        <v>26.827086614173229</v>
      </c>
      <c r="M484" s="40">
        <f t="shared" si="1334"/>
        <v>27.776000000000003</v>
      </c>
      <c r="N484" s="40">
        <f t="shared" si="1334"/>
        <v>27.103999999999999</v>
      </c>
      <c r="O484" s="40">
        <f t="shared" si="1334"/>
        <v>24.64</v>
      </c>
      <c r="P484" s="40">
        <f t="shared" si="1334"/>
        <v>21.728000000000002</v>
      </c>
      <c r="Q484" s="40">
        <f t="shared" si="1334"/>
        <v>19.712</v>
      </c>
      <c r="R484" s="40"/>
      <c r="S484" s="630"/>
      <c r="T484" s="653">
        <f t="shared" si="1334"/>
        <v>18.815999999999999</v>
      </c>
      <c r="U484" s="40"/>
      <c r="V484" s="630"/>
      <c r="W484" s="653">
        <f t="shared" si="1334"/>
        <v>15.68</v>
      </c>
      <c r="X484" s="40"/>
      <c r="Y484" s="630"/>
      <c r="Z484" s="653">
        <f t="shared" si="1334"/>
        <v>15.903999999999998</v>
      </c>
      <c r="AA484" s="40">
        <f t="shared" si="1334"/>
        <v>13.664</v>
      </c>
      <c r="AB484" s="630">
        <f t="shared" si="1334"/>
        <v>13.44</v>
      </c>
      <c r="AC484" s="653">
        <f t="shared" si="1334"/>
        <v>13.44</v>
      </c>
      <c r="AD484" s="40">
        <f t="shared" si="1334"/>
        <v>5.3759999999999986</v>
      </c>
      <c r="AE484" s="630">
        <f t="shared" si="1334"/>
        <v>3.8079999999999998</v>
      </c>
      <c r="AF484" s="653">
        <f t="shared" si="1334"/>
        <v>3.8079999999999998</v>
      </c>
      <c r="AG484" s="40">
        <f t="shared" ref="AG484:AH491" si="1335">+AG439*(1-AG460)</f>
        <v>4.927999999999999</v>
      </c>
      <c r="AH484" s="630">
        <f t="shared" si="1335"/>
        <v>5.1519999999999992</v>
      </c>
      <c r="AI484" s="653">
        <f t="shared" si="1334"/>
        <v>5.1519999999999992</v>
      </c>
      <c r="AJ484" s="40">
        <f t="shared" si="1334"/>
        <v>6.0480000000000018</v>
      </c>
      <c r="AK484" s="630">
        <f t="shared" ref="AK484" si="1336">+AK439*(1-AK460)</f>
        <v>4.4799999999999995</v>
      </c>
      <c r="AL484" s="653">
        <f>+AL439*(1-AL460)</f>
        <v>4.4799999999999995</v>
      </c>
      <c r="AM484" s="40">
        <f t="shared" ref="AM484:AO491" si="1337">+AM439*(1-AM460)</f>
        <v>5.3759999999999994</v>
      </c>
      <c r="AN484" s="630">
        <f t="shared" si="1337"/>
        <v>5.8239999999999998</v>
      </c>
      <c r="AO484" s="653">
        <f t="shared" si="1337"/>
        <v>5.8239999999999998</v>
      </c>
      <c r="AP484" s="40">
        <f t="shared" ref="AP484:AR491" si="1338">+AP439*(1-AP460)</f>
        <v>6.4960000000000004</v>
      </c>
      <c r="AQ484" s="630">
        <f t="shared" si="1338"/>
        <v>6.72</v>
      </c>
      <c r="AR484" s="653">
        <f t="shared" si="1338"/>
        <v>6.72</v>
      </c>
      <c r="AS484" s="40">
        <f t="shared" ref="AS484:AU484" si="1339">+AS439*(1-AS460)</f>
        <v>5.8240000000000007</v>
      </c>
      <c r="AT484" s="630">
        <f t="shared" si="1339"/>
        <v>5.8239999999999998</v>
      </c>
      <c r="AU484" s="653">
        <f t="shared" si="1339"/>
        <v>5.8239999999999998</v>
      </c>
      <c r="AV484" s="10">
        <f t="shared" si="1334"/>
        <v>3.8080000000000007</v>
      </c>
      <c r="AW484" s="236">
        <f t="shared" si="1334"/>
        <v>3.8639999999999999</v>
      </c>
      <c r="AX484" s="605">
        <f t="shared" si="1334"/>
        <v>3.8639999999999999</v>
      </c>
      <c r="AY484" s="56">
        <f t="shared" si="1334"/>
        <v>3.5840000000000001</v>
      </c>
      <c r="AZ484" s="236">
        <f t="shared" si="1334"/>
        <v>3.5840000000000001</v>
      </c>
      <c r="BA484" s="605">
        <f t="shared" si="1334"/>
        <v>3.5840000000000001</v>
      </c>
      <c r="BB484" s="56">
        <f t="shared" si="1334"/>
        <v>3.3039999999999998</v>
      </c>
      <c r="BC484" s="236">
        <f t="shared" si="1334"/>
        <v>3.3039999999999998</v>
      </c>
      <c r="BD484" s="605">
        <f t="shared" si="1334"/>
        <v>3.3039999999999998</v>
      </c>
      <c r="BE484" s="56">
        <f t="shared" si="1334"/>
        <v>3.024</v>
      </c>
      <c r="BF484" s="236">
        <f t="shared" si="1334"/>
        <v>3.024</v>
      </c>
      <c r="BG484" s="605">
        <f t="shared" si="1334"/>
        <v>3.024</v>
      </c>
      <c r="BH484" s="56">
        <f t="shared" si="1334"/>
        <v>2.7440000000000002</v>
      </c>
      <c r="BI484" s="236">
        <f t="shared" si="1334"/>
        <v>2.7440000000000002</v>
      </c>
      <c r="BJ484" s="605">
        <f t="shared" si="1334"/>
        <v>2.7440000000000002</v>
      </c>
    </row>
    <row r="485" spans="1:65">
      <c r="A485" s="101" t="s">
        <v>255</v>
      </c>
      <c r="B485" s="40"/>
      <c r="C485" s="40">
        <f t="shared" ref="C485:BJ485" si="1340">+C440*(1-C461)</f>
        <v>12.816000000000001</v>
      </c>
      <c r="D485" s="40">
        <f t="shared" si="1340"/>
        <v>14.665348314606742</v>
      </c>
      <c r="E485" s="40">
        <f t="shared" si="1340"/>
        <v>16.847999999999999</v>
      </c>
      <c r="F485" s="40">
        <f t="shared" si="1340"/>
        <v>19.007999999999999</v>
      </c>
      <c r="G485" s="40">
        <f t="shared" si="1340"/>
        <v>22.032</v>
      </c>
      <c r="H485" s="40">
        <f t="shared" si="1340"/>
        <v>26.207999999999998</v>
      </c>
      <c r="I485" s="40">
        <f t="shared" si="1340"/>
        <v>30.527999999999999</v>
      </c>
      <c r="J485" s="40">
        <f t="shared" si="1340"/>
        <v>35.400226415094338</v>
      </c>
      <c r="K485" s="40">
        <f t="shared" si="1340"/>
        <v>43.598769230769236</v>
      </c>
      <c r="L485" s="40">
        <f t="shared" si="1340"/>
        <v>50.751683168316831</v>
      </c>
      <c r="M485" s="40">
        <f t="shared" si="1340"/>
        <v>57.980826446280993</v>
      </c>
      <c r="N485" s="40">
        <f t="shared" si="1340"/>
        <v>68.543999999999997</v>
      </c>
      <c r="O485" s="40">
        <f t="shared" si="1340"/>
        <v>80.207999999999998</v>
      </c>
      <c r="P485" s="40">
        <f t="shared" si="1340"/>
        <v>92.736000000000004</v>
      </c>
      <c r="Q485" s="40">
        <f t="shared" si="1340"/>
        <v>99.936000000000007</v>
      </c>
      <c r="R485" s="40"/>
      <c r="S485" s="630"/>
      <c r="T485" s="653">
        <f t="shared" si="1340"/>
        <v>105.12</v>
      </c>
      <c r="U485" s="40"/>
      <c r="V485" s="630"/>
      <c r="W485" s="653">
        <f t="shared" si="1340"/>
        <v>114.48</v>
      </c>
      <c r="X485" s="40"/>
      <c r="Y485" s="630"/>
      <c r="Z485" s="653">
        <f t="shared" si="1340"/>
        <v>117.79199999999999</v>
      </c>
      <c r="AA485" s="40">
        <f t="shared" ref="AA485:AB485" si="1341">+AA440*(1-AA461)</f>
        <v>118.94399999999999</v>
      </c>
      <c r="AB485" s="630">
        <f t="shared" si="1341"/>
        <v>115.63199999999999</v>
      </c>
      <c r="AC485" s="653">
        <f t="shared" si="1340"/>
        <v>115.63199999999999</v>
      </c>
      <c r="AD485" s="40">
        <f t="shared" ref="AD485:AE485" si="1342">+AD440*(1-AD461)</f>
        <v>71.135999999999996</v>
      </c>
      <c r="AE485" s="630">
        <f t="shared" si="1342"/>
        <v>75.887999999999991</v>
      </c>
      <c r="AF485" s="653">
        <f t="shared" si="1340"/>
        <v>75.887999999999991</v>
      </c>
      <c r="AG485" s="40">
        <f t="shared" si="1340"/>
        <v>75.600000000000009</v>
      </c>
      <c r="AH485" s="630">
        <f t="shared" si="1335"/>
        <v>82.512</v>
      </c>
      <c r="AI485" s="653">
        <f t="shared" si="1340"/>
        <v>82.512</v>
      </c>
      <c r="AJ485" s="40">
        <f t="shared" si="1334"/>
        <v>83.952000000000012</v>
      </c>
      <c r="AK485" s="630">
        <f t="shared" ref="AK485" si="1343">+AK440*(1-AK461)</f>
        <v>84.816000000000003</v>
      </c>
      <c r="AL485" s="653">
        <f t="shared" si="1340"/>
        <v>84.816000000000003</v>
      </c>
      <c r="AM485" s="40">
        <f t="shared" ref="AM485" si="1344">+AM440*(1-AM461)</f>
        <v>95.183999999999997</v>
      </c>
      <c r="AN485" s="630">
        <f t="shared" si="1337"/>
        <v>98.783999999999992</v>
      </c>
      <c r="AO485" s="653">
        <f t="shared" si="1337"/>
        <v>98.783999999999992</v>
      </c>
      <c r="AP485" s="40">
        <f t="shared" si="1338"/>
        <v>101.08800000000001</v>
      </c>
      <c r="AQ485" s="630">
        <f t="shared" si="1338"/>
        <v>101.80799999999999</v>
      </c>
      <c r="AR485" s="653">
        <f t="shared" si="1338"/>
        <v>101.80799999999999</v>
      </c>
      <c r="AS485" s="40">
        <f t="shared" ref="AS485:AU485" si="1345">+AS440*(1-AS461)</f>
        <v>103.248</v>
      </c>
      <c r="AT485" s="630">
        <f t="shared" si="1345"/>
        <v>105.264</v>
      </c>
      <c r="AU485" s="653">
        <f t="shared" si="1345"/>
        <v>105.264</v>
      </c>
      <c r="AV485" s="10">
        <f t="shared" si="1334"/>
        <v>104.11199999999999</v>
      </c>
      <c r="AW485" s="236">
        <f t="shared" si="1334"/>
        <v>104.004</v>
      </c>
      <c r="AX485" s="605">
        <f t="shared" si="1340"/>
        <v>104.004</v>
      </c>
      <c r="AY485" s="56">
        <f t="shared" si="1334"/>
        <v>102.06</v>
      </c>
      <c r="AZ485" s="236">
        <f t="shared" si="1334"/>
        <v>102.06</v>
      </c>
      <c r="BA485" s="605">
        <f t="shared" si="1340"/>
        <v>102.06</v>
      </c>
      <c r="BB485" s="56">
        <f t="shared" si="1334"/>
        <v>100.116</v>
      </c>
      <c r="BC485" s="236">
        <f t="shared" si="1334"/>
        <v>100.116</v>
      </c>
      <c r="BD485" s="605">
        <f t="shared" si="1340"/>
        <v>100.116</v>
      </c>
      <c r="BE485" s="56">
        <f t="shared" si="1334"/>
        <v>98.171999999999997</v>
      </c>
      <c r="BF485" s="236">
        <f t="shared" si="1334"/>
        <v>98.171999999999997</v>
      </c>
      <c r="BG485" s="605">
        <f t="shared" si="1340"/>
        <v>98.171999999999997</v>
      </c>
      <c r="BH485" s="56">
        <f t="shared" si="1334"/>
        <v>96.228000000000009</v>
      </c>
      <c r="BI485" s="236">
        <f t="shared" si="1334"/>
        <v>96.228000000000009</v>
      </c>
      <c r="BJ485" s="605">
        <f t="shared" si="1340"/>
        <v>96.228000000000009</v>
      </c>
    </row>
    <row r="486" spans="1:65">
      <c r="A486" s="101" t="s">
        <v>256</v>
      </c>
      <c r="B486" s="40"/>
      <c r="C486" s="40">
        <f t="shared" ref="C486:BJ486" si="1346">+C441*(1-C462)</f>
        <v>27.231999999999999</v>
      </c>
      <c r="D486" s="40">
        <f t="shared" si="1346"/>
        <v>31.648</v>
      </c>
      <c r="E486" s="40">
        <f t="shared" si="1346"/>
        <v>34.591999999999999</v>
      </c>
      <c r="F486" s="40">
        <f t="shared" si="1346"/>
        <v>36.064</v>
      </c>
      <c r="G486" s="40">
        <f t="shared" si="1346"/>
        <v>37.536000000000001</v>
      </c>
      <c r="H486" s="40">
        <f t="shared" si="1346"/>
        <v>39.744</v>
      </c>
      <c r="I486" s="40">
        <f t="shared" si="1346"/>
        <v>40.847999999999999</v>
      </c>
      <c r="J486" s="40">
        <f t="shared" si="1346"/>
        <v>40.664000000000001</v>
      </c>
      <c r="K486" s="40">
        <f t="shared" si="1346"/>
        <v>41.4</v>
      </c>
      <c r="L486" s="40">
        <f t="shared" si="1346"/>
        <v>41.215999999999994</v>
      </c>
      <c r="M486" s="40">
        <f t="shared" si="1346"/>
        <v>41.4</v>
      </c>
      <c r="N486" s="40">
        <f t="shared" si="1346"/>
        <v>40.847999999999999</v>
      </c>
      <c r="O486" s="40">
        <f t="shared" si="1346"/>
        <v>40.111999999999995</v>
      </c>
      <c r="P486" s="40">
        <f t="shared" si="1346"/>
        <v>38.823999999999998</v>
      </c>
      <c r="Q486" s="40">
        <f t="shared" si="1346"/>
        <v>33.304000000000002</v>
      </c>
      <c r="R486" s="40"/>
      <c r="S486" s="630"/>
      <c r="T486" s="653">
        <f t="shared" si="1346"/>
        <v>32.384</v>
      </c>
      <c r="U486" s="40"/>
      <c r="V486" s="630"/>
      <c r="W486" s="653">
        <f t="shared" si="1346"/>
        <v>30.360000000000003</v>
      </c>
      <c r="X486" s="40"/>
      <c r="Y486" s="630"/>
      <c r="Z486" s="653">
        <f t="shared" si="1346"/>
        <v>30.728000000000002</v>
      </c>
      <c r="AA486" s="40">
        <f t="shared" ref="AA486:AB486" si="1347">+AA441*(1-AA462)</f>
        <v>29.807999999999996</v>
      </c>
      <c r="AB486" s="630">
        <f t="shared" si="1347"/>
        <v>29.439999999999998</v>
      </c>
      <c r="AC486" s="653">
        <f t="shared" si="1346"/>
        <v>29.439999999999998</v>
      </c>
      <c r="AD486" s="40">
        <f t="shared" ref="AD486:AE486" si="1348">+AD441*(1-AD462)</f>
        <v>8.831999999999999</v>
      </c>
      <c r="AE486" s="630">
        <f t="shared" si="1348"/>
        <v>12.327999999999999</v>
      </c>
      <c r="AF486" s="653">
        <f t="shared" si="1346"/>
        <v>12.327999999999999</v>
      </c>
      <c r="AG486" s="40">
        <f t="shared" si="1346"/>
        <v>14.72</v>
      </c>
      <c r="AH486" s="630">
        <f t="shared" si="1335"/>
        <v>16.192</v>
      </c>
      <c r="AI486" s="653">
        <f t="shared" si="1346"/>
        <v>16.192</v>
      </c>
      <c r="AJ486" s="40">
        <f t="shared" si="1334"/>
        <v>16.928000000000001</v>
      </c>
      <c r="AK486" s="630">
        <f t="shared" ref="AK486" si="1349">+AK441*(1-AK462)</f>
        <v>16.928000000000001</v>
      </c>
      <c r="AL486" s="653">
        <f t="shared" si="1346"/>
        <v>16.928000000000001</v>
      </c>
      <c r="AM486" s="40">
        <f t="shared" ref="AM486" si="1350">+AM441*(1-AM462)</f>
        <v>18.399999999999999</v>
      </c>
      <c r="AN486" s="630">
        <f t="shared" si="1337"/>
        <v>20.608000000000001</v>
      </c>
      <c r="AO486" s="653">
        <f t="shared" si="1337"/>
        <v>20.608000000000001</v>
      </c>
      <c r="AP486" s="40">
        <f t="shared" si="1338"/>
        <v>21.16</v>
      </c>
      <c r="AQ486" s="630">
        <f t="shared" si="1338"/>
        <v>20.424000000000003</v>
      </c>
      <c r="AR486" s="653">
        <f t="shared" si="1338"/>
        <v>20.424000000000003</v>
      </c>
      <c r="AS486" s="40">
        <f t="shared" ref="AS486:AU486" si="1351">+AS441*(1-AS462)</f>
        <v>21.343999999999998</v>
      </c>
      <c r="AT486" s="630">
        <f t="shared" si="1351"/>
        <v>21.895999999999997</v>
      </c>
      <c r="AU486" s="653">
        <f t="shared" si="1351"/>
        <v>21.895999999999997</v>
      </c>
      <c r="AV486" s="10">
        <f t="shared" si="1334"/>
        <v>21.16</v>
      </c>
      <c r="AW486" s="236">
        <f t="shared" si="1334"/>
        <v>20.907</v>
      </c>
      <c r="AX486" s="605">
        <f t="shared" si="1346"/>
        <v>20.907</v>
      </c>
      <c r="AY486" s="56">
        <f t="shared" si="1334"/>
        <v>19.182000000000002</v>
      </c>
      <c r="AZ486" s="236">
        <f t="shared" si="1334"/>
        <v>19.182000000000002</v>
      </c>
      <c r="BA486" s="605">
        <f t="shared" si="1346"/>
        <v>19.182000000000002</v>
      </c>
      <c r="BB486" s="56">
        <f t="shared" si="1334"/>
        <v>17.457000000000001</v>
      </c>
      <c r="BC486" s="236">
        <f t="shared" si="1334"/>
        <v>17.457000000000001</v>
      </c>
      <c r="BD486" s="605">
        <f t="shared" si="1346"/>
        <v>17.457000000000001</v>
      </c>
      <c r="BE486" s="56">
        <f t="shared" si="1334"/>
        <v>15.731999999999999</v>
      </c>
      <c r="BF486" s="236">
        <f t="shared" si="1334"/>
        <v>15.731999999999999</v>
      </c>
      <c r="BG486" s="605">
        <f t="shared" si="1346"/>
        <v>15.731999999999999</v>
      </c>
      <c r="BH486" s="56">
        <f t="shared" si="1334"/>
        <v>14.006999999999998</v>
      </c>
      <c r="BI486" s="236">
        <f t="shared" si="1334"/>
        <v>14.006999999999998</v>
      </c>
      <c r="BJ486" s="605">
        <f t="shared" si="1346"/>
        <v>14.006999999999998</v>
      </c>
    </row>
    <row r="487" spans="1:65">
      <c r="A487" s="101" t="s">
        <v>257</v>
      </c>
      <c r="B487" s="40"/>
      <c r="C487" s="40">
        <f t="shared" ref="C487:BJ487" si="1352">+C442*(1-C463)</f>
        <v>0</v>
      </c>
      <c r="D487" s="40">
        <f t="shared" si="1352"/>
        <v>0</v>
      </c>
      <c r="E487" s="40">
        <f t="shared" si="1352"/>
        <v>0</v>
      </c>
      <c r="F487" s="40">
        <f t="shared" si="1352"/>
        <v>0</v>
      </c>
      <c r="G487" s="40">
        <f t="shared" si="1352"/>
        <v>0</v>
      </c>
      <c r="H487" s="40">
        <f t="shared" si="1352"/>
        <v>1.1200000000000001</v>
      </c>
      <c r="I487" s="40">
        <f t="shared" si="1352"/>
        <v>1.4</v>
      </c>
      <c r="J487" s="40">
        <f t="shared" si="1352"/>
        <v>1.8900000000000001</v>
      </c>
      <c r="K487" s="40">
        <f t="shared" si="1352"/>
        <v>4.3633333333333333</v>
      </c>
      <c r="L487" s="40">
        <f t="shared" si="1352"/>
        <v>6.3247058823529407</v>
      </c>
      <c r="M487" s="40">
        <f t="shared" si="1352"/>
        <v>9.31</v>
      </c>
      <c r="N487" s="40">
        <f t="shared" si="1352"/>
        <v>14.32421052631579</v>
      </c>
      <c r="O487" s="40">
        <f t="shared" si="1352"/>
        <v>17.080000000000002</v>
      </c>
      <c r="P487" s="40">
        <f t="shared" si="1352"/>
        <v>19.599999999999998</v>
      </c>
      <c r="Q487" s="40">
        <f t="shared" si="1352"/>
        <v>21.279999999999998</v>
      </c>
      <c r="R487" s="40"/>
      <c r="S487" s="630"/>
      <c r="T487" s="653">
        <f t="shared" si="1352"/>
        <v>23.24</v>
      </c>
      <c r="U487" s="40"/>
      <c r="V487" s="630"/>
      <c r="W487" s="653">
        <f t="shared" si="1352"/>
        <v>25.200000000000003</v>
      </c>
      <c r="X487" s="40"/>
      <c r="Y487" s="630"/>
      <c r="Z487" s="653">
        <f t="shared" si="1352"/>
        <v>28</v>
      </c>
      <c r="AA487" s="40">
        <f t="shared" ref="AA487:AB487" si="1353">+AA442*(1-AA463)</f>
        <v>29.119999999999997</v>
      </c>
      <c r="AB487" s="630">
        <f t="shared" si="1353"/>
        <v>29.96</v>
      </c>
      <c r="AC487" s="653">
        <f t="shared" si="1352"/>
        <v>29.96</v>
      </c>
      <c r="AD487" s="40">
        <f t="shared" ref="AD487:AE487" si="1354">+AD442*(1-AD463)</f>
        <v>1.679999999999999</v>
      </c>
      <c r="AE487" s="630">
        <f t="shared" si="1354"/>
        <v>4.7600000000000007</v>
      </c>
      <c r="AF487" s="653">
        <f t="shared" si="1352"/>
        <v>4.7600000000000007</v>
      </c>
      <c r="AG487" s="40">
        <f t="shared" si="1352"/>
        <v>6.4399999999999995</v>
      </c>
      <c r="AH487" s="630">
        <f t="shared" si="1335"/>
        <v>11.759999999999998</v>
      </c>
      <c r="AI487" s="653">
        <f t="shared" si="1352"/>
        <v>11.759999999999998</v>
      </c>
      <c r="AJ487" s="40">
        <f t="shared" si="1334"/>
        <v>15.4</v>
      </c>
      <c r="AK487" s="630">
        <f t="shared" ref="AK487" si="1355">+AK442*(1-AK463)</f>
        <v>17.64</v>
      </c>
      <c r="AL487" s="653">
        <f t="shared" si="1352"/>
        <v>17.64</v>
      </c>
      <c r="AM487" s="40">
        <f t="shared" ref="AM487" si="1356">+AM442*(1-AM463)</f>
        <v>19.600000000000001</v>
      </c>
      <c r="AN487" s="630">
        <f t="shared" si="1337"/>
        <v>21</v>
      </c>
      <c r="AO487" s="653">
        <f t="shared" si="1337"/>
        <v>21</v>
      </c>
      <c r="AP487" s="40">
        <f t="shared" si="1338"/>
        <v>21.28</v>
      </c>
      <c r="AQ487" s="630">
        <f t="shared" si="1338"/>
        <v>22.4</v>
      </c>
      <c r="AR487" s="653">
        <f t="shared" si="1338"/>
        <v>22.4</v>
      </c>
      <c r="AS487" s="40">
        <f t="shared" ref="AS487:AU487" si="1357">+AS442*(1-AS463)</f>
        <v>22.68</v>
      </c>
      <c r="AT487" s="630">
        <f t="shared" si="1357"/>
        <v>22.68</v>
      </c>
      <c r="AU487" s="653">
        <f t="shared" si="1357"/>
        <v>22.68</v>
      </c>
      <c r="AV487" s="10">
        <f t="shared" si="1334"/>
        <v>22.4</v>
      </c>
      <c r="AW487" s="236">
        <f t="shared" si="1334"/>
        <v>23.184000000000001</v>
      </c>
      <c r="AX487" s="605">
        <f t="shared" si="1352"/>
        <v>23.184000000000001</v>
      </c>
      <c r="AY487" s="56">
        <f t="shared" si="1334"/>
        <v>21.923999999999999</v>
      </c>
      <c r="AZ487" s="236">
        <f t="shared" si="1334"/>
        <v>21.923999999999999</v>
      </c>
      <c r="BA487" s="605">
        <f t="shared" si="1352"/>
        <v>21.923999999999999</v>
      </c>
      <c r="BB487" s="56">
        <f t="shared" si="1334"/>
        <v>20.664000000000001</v>
      </c>
      <c r="BC487" s="236">
        <f t="shared" si="1334"/>
        <v>20.664000000000001</v>
      </c>
      <c r="BD487" s="605">
        <f t="shared" si="1352"/>
        <v>20.664000000000001</v>
      </c>
      <c r="BE487" s="56">
        <f t="shared" si="1334"/>
        <v>19.404</v>
      </c>
      <c r="BF487" s="236">
        <f t="shared" si="1334"/>
        <v>19.404</v>
      </c>
      <c r="BG487" s="605">
        <f t="shared" si="1352"/>
        <v>19.404</v>
      </c>
      <c r="BH487" s="56">
        <f t="shared" si="1334"/>
        <v>18.144000000000002</v>
      </c>
      <c r="BI487" s="236">
        <f t="shared" si="1334"/>
        <v>18.144000000000002</v>
      </c>
      <c r="BJ487" s="605">
        <f t="shared" si="1352"/>
        <v>18.144000000000002</v>
      </c>
    </row>
    <row r="488" spans="1:65">
      <c r="A488" s="101" t="s">
        <v>258</v>
      </c>
      <c r="B488" s="40"/>
      <c r="C488" s="40">
        <f t="shared" ref="C488:BJ488" si="1358">+C443*(1-C464)</f>
        <v>0</v>
      </c>
      <c r="D488" s="40">
        <f t="shared" si="1358"/>
        <v>0</v>
      </c>
      <c r="E488" s="40">
        <f t="shared" si="1358"/>
        <v>0</v>
      </c>
      <c r="F488" s="40">
        <f t="shared" si="1358"/>
        <v>0</v>
      </c>
      <c r="G488" s="40">
        <f t="shared" si="1358"/>
        <v>0</v>
      </c>
      <c r="H488" s="40">
        <f t="shared" si="1358"/>
        <v>0</v>
      </c>
      <c r="I488" s="40">
        <f t="shared" si="1358"/>
        <v>0</v>
      </c>
      <c r="J488" s="40">
        <f t="shared" si="1358"/>
        <v>0</v>
      </c>
      <c r="K488" s="40">
        <f t="shared" si="1358"/>
        <v>0</v>
      </c>
      <c r="L488" s="40">
        <f t="shared" si="1358"/>
        <v>0</v>
      </c>
      <c r="M488" s="40">
        <f t="shared" si="1358"/>
        <v>0.99399999999999999</v>
      </c>
      <c r="N488" s="40">
        <f t="shared" si="1358"/>
        <v>3.164571428571429</v>
      </c>
      <c r="O488" s="40">
        <f t="shared" si="1358"/>
        <v>5.9640000000000004</v>
      </c>
      <c r="P488" s="40">
        <f t="shared" si="1358"/>
        <v>11.644</v>
      </c>
      <c r="Q488" s="40">
        <f t="shared" si="1358"/>
        <v>18.46</v>
      </c>
      <c r="R488" s="40"/>
      <c r="S488" s="630"/>
      <c r="T488" s="653">
        <f t="shared" si="1358"/>
        <v>27.264000000000003</v>
      </c>
      <c r="U488" s="40"/>
      <c r="V488" s="630"/>
      <c r="W488" s="653">
        <f t="shared" si="1358"/>
        <v>33.795999999999999</v>
      </c>
      <c r="X488" s="40"/>
      <c r="Y488" s="630"/>
      <c r="Z488" s="653">
        <f t="shared" si="1358"/>
        <v>38.765999999999998</v>
      </c>
      <c r="AA488" s="40">
        <f t="shared" ref="AA488:AB488" si="1359">+AA443*(1-AA464)</f>
        <v>42.742000000000004</v>
      </c>
      <c r="AB488" s="630">
        <f t="shared" si="1359"/>
        <v>46.718000000000004</v>
      </c>
      <c r="AC488" s="653">
        <f t="shared" si="1358"/>
        <v>46.718000000000004</v>
      </c>
      <c r="AD488" s="40">
        <f t="shared" ref="AD488:AE488" si="1360">+AD443*(1-AD464)</f>
        <v>32.234000000000002</v>
      </c>
      <c r="AE488" s="630">
        <f t="shared" si="1360"/>
        <v>38.198</v>
      </c>
      <c r="AF488" s="653">
        <f t="shared" si="1358"/>
        <v>38.198</v>
      </c>
      <c r="AG488" s="40">
        <f t="shared" si="1358"/>
        <v>40.186</v>
      </c>
      <c r="AH488" s="630">
        <f t="shared" si="1335"/>
        <v>42.884</v>
      </c>
      <c r="AI488" s="653">
        <f t="shared" si="1358"/>
        <v>42.884</v>
      </c>
      <c r="AJ488" s="40">
        <f t="shared" si="1334"/>
        <v>44.73</v>
      </c>
      <c r="AK488" s="630">
        <f t="shared" ref="AK488" si="1361">+AK443*(1-AK464)</f>
        <v>47.002000000000002</v>
      </c>
      <c r="AL488" s="653">
        <f t="shared" si="1358"/>
        <v>47.002000000000002</v>
      </c>
      <c r="AM488" s="40">
        <f t="shared" ref="AM488" si="1362">+AM443*(1-AM464)</f>
        <v>49.416000000000004</v>
      </c>
      <c r="AN488" s="630">
        <f t="shared" si="1337"/>
        <v>52.397999999999996</v>
      </c>
      <c r="AO488" s="653">
        <f t="shared" si="1337"/>
        <v>52.397999999999996</v>
      </c>
      <c r="AP488" s="40">
        <f t="shared" si="1338"/>
        <v>52.823999999999998</v>
      </c>
      <c r="AQ488" s="630">
        <f t="shared" si="1338"/>
        <v>52.540000000000006</v>
      </c>
      <c r="AR488" s="653">
        <f t="shared" si="1338"/>
        <v>52.540000000000006</v>
      </c>
      <c r="AS488" s="40">
        <f t="shared" ref="AS488:AU488" si="1363">+AS443*(1-AS464)</f>
        <v>55.38</v>
      </c>
      <c r="AT488" s="630">
        <f t="shared" si="1363"/>
        <v>55.238</v>
      </c>
      <c r="AU488" s="653">
        <f t="shared" si="1363"/>
        <v>55.238</v>
      </c>
      <c r="AV488" s="10">
        <f t="shared" si="1334"/>
        <v>58.361999999999995</v>
      </c>
      <c r="AW488" s="236">
        <f t="shared" si="1334"/>
        <v>58.405568181818175</v>
      </c>
      <c r="AX488" s="605">
        <f t="shared" si="1358"/>
        <v>58.405568181818175</v>
      </c>
      <c r="AY488" s="56">
        <f t="shared" si="1334"/>
        <v>61.202759358288766</v>
      </c>
      <c r="AZ488" s="236">
        <f t="shared" si="1334"/>
        <v>61.202759358288766</v>
      </c>
      <c r="BA488" s="605">
        <f t="shared" si="1358"/>
        <v>61.202759358288766</v>
      </c>
      <c r="BB488" s="56">
        <f t="shared" si="1334"/>
        <v>63.99995053475935</v>
      </c>
      <c r="BC488" s="236">
        <f t="shared" si="1334"/>
        <v>63.99995053475935</v>
      </c>
      <c r="BD488" s="605">
        <f t="shared" si="1358"/>
        <v>63.99995053475935</v>
      </c>
      <c r="BE488" s="56">
        <f t="shared" si="1334"/>
        <v>66.797141711229955</v>
      </c>
      <c r="BF488" s="236">
        <f t="shared" si="1334"/>
        <v>66.797141711229955</v>
      </c>
      <c r="BG488" s="605">
        <f t="shared" si="1358"/>
        <v>66.797141711229955</v>
      </c>
      <c r="BH488" s="56">
        <f t="shared" si="1334"/>
        <v>69.594332887700531</v>
      </c>
      <c r="BI488" s="236">
        <f t="shared" si="1334"/>
        <v>69.594332887700531</v>
      </c>
      <c r="BJ488" s="605">
        <f t="shared" si="1358"/>
        <v>69.594332887700531</v>
      </c>
    </row>
    <row r="489" spans="1:65">
      <c r="A489" s="101" t="s">
        <v>486</v>
      </c>
      <c r="B489" s="40"/>
      <c r="C489" s="40">
        <f t="shared" ref="C489:BJ489" si="1364">+C444*(1-C465)</f>
        <v>0</v>
      </c>
      <c r="D489" s="40">
        <f t="shared" si="1364"/>
        <v>0</v>
      </c>
      <c r="E489" s="40">
        <f t="shared" si="1364"/>
        <v>0</v>
      </c>
      <c r="F489" s="40">
        <f t="shared" si="1364"/>
        <v>0</v>
      </c>
      <c r="G489" s="40">
        <f t="shared" si="1364"/>
        <v>0</v>
      </c>
      <c r="H489" s="40">
        <f t="shared" si="1364"/>
        <v>0</v>
      </c>
      <c r="I489" s="40">
        <f t="shared" si="1364"/>
        <v>0</v>
      </c>
      <c r="J489" s="40">
        <f t="shared" si="1364"/>
        <v>0</v>
      </c>
      <c r="K489" s="40">
        <f t="shared" si="1364"/>
        <v>0</v>
      </c>
      <c r="L489" s="40">
        <f t="shared" si="1364"/>
        <v>0</v>
      </c>
      <c r="M489" s="40">
        <f t="shared" si="1364"/>
        <v>0</v>
      </c>
      <c r="N489" s="40">
        <f t="shared" si="1364"/>
        <v>0</v>
      </c>
      <c r="O489" s="40">
        <f t="shared" si="1364"/>
        <v>0</v>
      </c>
      <c r="P489" s="40">
        <f t="shared" si="1364"/>
        <v>0.16799999999999995</v>
      </c>
      <c r="Q489" s="40">
        <f t="shared" si="1364"/>
        <v>2.52</v>
      </c>
      <c r="R489" s="40"/>
      <c r="S489" s="630"/>
      <c r="T489" s="653">
        <f t="shared" si="1364"/>
        <v>10.416</v>
      </c>
      <c r="U489" s="40"/>
      <c r="V489" s="630"/>
      <c r="W489" s="653">
        <f t="shared" si="1364"/>
        <v>23.352</v>
      </c>
      <c r="X489" s="40"/>
      <c r="Y489" s="630"/>
      <c r="Z489" s="653">
        <f t="shared" si="1364"/>
        <v>36.287999999999997</v>
      </c>
      <c r="AA489" s="40">
        <f t="shared" ref="AA489:AB489" si="1365">+AA444*(1-AA465)</f>
        <v>43.68</v>
      </c>
      <c r="AB489" s="630">
        <f t="shared" si="1365"/>
        <v>49.559999999999995</v>
      </c>
      <c r="AC489" s="653">
        <f t="shared" si="1364"/>
        <v>49.559999999999995</v>
      </c>
      <c r="AD489" s="40">
        <f t="shared" ref="AD489:AE489" si="1366">+AD444*(1-AD465)</f>
        <v>39.479999999999997</v>
      </c>
      <c r="AE489" s="630">
        <f t="shared" si="1366"/>
        <v>47.207999999999998</v>
      </c>
      <c r="AF489" s="653">
        <f t="shared" si="1364"/>
        <v>47.207999999999998</v>
      </c>
      <c r="AG489" s="40">
        <f t="shared" si="1364"/>
        <v>51.744</v>
      </c>
      <c r="AH489" s="630">
        <f t="shared" si="1335"/>
        <v>55.944000000000003</v>
      </c>
      <c r="AI489" s="653">
        <f t="shared" si="1364"/>
        <v>55.944000000000003</v>
      </c>
      <c r="AJ489" s="40">
        <f t="shared" si="1334"/>
        <v>59.808000000000007</v>
      </c>
      <c r="AK489" s="630">
        <f t="shared" ref="AK489" si="1367">+AK444*(1-AK465)</f>
        <v>64.00800000000001</v>
      </c>
      <c r="AL489" s="653">
        <f t="shared" si="1364"/>
        <v>64.00800000000001</v>
      </c>
      <c r="AM489" s="40">
        <f t="shared" ref="AM489" si="1368">+AM444*(1-AM465)</f>
        <v>72.576000000000008</v>
      </c>
      <c r="AN489" s="630">
        <f t="shared" si="1337"/>
        <v>79.967999999999989</v>
      </c>
      <c r="AO489" s="653">
        <f t="shared" si="1337"/>
        <v>79.967999999999989</v>
      </c>
      <c r="AP489" s="40">
        <f t="shared" si="1338"/>
        <v>84.84</v>
      </c>
      <c r="AQ489" s="630">
        <f t="shared" si="1338"/>
        <v>89.375999999999991</v>
      </c>
      <c r="AR489" s="653">
        <f t="shared" si="1338"/>
        <v>89.375999999999991</v>
      </c>
      <c r="AS489" s="40">
        <f t="shared" ref="AS489:AU489" si="1369">+AS444*(1-AS465)</f>
        <v>93.408000000000001</v>
      </c>
      <c r="AT489" s="630">
        <f t="shared" si="1369"/>
        <v>97.44</v>
      </c>
      <c r="AU489" s="653">
        <f t="shared" si="1369"/>
        <v>97.44</v>
      </c>
      <c r="AV489" s="10">
        <f t="shared" si="1334"/>
        <v>101.30399999999999</v>
      </c>
      <c r="AW489" s="236">
        <f t="shared" si="1334"/>
        <v>102.82588235294116</v>
      </c>
      <c r="AX489" s="605">
        <f t="shared" si="1364"/>
        <v>102.82588235294116</v>
      </c>
      <c r="AY489" s="56">
        <f t="shared" si="1334"/>
        <v>114.42960328317372</v>
      </c>
      <c r="AZ489" s="236">
        <f t="shared" si="1334"/>
        <v>114.42960328317372</v>
      </c>
      <c r="BA489" s="605">
        <f t="shared" si="1364"/>
        <v>114.42960328317372</v>
      </c>
      <c r="BB489" s="56">
        <f t="shared" si="1334"/>
        <v>127.43760328317373</v>
      </c>
      <c r="BC489" s="236">
        <f t="shared" si="1334"/>
        <v>127.43760328317373</v>
      </c>
      <c r="BD489" s="605">
        <f t="shared" si="1364"/>
        <v>127.43760328317373</v>
      </c>
      <c r="BE489" s="56">
        <f t="shared" si="1334"/>
        <v>141.69360328317373</v>
      </c>
      <c r="BF489" s="236">
        <f t="shared" si="1334"/>
        <v>141.69360328317373</v>
      </c>
      <c r="BG489" s="605">
        <f t="shared" si="1364"/>
        <v>141.69360328317373</v>
      </c>
      <c r="BH489" s="56">
        <f t="shared" si="1334"/>
        <v>155.94960328317373</v>
      </c>
      <c r="BI489" s="236">
        <f t="shared" si="1334"/>
        <v>155.94960328317373</v>
      </c>
      <c r="BJ489" s="605">
        <f t="shared" si="1364"/>
        <v>155.94960328317373</v>
      </c>
    </row>
    <row r="490" spans="1:65">
      <c r="A490" s="101" t="s">
        <v>487</v>
      </c>
      <c r="B490" s="40"/>
      <c r="C490" s="40">
        <f t="shared" ref="C490:BJ490" si="1370">+C445*(1-C466)</f>
        <v>0</v>
      </c>
      <c r="D490" s="40">
        <f t="shared" si="1370"/>
        <v>0</v>
      </c>
      <c r="E490" s="40">
        <f t="shared" si="1370"/>
        <v>0</v>
      </c>
      <c r="F490" s="40">
        <f t="shared" si="1370"/>
        <v>0</v>
      </c>
      <c r="G490" s="40">
        <f t="shared" si="1370"/>
        <v>0</v>
      </c>
      <c r="H490" s="40">
        <f t="shared" si="1370"/>
        <v>0</v>
      </c>
      <c r="I490" s="40">
        <f t="shared" si="1370"/>
        <v>0</v>
      </c>
      <c r="J490" s="40">
        <f t="shared" si="1370"/>
        <v>0</v>
      </c>
      <c r="K490" s="40">
        <f t="shared" si="1370"/>
        <v>0</v>
      </c>
      <c r="L490" s="40">
        <f t="shared" si="1370"/>
        <v>0</v>
      </c>
      <c r="M490" s="40">
        <f t="shared" si="1370"/>
        <v>0</v>
      </c>
      <c r="N490" s="40">
        <f t="shared" si="1370"/>
        <v>0</v>
      </c>
      <c r="O490" s="40">
        <f t="shared" si="1370"/>
        <v>0</v>
      </c>
      <c r="P490" s="40">
        <f t="shared" si="1370"/>
        <v>0</v>
      </c>
      <c r="Q490" s="40">
        <f t="shared" si="1370"/>
        <v>0</v>
      </c>
      <c r="R490" s="40"/>
      <c r="S490" s="630"/>
      <c r="T490" s="653">
        <f t="shared" si="1370"/>
        <v>0</v>
      </c>
      <c r="U490" s="40"/>
      <c r="V490" s="630"/>
      <c r="W490" s="653">
        <f t="shared" si="1370"/>
        <v>0.58199999999999996</v>
      </c>
      <c r="X490" s="40"/>
      <c r="Y490" s="630"/>
      <c r="Z490" s="653">
        <f t="shared" si="1370"/>
        <v>4.2679999999999998</v>
      </c>
      <c r="AA490" s="40">
        <f t="shared" ref="AA490:AB490" si="1371">+AA445*(1-AA466)</f>
        <v>4.073999999999999</v>
      </c>
      <c r="AB490" s="630">
        <f t="shared" si="1371"/>
        <v>6.7899999999999991</v>
      </c>
      <c r="AC490" s="653">
        <f t="shared" si="1370"/>
        <v>6.7899999999999991</v>
      </c>
      <c r="AD490" s="40">
        <f t="shared" ref="AD490:AE490" si="1372">+AD445*(1-AD466)</f>
        <v>7.3720000000000008</v>
      </c>
      <c r="AE490" s="630">
        <f t="shared" si="1372"/>
        <v>9.3119999999999994</v>
      </c>
      <c r="AF490" s="653">
        <f t="shared" si="1370"/>
        <v>9.3119999999999994</v>
      </c>
      <c r="AG490" s="40">
        <f t="shared" si="1370"/>
        <v>9.5060000000000002</v>
      </c>
      <c r="AH490" s="630">
        <f t="shared" si="1335"/>
        <v>9.5060000000000002</v>
      </c>
      <c r="AI490" s="653">
        <f t="shared" si="1370"/>
        <v>9.5060000000000002</v>
      </c>
      <c r="AJ490" s="40">
        <f t="shared" si="1334"/>
        <v>11.058</v>
      </c>
      <c r="AK490" s="630">
        <f t="shared" ref="AK490" si="1373">+AK445*(1-AK466)</f>
        <v>12.027999999999999</v>
      </c>
      <c r="AL490" s="653">
        <f t="shared" si="1370"/>
        <v>12.027999999999999</v>
      </c>
      <c r="AM490" s="40">
        <f t="shared" ref="AM490" si="1374">+AM445*(1-AM466)</f>
        <v>14.356000000000002</v>
      </c>
      <c r="AN490" s="630">
        <f t="shared" si="1337"/>
        <v>15.713999999999999</v>
      </c>
      <c r="AO490" s="653">
        <f t="shared" si="1337"/>
        <v>15.713999999999999</v>
      </c>
      <c r="AP490" s="40">
        <f t="shared" si="1338"/>
        <v>16.295999999999999</v>
      </c>
      <c r="AQ490" s="630">
        <f t="shared" si="1338"/>
        <v>18.042000000000002</v>
      </c>
      <c r="AR490" s="653">
        <f t="shared" si="1338"/>
        <v>18.042000000000002</v>
      </c>
      <c r="AS490" s="40">
        <f t="shared" ref="AS490:AU490" si="1375">+AS445*(1-AS466)</f>
        <v>18.624000000000002</v>
      </c>
      <c r="AT490" s="630">
        <f t="shared" si="1375"/>
        <v>20.564</v>
      </c>
      <c r="AU490" s="653">
        <f t="shared" si="1375"/>
        <v>20.564</v>
      </c>
      <c r="AV490" s="10">
        <f t="shared" si="1334"/>
        <v>21.727999999999998</v>
      </c>
      <c r="AW490" s="236">
        <f t="shared" si="1334"/>
        <v>23.233064516129033</v>
      </c>
      <c r="AX490" s="605">
        <f t="shared" si="1370"/>
        <v>23.233064516129033</v>
      </c>
      <c r="AY490" s="56">
        <f t="shared" si="1334"/>
        <v>27.345371456500487</v>
      </c>
      <c r="AZ490" s="236">
        <f t="shared" si="1334"/>
        <v>27.345371456500487</v>
      </c>
      <c r="BA490" s="605">
        <f t="shared" si="1370"/>
        <v>27.345371456500487</v>
      </c>
      <c r="BB490" s="56">
        <f t="shared" si="1334"/>
        <v>32.046672704272325</v>
      </c>
      <c r="BC490" s="236">
        <f t="shared" si="1334"/>
        <v>32.046672704272325</v>
      </c>
      <c r="BD490" s="605">
        <f t="shared" si="1370"/>
        <v>32.046672704272325</v>
      </c>
      <c r="BE490" s="56">
        <f t="shared" si="1334"/>
        <v>37.239025645448791</v>
      </c>
      <c r="BF490" s="236">
        <f t="shared" si="1334"/>
        <v>37.239025645448791</v>
      </c>
      <c r="BG490" s="605">
        <f t="shared" si="1370"/>
        <v>37.239025645448791</v>
      </c>
      <c r="BH490" s="56">
        <f t="shared" si="1334"/>
        <v>42.65961388074291</v>
      </c>
      <c r="BI490" s="236">
        <f t="shared" si="1334"/>
        <v>42.65961388074291</v>
      </c>
      <c r="BJ490" s="605">
        <f t="shared" si="1370"/>
        <v>42.65961388074291</v>
      </c>
    </row>
    <row r="491" spans="1:65">
      <c r="A491" s="101" t="s">
        <v>277</v>
      </c>
      <c r="B491" s="40"/>
      <c r="C491" s="40">
        <f t="shared" ref="C491:BJ491" si="1376">+C446*(1-C467)</f>
        <v>0</v>
      </c>
      <c r="D491" s="40">
        <f t="shared" si="1376"/>
        <v>0</v>
      </c>
      <c r="E491" s="40">
        <f t="shared" si="1376"/>
        <v>0</v>
      </c>
      <c r="F491" s="40">
        <f t="shared" si="1376"/>
        <v>0</v>
      </c>
      <c r="G491" s="40">
        <f t="shared" si="1376"/>
        <v>0</v>
      </c>
      <c r="H491" s="40">
        <f t="shared" si="1376"/>
        <v>0</v>
      </c>
      <c r="I491" s="40">
        <f t="shared" si="1376"/>
        <v>0</v>
      </c>
      <c r="J491" s="40">
        <f t="shared" si="1376"/>
        <v>0</v>
      </c>
      <c r="K491" s="40">
        <f t="shared" si="1376"/>
        <v>0</v>
      </c>
      <c r="L491" s="40">
        <f t="shared" si="1376"/>
        <v>0</v>
      </c>
      <c r="M491" s="40">
        <f t="shared" si="1376"/>
        <v>0</v>
      </c>
      <c r="N491" s="40">
        <f t="shared" si="1376"/>
        <v>0</v>
      </c>
      <c r="O491" s="40">
        <f t="shared" si="1376"/>
        <v>0</v>
      </c>
      <c r="P491" s="40">
        <f t="shared" si="1376"/>
        <v>0</v>
      </c>
      <c r="Q491" s="40">
        <f t="shared" si="1376"/>
        <v>0</v>
      </c>
      <c r="R491" s="40"/>
      <c r="S491" s="630"/>
      <c r="T491" s="653">
        <f t="shared" si="1376"/>
        <v>0</v>
      </c>
      <c r="U491" s="40"/>
      <c r="V491" s="630"/>
      <c r="W491" s="653">
        <f t="shared" si="1376"/>
        <v>0</v>
      </c>
      <c r="X491" s="40"/>
      <c r="Y491" s="630"/>
      <c r="Z491" s="653">
        <f t="shared" si="1376"/>
        <v>0.86399999999999999</v>
      </c>
      <c r="AA491" s="40">
        <f t="shared" ref="AA491:AB491" si="1377">+AA446*(1-AA467)</f>
        <v>2.3040000000000003</v>
      </c>
      <c r="AB491" s="630">
        <f t="shared" si="1377"/>
        <v>5.76</v>
      </c>
      <c r="AC491" s="653">
        <f t="shared" si="1376"/>
        <v>5.76</v>
      </c>
      <c r="AD491" s="40">
        <f t="shared" ref="AD491:AE491" si="1378">+AD446*(1-AD467)</f>
        <v>3.7440000000000002</v>
      </c>
      <c r="AE491" s="630">
        <f t="shared" si="1378"/>
        <v>6.48</v>
      </c>
      <c r="AF491" s="653">
        <f t="shared" si="1376"/>
        <v>6.48</v>
      </c>
      <c r="AG491" s="40">
        <f t="shared" si="1376"/>
        <v>6.7680000000000007</v>
      </c>
      <c r="AH491" s="630">
        <f t="shared" si="1335"/>
        <v>9.3600000000000012</v>
      </c>
      <c r="AI491" s="653">
        <f t="shared" si="1376"/>
        <v>9.3600000000000012</v>
      </c>
      <c r="AJ491" s="40">
        <f t="shared" si="1334"/>
        <v>10.368</v>
      </c>
      <c r="AK491" s="630">
        <f t="shared" ref="AK491" si="1379">+AK446*(1-AK467)</f>
        <v>12.24</v>
      </c>
      <c r="AL491" s="653">
        <f t="shared" si="1376"/>
        <v>12.24</v>
      </c>
      <c r="AM491" s="40">
        <f t="shared" ref="AM491" si="1380">+AM446*(1-AM467)</f>
        <v>14.112</v>
      </c>
      <c r="AN491" s="630">
        <f t="shared" si="1337"/>
        <v>15.84</v>
      </c>
      <c r="AO491" s="653">
        <f t="shared" si="1337"/>
        <v>15.84</v>
      </c>
      <c r="AP491" s="40">
        <f t="shared" si="1338"/>
        <v>18.576000000000001</v>
      </c>
      <c r="AQ491" s="630">
        <f t="shared" si="1338"/>
        <v>21.167999999999999</v>
      </c>
      <c r="AR491" s="653">
        <f t="shared" si="1338"/>
        <v>21.167999999999999</v>
      </c>
      <c r="AS491" s="40">
        <f t="shared" ref="AS491:AU491" si="1381">+AS446*(1-AS467)</f>
        <v>22.464000000000002</v>
      </c>
      <c r="AT491" s="630">
        <f t="shared" si="1381"/>
        <v>25.344000000000001</v>
      </c>
      <c r="AU491" s="653">
        <f t="shared" si="1381"/>
        <v>25.344000000000001</v>
      </c>
      <c r="AV491" s="10">
        <f t="shared" si="1334"/>
        <v>25.775999999999996</v>
      </c>
      <c r="AW491" s="236">
        <f t="shared" si="1334"/>
        <v>29.798258823529405</v>
      </c>
      <c r="AX491" s="605">
        <f t="shared" si="1376"/>
        <v>29.798258823529405</v>
      </c>
      <c r="AY491" s="56">
        <f t="shared" si="1334"/>
        <v>34.767317647058817</v>
      </c>
      <c r="AZ491" s="236">
        <f t="shared" si="1334"/>
        <v>34.767317647058817</v>
      </c>
      <c r="BA491" s="605">
        <f t="shared" si="1376"/>
        <v>34.767317647058817</v>
      </c>
      <c r="BB491" s="56">
        <f t="shared" si="1334"/>
        <v>39.736376470588226</v>
      </c>
      <c r="BC491" s="236">
        <f t="shared" si="1334"/>
        <v>39.736376470588226</v>
      </c>
      <c r="BD491" s="605">
        <f t="shared" si="1376"/>
        <v>39.736376470588226</v>
      </c>
      <c r="BE491" s="56">
        <f t="shared" si="1334"/>
        <v>44.788205042016806</v>
      </c>
      <c r="BF491" s="236">
        <f t="shared" si="1334"/>
        <v>44.788205042016806</v>
      </c>
      <c r="BG491" s="605">
        <f t="shared" si="1376"/>
        <v>44.788205042016806</v>
      </c>
      <c r="BH491" s="56">
        <f t="shared" si="1334"/>
        <v>49.840033613445371</v>
      </c>
      <c r="BI491" s="236">
        <f t="shared" si="1334"/>
        <v>49.840033613445371</v>
      </c>
      <c r="BJ491" s="605">
        <f t="shared" si="1376"/>
        <v>49.840033613445371</v>
      </c>
    </row>
    <row r="492" spans="1:65" ht="10.8" thickBot="1">
      <c r="A492" s="84" t="s">
        <v>560</v>
      </c>
      <c r="B492" s="84"/>
      <c r="C492" s="84">
        <f t="shared" ref="C492:BJ492" si="1382">+SUM(C484:C491)</f>
        <v>40.72</v>
      </c>
      <c r="D492" s="84">
        <f t="shared" si="1382"/>
        <v>49.001348314606744</v>
      </c>
      <c r="E492" s="84">
        <f t="shared" si="1382"/>
        <v>58.831999999999994</v>
      </c>
      <c r="F492" s="84">
        <f t="shared" si="1382"/>
        <v>67.007000000000005</v>
      </c>
      <c r="G492" s="84">
        <f t="shared" si="1382"/>
        <v>76.062545454545457</v>
      </c>
      <c r="H492" s="84">
        <f t="shared" si="1382"/>
        <v>88.510293333333337</v>
      </c>
      <c r="I492" s="84">
        <f t="shared" si="1382"/>
        <v>96.275216494845367</v>
      </c>
      <c r="J492" s="84">
        <f t="shared" si="1382"/>
        <v>103.24702641509434</v>
      </c>
      <c r="K492" s="84">
        <f t="shared" si="1382"/>
        <v>115.62179487179488</v>
      </c>
      <c r="L492" s="84">
        <f t="shared" si="1382"/>
        <v>125.11947566484299</v>
      </c>
      <c r="M492" s="84">
        <f t="shared" si="1382"/>
        <v>137.460826446281</v>
      </c>
      <c r="N492" s="84">
        <f t="shared" si="1382"/>
        <v>153.98478195488721</v>
      </c>
      <c r="O492" s="84">
        <f t="shared" si="1382"/>
        <v>168.00399999999999</v>
      </c>
      <c r="P492" s="84">
        <f t="shared" si="1382"/>
        <v>184.70000000000002</v>
      </c>
      <c r="Q492" s="84">
        <f t="shared" si="1382"/>
        <v>195.21200000000002</v>
      </c>
      <c r="R492" s="84"/>
      <c r="S492" s="632"/>
      <c r="T492" s="655">
        <f t="shared" si="1382"/>
        <v>217.24</v>
      </c>
      <c r="U492" s="84"/>
      <c r="V492" s="632"/>
      <c r="W492" s="655">
        <f t="shared" si="1382"/>
        <v>243.45000000000002</v>
      </c>
      <c r="X492" s="84"/>
      <c r="Y492" s="632"/>
      <c r="Z492" s="655">
        <f t="shared" si="1382"/>
        <v>272.60999999999996</v>
      </c>
      <c r="AA492" s="84">
        <f t="shared" si="1382"/>
        <v>284.33599999999996</v>
      </c>
      <c r="AB492" s="632">
        <f t="shared" si="1382"/>
        <v>297.3</v>
      </c>
      <c r="AC492" s="655">
        <f t="shared" si="1382"/>
        <v>297.3</v>
      </c>
      <c r="AD492" s="84">
        <f t="shared" si="1382"/>
        <v>169.85399999999998</v>
      </c>
      <c r="AE492" s="632">
        <f t="shared" si="1382"/>
        <v>197.982</v>
      </c>
      <c r="AF492" s="655">
        <f t="shared" si="1382"/>
        <v>197.982</v>
      </c>
      <c r="AG492" s="84">
        <f t="shared" ref="AG492:AH492" si="1383">+SUM(AG484:AG491)</f>
        <v>209.892</v>
      </c>
      <c r="AH492" s="632">
        <f t="shared" si="1383"/>
        <v>233.31000000000003</v>
      </c>
      <c r="AI492" s="655">
        <f t="shared" si="1382"/>
        <v>233.31000000000003</v>
      </c>
      <c r="AJ492" s="84">
        <f t="shared" si="1382"/>
        <v>248.29200000000003</v>
      </c>
      <c r="AK492" s="632">
        <f t="shared" ref="AK492" si="1384">+SUM(AK484:AK491)</f>
        <v>259.142</v>
      </c>
      <c r="AL492" s="655">
        <f t="shared" si="1382"/>
        <v>259.142</v>
      </c>
      <c r="AM492" s="84">
        <f t="shared" ref="AM492:AN492" si="1385">+SUM(AM484:AM491)</f>
        <v>289.02000000000004</v>
      </c>
      <c r="AN492" s="632">
        <f t="shared" si="1385"/>
        <v>310.13599999999997</v>
      </c>
      <c r="AO492" s="655">
        <f t="shared" ref="AO492:AQ492" si="1386">+SUM(AO484:AO491)</f>
        <v>310.13599999999997</v>
      </c>
      <c r="AP492" s="84">
        <f t="shared" si="1386"/>
        <v>322.56</v>
      </c>
      <c r="AQ492" s="632">
        <f t="shared" si="1386"/>
        <v>332.47799999999995</v>
      </c>
      <c r="AR492" s="655">
        <f t="shared" ref="AR492:AT492" si="1387">+SUM(AR484:AR491)</f>
        <v>332.47799999999995</v>
      </c>
      <c r="AS492" s="84">
        <f t="shared" si="1387"/>
        <v>342.97200000000004</v>
      </c>
      <c r="AT492" s="632">
        <f t="shared" si="1387"/>
        <v>354.25</v>
      </c>
      <c r="AU492" s="655">
        <f t="shared" ref="AU492" si="1388">+SUM(AU484:AU491)</f>
        <v>354.25</v>
      </c>
      <c r="AV492" s="22">
        <f t="shared" si="1382"/>
        <v>358.65000000000003</v>
      </c>
      <c r="AW492" s="244">
        <f t="shared" si="1382"/>
        <v>366.22177387441781</v>
      </c>
      <c r="AX492" s="581">
        <f t="shared" si="1382"/>
        <v>366.22177387441781</v>
      </c>
      <c r="AY492" s="181">
        <f t="shared" si="1382"/>
        <v>384.49505174502178</v>
      </c>
      <c r="AZ492" s="244">
        <f t="shared" si="1382"/>
        <v>384.49505174502178</v>
      </c>
      <c r="BA492" s="581">
        <f t="shared" si="1382"/>
        <v>384.49505174502178</v>
      </c>
      <c r="BB492" s="181">
        <f t="shared" si="1382"/>
        <v>404.76160299279366</v>
      </c>
      <c r="BC492" s="244">
        <f t="shared" si="1382"/>
        <v>404.76160299279366</v>
      </c>
      <c r="BD492" s="581">
        <f t="shared" si="1382"/>
        <v>404.76160299279366</v>
      </c>
      <c r="BE492" s="181">
        <f t="shared" si="1382"/>
        <v>426.8499756818693</v>
      </c>
      <c r="BF492" s="244">
        <f t="shared" si="1382"/>
        <v>426.8499756818693</v>
      </c>
      <c r="BG492" s="581">
        <f t="shared" si="1382"/>
        <v>426.8499756818693</v>
      </c>
      <c r="BH492" s="181">
        <f t="shared" si="1382"/>
        <v>449.16658366506249</v>
      </c>
      <c r="BI492" s="244">
        <f t="shared" si="1382"/>
        <v>449.16658366506249</v>
      </c>
      <c r="BJ492" s="581">
        <f t="shared" si="1382"/>
        <v>449.16658366506249</v>
      </c>
    </row>
    <row r="493" spans="1:65" ht="10.8" thickBot="1">
      <c r="A493" s="113" t="s">
        <v>556</v>
      </c>
      <c r="B493" s="301"/>
      <c r="C493" s="84">
        <f t="shared" ref="C493:AL493" si="1389">+C492+C483</f>
        <v>138.67403132728771</v>
      </c>
      <c r="D493" s="84">
        <f t="shared" si="1389"/>
        <v>146.26679833534502</v>
      </c>
      <c r="E493" s="84">
        <f t="shared" si="1389"/>
        <v>159.48347746243741</v>
      </c>
      <c r="F493" s="84">
        <f t="shared" si="1389"/>
        <v>168.69564933958245</v>
      </c>
      <c r="G493" s="84">
        <f t="shared" si="1389"/>
        <v>175.20343892533583</v>
      </c>
      <c r="H493" s="84">
        <f t="shared" si="1389"/>
        <v>184.90759134657839</v>
      </c>
      <c r="I493" s="84">
        <f t="shared" si="1389"/>
        <v>191.52860991530503</v>
      </c>
      <c r="J493" s="84">
        <f t="shared" si="1389"/>
        <v>191.83108059538392</v>
      </c>
      <c r="K493" s="84">
        <f t="shared" si="1389"/>
        <v>201.85999289159685</v>
      </c>
      <c r="L493" s="84">
        <f t="shared" si="1389"/>
        <v>208.09322820033995</v>
      </c>
      <c r="M493" s="84">
        <f t="shared" si="1389"/>
        <v>218.4759542501412</v>
      </c>
      <c r="N493" s="84">
        <f t="shared" si="1389"/>
        <v>229.17578195488721</v>
      </c>
      <c r="O493" s="84">
        <f t="shared" si="1389"/>
        <v>237.86666517357222</v>
      </c>
      <c r="P493" s="84">
        <f t="shared" si="1389"/>
        <v>248.61003492433062</v>
      </c>
      <c r="Q493" s="84">
        <f t="shared" si="1389"/>
        <v>251.19892212608158</v>
      </c>
      <c r="R493" s="84"/>
      <c r="S493" s="632"/>
      <c r="T493" s="655">
        <f t="shared" si="1389"/>
        <v>269.32046380885453</v>
      </c>
      <c r="U493" s="84"/>
      <c r="V493" s="632"/>
      <c r="W493" s="655">
        <f t="shared" si="1389"/>
        <v>292.95531365313656</v>
      </c>
      <c r="X493" s="84"/>
      <c r="Y493" s="632"/>
      <c r="Z493" s="655">
        <f t="shared" si="1389"/>
        <v>322.11531365313647</v>
      </c>
      <c r="AA493" s="84">
        <f t="shared" si="1389"/>
        <v>332.48500369003682</v>
      </c>
      <c r="AB493" s="632">
        <f t="shared" si="1389"/>
        <v>344.18311439114393</v>
      </c>
      <c r="AC493" s="655">
        <f t="shared" si="1389"/>
        <v>344.18311439114393</v>
      </c>
      <c r="AD493" s="84">
        <f t="shared" si="1389"/>
        <v>198.65298154981548</v>
      </c>
      <c r="AE493" s="632">
        <f t="shared" si="1389"/>
        <v>227.8660295202952</v>
      </c>
      <c r="AF493" s="655">
        <f t="shared" si="1389"/>
        <v>225.982</v>
      </c>
      <c r="AG493" s="84">
        <f t="shared" ref="AG493:AH493" si="1390">+AG492+AG483</f>
        <v>242.30780811808117</v>
      </c>
      <c r="AH493" s="632">
        <f t="shared" si="1390"/>
        <v>266.81085608856091</v>
      </c>
      <c r="AI493" s="655">
        <f t="shared" si="1389"/>
        <v>266.81085608856091</v>
      </c>
      <c r="AJ493" s="84">
        <f t="shared" si="1389"/>
        <v>282.96832472324724</v>
      </c>
      <c r="AK493" s="632">
        <f t="shared" ref="AK493" si="1391">+AK492+AK483</f>
        <v>293.8183247232472</v>
      </c>
      <c r="AL493" s="655">
        <f t="shared" si="1389"/>
        <v>293.8183247232472</v>
      </c>
      <c r="AM493" s="84">
        <f t="shared" ref="AM493:AO493" si="1392">+AM492+AM483</f>
        <v>324.78137269372695</v>
      </c>
      <c r="AN493" s="632">
        <f t="shared" si="1392"/>
        <v>346.07821402214017</v>
      </c>
      <c r="AO493" s="655">
        <f t="shared" si="1392"/>
        <v>346.07821402214017</v>
      </c>
      <c r="AP493" s="84">
        <f t="shared" ref="AP493:AR493" si="1393">+AP492+AP483</f>
        <v>356.87464206642068</v>
      </c>
      <c r="AQ493" s="632">
        <f t="shared" si="1393"/>
        <v>366.06927675276745</v>
      </c>
      <c r="AR493" s="655">
        <f t="shared" si="1393"/>
        <v>366.06927675276745</v>
      </c>
      <c r="AS493" s="84">
        <f t="shared" ref="AS493:AU493" si="1394">+AS492+AS483</f>
        <v>376.201594095941</v>
      </c>
      <c r="AT493" s="632">
        <f t="shared" si="1394"/>
        <v>385.67118081180814</v>
      </c>
      <c r="AU493" s="655">
        <f t="shared" si="1394"/>
        <v>385.67118081180814</v>
      </c>
      <c r="AV493" s="1118">
        <f t="shared" ref="AV493:BJ493" si="1395">IFERROR(AV492+AV483,"na")</f>
        <v>390.16160147601477</v>
      </c>
      <c r="AW493" s="244">
        <f t="shared" ref="AW493" si="1396">+AW492+AW483</f>
        <v>395.65370007367983</v>
      </c>
      <c r="AX493" s="856">
        <f t="shared" si="1395"/>
        <v>395.65370007367983</v>
      </c>
      <c r="AY493" s="982">
        <f t="shared" si="1395"/>
        <v>412.23159049040925</v>
      </c>
      <c r="AZ493" s="244">
        <f t="shared" ref="AZ493" si="1397">+AZ492+AZ483</f>
        <v>412.23159049040925</v>
      </c>
      <c r="BA493" s="856">
        <f t="shared" si="1395"/>
        <v>412.23159049040925</v>
      </c>
      <c r="BB493" s="982">
        <f t="shared" si="1395"/>
        <v>430.80275428430656</v>
      </c>
      <c r="BC493" s="244">
        <f t="shared" ref="BC493" si="1398">+BC492+BC483</f>
        <v>430.80275428430656</v>
      </c>
      <c r="BD493" s="856">
        <f t="shared" si="1395"/>
        <v>430.80275428430656</v>
      </c>
      <c r="BE493" s="982">
        <f t="shared" si="1395"/>
        <v>451.1957395195077</v>
      </c>
      <c r="BF493" s="244">
        <f t="shared" ref="BF493" si="1399">+BF492+BF483</f>
        <v>451.1957395195077</v>
      </c>
      <c r="BG493" s="856">
        <f t="shared" si="1395"/>
        <v>451.1957395195077</v>
      </c>
      <c r="BH493" s="982">
        <f t="shared" si="1395"/>
        <v>471.81696004882633</v>
      </c>
      <c r="BI493" s="244">
        <f t="shared" ref="BI493" si="1400">+BI492+BI483</f>
        <v>471.81696004882633</v>
      </c>
      <c r="BJ493" s="856">
        <f t="shared" si="1395"/>
        <v>471.81696004882633</v>
      </c>
    </row>
    <row r="494" spans="1:65">
      <c r="B494" s="40"/>
      <c r="C494" s="40"/>
      <c r="D494" s="40"/>
      <c r="E494" s="40"/>
      <c r="F494" s="40"/>
      <c r="G494" s="40"/>
      <c r="H494" s="40"/>
      <c r="I494" s="40"/>
      <c r="J494" s="40"/>
      <c r="K494" s="40"/>
      <c r="L494" s="40"/>
      <c r="M494" s="40"/>
      <c r="N494" s="40"/>
      <c r="O494" s="40"/>
      <c r="P494" s="40"/>
      <c r="Q494" s="50"/>
      <c r="R494" s="50"/>
      <c r="S494" s="647"/>
      <c r="T494" s="671"/>
      <c r="U494" s="50"/>
      <c r="V494" s="647"/>
      <c r="W494" s="671"/>
      <c r="X494" s="50"/>
      <c r="Y494" s="647"/>
      <c r="Z494" s="671"/>
      <c r="AA494" s="50"/>
      <c r="AB494" s="647"/>
      <c r="AC494" s="671"/>
      <c r="AD494" s="50"/>
      <c r="AE494" s="647"/>
      <c r="AF494" s="671"/>
      <c r="AG494" s="50"/>
      <c r="AH494" s="647"/>
      <c r="AI494" s="671"/>
      <c r="AJ494" s="50"/>
      <c r="AK494" s="647"/>
      <c r="AL494" s="671"/>
      <c r="AM494" s="50"/>
      <c r="AN494" s="594"/>
      <c r="AO494" s="618"/>
      <c r="AP494" s="967"/>
      <c r="AQ494" s="594"/>
      <c r="AR494" s="618"/>
      <c r="AS494" s="967"/>
      <c r="AT494" s="594"/>
      <c r="AU494" s="618"/>
      <c r="AV494" s="211"/>
      <c r="AW494" s="594"/>
      <c r="AX494" s="618"/>
      <c r="AY494" s="967"/>
      <c r="AZ494" s="594"/>
      <c r="BA494" s="618"/>
      <c r="BB494" s="967"/>
      <c r="BC494" s="594"/>
      <c r="BD494" s="618"/>
      <c r="BE494" s="967"/>
      <c r="BF494" s="594"/>
      <c r="BG494" s="618"/>
      <c r="BH494" s="967"/>
      <c r="BI494" s="594"/>
      <c r="BJ494" s="618"/>
    </row>
    <row r="495" spans="1:65" ht="11.4">
      <c r="A495" s="40" t="s">
        <v>562</v>
      </c>
      <c r="B495" s="40"/>
      <c r="C495" s="40">
        <f t="shared" ref="C495:BJ495" si="1401">+C493/C480*10^6</f>
        <v>57049.696287277286</v>
      </c>
      <c r="D495" s="40">
        <f t="shared" si="1401"/>
        <v>57603.155113931483</v>
      </c>
      <c r="E495" s="40">
        <f t="shared" si="1401"/>
        <v>57777.901226298425</v>
      </c>
      <c r="F495" s="40">
        <f t="shared" si="1401"/>
        <v>57825.003642554257</v>
      </c>
      <c r="G495" s="40">
        <f t="shared" si="1401"/>
        <v>58235.264041176459</v>
      </c>
      <c r="H495" s="40">
        <f t="shared" si="1401"/>
        <v>58635.730188530062</v>
      </c>
      <c r="I495" s="40">
        <f t="shared" si="1401"/>
        <v>58986.267872118951</v>
      </c>
      <c r="J495" s="40">
        <f t="shared" si="1401"/>
        <v>59402.805388660046</v>
      </c>
      <c r="K495" s="40">
        <f t="shared" si="1401"/>
        <v>59968.104910199836</v>
      </c>
      <c r="L495" s="40">
        <f t="shared" si="1401"/>
        <v>60326.091454755318</v>
      </c>
      <c r="M495" s="40">
        <f t="shared" si="1401"/>
        <v>60858.664367377583</v>
      </c>
      <c r="N495" s="40">
        <f t="shared" si="1401"/>
        <v>61726.64367674799</v>
      </c>
      <c r="O495" s="40">
        <f t="shared" si="1401"/>
        <v>62563.562644285172</v>
      </c>
      <c r="P495" s="40">
        <f t="shared" si="1401"/>
        <v>63566.871624732958</v>
      </c>
      <c r="Q495" s="40">
        <f t="shared" si="1401"/>
        <v>64261.683838854333</v>
      </c>
      <c r="R495" s="40"/>
      <c r="S495" s="630"/>
      <c r="T495" s="653">
        <f t="shared" si="1401"/>
        <v>65100.4263497352</v>
      </c>
      <c r="U495" s="40"/>
      <c r="V495" s="630"/>
      <c r="W495" s="653">
        <f t="shared" si="1401"/>
        <v>66354.544428796493</v>
      </c>
      <c r="X495" s="40"/>
      <c r="Y495" s="630"/>
      <c r="Z495" s="653">
        <f t="shared" si="1401"/>
        <v>67345.873646902881</v>
      </c>
      <c r="AA495" s="40">
        <f t="shared" si="1401"/>
        <v>67895.651151733065</v>
      </c>
      <c r="AB495" s="630">
        <f t="shared" si="1401"/>
        <v>68439.672776127249</v>
      </c>
      <c r="AC495" s="653">
        <f t="shared" si="1401"/>
        <v>68439.672776127249</v>
      </c>
      <c r="AD495" s="40">
        <f t="shared" si="1401"/>
        <v>68666.775509787592</v>
      </c>
      <c r="AE495" s="630">
        <f t="shared" si="1401"/>
        <v>69662.497560469346</v>
      </c>
      <c r="AF495" s="653">
        <f t="shared" si="1401"/>
        <v>69086.517884439003</v>
      </c>
      <c r="AG495" s="40">
        <f t="shared" ref="AG495:AH495" si="1402">+AG493/AG480*10^6</f>
        <v>69608.678000023327</v>
      </c>
      <c r="AH495" s="630">
        <f t="shared" si="1402"/>
        <v>69827.494396378155</v>
      </c>
      <c r="AI495" s="653">
        <f t="shared" si="1401"/>
        <v>69827.494396378155</v>
      </c>
      <c r="AJ495" s="40">
        <f t="shared" si="1401"/>
        <v>69955.086458157544</v>
      </c>
      <c r="AK495" s="630">
        <f t="shared" ref="AK495" si="1403">+AK493/AK480*10^6</f>
        <v>70308.28540876937</v>
      </c>
      <c r="AL495" s="653">
        <f t="shared" si="1401"/>
        <v>70308.28540876937</v>
      </c>
      <c r="AM495" s="40">
        <f t="shared" ref="AM495:AO495" si="1404">+AM493/AM480*10^6</f>
        <v>70712.251838390366</v>
      </c>
      <c r="AN495" s="630">
        <f t="shared" si="1404"/>
        <v>71107.091436642731</v>
      </c>
      <c r="AO495" s="653">
        <f t="shared" si="1404"/>
        <v>71107.091436642731</v>
      </c>
      <c r="AP495" s="40">
        <f t="shared" ref="AP495:AR495" si="1405">+AP493/AP480*10^6</f>
        <v>71474.993404049805</v>
      </c>
      <c r="AQ495" s="630">
        <f t="shared" si="1405"/>
        <v>71736.091858273066</v>
      </c>
      <c r="AR495" s="653">
        <f t="shared" si="1405"/>
        <v>71736.091858273066</v>
      </c>
      <c r="AS495" s="40">
        <f t="shared" ref="AS495:AU495" si="1406">+AS493/AS480*10^6</f>
        <v>72000.305090132242</v>
      </c>
      <c r="AT495" s="630">
        <f t="shared" si="1406"/>
        <v>72426.512828508567</v>
      </c>
      <c r="AU495" s="653">
        <f t="shared" si="1406"/>
        <v>72426.512828508567</v>
      </c>
      <c r="AV495" s="10">
        <f t="shared" si="1401"/>
        <v>72642.264285238271</v>
      </c>
      <c r="AW495" s="236">
        <f t="shared" si="1401"/>
        <v>72957.619042542559</v>
      </c>
      <c r="AX495" s="605">
        <f t="shared" si="1401"/>
        <v>72957.619042542559</v>
      </c>
      <c r="AY495" s="56">
        <f t="shared" si="1401"/>
        <v>73537.16765286545</v>
      </c>
      <c r="AZ495" s="236">
        <f t="shared" si="1401"/>
        <v>73537.16765286545</v>
      </c>
      <c r="BA495" s="605">
        <f t="shared" si="1401"/>
        <v>73537.16765286545</v>
      </c>
      <c r="BB495" s="56">
        <f t="shared" si="1401"/>
        <v>74132.618523097015</v>
      </c>
      <c r="BC495" s="236">
        <f t="shared" si="1401"/>
        <v>74132.618523097015</v>
      </c>
      <c r="BD495" s="605">
        <f t="shared" si="1401"/>
        <v>74132.618523097015</v>
      </c>
      <c r="BE495" s="56">
        <f t="shared" si="1401"/>
        <v>74728.5089374011</v>
      </c>
      <c r="BF495" s="236">
        <f t="shared" si="1401"/>
        <v>74728.5089374011</v>
      </c>
      <c r="BG495" s="605">
        <f t="shared" si="1401"/>
        <v>74728.5089374011</v>
      </c>
      <c r="BH495" s="56">
        <f t="shared" si="1401"/>
        <v>75289.452364037148</v>
      </c>
      <c r="BI495" s="236">
        <f t="shared" si="1401"/>
        <v>75289.452364037148</v>
      </c>
      <c r="BJ495" s="605">
        <f t="shared" si="1401"/>
        <v>75289.452364037148</v>
      </c>
      <c r="BM495" s="110"/>
    </row>
    <row r="496" spans="1:65" ht="11.4">
      <c r="A496" s="96" t="s">
        <v>510</v>
      </c>
      <c r="B496" s="87"/>
      <c r="C496" s="87"/>
      <c r="D496" s="87">
        <f>+D495/C495-1</f>
        <v>9.7013457156234217E-3</v>
      </c>
      <c r="E496" s="87">
        <f t="shared" ref="E496:Q496" si="1407">+E495/D495-1</f>
        <v>3.0336205025804919E-3</v>
      </c>
      <c r="F496" s="87">
        <f t="shared" si="1407"/>
        <v>8.1523238567182688E-4</v>
      </c>
      <c r="G496" s="87">
        <f t="shared" si="1407"/>
        <v>7.0948616131221165E-3</v>
      </c>
      <c r="H496" s="87">
        <f t="shared" si="1407"/>
        <v>6.876694970773034E-3</v>
      </c>
      <c r="I496" s="87">
        <f t="shared" si="1407"/>
        <v>5.9782266284023056E-3</v>
      </c>
      <c r="J496" s="87">
        <f t="shared" si="1407"/>
        <v>7.0616014806046401E-3</v>
      </c>
      <c r="K496" s="87">
        <f t="shared" si="1407"/>
        <v>9.5163775151889674E-3</v>
      </c>
      <c r="L496" s="87">
        <f t="shared" si="1407"/>
        <v>5.9696157664403948E-3</v>
      </c>
      <c r="M496" s="87">
        <f t="shared" si="1407"/>
        <v>8.8282350104131879E-3</v>
      </c>
      <c r="N496" s="87">
        <f t="shared" si="1407"/>
        <v>1.4262214236756554E-2</v>
      </c>
      <c r="O496" s="87">
        <f t="shared" si="1407"/>
        <v>1.3558471960989582E-2</v>
      </c>
      <c r="P496" s="87">
        <f t="shared" si="1407"/>
        <v>1.6036634392965432E-2</v>
      </c>
      <c r="Q496" s="87">
        <f t="shared" si="1407"/>
        <v>1.0930413851781173E-2</v>
      </c>
      <c r="R496" s="87"/>
      <c r="S496" s="644"/>
      <c r="T496" s="668">
        <f>+T495/Q495-1</f>
        <v>1.3051984647401094E-2</v>
      </c>
      <c r="U496" s="87"/>
      <c r="V496" s="644"/>
      <c r="W496" s="668">
        <f>+W495/T495-1</f>
        <v>1.9264360456318075E-2</v>
      </c>
      <c r="X496" s="87"/>
      <c r="Y496" s="644"/>
      <c r="Z496" s="668">
        <f>+Z495/W495-1</f>
        <v>1.4939884323524444E-2</v>
      </c>
      <c r="AA496" s="87"/>
      <c r="AB496" s="644"/>
      <c r="AC496" s="668">
        <f t="shared" ref="AC496:BJ496" si="1408">+AC495/Z495-1</f>
        <v>1.6241516666027689E-2</v>
      </c>
      <c r="AD496" s="87">
        <f t="shared" si="1408"/>
        <v>1.1357492637211974E-2</v>
      </c>
      <c r="AE496" s="644">
        <f t="shared" si="1408"/>
        <v>1.7867192152453359E-2</v>
      </c>
      <c r="AF496" s="668">
        <f t="shared" si="1408"/>
        <v>9.451317957460903E-3</v>
      </c>
      <c r="AG496" s="87">
        <f t="shared" si="1408"/>
        <v>1.3717004814089107E-2</v>
      </c>
      <c r="AH496" s="644">
        <f t="shared" si="1408"/>
        <v>2.3685173757312938E-3</v>
      </c>
      <c r="AI496" s="668">
        <f t="shared" si="1408"/>
        <v>1.072534171107864E-2</v>
      </c>
      <c r="AJ496" s="87">
        <f t="shared" si="1408"/>
        <v>4.9765125281375777E-3</v>
      </c>
      <c r="AK496" s="644">
        <f t="shared" si="1408"/>
        <v>6.8854112058207573E-3</v>
      </c>
      <c r="AL496" s="668">
        <f t="shared" si="1408"/>
        <v>6.8854112058207573E-3</v>
      </c>
      <c r="AM496" s="87">
        <f t="shared" si="1408"/>
        <v>1.0823592944677607E-2</v>
      </c>
      <c r="AN496" s="644">
        <f t="shared" ref="AN496" si="1409">+AN495/AK495-1</f>
        <v>1.1361477857540381E-2</v>
      </c>
      <c r="AO496" s="668">
        <f t="shared" ref="AO496" si="1410">+AO495/AL495-1</f>
        <v>1.1361477857540381E-2</v>
      </c>
      <c r="AP496" s="87">
        <f t="shared" si="1408"/>
        <v>1.0786554604464538E-2</v>
      </c>
      <c r="AQ496" s="644">
        <f t="shared" ref="AQ496" si="1411">+AQ495/AN495-1</f>
        <v>8.8458184538566798E-3</v>
      </c>
      <c r="AR496" s="668">
        <f t="shared" ref="AR496" si="1412">+AR495/AO495-1</f>
        <v>8.8458184538566798E-3</v>
      </c>
      <c r="AS496" s="87">
        <f t="shared" si="1408"/>
        <v>7.349587052255302E-3</v>
      </c>
      <c r="AT496" s="644">
        <f t="shared" ref="AT496" si="1413">+AT495/AQ495-1</f>
        <v>9.6244575408366284E-3</v>
      </c>
      <c r="AU496" s="668">
        <f t="shared" ref="AU496" si="1414">+AU495/AR495-1</f>
        <v>9.6244575408366284E-3</v>
      </c>
      <c r="AV496" s="199">
        <f t="shared" si="1408"/>
        <v>8.9160621514368099E-3</v>
      </c>
      <c r="AW496" s="247">
        <f t="shared" si="1408"/>
        <v>7.3330358358070225E-3</v>
      </c>
      <c r="AX496" s="583">
        <f t="shared" si="1408"/>
        <v>7.3330358358070225E-3</v>
      </c>
      <c r="AY496" s="245">
        <f t="shared" si="1408"/>
        <v>1.2319320941225564E-2</v>
      </c>
      <c r="AZ496" s="247">
        <f t="shared" si="1408"/>
        <v>7.9436338236991144E-3</v>
      </c>
      <c r="BA496" s="583">
        <f t="shared" si="1408"/>
        <v>7.9436338236991144E-3</v>
      </c>
      <c r="BB496" s="245">
        <f t="shared" si="1408"/>
        <v>8.0972777336545398E-3</v>
      </c>
      <c r="BC496" s="247">
        <f t="shared" si="1408"/>
        <v>8.0972777336545398E-3</v>
      </c>
      <c r="BD496" s="583">
        <f t="shared" si="1408"/>
        <v>8.0972777336545398E-3</v>
      </c>
      <c r="BE496" s="245">
        <f t="shared" si="1408"/>
        <v>8.0381676268244107E-3</v>
      </c>
      <c r="BF496" s="247">
        <f t="shared" si="1408"/>
        <v>8.0381676268244107E-3</v>
      </c>
      <c r="BG496" s="583">
        <f t="shared" si="1408"/>
        <v>8.0381676268244107E-3</v>
      </c>
      <c r="BH496" s="245">
        <f t="shared" si="1408"/>
        <v>7.5064180272343961E-3</v>
      </c>
      <c r="BI496" s="247">
        <f t="shared" si="1408"/>
        <v>7.5064180272343961E-3</v>
      </c>
      <c r="BJ496" s="583">
        <f t="shared" si="1408"/>
        <v>7.5064180272343961E-3</v>
      </c>
      <c r="BM496" s="104"/>
    </row>
    <row r="497" spans="1:70">
      <c r="A497" s="31"/>
      <c r="D497" s="31"/>
      <c r="E497" s="31"/>
      <c r="F497" s="31"/>
      <c r="G497" s="31"/>
      <c r="H497" s="31"/>
      <c r="I497" s="31"/>
      <c r="J497" s="31"/>
      <c r="K497" s="31"/>
      <c r="L497" s="31"/>
      <c r="M497" s="31"/>
      <c r="N497" s="31"/>
      <c r="O497" s="31"/>
      <c r="P497" s="31"/>
      <c r="Q497" s="31"/>
      <c r="R497" s="31"/>
      <c r="S497" s="793"/>
      <c r="T497" s="824"/>
      <c r="U497" s="31"/>
      <c r="V497" s="793"/>
      <c r="W497" s="824"/>
      <c r="X497" s="31"/>
      <c r="Y497" s="793"/>
      <c r="Z497" s="824"/>
      <c r="AA497" s="31"/>
      <c r="AB497" s="793"/>
      <c r="AC497" s="824"/>
      <c r="AD497" s="31"/>
      <c r="AE497" s="793"/>
      <c r="AF497" s="824"/>
      <c r="AG497" s="31"/>
      <c r="AH497" s="793"/>
      <c r="AI497" s="824"/>
      <c r="AJ497" s="31"/>
      <c r="AK497" s="793"/>
      <c r="AL497" s="824"/>
      <c r="AM497" s="31"/>
      <c r="AN497" s="541"/>
      <c r="AO497" s="578"/>
      <c r="AP497" s="2"/>
      <c r="AQ497" s="541"/>
      <c r="AR497" s="578"/>
      <c r="AS497" s="2"/>
      <c r="AT497" s="541"/>
      <c r="AU497" s="578"/>
      <c r="AV497" s="27"/>
      <c r="AW497" s="541"/>
      <c r="AX497" s="578"/>
      <c r="AY497" s="2"/>
      <c r="AZ497" s="541"/>
      <c r="BA497" s="578"/>
      <c r="BB497" s="2"/>
      <c r="BC497" s="541"/>
      <c r="BD497" s="578"/>
      <c r="BE497" s="2"/>
      <c r="BF497" s="541"/>
      <c r="BG497" s="578"/>
      <c r="BH497" s="2"/>
      <c r="BI497" s="541"/>
      <c r="BJ497" s="578"/>
    </row>
    <row r="498" spans="1:70" ht="11.4">
      <c r="A498" s="506" t="s">
        <v>550</v>
      </c>
      <c r="B498" s="507"/>
      <c r="C498" s="507"/>
      <c r="D498" s="507"/>
      <c r="E498" s="507"/>
      <c r="F498" s="507"/>
      <c r="G498" s="507"/>
      <c r="H498" s="507"/>
      <c r="I498" s="507"/>
      <c r="J498" s="507"/>
      <c r="K498" s="507"/>
      <c r="L498" s="507"/>
      <c r="M498" s="507"/>
      <c r="N498" s="507"/>
      <c r="O498" s="507"/>
      <c r="P498" s="507"/>
      <c r="Q498" s="507"/>
      <c r="R498" s="508"/>
      <c r="S498" s="911"/>
      <c r="T498" s="925"/>
      <c r="U498" s="508"/>
      <c r="V498" s="911"/>
      <c r="W498" s="925"/>
      <c r="X498" s="508"/>
      <c r="Y498" s="911"/>
      <c r="Z498" s="925"/>
      <c r="AA498" s="509"/>
      <c r="AB498" s="878"/>
      <c r="AC498" s="917"/>
      <c r="AD498" s="509"/>
      <c r="AE498" s="878"/>
      <c r="AF498" s="902"/>
      <c r="AG498" s="509"/>
      <c r="AH498" s="878"/>
      <c r="AI498" s="902"/>
      <c r="AJ498" s="509"/>
      <c r="AK498" s="878"/>
      <c r="AL498" s="902"/>
      <c r="AM498" s="509"/>
      <c r="AN498" s="816"/>
      <c r="AO498" s="849"/>
      <c r="AP498" s="510"/>
      <c r="AQ498" s="816"/>
      <c r="AR498" s="849"/>
      <c r="AS498" s="510"/>
      <c r="AT498" s="816"/>
      <c r="AU498" s="849"/>
      <c r="AV498" s="510"/>
      <c r="AW498" s="816"/>
      <c r="AX498" s="849"/>
      <c r="AY498" s="510"/>
      <c r="AZ498" s="816"/>
      <c r="BA498" s="849"/>
      <c r="BB498" s="510"/>
      <c r="BC498" s="816"/>
      <c r="BD498" s="849"/>
      <c r="BE498" s="510"/>
      <c r="BF498" s="816"/>
      <c r="BG498" s="849"/>
      <c r="BH498" s="510"/>
      <c r="BI498" s="816"/>
      <c r="BJ498" s="849"/>
      <c r="BM498" s="115"/>
    </row>
    <row r="499" spans="1:70">
      <c r="A499" s="25" t="s">
        <v>457</v>
      </c>
      <c r="C499" s="40">
        <f t="shared" ref="C499:Q499" si="1415">B384</f>
        <v>2414</v>
      </c>
      <c r="D499" s="40">
        <f t="shared" si="1415"/>
        <v>2417</v>
      </c>
      <c r="E499" s="40">
        <f t="shared" si="1415"/>
        <v>2403</v>
      </c>
      <c r="F499" s="40">
        <f t="shared" si="1415"/>
        <v>2381</v>
      </c>
      <c r="G499" s="40">
        <f t="shared" si="1415"/>
        <v>2353</v>
      </c>
      <c r="H499" s="40">
        <f t="shared" si="1415"/>
        <v>2328</v>
      </c>
      <c r="I499" s="40">
        <f t="shared" si="1415"/>
        <v>2244</v>
      </c>
      <c r="J499" s="40">
        <f t="shared" si="1415"/>
        <v>2216</v>
      </c>
      <c r="K499" s="40">
        <f t="shared" si="1415"/>
        <v>2141</v>
      </c>
      <c r="L499" s="40">
        <f t="shared" si="1415"/>
        <v>2074</v>
      </c>
      <c r="M499" s="40">
        <f t="shared" si="1415"/>
        <v>2000</v>
      </c>
      <c r="N499" s="40">
        <f t="shared" si="1415"/>
        <v>1936</v>
      </c>
      <c r="O499" s="40">
        <f t="shared" si="1415"/>
        <v>1863</v>
      </c>
      <c r="P499" s="40">
        <f t="shared" si="1415"/>
        <v>1786</v>
      </c>
      <c r="Q499" s="40">
        <f t="shared" si="1415"/>
        <v>1718</v>
      </c>
      <c r="R499" s="40"/>
      <c r="S499" s="630"/>
      <c r="T499" s="653">
        <f>Q384</f>
        <v>1618</v>
      </c>
      <c r="U499" s="40"/>
      <c r="V499" s="630"/>
      <c r="W499" s="653">
        <f>T384</f>
        <v>1423</v>
      </c>
      <c r="X499" s="40"/>
      <c r="Y499" s="630"/>
      <c r="Z499" s="653">
        <f>W384</f>
        <v>1355</v>
      </c>
      <c r="AA499" s="40">
        <f>Z502</f>
        <v>1282</v>
      </c>
      <c r="AB499" s="630">
        <f>AA502</f>
        <v>1192</v>
      </c>
      <c r="AC499" s="653">
        <f t="shared" ref="AC499" si="1416">Z502</f>
        <v>1282</v>
      </c>
      <c r="AD499" s="40">
        <f>AC502</f>
        <v>1192</v>
      </c>
      <c r="AE499" s="630">
        <f>AD502</f>
        <v>1070</v>
      </c>
      <c r="AF499" s="653">
        <f>AC502</f>
        <v>1192</v>
      </c>
      <c r="AG499" s="40">
        <f>AF502</f>
        <v>1070</v>
      </c>
      <c r="AH499" s="630">
        <f>AG502</f>
        <v>1052</v>
      </c>
      <c r="AI499" s="653">
        <f>AF502</f>
        <v>1070</v>
      </c>
      <c r="AJ499" s="40">
        <f>AI502</f>
        <v>1052</v>
      </c>
      <c r="AK499" s="630">
        <f>AJ502</f>
        <v>1038</v>
      </c>
      <c r="AL499" s="653">
        <f>AI502</f>
        <v>1052</v>
      </c>
      <c r="AM499" s="40">
        <f>AL502</f>
        <v>1038</v>
      </c>
      <c r="AN499" s="630">
        <f>AM502</f>
        <v>1012</v>
      </c>
      <c r="AO499" s="653">
        <f>AL502</f>
        <v>1038</v>
      </c>
      <c r="AP499" s="40">
        <f>AO502</f>
        <v>992</v>
      </c>
      <c r="AQ499" s="630">
        <f>AP502</f>
        <v>968</v>
      </c>
      <c r="AR499" s="653">
        <f>AO502</f>
        <v>992</v>
      </c>
      <c r="AS499" s="40">
        <f>AR502</f>
        <v>950</v>
      </c>
      <c r="AT499" s="216">
        <f>AS502</f>
        <v>930</v>
      </c>
      <c r="AU499" s="556">
        <f>AR502</f>
        <v>950</v>
      </c>
      <c r="AV499" s="40">
        <f>AU502</f>
        <v>918</v>
      </c>
      <c r="AW499" s="236">
        <f>AV502</f>
        <v>904</v>
      </c>
      <c r="AX499" s="605">
        <f>AU502</f>
        <v>918</v>
      </c>
      <c r="AY499" s="56">
        <f>AX502</f>
        <v>868</v>
      </c>
      <c r="AZ499" s="236">
        <f>AY502</f>
        <v>843</v>
      </c>
      <c r="BA499" s="605">
        <f>AX502</f>
        <v>868</v>
      </c>
      <c r="BB499" s="56">
        <f>BA502</f>
        <v>818</v>
      </c>
      <c r="BC499" s="236">
        <f>BB502</f>
        <v>793</v>
      </c>
      <c r="BD499" s="605">
        <f>BA502</f>
        <v>818</v>
      </c>
      <c r="BE499" s="56">
        <f>BD502</f>
        <v>768</v>
      </c>
      <c r="BF499" s="236">
        <f>BE502</f>
        <v>743</v>
      </c>
      <c r="BG499" s="605">
        <f>BD502</f>
        <v>768</v>
      </c>
      <c r="BH499" s="56">
        <f>BG502</f>
        <v>718</v>
      </c>
      <c r="BI499" s="236">
        <f>BH502</f>
        <v>693</v>
      </c>
      <c r="BJ499" s="605">
        <f>BG502</f>
        <v>718</v>
      </c>
    </row>
    <row r="500" spans="1:70">
      <c r="A500" s="25" t="s">
        <v>458</v>
      </c>
      <c r="C500" s="40">
        <f>'Civil OE'!C77</f>
        <v>99</v>
      </c>
      <c r="D500" s="40">
        <f>'Civil OE'!D77</f>
        <v>30</v>
      </c>
      <c r="E500" s="40">
        <f>'Civil OE'!E77</f>
        <v>16</v>
      </c>
      <c r="F500" s="40">
        <f>'Civil OE'!F77</f>
        <v>11</v>
      </c>
      <c r="G500" s="40">
        <f>'Civil OE'!G77</f>
        <v>7</v>
      </c>
      <c r="H500" s="40">
        <f>'Civil OE'!H77</f>
        <v>2</v>
      </c>
      <c r="I500" s="40">
        <f>'Civil OE'!I77</f>
        <v>5</v>
      </c>
      <c r="J500" s="40">
        <f>'Civil OE'!J77</f>
        <v>5</v>
      </c>
      <c r="K500" s="40">
        <f>'Civil OE'!K77</f>
        <v>1</v>
      </c>
      <c r="L500" s="40">
        <f>'Civil OE'!L77</f>
        <v>0</v>
      </c>
      <c r="M500" s="40">
        <f>'Civil OE'!M77</f>
        <v>0</v>
      </c>
      <c r="N500" s="40">
        <f>'Civil OE'!N77</f>
        <v>0</v>
      </c>
      <c r="O500" s="40">
        <f>'Civil OE'!O77</f>
        <v>0</v>
      </c>
      <c r="P500" s="40">
        <f>'Civil OE'!P77</f>
        <v>0</v>
      </c>
      <c r="Q500" s="40">
        <f>'Civil OE'!Q77</f>
        <v>0</v>
      </c>
      <c r="R500" s="40"/>
      <c r="S500" s="630"/>
      <c r="T500" s="653">
        <f>'Civil OE'!T77</f>
        <v>0</v>
      </c>
      <c r="U500" s="40"/>
      <c r="V500" s="630"/>
      <c r="W500" s="653">
        <f>'Civil OE'!W77</f>
        <v>0</v>
      </c>
      <c r="X500" s="40"/>
      <c r="Y500" s="630"/>
      <c r="Z500" s="653">
        <f>'Civil OE'!Z77</f>
        <v>0</v>
      </c>
      <c r="AA500" s="40">
        <f>'Civil OE'!AA77</f>
        <v>0</v>
      </c>
      <c r="AB500" s="630">
        <f>'Civil OE'!AB77</f>
        <v>0</v>
      </c>
      <c r="AC500" s="653">
        <f>'Civil OE'!AC77</f>
        <v>0</v>
      </c>
      <c r="AD500" s="40">
        <f>'Civil OE'!AD77</f>
        <v>0</v>
      </c>
      <c r="AE500" s="630">
        <f>'Civil OE'!AE77</f>
        <v>0</v>
      </c>
      <c r="AF500" s="653">
        <f>'Civil OE'!AF77</f>
        <v>0</v>
      </c>
      <c r="AG500" s="40">
        <f>'Civil OE'!AG77</f>
        <v>0</v>
      </c>
      <c r="AH500" s="630">
        <f>'Civil OE'!AH77</f>
        <v>0</v>
      </c>
      <c r="AI500" s="653">
        <f>'Civil OE'!AI77</f>
        <v>0</v>
      </c>
      <c r="AJ500" s="40">
        <f>'Civil OE'!AJ77</f>
        <v>0</v>
      </c>
      <c r="AK500" s="630">
        <f>'Civil OE'!AK77</f>
        <v>0</v>
      </c>
      <c r="AL500" s="653">
        <f>'Civil OE'!AL77</f>
        <v>0</v>
      </c>
      <c r="AM500" s="40">
        <f>'Civil OE'!AM77</f>
        <v>0</v>
      </c>
      <c r="AN500" s="630">
        <f>'Civil OE'!AN77</f>
        <v>0</v>
      </c>
      <c r="AO500" s="653">
        <f>'Civil OE'!AO77</f>
        <v>0</v>
      </c>
      <c r="AP500" s="40">
        <f>'Civil OE'!AP77</f>
        <v>0</v>
      </c>
      <c r="AQ500" s="630">
        <f>'Civil OE'!AQ77</f>
        <v>0</v>
      </c>
      <c r="AR500" s="653">
        <f>'Civil OE'!AR77</f>
        <v>0</v>
      </c>
      <c r="AS500" s="40">
        <f>'Civil OE'!AS77</f>
        <v>0</v>
      </c>
      <c r="AT500" s="630">
        <f>'Civil OE'!AT77</f>
        <v>0</v>
      </c>
      <c r="AU500" s="653">
        <f>'Civil OE'!AU77</f>
        <v>0</v>
      </c>
      <c r="AV500" s="40">
        <f>'Civil OE'!AV77</f>
        <v>0</v>
      </c>
      <c r="AW500" s="236">
        <f>'Civil OE'!AW77</f>
        <v>0</v>
      </c>
      <c r="AX500" s="605">
        <f>'Civil OE'!AX77</f>
        <v>0</v>
      </c>
      <c r="AY500" s="56">
        <f>'Civil OE'!AY77</f>
        <v>0</v>
      </c>
      <c r="AZ500" s="236">
        <f>'Civil OE'!AZ77</f>
        <v>0</v>
      </c>
      <c r="BA500" s="605">
        <f>'Civil OE'!BA77</f>
        <v>0</v>
      </c>
      <c r="BB500" s="56">
        <f>'Civil OE'!BB77</f>
        <v>0</v>
      </c>
      <c r="BC500" s="236">
        <f>'Civil OE'!BC77</f>
        <v>0</v>
      </c>
      <c r="BD500" s="605">
        <f>'Civil OE'!BD77</f>
        <v>0</v>
      </c>
      <c r="BE500" s="56">
        <f>'Civil OE'!BE77</f>
        <v>0</v>
      </c>
      <c r="BF500" s="236">
        <f>'Civil OE'!BF77</f>
        <v>0</v>
      </c>
      <c r="BG500" s="605">
        <f>'Civil OE'!BG77</f>
        <v>0</v>
      </c>
      <c r="BH500" s="56">
        <f>'Civil OE'!BH77</f>
        <v>0</v>
      </c>
      <c r="BI500" s="236">
        <f>'Civil OE'!BI77</f>
        <v>0</v>
      </c>
      <c r="BJ500" s="605">
        <f>'Civil OE'!BJ77</f>
        <v>0</v>
      </c>
    </row>
    <row r="501" spans="1:70">
      <c r="A501" s="25" t="s">
        <v>459</v>
      </c>
      <c r="C501" s="40">
        <f>C502-C500-C499</f>
        <v>-96</v>
      </c>
      <c r="D501" s="40">
        <f t="shared" ref="D501:T501" si="1417">D502-D500-D499</f>
        <v>-44</v>
      </c>
      <c r="E501" s="40">
        <f t="shared" si="1417"/>
        <v>-38</v>
      </c>
      <c r="F501" s="40">
        <f t="shared" si="1417"/>
        <v>-39</v>
      </c>
      <c r="G501" s="40">
        <f t="shared" si="1417"/>
        <v>-32</v>
      </c>
      <c r="H501" s="40">
        <f t="shared" si="1417"/>
        <v>-86</v>
      </c>
      <c r="I501" s="40">
        <f t="shared" si="1417"/>
        <v>-33</v>
      </c>
      <c r="J501" s="40">
        <f t="shared" si="1417"/>
        <v>-80</v>
      </c>
      <c r="K501" s="40">
        <f t="shared" si="1417"/>
        <v>-68</v>
      </c>
      <c r="L501" s="40">
        <f t="shared" si="1417"/>
        <v>-74</v>
      </c>
      <c r="M501" s="40">
        <f t="shared" si="1417"/>
        <v>-64</v>
      </c>
      <c r="N501" s="40">
        <f t="shared" si="1417"/>
        <v>-73</v>
      </c>
      <c r="O501" s="40">
        <f t="shared" si="1417"/>
        <v>-77</v>
      </c>
      <c r="P501" s="40">
        <f t="shared" si="1417"/>
        <v>-68</v>
      </c>
      <c r="Q501" s="40">
        <f t="shared" si="1417"/>
        <v>-100</v>
      </c>
      <c r="R501" s="40"/>
      <c r="S501" s="630"/>
      <c r="T501" s="653">
        <f t="shared" si="1417"/>
        <v>-195</v>
      </c>
      <c r="U501" s="40"/>
      <c r="V501" s="630"/>
      <c r="W501" s="653">
        <f t="shared" ref="W501:AL501" si="1418">W502-W500-W499</f>
        <v>-68</v>
      </c>
      <c r="X501" s="40"/>
      <c r="Y501" s="630"/>
      <c r="Z501" s="653">
        <f t="shared" si="1418"/>
        <v>-73</v>
      </c>
      <c r="AA501" s="40">
        <f t="shared" si="1418"/>
        <v>-90</v>
      </c>
      <c r="AB501" s="630">
        <f t="shared" si="1418"/>
        <v>0</v>
      </c>
      <c r="AC501" s="653">
        <f t="shared" si="1418"/>
        <v>-90</v>
      </c>
      <c r="AD501" s="40">
        <f t="shared" si="1418"/>
        <v>-122</v>
      </c>
      <c r="AE501" s="630">
        <f t="shared" si="1418"/>
        <v>0</v>
      </c>
      <c r="AF501" s="653">
        <f t="shared" si="1418"/>
        <v>-122</v>
      </c>
      <c r="AG501" s="40">
        <f t="shared" ref="AG501:AH501" si="1419">AG502-AG500-AG499</f>
        <v>-18</v>
      </c>
      <c r="AH501" s="630">
        <f t="shared" si="1419"/>
        <v>0</v>
      </c>
      <c r="AI501" s="653">
        <f t="shared" si="1418"/>
        <v>-18</v>
      </c>
      <c r="AJ501" s="40">
        <f t="shared" si="1418"/>
        <v>-14</v>
      </c>
      <c r="AK501" s="630">
        <f t="shared" ref="AK501" si="1420">AK502-AK500-AK499</f>
        <v>0</v>
      </c>
      <c r="AL501" s="653">
        <f t="shared" si="1418"/>
        <v>-14</v>
      </c>
      <c r="AM501" s="40">
        <f t="shared" ref="AM501:AO501" si="1421">AM502-AM500-AM499</f>
        <v>-26</v>
      </c>
      <c r="AN501" s="630">
        <f t="shared" si="1421"/>
        <v>-20</v>
      </c>
      <c r="AO501" s="653">
        <f t="shared" si="1421"/>
        <v>-46</v>
      </c>
      <c r="AP501" s="40">
        <f t="shared" ref="AP501:AR501" si="1422">AP502-AP500-AP499</f>
        <v>-24</v>
      </c>
      <c r="AQ501" s="630">
        <f t="shared" si="1422"/>
        <v>-18</v>
      </c>
      <c r="AR501" s="653">
        <f t="shared" si="1422"/>
        <v>-42</v>
      </c>
      <c r="AS501" s="40">
        <f t="shared" ref="AS501:AU501" si="1423">AS502-AS500-AS499</f>
        <v>-20</v>
      </c>
      <c r="AT501" s="630">
        <f t="shared" si="1423"/>
        <v>-12</v>
      </c>
      <c r="AU501" s="653">
        <f t="shared" si="1423"/>
        <v>-32</v>
      </c>
      <c r="AV501" s="40">
        <f t="shared" ref="AV501" si="1424">AV502-AV500-AV499</f>
        <v>-14</v>
      </c>
      <c r="AW501" s="236">
        <f>AX501-AV501</f>
        <v>-36</v>
      </c>
      <c r="AX501" s="580">
        <v>-50</v>
      </c>
      <c r="AY501" s="56">
        <f>BA501/2</f>
        <v>-25</v>
      </c>
      <c r="AZ501" s="236">
        <f>BA501-AY501</f>
        <v>-25</v>
      </c>
      <c r="BA501" s="605">
        <f>AX501</f>
        <v>-50</v>
      </c>
      <c r="BB501" s="56">
        <f>BD501/2</f>
        <v>-25</v>
      </c>
      <c r="BC501" s="236">
        <f>BD501-BB501</f>
        <v>-25</v>
      </c>
      <c r="BD501" s="605">
        <f>BA501</f>
        <v>-50</v>
      </c>
      <c r="BE501" s="56">
        <f>BG501/2</f>
        <v>-25</v>
      </c>
      <c r="BF501" s="236">
        <f>BG501-BE501</f>
        <v>-25</v>
      </c>
      <c r="BG501" s="605">
        <f>BD501</f>
        <v>-50</v>
      </c>
      <c r="BH501" s="56">
        <f>BJ501/2</f>
        <v>-25</v>
      </c>
      <c r="BI501" s="236">
        <f>BJ501-BH501</f>
        <v>-25</v>
      </c>
      <c r="BJ501" s="605">
        <f>BG501</f>
        <v>-50</v>
      </c>
      <c r="BK501" s="176"/>
      <c r="BL501" s="138"/>
      <c r="BM501" s="138"/>
      <c r="BN501" s="138"/>
      <c r="BO501" s="138"/>
      <c r="BP501" s="138"/>
      <c r="BQ501" s="138"/>
      <c r="BR501" s="138"/>
    </row>
    <row r="502" spans="1:70">
      <c r="A502" s="31" t="s">
        <v>456</v>
      </c>
      <c r="B502" s="31">
        <f t="shared" ref="B502:AL502" si="1425">B384</f>
        <v>2414</v>
      </c>
      <c r="C502" s="51">
        <f t="shared" si="1425"/>
        <v>2417</v>
      </c>
      <c r="D502" s="51">
        <f t="shared" si="1425"/>
        <v>2403</v>
      </c>
      <c r="E502" s="51">
        <f t="shared" si="1425"/>
        <v>2381</v>
      </c>
      <c r="F502" s="51">
        <f t="shared" si="1425"/>
        <v>2353</v>
      </c>
      <c r="G502" s="51">
        <f t="shared" si="1425"/>
        <v>2328</v>
      </c>
      <c r="H502" s="51">
        <f t="shared" si="1425"/>
        <v>2244</v>
      </c>
      <c r="I502" s="51">
        <f t="shared" si="1425"/>
        <v>2216</v>
      </c>
      <c r="J502" s="51">
        <f t="shared" si="1425"/>
        <v>2141</v>
      </c>
      <c r="K502" s="51">
        <f t="shared" si="1425"/>
        <v>2074</v>
      </c>
      <c r="L502" s="51">
        <f t="shared" si="1425"/>
        <v>2000</v>
      </c>
      <c r="M502" s="51">
        <f t="shared" si="1425"/>
        <v>1936</v>
      </c>
      <c r="N502" s="51">
        <f t="shared" si="1425"/>
        <v>1863</v>
      </c>
      <c r="O502" s="51">
        <f t="shared" si="1425"/>
        <v>1786</v>
      </c>
      <c r="P502" s="51">
        <f t="shared" si="1425"/>
        <v>1718</v>
      </c>
      <c r="Q502" s="51">
        <f t="shared" si="1425"/>
        <v>1618</v>
      </c>
      <c r="R502" s="51"/>
      <c r="S502" s="629"/>
      <c r="T502" s="652">
        <f t="shared" si="1425"/>
        <v>1423</v>
      </c>
      <c r="U502" s="51"/>
      <c r="V502" s="629"/>
      <c r="W502" s="652">
        <f t="shared" si="1425"/>
        <v>1355</v>
      </c>
      <c r="X502" s="51"/>
      <c r="Y502" s="629"/>
      <c r="Z502" s="652">
        <f t="shared" si="1425"/>
        <v>1282</v>
      </c>
      <c r="AA502" s="51">
        <f t="shared" si="1425"/>
        <v>1192</v>
      </c>
      <c r="AB502" s="629">
        <f t="shared" si="1425"/>
        <v>1192</v>
      </c>
      <c r="AC502" s="652">
        <f t="shared" si="1425"/>
        <v>1192</v>
      </c>
      <c r="AD502" s="51">
        <f t="shared" si="1425"/>
        <v>1070</v>
      </c>
      <c r="AE502" s="629">
        <f t="shared" si="1425"/>
        <v>1070</v>
      </c>
      <c r="AF502" s="652">
        <f t="shared" si="1425"/>
        <v>1070</v>
      </c>
      <c r="AG502" s="51">
        <f t="shared" ref="AG502:AH502" si="1426">AG384</f>
        <v>1052</v>
      </c>
      <c r="AH502" s="629">
        <f t="shared" si="1426"/>
        <v>1052</v>
      </c>
      <c r="AI502" s="652">
        <f t="shared" si="1425"/>
        <v>1052</v>
      </c>
      <c r="AJ502" s="51">
        <f t="shared" si="1425"/>
        <v>1038</v>
      </c>
      <c r="AK502" s="629">
        <f t="shared" ref="AK502" si="1427">AK384</f>
        <v>1038</v>
      </c>
      <c r="AL502" s="652">
        <f t="shared" si="1425"/>
        <v>1038</v>
      </c>
      <c r="AM502" s="51">
        <f t="shared" ref="AM502:AO502" si="1428">AM384</f>
        <v>1012</v>
      </c>
      <c r="AN502" s="629">
        <f t="shared" si="1428"/>
        <v>992</v>
      </c>
      <c r="AO502" s="652">
        <f t="shared" si="1428"/>
        <v>992</v>
      </c>
      <c r="AP502" s="51">
        <f t="shared" ref="AP502:AR502" si="1429">AP384</f>
        <v>968</v>
      </c>
      <c r="AQ502" s="629">
        <f t="shared" si="1429"/>
        <v>950</v>
      </c>
      <c r="AR502" s="652">
        <f t="shared" si="1429"/>
        <v>950</v>
      </c>
      <c r="AS502" s="51">
        <f t="shared" ref="AS502:AU502" si="1430">AS384</f>
        <v>930</v>
      </c>
      <c r="AT502" s="629">
        <f t="shared" si="1430"/>
        <v>918</v>
      </c>
      <c r="AU502" s="652">
        <f t="shared" si="1430"/>
        <v>918</v>
      </c>
      <c r="AV502" s="51">
        <f t="shared" ref="AV502" si="1431">AV384</f>
        <v>904</v>
      </c>
      <c r="AW502" s="237">
        <f t="shared" ref="AW502" si="1432">AW499+AW500+AW501</f>
        <v>868</v>
      </c>
      <c r="AX502" s="576">
        <f t="shared" ref="AX502:BJ502" si="1433">AX499+AX500+AX501</f>
        <v>868</v>
      </c>
      <c r="AY502" s="48">
        <f t="shared" si="1433"/>
        <v>843</v>
      </c>
      <c r="AZ502" s="237">
        <f t="shared" ref="AZ502" si="1434">AZ499+AZ500+AZ501</f>
        <v>818</v>
      </c>
      <c r="BA502" s="576">
        <f t="shared" si="1433"/>
        <v>818</v>
      </c>
      <c r="BB502" s="48">
        <f t="shared" si="1433"/>
        <v>793</v>
      </c>
      <c r="BC502" s="237">
        <f t="shared" ref="BC502" si="1435">BC499+BC500+BC501</f>
        <v>768</v>
      </c>
      <c r="BD502" s="576">
        <f t="shared" si="1433"/>
        <v>768</v>
      </c>
      <c r="BE502" s="48">
        <f t="shared" si="1433"/>
        <v>743</v>
      </c>
      <c r="BF502" s="237">
        <f t="shared" ref="BF502" si="1436">BF499+BF500+BF501</f>
        <v>718</v>
      </c>
      <c r="BG502" s="576">
        <f t="shared" si="1433"/>
        <v>718</v>
      </c>
      <c r="BH502" s="48">
        <f t="shared" si="1433"/>
        <v>693</v>
      </c>
      <c r="BI502" s="237">
        <f t="shared" ref="BI502" si="1437">BI499+BI500+BI501</f>
        <v>668</v>
      </c>
      <c r="BJ502" s="576">
        <f t="shared" si="1433"/>
        <v>668</v>
      </c>
    </row>
    <row r="503" spans="1:70">
      <c r="A503" s="31" t="s">
        <v>474</v>
      </c>
      <c r="B503" s="31"/>
      <c r="C503" s="51">
        <f>AVERAGE(C499,C502)</f>
        <v>2415.5</v>
      </c>
      <c r="D503" s="51">
        <f t="shared" ref="D503:BJ503" si="1438">AVERAGE(D499,D502)</f>
        <v>2410</v>
      </c>
      <c r="E503" s="51">
        <f t="shared" si="1438"/>
        <v>2392</v>
      </c>
      <c r="F503" s="51">
        <f t="shared" si="1438"/>
        <v>2367</v>
      </c>
      <c r="G503" s="51">
        <f t="shared" si="1438"/>
        <v>2340.5</v>
      </c>
      <c r="H503" s="51">
        <f t="shared" si="1438"/>
        <v>2286</v>
      </c>
      <c r="I503" s="51">
        <f t="shared" si="1438"/>
        <v>2230</v>
      </c>
      <c r="J503" s="51">
        <f t="shared" si="1438"/>
        <v>2178.5</v>
      </c>
      <c r="K503" s="51">
        <f t="shared" si="1438"/>
        <v>2107.5</v>
      </c>
      <c r="L503" s="51">
        <f t="shared" si="1438"/>
        <v>2037</v>
      </c>
      <c r="M503" s="51">
        <f t="shared" si="1438"/>
        <v>1968</v>
      </c>
      <c r="N503" s="51">
        <f t="shared" si="1438"/>
        <v>1899.5</v>
      </c>
      <c r="O503" s="51">
        <f t="shared" si="1438"/>
        <v>1824.5</v>
      </c>
      <c r="P503" s="51">
        <f t="shared" si="1438"/>
        <v>1752</v>
      </c>
      <c r="Q503" s="51">
        <f t="shared" si="1438"/>
        <v>1668</v>
      </c>
      <c r="R503" s="51"/>
      <c r="S503" s="629"/>
      <c r="T503" s="652">
        <f t="shared" si="1438"/>
        <v>1520.5</v>
      </c>
      <c r="U503" s="51"/>
      <c r="V503" s="629"/>
      <c r="W503" s="652">
        <f>AVERAGE(W499,W502)</f>
        <v>1389</v>
      </c>
      <c r="X503" s="51"/>
      <c r="Y503" s="629"/>
      <c r="Z503" s="652">
        <f>AVERAGE(Z499,Z502)</f>
        <v>1318.5</v>
      </c>
      <c r="AA503" s="51">
        <f t="shared" ref="AA503:AB503" si="1439">AVERAGE(AA499,AA502)</f>
        <v>1237</v>
      </c>
      <c r="AB503" s="629">
        <f t="shared" si="1439"/>
        <v>1192</v>
      </c>
      <c r="AC503" s="652">
        <f>AVERAGE(AC499,AC502)</f>
        <v>1237</v>
      </c>
      <c r="AD503" s="51">
        <f t="shared" ref="AD503:AE503" si="1440">AVERAGE(AD499,AD502)</f>
        <v>1131</v>
      </c>
      <c r="AE503" s="629">
        <f t="shared" si="1440"/>
        <v>1070</v>
      </c>
      <c r="AF503" s="652">
        <f t="shared" si="1438"/>
        <v>1131</v>
      </c>
      <c r="AG503" s="51">
        <f t="shared" ref="AG503:AH503" si="1441">AVERAGE(AG499,AG502)</f>
        <v>1061</v>
      </c>
      <c r="AH503" s="629">
        <f t="shared" si="1441"/>
        <v>1052</v>
      </c>
      <c r="AI503" s="652">
        <f t="shared" si="1438"/>
        <v>1061</v>
      </c>
      <c r="AJ503" s="51">
        <f t="shared" si="1438"/>
        <v>1045</v>
      </c>
      <c r="AK503" s="629">
        <f t="shared" ref="AK503" si="1442">AVERAGE(AK499,AK502)</f>
        <v>1038</v>
      </c>
      <c r="AL503" s="652">
        <f t="shared" si="1438"/>
        <v>1045</v>
      </c>
      <c r="AM503" s="51">
        <f t="shared" ref="AM503:AO503" si="1443">AVERAGE(AM499,AM502)</f>
        <v>1025</v>
      </c>
      <c r="AN503" s="629">
        <f t="shared" si="1443"/>
        <v>1002</v>
      </c>
      <c r="AO503" s="652">
        <f t="shared" si="1443"/>
        <v>1015</v>
      </c>
      <c r="AP503" s="51">
        <f t="shared" ref="AP503:AR503" si="1444">AVERAGE(AP499,AP502)</f>
        <v>980</v>
      </c>
      <c r="AQ503" s="629">
        <f t="shared" si="1444"/>
        <v>959</v>
      </c>
      <c r="AR503" s="652">
        <f t="shared" si="1444"/>
        <v>971</v>
      </c>
      <c r="AS503" s="51">
        <f t="shared" ref="AS503:AU503" si="1445">AVERAGE(AS499,AS502)</f>
        <v>940</v>
      </c>
      <c r="AT503" s="629">
        <f t="shared" si="1445"/>
        <v>924</v>
      </c>
      <c r="AU503" s="652">
        <f t="shared" si="1445"/>
        <v>934</v>
      </c>
      <c r="AV503" s="51">
        <f t="shared" ref="AV503" si="1446">AVERAGE(AV499,AV502)</f>
        <v>911</v>
      </c>
      <c r="AW503" s="237">
        <f t="shared" si="1438"/>
        <v>886</v>
      </c>
      <c r="AX503" s="576">
        <f t="shared" si="1438"/>
        <v>893</v>
      </c>
      <c r="AY503" s="48">
        <f t="shared" si="1438"/>
        <v>855.5</v>
      </c>
      <c r="AZ503" s="237">
        <f t="shared" si="1438"/>
        <v>830.5</v>
      </c>
      <c r="BA503" s="576">
        <f t="shared" si="1438"/>
        <v>843</v>
      </c>
      <c r="BB503" s="48">
        <f t="shared" si="1438"/>
        <v>805.5</v>
      </c>
      <c r="BC503" s="237">
        <f t="shared" si="1438"/>
        <v>780.5</v>
      </c>
      <c r="BD503" s="576">
        <f t="shared" si="1438"/>
        <v>793</v>
      </c>
      <c r="BE503" s="48">
        <f t="shared" si="1438"/>
        <v>755.5</v>
      </c>
      <c r="BF503" s="237">
        <f t="shared" si="1438"/>
        <v>730.5</v>
      </c>
      <c r="BG503" s="576">
        <f t="shared" si="1438"/>
        <v>743</v>
      </c>
      <c r="BH503" s="48">
        <f t="shared" si="1438"/>
        <v>705.5</v>
      </c>
      <c r="BI503" s="237">
        <f t="shared" si="1438"/>
        <v>680.5</v>
      </c>
      <c r="BJ503" s="576">
        <f t="shared" si="1438"/>
        <v>693</v>
      </c>
    </row>
    <row r="504" spans="1:70" ht="11.4">
      <c r="A504" s="495"/>
      <c r="B504" s="495"/>
      <c r="C504" s="496"/>
      <c r="D504" s="496"/>
      <c r="E504" s="496"/>
      <c r="F504" s="496"/>
      <c r="G504" s="496"/>
      <c r="H504" s="496"/>
      <c r="I504" s="496"/>
      <c r="J504" s="496"/>
      <c r="K504" s="496"/>
      <c r="L504" s="496"/>
      <c r="M504" s="496"/>
      <c r="N504" s="496"/>
      <c r="O504" s="496"/>
      <c r="P504" s="496"/>
      <c r="Q504" s="496"/>
      <c r="R504" s="497"/>
      <c r="S504" s="912"/>
      <c r="T504" s="918"/>
      <c r="U504" s="497"/>
      <c r="V504" s="912"/>
      <c r="W504" s="918"/>
      <c r="X504" s="497"/>
      <c r="Y504" s="912"/>
      <c r="Z504" s="918"/>
      <c r="AA504" s="498"/>
      <c r="AB504" s="879"/>
      <c r="AC504" s="918"/>
      <c r="AD504" s="498"/>
      <c r="AE504" s="879"/>
      <c r="AF504" s="903"/>
      <c r="AG504" s="498"/>
      <c r="AH504" s="879"/>
      <c r="AI504" s="903"/>
      <c r="AJ504" s="498"/>
      <c r="AK504" s="879"/>
      <c r="AL504" s="903"/>
      <c r="AM504" s="498"/>
      <c r="AN504" s="817"/>
      <c r="AO504" s="850"/>
      <c r="AP504" s="499"/>
      <c r="AQ504" s="817"/>
      <c r="AR504" s="850"/>
      <c r="AS504" s="499"/>
      <c r="AT504" s="817"/>
      <c r="AU504" s="850"/>
      <c r="AV504" s="499"/>
      <c r="AW504" s="817"/>
      <c r="AX504" s="850"/>
      <c r="AY504" s="499"/>
      <c r="AZ504" s="817"/>
      <c r="BA504" s="850"/>
      <c r="BB504" s="499"/>
      <c r="BC504" s="817"/>
      <c r="BD504" s="850"/>
      <c r="BE504" s="499"/>
      <c r="BF504" s="817"/>
      <c r="BG504" s="850"/>
      <c r="BH504" s="499"/>
      <c r="BI504" s="817"/>
      <c r="BJ504" s="850"/>
    </row>
    <row r="505" spans="1:70" ht="11.4">
      <c r="C505" s="40"/>
      <c r="D505" s="40"/>
      <c r="E505" s="40"/>
      <c r="F505" s="40"/>
      <c r="G505" s="40"/>
      <c r="H505" s="40"/>
      <c r="I505" s="40"/>
      <c r="J505" s="40"/>
      <c r="K505" s="40"/>
      <c r="L505" s="40"/>
      <c r="M505" s="40"/>
      <c r="N505" s="40"/>
      <c r="O505" s="40"/>
      <c r="P505" s="40"/>
      <c r="Q505" s="40"/>
      <c r="R505" s="121"/>
      <c r="S505" s="776"/>
      <c r="T505" s="783"/>
      <c r="U505" s="121"/>
      <c r="V505" s="776"/>
      <c r="W505" s="783"/>
      <c r="X505" s="121"/>
      <c r="Y505" s="776"/>
      <c r="Z505" s="783"/>
      <c r="AA505" s="349"/>
      <c r="AB505" s="880"/>
      <c r="AC505" s="783"/>
      <c r="AD505" s="349"/>
      <c r="AE505" s="880"/>
      <c r="AF505" s="904"/>
      <c r="AG505" s="349"/>
      <c r="AH505" s="880"/>
      <c r="AI505" s="904"/>
      <c r="AJ505" s="349"/>
      <c r="AK505" s="880"/>
      <c r="AL505" s="904"/>
      <c r="AM505" s="349"/>
      <c r="AN505" s="818"/>
      <c r="AO505" s="851"/>
      <c r="AP505" s="352"/>
      <c r="AQ505" s="818"/>
      <c r="AR505" s="851"/>
      <c r="AS505" s="352"/>
      <c r="AT505" s="818"/>
      <c r="AU505" s="851"/>
      <c r="AV505" s="352"/>
      <c r="AW505" s="818"/>
      <c r="AX505" s="851"/>
      <c r="AY505" s="352"/>
      <c r="AZ505" s="818"/>
      <c r="BA505" s="851"/>
      <c r="BB505" s="352"/>
      <c r="BC505" s="818"/>
      <c r="BD505" s="851"/>
      <c r="BE505" s="352"/>
      <c r="BF505" s="818"/>
      <c r="BG505" s="851"/>
      <c r="BH505" s="352"/>
      <c r="BI505" s="818"/>
      <c r="BJ505" s="851"/>
    </row>
    <row r="506" spans="1:70">
      <c r="A506" s="25" t="s">
        <v>468</v>
      </c>
      <c r="C506" s="40">
        <f t="shared" ref="C506:Q506" si="1447">B385</f>
        <v>0</v>
      </c>
      <c r="D506" s="40">
        <f t="shared" si="1447"/>
        <v>12</v>
      </c>
      <c r="E506" s="40">
        <f t="shared" si="1447"/>
        <v>48</v>
      </c>
      <c r="F506" s="40">
        <f t="shared" si="1447"/>
        <v>132</v>
      </c>
      <c r="G506" s="40">
        <f t="shared" si="1447"/>
        <v>220</v>
      </c>
      <c r="H506" s="40">
        <f t="shared" si="1447"/>
        <v>300</v>
      </c>
      <c r="I506" s="40">
        <f t="shared" si="1447"/>
        <v>388</v>
      </c>
      <c r="J506" s="40">
        <f t="shared" si="1447"/>
        <v>424</v>
      </c>
      <c r="K506" s="40">
        <f t="shared" si="1447"/>
        <v>456</v>
      </c>
      <c r="L506" s="40">
        <f t="shared" si="1447"/>
        <v>508</v>
      </c>
      <c r="M506" s="40">
        <f t="shared" si="1447"/>
        <v>520</v>
      </c>
      <c r="N506" s="40">
        <f t="shared" si="1447"/>
        <v>524</v>
      </c>
      <c r="O506" s="40">
        <f t="shared" si="1447"/>
        <v>524</v>
      </c>
      <c r="P506" s="40">
        <f t="shared" si="1447"/>
        <v>520</v>
      </c>
      <c r="Q506" s="40">
        <f t="shared" si="1447"/>
        <v>516</v>
      </c>
      <c r="R506" s="40"/>
      <c r="S506" s="630"/>
      <c r="T506" s="653">
        <f>Q385</f>
        <v>500</v>
      </c>
      <c r="U506" s="40"/>
      <c r="V506" s="630"/>
      <c r="W506" s="653">
        <f>T385</f>
        <v>488</v>
      </c>
      <c r="X506" s="40"/>
      <c r="Y506" s="630"/>
      <c r="Z506" s="653">
        <f>W385</f>
        <v>480</v>
      </c>
      <c r="AA506" s="40">
        <f>Z509</f>
        <v>472</v>
      </c>
      <c r="AB506" s="630">
        <f>AA509</f>
        <v>428</v>
      </c>
      <c r="AC506" s="653">
        <f>Z385</f>
        <v>472</v>
      </c>
      <c r="AD506" s="40">
        <f>AC509</f>
        <v>428</v>
      </c>
      <c r="AE506" s="630">
        <f>AD509</f>
        <v>360</v>
      </c>
      <c r="AF506" s="653">
        <f>AC385</f>
        <v>428</v>
      </c>
      <c r="AG506" s="40">
        <f>AF509</f>
        <v>360</v>
      </c>
      <c r="AH506" s="630">
        <f>AG509</f>
        <v>356</v>
      </c>
      <c r="AI506" s="653">
        <f>AF385</f>
        <v>360</v>
      </c>
      <c r="AJ506" s="40">
        <f>AI509</f>
        <v>356</v>
      </c>
      <c r="AK506" s="630">
        <f>AJ509</f>
        <v>356</v>
      </c>
      <c r="AL506" s="653">
        <f t="shared" ref="AL506" si="1448">AI509</f>
        <v>356</v>
      </c>
      <c r="AM506" s="40">
        <f>AL509</f>
        <v>356</v>
      </c>
      <c r="AN506" s="630">
        <f>AM509</f>
        <v>324</v>
      </c>
      <c r="AO506" s="653">
        <f t="shared" ref="AO506" si="1449">AL509</f>
        <v>356</v>
      </c>
      <c r="AP506" s="40">
        <f>AO509</f>
        <v>320</v>
      </c>
      <c r="AQ506" s="630">
        <f>AP509</f>
        <v>308</v>
      </c>
      <c r="AR506" s="653">
        <f t="shared" ref="AR506" si="1450">AO509</f>
        <v>320</v>
      </c>
      <c r="AS506" s="40">
        <f>AR509</f>
        <v>312</v>
      </c>
      <c r="AT506" s="630">
        <f>AS509</f>
        <v>308</v>
      </c>
      <c r="AU506" s="653">
        <f t="shared" ref="AU506" si="1451">AR509</f>
        <v>312</v>
      </c>
      <c r="AV506" s="40">
        <f>AU509</f>
        <v>296</v>
      </c>
      <c r="AW506" s="236">
        <f>AV509</f>
        <v>288</v>
      </c>
      <c r="AX506" s="605">
        <f>AU509</f>
        <v>296</v>
      </c>
      <c r="AY506" s="56">
        <f>AX509</f>
        <v>276</v>
      </c>
      <c r="AZ506" s="236">
        <f>AY509</f>
        <v>266</v>
      </c>
      <c r="BA506" s="605">
        <f>AX509</f>
        <v>276</v>
      </c>
      <c r="BB506" s="56">
        <f>BA509</f>
        <v>256</v>
      </c>
      <c r="BC506" s="236">
        <f>BB509</f>
        <v>246</v>
      </c>
      <c r="BD506" s="605">
        <f>BA509</f>
        <v>256</v>
      </c>
      <c r="BE506" s="56">
        <f>BD509</f>
        <v>236</v>
      </c>
      <c r="BF506" s="236">
        <f>BE509</f>
        <v>226</v>
      </c>
      <c r="BG506" s="605">
        <f>BD509</f>
        <v>236</v>
      </c>
      <c r="BH506" s="56">
        <f>BG509</f>
        <v>216</v>
      </c>
      <c r="BI506" s="236">
        <f>BH509</f>
        <v>206</v>
      </c>
      <c r="BJ506" s="605">
        <f>BG509</f>
        <v>216</v>
      </c>
    </row>
    <row r="507" spans="1:70">
      <c r="A507" s="25" t="s">
        <v>458</v>
      </c>
      <c r="C507" s="40">
        <f>'Civil OE'!C78</f>
        <v>0</v>
      </c>
      <c r="D507" s="40">
        <f>'Civil OE'!D78</f>
        <v>37</v>
      </c>
      <c r="E507" s="40">
        <f>'Civil OE'!E78</f>
        <v>88</v>
      </c>
      <c r="F507" s="40">
        <f>'Civil OE'!F78</f>
        <v>115</v>
      </c>
      <c r="G507" s="40">
        <f>'Civil OE'!G78</f>
        <v>88</v>
      </c>
      <c r="H507" s="40">
        <f>'Civil OE'!H78</f>
        <v>97</v>
      </c>
      <c r="I507" s="40">
        <f>'Civil OE'!I78</f>
        <v>45</v>
      </c>
      <c r="J507" s="40">
        <f>'Civil OE'!J78</f>
        <v>45</v>
      </c>
      <c r="K507" s="40">
        <f>'Civil OE'!K78</f>
        <v>57</v>
      </c>
      <c r="L507" s="40">
        <f>'Civil OE'!L78</f>
        <v>16</v>
      </c>
      <c r="M507" s="40">
        <f>'Civil OE'!M78</f>
        <v>1</v>
      </c>
      <c r="N507" s="40">
        <f>'Civil OE'!N78</f>
        <v>8</v>
      </c>
      <c r="O507" s="40">
        <f>'Civil OE'!O78</f>
        <v>0</v>
      </c>
      <c r="P507" s="40">
        <f>'Civil OE'!P78</f>
        <v>0</v>
      </c>
      <c r="Q507" s="40">
        <f>'Civil OE'!Q78</f>
        <v>0</v>
      </c>
      <c r="R507" s="40"/>
      <c r="S507" s="630"/>
      <c r="T507" s="653">
        <f>'Civil OE'!T78</f>
        <v>0</v>
      </c>
      <c r="U507" s="40"/>
      <c r="V507" s="630"/>
      <c r="W507" s="653">
        <f>'Civil OE'!W78</f>
        <v>0</v>
      </c>
      <c r="X507" s="40"/>
      <c r="Y507" s="630"/>
      <c r="Z507" s="653">
        <f>'Civil OE'!Z78</f>
        <v>0</v>
      </c>
      <c r="AA507" s="40">
        <f>'Civil OE'!AA78</f>
        <v>0</v>
      </c>
      <c r="AB507" s="630">
        <f>'Civil OE'!AB78</f>
        <v>0</v>
      </c>
      <c r="AC507" s="653">
        <f>'Civil OE'!AC78</f>
        <v>0</v>
      </c>
      <c r="AD507" s="40">
        <f>'Civil OE'!AD78</f>
        <v>0</v>
      </c>
      <c r="AE507" s="630">
        <f>'Civil OE'!AE78</f>
        <v>0</v>
      </c>
      <c r="AF507" s="653">
        <f>'Civil OE'!AF78</f>
        <v>0</v>
      </c>
      <c r="AG507" s="40">
        <f>'Civil OE'!AG78</f>
        <v>0</v>
      </c>
      <c r="AH507" s="630">
        <f>'Civil OE'!AH78</f>
        <v>0</v>
      </c>
      <c r="AI507" s="653">
        <f>'Civil OE'!AI78</f>
        <v>0</v>
      </c>
      <c r="AJ507" s="40">
        <f>'Civil OE'!AJ78</f>
        <v>0</v>
      </c>
      <c r="AK507" s="630">
        <f>'Civil OE'!AK78</f>
        <v>0</v>
      </c>
      <c r="AL507" s="653">
        <f>'Civil OE'!AL78</f>
        <v>0</v>
      </c>
      <c r="AM507" s="40">
        <f>'Civil OE'!AM78</f>
        <v>0</v>
      </c>
      <c r="AN507" s="630">
        <f>'Civil OE'!AN78</f>
        <v>0</v>
      </c>
      <c r="AO507" s="653">
        <f>'Civil OE'!AO78</f>
        <v>0</v>
      </c>
      <c r="AP507" s="40">
        <f>'Civil OE'!AP78</f>
        <v>0</v>
      </c>
      <c r="AQ507" s="630">
        <f>'Civil OE'!AQ78</f>
        <v>0</v>
      </c>
      <c r="AR507" s="653">
        <f>'Civil OE'!AR78</f>
        <v>0</v>
      </c>
      <c r="AS507" s="40">
        <f>'Civil OE'!AS78</f>
        <v>0</v>
      </c>
      <c r="AT507" s="630">
        <f>'Civil OE'!AT78</f>
        <v>0</v>
      </c>
      <c r="AU507" s="653">
        <f>'Civil OE'!AU78</f>
        <v>0</v>
      </c>
      <c r="AV507" s="40">
        <f>'Civil OE'!AV78</f>
        <v>0</v>
      </c>
      <c r="AW507" s="236">
        <f>'Civil OE'!AW78</f>
        <v>0</v>
      </c>
      <c r="AX507" s="605">
        <f>'Civil OE'!AX78</f>
        <v>0</v>
      </c>
      <c r="AY507" s="56">
        <f>'Civil OE'!AY78</f>
        <v>0</v>
      </c>
      <c r="AZ507" s="236">
        <f>'Civil OE'!AZ78</f>
        <v>0</v>
      </c>
      <c r="BA507" s="605">
        <f>'Civil OE'!BA78</f>
        <v>0</v>
      </c>
      <c r="BB507" s="56">
        <f>'Civil OE'!BB78</f>
        <v>0</v>
      </c>
      <c r="BC507" s="236">
        <f>'Civil OE'!BC78</f>
        <v>0</v>
      </c>
      <c r="BD507" s="605">
        <f>'Civil OE'!BD78</f>
        <v>0</v>
      </c>
      <c r="BE507" s="56">
        <f>'Civil OE'!BE78</f>
        <v>0</v>
      </c>
      <c r="BF507" s="236">
        <f>'Civil OE'!BF78</f>
        <v>0</v>
      </c>
      <c r="BG507" s="605">
        <f>'Civil OE'!BG78</f>
        <v>0</v>
      </c>
      <c r="BH507" s="56">
        <f>'Civil OE'!BH78</f>
        <v>0</v>
      </c>
      <c r="BI507" s="236">
        <f>'Civil OE'!BI78</f>
        <v>0</v>
      </c>
      <c r="BJ507" s="605">
        <f>'Civil OE'!BJ78</f>
        <v>0</v>
      </c>
    </row>
    <row r="508" spans="1:70">
      <c r="A508" s="25" t="s">
        <v>459</v>
      </c>
      <c r="C508" s="40">
        <f>C509-C507-C506</f>
        <v>12</v>
      </c>
      <c r="D508" s="40">
        <f t="shared" ref="D508:T508" si="1452">D509-D507-D506</f>
        <v>-1</v>
      </c>
      <c r="E508" s="40">
        <f t="shared" si="1452"/>
        <v>-4</v>
      </c>
      <c r="F508" s="40">
        <f t="shared" si="1452"/>
        <v>-27</v>
      </c>
      <c r="G508" s="40">
        <f t="shared" si="1452"/>
        <v>-8</v>
      </c>
      <c r="H508" s="40">
        <f t="shared" si="1452"/>
        <v>-9</v>
      </c>
      <c r="I508" s="40">
        <f t="shared" si="1452"/>
        <v>-9</v>
      </c>
      <c r="J508" s="40">
        <f t="shared" si="1452"/>
        <v>-13</v>
      </c>
      <c r="K508" s="40">
        <f t="shared" si="1452"/>
        <v>-5</v>
      </c>
      <c r="L508" s="40">
        <f t="shared" si="1452"/>
        <v>-4</v>
      </c>
      <c r="M508" s="40">
        <f t="shared" si="1452"/>
        <v>3</v>
      </c>
      <c r="N508" s="40">
        <f t="shared" si="1452"/>
        <v>-8</v>
      </c>
      <c r="O508" s="40">
        <f t="shared" si="1452"/>
        <v>-4</v>
      </c>
      <c r="P508" s="40">
        <f t="shared" si="1452"/>
        <v>-4</v>
      </c>
      <c r="Q508" s="40">
        <f>Q509-Q507-Q506</f>
        <v>-16</v>
      </c>
      <c r="R508" s="40"/>
      <c r="S508" s="630"/>
      <c r="T508" s="653">
        <f t="shared" si="1452"/>
        <v>-12</v>
      </c>
      <c r="U508" s="40"/>
      <c r="V508" s="630"/>
      <c r="W508" s="653">
        <f t="shared" ref="W508:AL508" si="1453">W509-W507-W506</f>
        <v>-8</v>
      </c>
      <c r="X508" s="40"/>
      <c r="Y508" s="630"/>
      <c r="Z508" s="653">
        <f t="shared" si="1453"/>
        <v>-8</v>
      </c>
      <c r="AA508" s="40">
        <f t="shared" si="1453"/>
        <v>-44</v>
      </c>
      <c r="AB508" s="630">
        <f t="shared" si="1453"/>
        <v>0</v>
      </c>
      <c r="AC508" s="653">
        <f t="shared" si="1453"/>
        <v>-44</v>
      </c>
      <c r="AD508" s="40">
        <f t="shared" si="1453"/>
        <v>-68</v>
      </c>
      <c r="AE508" s="630">
        <f t="shared" si="1453"/>
        <v>0</v>
      </c>
      <c r="AF508" s="653">
        <f t="shared" si="1453"/>
        <v>-68</v>
      </c>
      <c r="AG508" s="40">
        <f t="shared" ref="AG508:AH508" si="1454">AG509-AG507-AG506</f>
        <v>-4</v>
      </c>
      <c r="AH508" s="630">
        <f t="shared" si="1454"/>
        <v>0</v>
      </c>
      <c r="AI508" s="653">
        <f t="shared" si="1453"/>
        <v>-4</v>
      </c>
      <c r="AJ508" s="40">
        <f t="shared" si="1453"/>
        <v>0</v>
      </c>
      <c r="AK508" s="630">
        <f t="shared" ref="AK508" si="1455">AK509-AK507-AK506</f>
        <v>0</v>
      </c>
      <c r="AL508" s="653">
        <f t="shared" si="1453"/>
        <v>0</v>
      </c>
      <c r="AM508" s="40">
        <f t="shared" ref="AM508:AO508" si="1456">AM509-AM507-AM506</f>
        <v>-32</v>
      </c>
      <c r="AN508" s="630">
        <f t="shared" si="1456"/>
        <v>-4</v>
      </c>
      <c r="AO508" s="653">
        <f t="shared" si="1456"/>
        <v>-36</v>
      </c>
      <c r="AP508" s="40">
        <f t="shared" ref="AP508:AR508" si="1457">AP509-AP507-AP506</f>
        <v>-12</v>
      </c>
      <c r="AQ508" s="630">
        <f t="shared" si="1457"/>
        <v>4</v>
      </c>
      <c r="AR508" s="653">
        <f t="shared" si="1457"/>
        <v>-8</v>
      </c>
      <c r="AS508" s="40">
        <f t="shared" ref="AS508:AU508" si="1458">AS509-AS507-AS506</f>
        <v>-4</v>
      </c>
      <c r="AT508" s="630">
        <f t="shared" si="1458"/>
        <v>-12</v>
      </c>
      <c r="AU508" s="653">
        <f t="shared" si="1458"/>
        <v>-16</v>
      </c>
      <c r="AV508" s="40">
        <f t="shared" ref="AV508" si="1459">AV509-AV507-AV506</f>
        <v>-8</v>
      </c>
      <c r="AW508" s="236">
        <f>AX508-AV508</f>
        <v>-12</v>
      </c>
      <c r="AX508" s="580">
        <v>-20</v>
      </c>
      <c r="AY508" s="56">
        <f>BA508/2</f>
        <v>-10</v>
      </c>
      <c r="AZ508" s="236">
        <f>BA508-AY508</f>
        <v>-10</v>
      </c>
      <c r="BA508" s="605">
        <f>AX508</f>
        <v>-20</v>
      </c>
      <c r="BB508" s="56">
        <f>BD508/2</f>
        <v>-10</v>
      </c>
      <c r="BC508" s="236">
        <f>BD508-BB508</f>
        <v>-10</v>
      </c>
      <c r="BD508" s="605">
        <f>BA508</f>
        <v>-20</v>
      </c>
      <c r="BE508" s="56">
        <f>BG508/2</f>
        <v>-10</v>
      </c>
      <c r="BF508" s="236">
        <f>BG508-BE508</f>
        <v>-10</v>
      </c>
      <c r="BG508" s="605">
        <f>BD508</f>
        <v>-20</v>
      </c>
      <c r="BH508" s="56">
        <f>BJ508/2</f>
        <v>-10</v>
      </c>
      <c r="BI508" s="236">
        <f>BJ508-BH508</f>
        <v>-10</v>
      </c>
      <c r="BJ508" s="605">
        <f t="shared" ref="BJ508" si="1460">BG508</f>
        <v>-20</v>
      </c>
    </row>
    <row r="509" spans="1:70">
      <c r="A509" s="31" t="s">
        <v>469</v>
      </c>
      <c r="B509" s="31">
        <f t="shared" ref="B509:AL509" si="1461">B385</f>
        <v>0</v>
      </c>
      <c r="C509" s="51">
        <f t="shared" si="1461"/>
        <v>12</v>
      </c>
      <c r="D509" s="51">
        <f t="shared" si="1461"/>
        <v>48</v>
      </c>
      <c r="E509" s="51">
        <f t="shared" si="1461"/>
        <v>132</v>
      </c>
      <c r="F509" s="51">
        <f t="shared" si="1461"/>
        <v>220</v>
      </c>
      <c r="G509" s="51">
        <f t="shared" si="1461"/>
        <v>300</v>
      </c>
      <c r="H509" s="51">
        <f t="shared" si="1461"/>
        <v>388</v>
      </c>
      <c r="I509" s="51">
        <f t="shared" si="1461"/>
        <v>424</v>
      </c>
      <c r="J509" s="51">
        <f t="shared" si="1461"/>
        <v>456</v>
      </c>
      <c r="K509" s="51">
        <f t="shared" si="1461"/>
        <v>508</v>
      </c>
      <c r="L509" s="51">
        <f t="shared" si="1461"/>
        <v>520</v>
      </c>
      <c r="M509" s="51">
        <f t="shared" si="1461"/>
        <v>524</v>
      </c>
      <c r="N509" s="51">
        <f t="shared" si="1461"/>
        <v>524</v>
      </c>
      <c r="O509" s="51">
        <f t="shared" si="1461"/>
        <v>520</v>
      </c>
      <c r="P509" s="51">
        <f t="shared" si="1461"/>
        <v>516</v>
      </c>
      <c r="Q509" s="51">
        <f t="shared" si="1461"/>
        <v>500</v>
      </c>
      <c r="R509" s="51"/>
      <c r="S509" s="629"/>
      <c r="T509" s="652">
        <f t="shared" si="1461"/>
        <v>488</v>
      </c>
      <c r="U509" s="51"/>
      <c r="V509" s="629"/>
      <c r="W509" s="652">
        <f t="shared" si="1461"/>
        <v>480</v>
      </c>
      <c r="X509" s="51"/>
      <c r="Y509" s="629"/>
      <c r="Z509" s="652">
        <f t="shared" si="1461"/>
        <v>472</v>
      </c>
      <c r="AA509" s="51">
        <f t="shared" si="1461"/>
        <v>428</v>
      </c>
      <c r="AB509" s="629">
        <f t="shared" si="1461"/>
        <v>428</v>
      </c>
      <c r="AC509" s="652">
        <f t="shared" si="1461"/>
        <v>428</v>
      </c>
      <c r="AD509" s="51">
        <f t="shared" si="1461"/>
        <v>360</v>
      </c>
      <c r="AE509" s="629">
        <f t="shared" si="1461"/>
        <v>360</v>
      </c>
      <c r="AF509" s="652">
        <f t="shared" si="1461"/>
        <v>360</v>
      </c>
      <c r="AG509" s="51">
        <f t="shared" ref="AG509:AH509" si="1462">AG385</f>
        <v>356</v>
      </c>
      <c r="AH509" s="629">
        <f t="shared" si="1462"/>
        <v>356</v>
      </c>
      <c r="AI509" s="652">
        <f t="shared" si="1461"/>
        <v>356</v>
      </c>
      <c r="AJ509" s="51">
        <f t="shared" si="1461"/>
        <v>356</v>
      </c>
      <c r="AK509" s="629">
        <f t="shared" ref="AK509" si="1463">AK385</f>
        <v>356</v>
      </c>
      <c r="AL509" s="652">
        <f t="shared" si="1461"/>
        <v>356</v>
      </c>
      <c r="AM509" s="51">
        <f t="shared" ref="AM509:AO509" si="1464">AM385</f>
        <v>324</v>
      </c>
      <c r="AN509" s="629">
        <f t="shared" si="1464"/>
        <v>320</v>
      </c>
      <c r="AO509" s="652">
        <f t="shared" si="1464"/>
        <v>320</v>
      </c>
      <c r="AP509" s="51">
        <f t="shared" ref="AP509:AR509" si="1465">AP385</f>
        <v>308</v>
      </c>
      <c r="AQ509" s="629">
        <f t="shared" si="1465"/>
        <v>312</v>
      </c>
      <c r="AR509" s="652">
        <f t="shared" si="1465"/>
        <v>312</v>
      </c>
      <c r="AS509" s="51">
        <f t="shared" ref="AS509:AU509" si="1466">AS385</f>
        <v>308</v>
      </c>
      <c r="AT509" s="629">
        <f t="shared" si="1466"/>
        <v>296</v>
      </c>
      <c r="AU509" s="652">
        <f t="shared" si="1466"/>
        <v>296</v>
      </c>
      <c r="AV509" s="51">
        <f t="shared" ref="AV509" si="1467">AV385</f>
        <v>288</v>
      </c>
      <c r="AW509" s="237">
        <f t="shared" ref="AW509:BJ509" si="1468">AW506+AW507+AW508</f>
        <v>276</v>
      </c>
      <c r="AX509" s="576">
        <f t="shared" si="1468"/>
        <v>276</v>
      </c>
      <c r="AY509" s="48">
        <f t="shared" si="1468"/>
        <v>266</v>
      </c>
      <c r="AZ509" s="237">
        <f t="shared" si="1468"/>
        <v>256</v>
      </c>
      <c r="BA509" s="576">
        <f t="shared" si="1468"/>
        <v>256</v>
      </c>
      <c r="BB509" s="48">
        <f t="shared" si="1468"/>
        <v>246</v>
      </c>
      <c r="BC509" s="237">
        <f t="shared" si="1468"/>
        <v>236</v>
      </c>
      <c r="BD509" s="576">
        <f t="shared" si="1468"/>
        <v>236</v>
      </c>
      <c r="BE509" s="48">
        <f t="shared" si="1468"/>
        <v>226</v>
      </c>
      <c r="BF509" s="237">
        <f t="shared" si="1468"/>
        <v>216</v>
      </c>
      <c r="BG509" s="576">
        <f t="shared" si="1468"/>
        <v>216</v>
      </c>
      <c r="BH509" s="48">
        <f t="shared" si="1468"/>
        <v>206</v>
      </c>
      <c r="BI509" s="237">
        <f t="shared" si="1468"/>
        <v>196</v>
      </c>
      <c r="BJ509" s="576">
        <f t="shared" si="1468"/>
        <v>196</v>
      </c>
    </row>
    <row r="510" spans="1:70">
      <c r="A510" s="31" t="s">
        <v>474</v>
      </c>
      <c r="B510" s="31"/>
      <c r="C510" s="51">
        <f>AVERAGE(C506,C509)</f>
        <v>6</v>
      </c>
      <c r="D510" s="51">
        <f t="shared" ref="D510:BJ510" si="1469">AVERAGE(D506,D509)</f>
        <v>30</v>
      </c>
      <c r="E510" s="51">
        <f t="shared" si="1469"/>
        <v>90</v>
      </c>
      <c r="F510" s="51">
        <f t="shared" si="1469"/>
        <v>176</v>
      </c>
      <c r="G510" s="51">
        <f t="shared" si="1469"/>
        <v>260</v>
      </c>
      <c r="H510" s="51">
        <f t="shared" si="1469"/>
        <v>344</v>
      </c>
      <c r="I510" s="51">
        <f t="shared" si="1469"/>
        <v>406</v>
      </c>
      <c r="J510" s="51">
        <f t="shared" si="1469"/>
        <v>440</v>
      </c>
      <c r="K510" s="51">
        <f t="shared" si="1469"/>
        <v>482</v>
      </c>
      <c r="L510" s="51">
        <f t="shared" si="1469"/>
        <v>514</v>
      </c>
      <c r="M510" s="51">
        <f t="shared" si="1469"/>
        <v>522</v>
      </c>
      <c r="N510" s="51">
        <f t="shared" si="1469"/>
        <v>524</v>
      </c>
      <c r="O510" s="51">
        <f t="shared" si="1469"/>
        <v>522</v>
      </c>
      <c r="P510" s="51">
        <f t="shared" si="1469"/>
        <v>518</v>
      </c>
      <c r="Q510" s="51">
        <f t="shared" si="1469"/>
        <v>508</v>
      </c>
      <c r="R510" s="51"/>
      <c r="S510" s="629"/>
      <c r="T510" s="652">
        <f t="shared" si="1469"/>
        <v>494</v>
      </c>
      <c r="U510" s="51"/>
      <c r="V510" s="629"/>
      <c r="W510" s="652">
        <f>AVERAGE(W506,W509)</f>
        <v>484</v>
      </c>
      <c r="X510" s="51"/>
      <c r="Y510" s="629"/>
      <c r="Z510" s="652">
        <f>AVERAGE(Z506,Z509)</f>
        <v>476</v>
      </c>
      <c r="AA510" s="51">
        <f t="shared" ref="AA510:AB510" si="1470">AVERAGE(AA506,AA509)</f>
        <v>450</v>
      </c>
      <c r="AB510" s="629">
        <f t="shared" si="1470"/>
        <v>428</v>
      </c>
      <c r="AC510" s="652">
        <f>AVERAGE(AC506,AC509)</f>
        <v>450</v>
      </c>
      <c r="AD510" s="51">
        <f t="shared" ref="AD510:AE510" si="1471">AVERAGE(AD506,AD509)</f>
        <v>394</v>
      </c>
      <c r="AE510" s="629">
        <f t="shared" si="1471"/>
        <v>360</v>
      </c>
      <c r="AF510" s="652">
        <f>AVERAGE(AF506,AF509)</f>
        <v>394</v>
      </c>
      <c r="AG510" s="51">
        <f t="shared" ref="AG510:AH510" si="1472">AVERAGE(AG506,AG509)</f>
        <v>358</v>
      </c>
      <c r="AH510" s="629">
        <f t="shared" si="1472"/>
        <v>356</v>
      </c>
      <c r="AI510" s="652">
        <f>AVERAGE(AI506,AI509)</f>
        <v>358</v>
      </c>
      <c r="AJ510" s="51">
        <f t="shared" ref="AJ510:AK510" si="1473">AVERAGE(AJ506,AJ509)</f>
        <v>356</v>
      </c>
      <c r="AK510" s="629">
        <f t="shared" si="1473"/>
        <v>356</v>
      </c>
      <c r="AL510" s="652">
        <f t="shared" si="1469"/>
        <v>356</v>
      </c>
      <c r="AM510" s="51">
        <f t="shared" ref="AM510:AO510" si="1474">AVERAGE(AM506,AM509)</f>
        <v>340</v>
      </c>
      <c r="AN510" s="629">
        <f t="shared" si="1474"/>
        <v>322</v>
      </c>
      <c r="AO510" s="652">
        <f t="shared" si="1474"/>
        <v>338</v>
      </c>
      <c r="AP510" s="51">
        <f t="shared" ref="AP510:AR510" si="1475">AVERAGE(AP506,AP509)</f>
        <v>314</v>
      </c>
      <c r="AQ510" s="629">
        <f t="shared" si="1475"/>
        <v>310</v>
      </c>
      <c r="AR510" s="652">
        <f t="shared" si="1475"/>
        <v>316</v>
      </c>
      <c r="AS510" s="51">
        <f t="shared" ref="AS510:AU510" si="1476">AVERAGE(AS506,AS509)</f>
        <v>310</v>
      </c>
      <c r="AT510" s="629">
        <f t="shared" si="1476"/>
        <v>302</v>
      </c>
      <c r="AU510" s="652">
        <f t="shared" si="1476"/>
        <v>304</v>
      </c>
      <c r="AV510" s="51">
        <f t="shared" ref="AV510" si="1477">AVERAGE(AV506,AV509)</f>
        <v>292</v>
      </c>
      <c r="AW510" s="237">
        <f t="shared" si="1469"/>
        <v>282</v>
      </c>
      <c r="AX510" s="576">
        <f t="shared" si="1469"/>
        <v>286</v>
      </c>
      <c r="AY510" s="48">
        <f t="shared" si="1469"/>
        <v>271</v>
      </c>
      <c r="AZ510" s="237">
        <f t="shared" si="1469"/>
        <v>261</v>
      </c>
      <c r="BA510" s="576">
        <f t="shared" si="1469"/>
        <v>266</v>
      </c>
      <c r="BB510" s="48">
        <f t="shared" si="1469"/>
        <v>251</v>
      </c>
      <c r="BC510" s="237">
        <f t="shared" si="1469"/>
        <v>241</v>
      </c>
      <c r="BD510" s="576">
        <f t="shared" si="1469"/>
        <v>246</v>
      </c>
      <c r="BE510" s="48">
        <f t="shared" si="1469"/>
        <v>231</v>
      </c>
      <c r="BF510" s="237">
        <f t="shared" si="1469"/>
        <v>221</v>
      </c>
      <c r="BG510" s="576">
        <f t="shared" si="1469"/>
        <v>226</v>
      </c>
      <c r="BH510" s="48">
        <f t="shared" si="1469"/>
        <v>211</v>
      </c>
      <c r="BI510" s="237">
        <f t="shared" si="1469"/>
        <v>201</v>
      </c>
      <c r="BJ510" s="576">
        <f t="shared" si="1469"/>
        <v>206</v>
      </c>
    </row>
    <row r="511" spans="1:70" ht="11.4">
      <c r="C511" s="40"/>
      <c r="D511" s="40"/>
      <c r="E511" s="40"/>
      <c r="F511" s="40"/>
      <c r="G511" s="40"/>
      <c r="H511" s="40"/>
      <c r="I511" s="40"/>
      <c r="J511" s="40"/>
      <c r="K511" s="40"/>
      <c r="L511" s="40"/>
      <c r="M511" s="40"/>
      <c r="N511" s="40"/>
      <c r="O511" s="40"/>
      <c r="P511" s="40"/>
      <c r="Q511" s="40"/>
      <c r="R511" s="121"/>
      <c r="S511" s="776"/>
      <c r="T511" s="783"/>
      <c r="U511" s="121"/>
      <c r="V511" s="776"/>
      <c r="W511" s="783"/>
      <c r="X511" s="121"/>
      <c r="Y511" s="776"/>
      <c r="Z511" s="783"/>
      <c r="AA511" s="349"/>
      <c r="AB511" s="880"/>
      <c r="AC511" s="783"/>
      <c r="AD511" s="349"/>
      <c r="AE511" s="880"/>
      <c r="AF511" s="904"/>
      <c r="AG511" s="349"/>
      <c r="AH511" s="880"/>
      <c r="AI511" s="904"/>
      <c r="AJ511" s="349"/>
      <c r="AK511" s="880"/>
      <c r="AL511" s="904"/>
      <c r="AM511" s="349"/>
      <c r="AN511" s="880"/>
      <c r="AO511" s="904"/>
      <c r="AP511" s="352"/>
      <c r="AQ511" s="818"/>
      <c r="AR511" s="851"/>
      <c r="AS511" s="352"/>
      <c r="AT511" s="818"/>
      <c r="AU511" s="851"/>
      <c r="AV511" s="352"/>
      <c r="AW511" s="818"/>
      <c r="AX511" s="851"/>
      <c r="AY511" s="352"/>
      <c r="AZ511" s="818"/>
      <c r="BA511" s="851"/>
      <c r="BB511" s="352"/>
      <c r="BC511" s="818"/>
      <c r="BD511" s="851"/>
      <c r="BE511" s="352"/>
      <c r="BF511" s="818"/>
      <c r="BG511" s="851"/>
      <c r="BH511" s="352"/>
      <c r="BI511" s="818"/>
      <c r="BJ511" s="851"/>
    </row>
    <row r="512" spans="1:70">
      <c r="A512" s="25" t="s">
        <v>460</v>
      </c>
      <c r="C512" s="40">
        <f t="shared" ref="C512:Q512" si="1478">B386</f>
        <v>134</v>
      </c>
      <c r="D512" s="40">
        <f t="shared" si="1478"/>
        <v>178</v>
      </c>
      <c r="E512" s="40">
        <f t="shared" si="1478"/>
        <v>206</v>
      </c>
      <c r="F512" s="40">
        <f t="shared" si="1478"/>
        <v>234</v>
      </c>
      <c r="G512" s="40">
        <f t="shared" si="1478"/>
        <v>264</v>
      </c>
      <c r="H512" s="40">
        <f t="shared" si="1478"/>
        <v>306</v>
      </c>
      <c r="I512" s="40">
        <f t="shared" si="1478"/>
        <v>364</v>
      </c>
      <c r="J512" s="40">
        <f t="shared" si="1478"/>
        <v>424</v>
      </c>
      <c r="K512" s="40">
        <f t="shared" si="1478"/>
        <v>494</v>
      </c>
      <c r="L512" s="40">
        <f t="shared" si="1478"/>
        <v>608</v>
      </c>
      <c r="M512" s="40">
        <f t="shared" si="1478"/>
        <v>724</v>
      </c>
      <c r="N512" s="40">
        <f t="shared" si="1478"/>
        <v>840</v>
      </c>
      <c r="O512" s="40">
        <f t="shared" si="1478"/>
        <v>980</v>
      </c>
      <c r="P512" s="40">
        <f t="shared" si="1478"/>
        <v>1144</v>
      </c>
      <c r="Q512" s="40">
        <f t="shared" si="1478"/>
        <v>1308</v>
      </c>
      <c r="R512" s="40"/>
      <c r="S512" s="630"/>
      <c r="T512" s="653">
        <f>Q386</f>
        <v>1444</v>
      </c>
      <c r="U512" s="40"/>
      <c r="V512" s="630"/>
      <c r="W512" s="653">
        <f>T386</f>
        <v>1538</v>
      </c>
      <c r="X512" s="40"/>
      <c r="Y512" s="630"/>
      <c r="Z512" s="653">
        <f>W386</f>
        <v>1646</v>
      </c>
      <c r="AA512" s="40">
        <f>Z515</f>
        <v>1732</v>
      </c>
      <c r="AB512" s="630">
        <f>AA515</f>
        <v>1728</v>
      </c>
      <c r="AC512" s="653">
        <f>Z386</f>
        <v>1732</v>
      </c>
      <c r="AD512" s="40">
        <f>AC515</f>
        <v>1728</v>
      </c>
      <c r="AE512" s="630">
        <f>AD515</f>
        <v>1722</v>
      </c>
      <c r="AF512" s="653">
        <f>AC386</f>
        <v>1728</v>
      </c>
      <c r="AG512" s="40">
        <f>AF515</f>
        <v>1722</v>
      </c>
      <c r="AH512" s="630">
        <f>AG515</f>
        <v>1718</v>
      </c>
      <c r="AI512" s="653">
        <f>AF386</f>
        <v>1722</v>
      </c>
      <c r="AJ512" s="40">
        <f>AI515</f>
        <v>1718</v>
      </c>
      <c r="AK512" s="630">
        <f>AJ515</f>
        <v>1720</v>
      </c>
      <c r="AL512" s="653">
        <f t="shared" ref="AL512" si="1479">AI515</f>
        <v>1718</v>
      </c>
      <c r="AM512" s="40">
        <f>AL515</f>
        <v>1720</v>
      </c>
      <c r="AN512" s="630">
        <f>AM515</f>
        <v>1708</v>
      </c>
      <c r="AO512" s="653">
        <f t="shared" ref="AO512" si="1480">AL515</f>
        <v>1720</v>
      </c>
      <c r="AP512" s="40">
        <f>AO515</f>
        <v>1694</v>
      </c>
      <c r="AQ512" s="630">
        <f>AP515</f>
        <v>1646</v>
      </c>
      <c r="AR512" s="653">
        <f t="shared" ref="AR512" si="1481">AO515</f>
        <v>1694</v>
      </c>
      <c r="AS512" s="40">
        <f>AR515</f>
        <v>1644</v>
      </c>
      <c r="AT512" s="630">
        <f>AS515</f>
        <v>1634</v>
      </c>
      <c r="AU512" s="653">
        <f t="shared" ref="AU512" si="1482">AR515</f>
        <v>1644</v>
      </c>
      <c r="AV512" s="40">
        <f>AU515</f>
        <v>1634</v>
      </c>
      <c r="AW512" s="236">
        <f>AV515</f>
        <v>1630</v>
      </c>
      <c r="AX512" s="605">
        <f>AU515</f>
        <v>1634</v>
      </c>
      <c r="AY512" s="56">
        <f>AX515</f>
        <v>1605</v>
      </c>
      <c r="AZ512" s="236">
        <f>AY515</f>
        <v>1590</v>
      </c>
      <c r="BA512" s="605">
        <f>AX515</f>
        <v>1605</v>
      </c>
      <c r="BB512" s="56">
        <f>BA515</f>
        <v>1575</v>
      </c>
      <c r="BC512" s="236">
        <f>BB515</f>
        <v>1560</v>
      </c>
      <c r="BD512" s="605">
        <f>BA515</f>
        <v>1575</v>
      </c>
      <c r="BE512" s="56">
        <f>BD515</f>
        <v>1545</v>
      </c>
      <c r="BF512" s="236">
        <f>BE515</f>
        <v>1530</v>
      </c>
      <c r="BG512" s="605">
        <f>BD515</f>
        <v>1545</v>
      </c>
      <c r="BH512" s="56">
        <f>BG515</f>
        <v>1515</v>
      </c>
      <c r="BI512" s="236">
        <f>BH515</f>
        <v>1500</v>
      </c>
      <c r="BJ512" s="605">
        <f>BG515</f>
        <v>1515</v>
      </c>
    </row>
    <row r="513" spans="1:64">
      <c r="A513" s="25" t="s">
        <v>458</v>
      </c>
      <c r="C513" s="40">
        <f>'Civil OE'!C79</f>
        <v>52</v>
      </c>
      <c r="D513" s="40">
        <f>'Civil OE'!D79</f>
        <v>30</v>
      </c>
      <c r="E513" s="40">
        <f>'Civil OE'!E79</f>
        <v>35</v>
      </c>
      <c r="F513" s="40">
        <f>'Civil OE'!F79</f>
        <v>30</v>
      </c>
      <c r="G513" s="40">
        <f>'Civil OE'!G79</f>
        <v>54</v>
      </c>
      <c r="H513" s="40">
        <f>'Civil OE'!H79</f>
        <v>59</v>
      </c>
      <c r="I513" s="40">
        <f>'Civil OE'!I79</f>
        <v>75</v>
      </c>
      <c r="J513" s="40">
        <f>'Civil OE'!J79</f>
        <v>88</v>
      </c>
      <c r="K513" s="40">
        <f>'Civil OE'!K79</f>
        <v>125</v>
      </c>
      <c r="L513" s="40">
        <f>'Civil OE'!L79</f>
        <v>139</v>
      </c>
      <c r="M513" s="40">
        <f>'Civil OE'!M79</f>
        <v>135</v>
      </c>
      <c r="N513" s="40">
        <f>'Civil OE'!N79</f>
        <v>157</v>
      </c>
      <c r="O513" s="40">
        <f>'Civil OE'!O79</f>
        <v>181</v>
      </c>
      <c r="P513" s="40">
        <f>'Civil OE'!P79</f>
        <v>184</v>
      </c>
      <c r="Q513" s="40">
        <f>'Civil OE'!Q79</f>
        <v>140</v>
      </c>
      <c r="R513" s="40"/>
      <c r="S513" s="630"/>
      <c r="T513" s="653">
        <f>'Civil OE'!T79</f>
        <v>88</v>
      </c>
      <c r="U513" s="40"/>
      <c r="V513" s="630"/>
      <c r="W513" s="653">
        <f>'Civil OE'!W79</f>
        <v>110</v>
      </c>
      <c r="X513" s="40"/>
      <c r="Y513" s="630"/>
      <c r="Z513" s="653">
        <f>'Civil OE'!Z79</f>
        <v>63</v>
      </c>
      <c r="AA513" s="40">
        <f>'Civil OE'!AA79</f>
        <v>8</v>
      </c>
      <c r="AB513" s="630">
        <f>'Civil OE'!AB79</f>
        <v>2</v>
      </c>
      <c r="AC513" s="653">
        <f>'Civil OE'!AC79</f>
        <v>10</v>
      </c>
      <c r="AD513" s="40">
        <f>'Civil OE'!AD79</f>
        <v>0</v>
      </c>
      <c r="AE513" s="630">
        <f>'Civil OE'!AE79</f>
        <v>2</v>
      </c>
      <c r="AF513" s="653">
        <f>'Civil OE'!AF79</f>
        <v>2</v>
      </c>
      <c r="AG513" s="40">
        <f>'Civil OE'!AG79</f>
        <v>0</v>
      </c>
      <c r="AH513" s="630">
        <f>'Civil OE'!AH79</f>
        <v>2</v>
      </c>
      <c r="AI513" s="653">
        <f>'Civil OE'!AI79</f>
        <v>2</v>
      </c>
      <c r="AJ513" s="40">
        <f>'Civil OE'!AJ79</f>
        <v>0</v>
      </c>
      <c r="AK513" s="630">
        <f>'Civil OE'!AK79</f>
        <v>1</v>
      </c>
      <c r="AL513" s="653">
        <f>'Civil OE'!AL79</f>
        <v>1</v>
      </c>
      <c r="AM513" s="40">
        <f>'Civil OE'!AM79</f>
        <v>1</v>
      </c>
      <c r="AN513" s="630">
        <f>'Civil OE'!AN79</f>
        <v>0</v>
      </c>
      <c r="AO513" s="653">
        <f>'Civil OE'!AO79</f>
        <v>1</v>
      </c>
      <c r="AP513" s="40">
        <f>'Civil OE'!AP79</f>
        <v>0</v>
      </c>
      <c r="AQ513" s="630">
        <f>'Civil OE'!AQ79</f>
        <v>0</v>
      </c>
      <c r="AR513" s="653">
        <f>'Civil OE'!AR79</f>
        <v>0</v>
      </c>
      <c r="AS513" s="40">
        <f>'Civil OE'!AS79</f>
        <v>0</v>
      </c>
      <c r="AT513" s="630">
        <f>'Civil OE'!AT79</f>
        <v>0</v>
      </c>
      <c r="AU513" s="653">
        <f>'Civil OE'!AU79</f>
        <v>0</v>
      </c>
      <c r="AV513" s="40">
        <f>'Civil OE'!AV79</f>
        <v>1</v>
      </c>
      <c r="AW513" s="236">
        <f>'Civil OE'!AW79</f>
        <v>0</v>
      </c>
      <c r="AX513" s="605">
        <f>'Civil OE'!AX79</f>
        <v>1</v>
      </c>
      <c r="AY513" s="56">
        <f>'Civil OE'!AY79</f>
        <v>0</v>
      </c>
      <c r="AZ513" s="236">
        <f>'Civil OE'!AZ79</f>
        <v>0</v>
      </c>
      <c r="BA513" s="605">
        <f>'Civil OE'!BA79</f>
        <v>0</v>
      </c>
      <c r="BB513" s="56">
        <f>'Civil OE'!BB79</f>
        <v>0</v>
      </c>
      <c r="BC513" s="236">
        <f>'Civil OE'!BC79</f>
        <v>0</v>
      </c>
      <c r="BD513" s="605">
        <f>'Civil OE'!BD79</f>
        <v>0</v>
      </c>
      <c r="BE513" s="56">
        <f>'Civil OE'!BE79</f>
        <v>0</v>
      </c>
      <c r="BF513" s="236">
        <f>'Civil OE'!BF79</f>
        <v>0</v>
      </c>
      <c r="BG513" s="605">
        <f>'Civil OE'!BG79</f>
        <v>0</v>
      </c>
      <c r="BH513" s="56">
        <f>'Civil OE'!BH79</f>
        <v>0</v>
      </c>
      <c r="BI513" s="236">
        <f>'Civil OE'!BI79</f>
        <v>0</v>
      </c>
      <c r="BJ513" s="605">
        <f>'Civil OE'!BJ79</f>
        <v>0</v>
      </c>
    </row>
    <row r="514" spans="1:64" ht="11.4">
      <c r="A514" s="25" t="s">
        <v>459</v>
      </c>
      <c r="C514" s="40">
        <f>C515-C513-C512</f>
        <v>-8</v>
      </c>
      <c r="D514" s="40">
        <f t="shared" ref="D514:T514" si="1483">D515-D513-D512</f>
        <v>-2</v>
      </c>
      <c r="E514" s="40">
        <f t="shared" si="1483"/>
        <v>-7</v>
      </c>
      <c r="F514" s="40">
        <f t="shared" si="1483"/>
        <v>0</v>
      </c>
      <c r="G514" s="40">
        <f t="shared" si="1483"/>
        <v>-12</v>
      </c>
      <c r="H514" s="40">
        <f t="shared" si="1483"/>
        <v>-1</v>
      </c>
      <c r="I514" s="40">
        <f t="shared" si="1483"/>
        <v>-15</v>
      </c>
      <c r="J514" s="40">
        <f t="shared" si="1483"/>
        <v>-18</v>
      </c>
      <c r="K514" s="40">
        <f t="shared" si="1483"/>
        <v>-11</v>
      </c>
      <c r="L514" s="40">
        <f t="shared" si="1483"/>
        <v>-23</v>
      </c>
      <c r="M514" s="40">
        <f t="shared" si="1483"/>
        <v>-19</v>
      </c>
      <c r="N514" s="40">
        <f t="shared" si="1483"/>
        <v>-17</v>
      </c>
      <c r="O514" s="40">
        <f t="shared" si="1483"/>
        <v>-17</v>
      </c>
      <c r="P514" s="40">
        <f t="shared" si="1483"/>
        <v>-20</v>
      </c>
      <c r="Q514" s="40">
        <f t="shared" si="1483"/>
        <v>-4</v>
      </c>
      <c r="R514" s="40"/>
      <c r="S514" s="630"/>
      <c r="T514" s="653">
        <f t="shared" si="1483"/>
        <v>6</v>
      </c>
      <c r="U514" s="40"/>
      <c r="V514" s="630"/>
      <c r="W514" s="653">
        <f t="shared" ref="W514:AL514" si="1484">W515-W513-W512</f>
        <v>-2</v>
      </c>
      <c r="X514" s="40"/>
      <c r="Y514" s="630"/>
      <c r="Z514" s="653">
        <f t="shared" si="1484"/>
        <v>23</v>
      </c>
      <c r="AA514" s="40">
        <f t="shared" si="1484"/>
        <v>-12</v>
      </c>
      <c r="AB514" s="630">
        <f t="shared" si="1484"/>
        <v>-2</v>
      </c>
      <c r="AC514" s="653">
        <f t="shared" si="1484"/>
        <v>-14</v>
      </c>
      <c r="AD514" s="40">
        <f t="shared" si="1484"/>
        <v>-6</v>
      </c>
      <c r="AE514" s="630">
        <f t="shared" si="1484"/>
        <v>-2</v>
      </c>
      <c r="AF514" s="653">
        <f t="shared" si="1484"/>
        <v>-8</v>
      </c>
      <c r="AG514" s="40">
        <f t="shared" ref="AG514:AH514" si="1485">AG515-AG513-AG512</f>
        <v>-4</v>
      </c>
      <c r="AH514" s="630">
        <f t="shared" si="1485"/>
        <v>-2</v>
      </c>
      <c r="AI514" s="653">
        <f t="shared" si="1484"/>
        <v>-6</v>
      </c>
      <c r="AJ514" s="40">
        <f t="shared" si="1484"/>
        <v>2</v>
      </c>
      <c r="AK514" s="630">
        <f t="shared" ref="AK514" si="1486">AK515-AK513-AK512</f>
        <v>-1</v>
      </c>
      <c r="AL514" s="653">
        <f t="shared" si="1484"/>
        <v>1</v>
      </c>
      <c r="AM514" s="40">
        <f t="shared" ref="AM514:AO514" si="1487">AM515-AM513-AM512</f>
        <v>-13</v>
      </c>
      <c r="AN514" s="630">
        <f t="shared" si="1487"/>
        <v>-14</v>
      </c>
      <c r="AO514" s="653">
        <f t="shared" si="1487"/>
        <v>-27</v>
      </c>
      <c r="AP514" s="40">
        <f t="shared" ref="AP514:AR514" si="1488">AP515-AP513-AP512</f>
        <v>-48</v>
      </c>
      <c r="AQ514" s="630">
        <f t="shared" si="1488"/>
        <v>-2</v>
      </c>
      <c r="AR514" s="653">
        <f t="shared" si="1488"/>
        <v>-50</v>
      </c>
      <c r="AS514" s="40">
        <f t="shared" ref="AS514:AU514" si="1489">AS515-AS513-AS512</f>
        <v>-10</v>
      </c>
      <c r="AT514" s="630">
        <f t="shared" si="1489"/>
        <v>0</v>
      </c>
      <c r="AU514" s="653">
        <f t="shared" si="1489"/>
        <v>-10</v>
      </c>
      <c r="AV514" s="40">
        <f t="shared" ref="AV514" si="1490">AV515-AV513-AV512</f>
        <v>-5</v>
      </c>
      <c r="AW514" s="236">
        <f>AX514-AV514</f>
        <v>-25</v>
      </c>
      <c r="AX514" s="580">
        <v>-30</v>
      </c>
      <c r="AY514" s="56">
        <f>BA514/2</f>
        <v>-15</v>
      </c>
      <c r="AZ514" s="236">
        <f>BA514-AY514</f>
        <v>-15</v>
      </c>
      <c r="BA514" s="605">
        <f>AX514</f>
        <v>-30</v>
      </c>
      <c r="BB514" s="56">
        <f>BD514/2</f>
        <v>-15</v>
      </c>
      <c r="BC514" s="236">
        <f>BD514-BB514</f>
        <v>-15</v>
      </c>
      <c r="BD514" s="605">
        <f>BA514</f>
        <v>-30</v>
      </c>
      <c r="BE514" s="56">
        <f>BG514/2</f>
        <v>-15</v>
      </c>
      <c r="BF514" s="236">
        <f>BG514-BE514</f>
        <v>-15</v>
      </c>
      <c r="BG514" s="605">
        <f>BD514</f>
        <v>-30</v>
      </c>
      <c r="BH514" s="56">
        <f>BJ514/2</f>
        <v>-15</v>
      </c>
      <c r="BI514" s="236">
        <f>BJ514-BH514</f>
        <v>-15</v>
      </c>
      <c r="BJ514" s="605">
        <f t="shared" ref="BJ514" si="1491">BG514</f>
        <v>-30</v>
      </c>
      <c r="BL514" s="115"/>
    </row>
    <row r="515" spans="1:64">
      <c r="A515" s="31" t="s">
        <v>461</v>
      </c>
      <c r="B515" s="31">
        <f t="shared" ref="B515:AL515" si="1492">B386</f>
        <v>134</v>
      </c>
      <c r="C515" s="51">
        <f t="shared" si="1492"/>
        <v>178</v>
      </c>
      <c r="D515" s="51">
        <f t="shared" si="1492"/>
        <v>206</v>
      </c>
      <c r="E515" s="51">
        <f t="shared" si="1492"/>
        <v>234</v>
      </c>
      <c r="F515" s="51">
        <f t="shared" si="1492"/>
        <v>264</v>
      </c>
      <c r="G515" s="51">
        <f t="shared" si="1492"/>
        <v>306</v>
      </c>
      <c r="H515" s="51">
        <f t="shared" si="1492"/>
        <v>364</v>
      </c>
      <c r="I515" s="51">
        <f t="shared" si="1492"/>
        <v>424</v>
      </c>
      <c r="J515" s="51">
        <f t="shared" si="1492"/>
        <v>494</v>
      </c>
      <c r="K515" s="51">
        <f t="shared" si="1492"/>
        <v>608</v>
      </c>
      <c r="L515" s="51">
        <f t="shared" si="1492"/>
        <v>724</v>
      </c>
      <c r="M515" s="51">
        <f t="shared" si="1492"/>
        <v>840</v>
      </c>
      <c r="N515" s="51">
        <f t="shared" si="1492"/>
        <v>980</v>
      </c>
      <c r="O515" s="51">
        <f t="shared" si="1492"/>
        <v>1144</v>
      </c>
      <c r="P515" s="51">
        <f t="shared" si="1492"/>
        <v>1308</v>
      </c>
      <c r="Q515" s="51">
        <f t="shared" si="1492"/>
        <v>1444</v>
      </c>
      <c r="R515" s="51"/>
      <c r="S515" s="629"/>
      <c r="T515" s="652">
        <f t="shared" si="1492"/>
        <v>1538</v>
      </c>
      <c r="U515" s="51"/>
      <c r="V515" s="629"/>
      <c r="W515" s="652">
        <f t="shared" si="1492"/>
        <v>1646</v>
      </c>
      <c r="X515" s="51"/>
      <c r="Y515" s="629"/>
      <c r="Z515" s="652">
        <f t="shared" si="1492"/>
        <v>1732</v>
      </c>
      <c r="AA515" s="51">
        <f t="shared" si="1492"/>
        <v>1728</v>
      </c>
      <c r="AB515" s="629">
        <f t="shared" si="1492"/>
        <v>1728</v>
      </c>
      <c r="AC515" s="652">
        <f t="shared" si="1492"/>
        <v>1728</v>
      </c>
      <c r="AD515" s="51">
        <f t="shared" si="1492"/>
        <v>1722</v>
      </c>
      <c r="AE515" s="629">
        <f t="shared" si="1492"/>
        <v>1722</v>
      </c>
      <c r="AF515" s="652">
        <f t="shared" si="1492"/>
        <v>1722</v>
      </c>
      <c r="AG515" s="51">
        <f t="shared" ref="AG515:AH515" si="1493">AG386</f>
        <v>1718</v>
      </c>
      <c r="AH515" s="629">
        <f t="shared" si="1493"/>
        <v>1718</v>
      </c>
      <c r="AI515" s="652">
        <f t="shared" si="1492"/>
        <v>1718</v>
      </c>
      <c r="AJ515" s="51">
        <f t="shared" si="1492"/>
        <v>1720</v>
      </c>
      <c r="AK515" s="629">
        <f t="shared" ref="AK515" si="1494">AK386</f>
        <v>1720</v>
      </c>
      <c r="AL515" s="652">
        <f t="shared" si="1492"/>
        <v>1720</v>
      </c>
      <c r="AM515" s="51">
        <f t="shared" ref="AM515:AO515" si="1495">AM386</f>
        <v>1708</v>
      </c>
      <c r="AN515" s="629">
        <f t="shared" si="1495"/>
        <v>1694</v>
      </c>
      <c r="AO515" s="652">
        <f t="shared" si="1495"/>
        <v>1694</v>
      </c>
      <c r="AP515" s="51">
        <f t="shared" ref="AP515:AR515" si="1496">AP386</f>
        <v>1646</v>
      </c>
      <c r="AQ515" s="629">
        <f t="shared" si="1496"/>
        <v>1644</v>
      </c>
      <c r="AR515" s="652">
        <f t="shared" si="1496"/>
        <v>1644</v>
      </c>
      <c r="AS515" s="51">
        <f t="shared" ref="AS515:AU515" si="1497">AS386</f>
        <v>1634</v>
      </c>
      <c r="AT515" s="629">
        <f t="shared" si="1497"/>
        <v>1634</v>
      </c>
      <c r="AU515" s="652">
        <f t="shared" si="1497"/>
        <v>1634</v>
      </c>
      <c r="AV515" s="51">
        <f t="shared" ref="AV515" si="1498">AV386</f>
        <v>1630</v>
      </c>
      <c r="AW515" s="237">
        <f t="shared" ref="AW515:BJ515" si="1499">AW512+AW513+AW514</f>
        <v>1605</v>
      </c>
      <c r="AX515" s="576">
        <f t="shared" si="1499"/>
        <v>1605</v>
      </c>
      <c r="AY515" s="48">
        <f t="shared" si="1499"/>
        <v>1590</v>
      </c>
      <c r="AZ515" s="237">
        <f t="shared" si="1499"/>
        <v>1575</v>
      </c>
      <c r="BA515" s="576">
        <f t="shared" si="1499"/>
        <v>1575</v>
      </c>
      <c r="BB515" s="48">
        <f t="shared" si="1499"/>
        <v>1560</v>
      </c>
      <c r="BC515" s="237">
        <f t="shared" si="1499"/>
        <v>1545</v>
      </c>
      <c r="BD515" s="576">
        <f t="shared" si="1499"/>
        <v>1545</v>
      </c>
      <c r="BE515" s="48">
        <f t="shared" si="1499"/>
        <v>1530</v>
      </c>
      <c r="BF515" s="237">
        <f t="shared" si="1499"/>
        <v>1515</v>
      </c>
      <c r="BG515" s="576">
        <f t="shared" si="1499"/>
        <v>1515</v>
      </c>
      <c r="BH515" s="48">
        <f t="shared" si="1499"/>
        <v>1500</v>
      </c>
      <c r="BI515" s="237">
        <f t="shared" si="1499"/>
        <v>1485</v>
      </c>
      <c r="BJ515" s="576">
        <f t="shared" si="1499"/>
        <v>1485</v>
      </c>
    </row>
    <row r="516" spans="1:64">
      <c r="A516" s="31" t="s">
        <v>474</v>
      </c>
      <c r="B516" s="31"/>
      <c r="C516" s="51">
        <f>AVERAGE(C512,C515)</f>
        <v>156</v>
      </c>
      <c r="D516" s="51">
        <f t="shared" ref="D516:BJ516" si="1500">AVERAGE(D512,D515)</f>
        <v>192</v>
      </c>
      <c r="E516" s="51">
        <f t="shared" si="1500"/>
        <v>220</v>
      </c>
      <c r="F516" s="51">
        <f t="shared" si="1500"/>
        <v>249</v>
      </c>
      <c r="G516" s="51">
        <f t="shared" si="1500"/>
        <v>285</v>
      </c>
      <c r="H516" s="51">
        <f t="shared" si="1500"/>
        <v>335</v>
      </c>
      <c r="I516" s="51">
        <f t="shared" si="1500"/>
        <v>394</v>
      </c>
      <c r="J516" s="51">
        <f t="shared" si="1500"/>
        <v>459</v>
      </c>
      <c r="K516" s="51">
        <f t="shared" si="1500"/>
        <v>551</v>
      </c>
      <c r="L516" s="51">
        <f t="shared" si="1500"/>
        <v>666</v>
      </c>
      <c r="M516" s="51">
        <f t="shared" si="1500"/>
        <v>782</v>
      </c>
      <c r="N516" s="51">
        <f t="shared" si="1500"/>
        <v>910</v>
      </c>
      <c r="O516" s="51">
        <f t="shared" si="1500"/>
        <v>1062</v>
      </c>
      <c r="P516" s="51">
        <f t="shared" si="1500"/>
        <v>1226</v>
      </c>
      <c r="Q516" s="51">
        <f t="shared" si="1500"/>
        <v>1376</v>
      </c>
      <c r="R516" s="51"/>
      <c r="S516" s="629"/>
      <c r="T516" s="652">
        <f t="shared" si="1500"/>
        <v>1491</v>
      </c>
      <c r="U516" s="51"/>
      <c r="V516" s="629"/>
      <c r="W516" s="652">
        <f>AVERAGE(W512,W515)</f>
        <v>1592</v>
      </c>
      <c r="X516" s="51"/>
      <c r="Y516" s="629"/>
      <c r="Z516" s="652">
        <f>AVERAGE(Z512,Z515)</f>
        <v>1689</v>
      </c>
      <c r="AA516" s="51">
        <f t="shared" ref="AA516:AB516" si="1501">AVERAGE(AA512,AA515)</f>
        <v>1730</v>
      </c>
      <c r="AB516" s="629">
        <f t="shared" si="1501"/>
        <v>1728</v>
      </c>
      <c r="AC516" s="652">
        <f>AVERAGE(AC512,AC515)</f>
        <v>1730</v>
      </c>
      <c r="AD516" s="51">
        <f t="shared" ref="AD516:AE516" si="1502">AVERAGE(AD512,AD515)</f>
        <v>1725</v>
      </c>
      <c r="AE516" s="629">
        <f t="shared" si="1502"/>
        <v>1722</v>
      </c>
      <c r="AF516" s="652">
        <f>AVERAGE(AF512,AF515)</f>
        <v>1725</v>
      </c>
      <c r="AG516" s="51">
        <f t="shared" ref="AG516:AH516" si="1503">AVERAGE(AG512,AG515)</f>
        <v>1720</v>
      </c>
      <c r="AH516" s="629">
        <f t="shared" si="1503"/>
        <v>1718</v>
      </c>
      <c r="AI516" s="652">
        <f>AVERAGE(AI512,AI515)</f>
        <v>1720</v>
      </c>
      <c r="AJ516" s="51">
        <f t="shared" ref="AJ516:AK516" si="1504">AVERAGE(AJ512,AJ515)</f>
        <v>1719</v>
      </c>
      <c r="AK516" s="629">
        <f t="shared" si="1504"/>
        <v>1720</v>
      </c>
      <c r="AL516" s="652">
        <f t="shared" si="1500"/>
        <v>1719</v>
      </c>
      <c r="AM516" s="51">
        <f t="shared" ref="AM516:AO516" si="1505">AVERAGE(AM512,AM515)</f>
        <v>1714</v>
      </c>
      <c r="AN516" s="629">
        <f t="shared" si="1505"/>
        <v>1701</v>
      </c>
      <c r="AO516" s="652">
        <f t="shared" si="1505"/>
        <v>1707</v>
      </c>
      <c r="AP516" s="51">
        <f t="shared" ref="AP516:AR516" si="1506">AVERAGE(AP512,AP515)</f>
        <v>1670</v>
      </c>
      <c r="AQ516" s="629">
        <f t="shared" si="1506"/>
        <v>1645</v>
      </c>
      <c r="AR516" s="652">
        <f t="shared" si="1506"/>
        <v>1669</v>
      </c>
      <c r="AS516" s="51">
        <f t="shared" ref="AS516:AU516" si="1507">AVERAGE(AS512,AS515)</f>
        <v>1639</v>
      </c>
      <c r="AT516" s="629">
        <f t="shared" si="1507"/>
        <v>1634</v>
      </c>
      <c r="AU516" s="652">
        <f t="shared" si="1507"/>
        <v>1639</v>
      </c>
      <c r="AV516" s="51">
        <f t="shared" ref="AV516" si="1508">AVERAGE(AV512,AV515)</f>
        <v>1632</v>
      </c>
      <c r="AW516" s="237">
        <f t="shared" si="1500"/>
        <v>1617.5</v>
      </c>
      <c r="AX516" s="576">
        <f t="shared" si="1500"/>
        <v>1619.5</v>
      </c>
      <c r="AY516" s="48">
        <f t="shared" si="1500"/>
        <v>1597.5</v>
      </c>
      <c r="AZ516" s="237">
        <f t="shared" si="1500"/>
        <v>1582.5</v>
      </c>
      <c r="BA516" s="576">
        <f t="shared" si="1500"/>
        <v>1590</v>
      </c>
      <c r="BB516" s="48">
        <f t="shared" si="1500"/>
        <v>1567.5</v>
      </c>
      <c r="BC516" s="237">
        <f t="shared" si="1500"/>
        <v>1552.5</v>
      </c>
      <c r="BD516" s="576">
        <f t="shared" si="1500"/>
        <v>1560</v>
      </c>
      <c r="BE516" s="48">
        <f t="shared" si="1500"/>
        <v>1537.5</v>
      </c>
      <c r="BF516" s="237">
        <f t="shared" si="1500"/>
        <v>1522.5</v>
      </c>
      <c r="BG516" s="576">
        <f t="shared" si="1500"/>
        <v>1530</v>
      </c>
      <c r="BH516" s="48">
        <f t="shared" si="1500"/>
        <v>1507.5</v>
      </c>
      <c r="BI516" s="237">
        <f t="shared" si="1500"/>
        <v>1492.5</v>
      </c>
      <c r="BJ516" s="576">
        <f t="shared" si="1500"/>
        <v>1500</v>
      </c>
    </row>
    <row r="517" spans="1:64" ht="11.4">
      <c r="C517" s="40"/>
      <c r="D517" s="40"/>
      <c r="E517" s="40"/>
      <c r="F517" s="40"/>
      <c r="G517" s="40"/>
      <c r="H517" s="40"/>
      <c r="I517" s="40"/>
      <c r="J517" s="40"/>
      <c r="K517" s="40"/>
      <c r="L517" s="40"/>
      <c r="M517" s="40"/>
      <c r="N517" s="40"/>
      <c r="O517" s="40"/>
      <c r="P517" s="40"/>
      <c r="Q517" s="40"/>
      <c r="R517" s="349"/>
      <c r="S517" s="880"/>
      <c r="T517" s="904"/>
      <c r="U517" s="349"/>
      <c r="V517" s="880"/>
      <c r="W517" s="904"/>
      <c r="X517" s="349"/>
      <c r="Y517" s="880"/>
      <c r="Z517" s="904"/>
      <c r="AA517" s="349"/>
      <c r="AB517" s="880"/>
      <c r="AC517" s="904"/>
      <c r="AD517" s="349"/>
      <c r="AE517" s="880"/>
      <c r="AF517" s="904"/>
      <c r="AG517" s="349"/>
      <c r="AH517" s="880"/>
      <c r="AI517" s="904"/>
      <c r="AJ517" s="349"/>
      <c r="AK517" s="880"/>
      <c r="AL517" s="904"/>
      <c r="AM517" s="349"/>
      <c r="AN517" s="818"/>
      <c r="AO517" s="851"/>
      <c r="AP517" s="352"/>
      <c r="AQ517" s="818"/>
      <c r="AR517" s="851"/>
      <c r="AS517" s="352"/>
      <c r="AT517" s="818"/>
      <c r="AU517" s="851"/>
      <c r="AV517" s="352"/>
      <c r="AW517" s="818"/>
      <c r="AX517" s="851"/>
      <c r="AY517" s="352"/>
      <c r="AZ517" s="818"/>
      <c r="BA517" s="851"/>
      <c r="BB517" s="352"/>
      <c r="BC517" s="818"/>
      <c r="BD517" s="851"/>
      <c r="BE517" s="352"/>
      <c r="BF517" s="818"/>
      <c r="BG517" s="851"/>
      <c r="BH517" s="352"/>
      <c r="BI517" s="818"/>
      <c r="BJ517" s="851"/>
    </row>
    <row r="518" spans="1:64">
      <c r="A518" s="25" t="s">
        <v>462</v>
      </c>
      <c r="C518" s="40">
        <f t="shared" ref="C518:Q518" si="1509">B387</f>
        <v>224</v>
      </c>
      <c r="D518" s="40">
        <f t="shared" si="1509"/>
        <v>296</v>
      </c>
      <c r="E518" s="40">
        <f t="shared" si="1509"/>
        <v>344</v>
      </c>
      <c r="F518" s="40">
        <f t="shared" si="1509"/>
        <v>376</v>
      </c>
      <c r="G518" s="40">
        <f t="shared" si="1509"/>
        <v>392</v>
      </c>
      <c r="H518" s="40">
        <f t="shared" si="1509"/>
        <v>408</v>
      </c>
      <c r="I518" s="40">
        <f t="shared" si="1509"/>
        <v>432</v>
      </c>
      <c r="J518" s="40">
        <f t="shared" si="1509"/>
        <v>444</v>
      </c>
      <c r="K518" s="40">
        <f t="shared" si="1509"/>
        <v>442</v>
      </c>
      <c r="L518" s="40">
        <f t="shared" si="1509"/>
        <v>450</v>
      </c>
      <c r="M518" s="40">
        <f t="shared" si="1509"/>
        <v>450</v>
      </c>
      <c r="N518" s="40">
        <f t="shared" si="1509"/>
        <v>450</v>
      </c>
      <c r="O518" s="40">
        <f t="shared" si="1509"/>
        <v>450</v>
      </c>
      <c r="P518" s="40">
        <f t="shared" si="1509"/>
        <v>444</v>
      </c>
      <c r="Q518" s="40">
        <f t="shared" si="1509"/>
        <v>436</v>
      </c>
      <c r="R518" s="40"/>
      <c r="S518" s="630"/>
      <c r="T518" s="653">
        <f>Q387</f>
        <v>428</v>
      </c>
      <c r="U518" s="40"/>
      <c r="V518" s="630"/>
      <c r="W518" s="653">
        <f>T387</f>
        <v>420</v>
      </c>
      <c r="X518" s="40"/>
      <c r="Y518" s="630"/>
      <c r="Z518" s="653">
        <f>W387</f>
        <v>412</v>
      </c>
      <c r="AA518" s="40">
        <f>Z521</f>
        <v>396</v>
      </c>
      <c r="AB518" s="630">
        <f>AA521</f>
        <v>376</v>
      </c>
      <c r="AC518" s="653">
        <f>Z387</f>
        <v>396</v>
      </c>
      <c r="AD518" s="40">
        <f>AC521</f>
        <v>376</v>
      </c>
      <c r="AE518" s="630">
        <f>AD521</f>
        <v>372</v>
      </c>
      <c r="AF518" s="653">
        <f>AC387</f>
        <v>376</v>
      </c>
      <c r="AG518" s="40">
        <f>AF521</f>
        <v>372</v>
      </c>
      <c r="AH518" s="630">
        <f>AG521</f>
        <v>370</v>
      </c>
      <c r="AI518" s="653">
        <f>AF387</f>
        <v>372</v>
      </c>
      <c r="AJ518" s="40">
        <f>AI521</f>
        <v>370</v>
      </c>
      <c r="AK518" s="630">
        <f>AJ521</f>
        <v>368</v>
      </c>
      <c r="AL518" s="653">
        <f t="shared" ref="AL518" si="1510">AI521</f>
        <v>370</v>
      </c>
      <c r="AM518" s="40">
        <f>AL521</f>
        <v>368</v>
      </c>
      <c r="AN518" s="630">
        <f>AM521</f>
        <v>368</v>
      </c>
      <c r="AO518" s="653">
        <f t="shared" ref="AO518" si="1511">AL521</f>
        <v>368</v>
      </c>
      <c r="AP518" s="10">
        <f>AO521</f>
        <v>358</v>
      </c>
      <c r="AQ518" s="630">
        <f>AP521</f>
        <v>354</v>
      </c>
      <c r="AR518" s="653">
        <f t="shared" ref="AR518" si="1512">AO521</f>
        <v>358</v>
      </c>
      <c r="AS518" s="10">
        <f>AR521</f>
        <v>352</v>
      </c>
      <c r="AT518" s="630">
        <f>AS521</f>
        <v>338</v>
      </c>
      <c r="AU518" s="653">
        <f t="shared" ref="AU518" si="1513">AR521</f>
        <v>352</v>
      </c>
      <c r="AV518" s="10">
        <f>AU521</f>
        <v>328</v>
      </c>
      <c r="AW518" s="236">
        <f>AV521</f>
        <v>326</v>
      </c>
      <c r="AX518" s="605">
        <f>AU521</f>
        <v>328</v>
      </c>
      <c r="AY518" s="56">
        <f>AX521</f>
        <v>303</v>
      </c>
      <c r="AZ518" s="236">
        <f>AY521</f>
        <v>290.5</v>
      </c>
      <c r="BA518" s="605">
        <f>AX521</f>
        <v>303</v>
      </c>
      <c r="BB518" s="56">
        <f>BA521</f>
        <v>278</v>
      </c>
      <c r="BC518" s="236">
        <f>BB521</f>
        <v>265.5</v>
      </c>
      <c r="BD518" s="605">
        <f>BA521</f>
        <v>278</v>
      </c>
      <c r="BE518" s="56">
        <f>BD521</f>
        <v>253</v>
      </c>
      <c r="BF518" s="236">
        <f>BE521</f>
        <v>240.5</v>
      </c>
      <c r="BG518" s="605">
        <f>BD521</f>
        <v>253</v>
      </c>
      <c r="BH518" s="56">
        <f>BG521</f>
        <v>228</v>
      </c>
      <c r="BI518" s="236">
        <f>BH521</f>
        <v>215.5</v>
      </c>
      <c r="BJ518" s="605">
        <f>BG521</f>
        <v>228</v>
      </c>
    </row>
    <row r="519" spans="1:64">
      <c r="A519" s="25" t="s">
        <v>458</v>
      </c>
      <c r="C519" s="40">
        <f>'Civil OE'!B80</f>
        <v>55</v>
      </c>
      <c r="D519" s="40">
        <f>'Civil OE'!C80</f>
        <v>79</v>
      </c>
      <c r="E519" s="40">
        <f>'Civil OE'!D80</f>
        <v>54</v>
      </c>
      <c r="F519" s="40">
        <f>'Civil OE'!E80</f>
        <v>30</v>
      </c>
      <c r="G519" s="40">
        <f>'Civil OE'!F80</f>
        <v>15</v>
      </c>
      <c r="H519" s="40">
        <f>'Civil OE'!G80</f>
        <v>21</v>
      </c>
      <c r="I519" s="40">
        <f>'Civil OE'!H80</f>
        <v>25</v>
      </c>
      <c r="J519" s="40">
        <f>'Civil OE'!I80</f>
        <v>10</v>
      </c>
      <c r="K519" s="40">
        <f>'Civil OE'!J80</f>
        <v>7</v>
      </c>
      <c r="L519" s="40">
        <f>'Civil OE'!K80</f>
        <v>9</v>
      </c>
      <c r="M519" s="40">
        <f>'Civil OE'!L80</f>
        <v>0</v>
      </c>
      <c r="N519" s="40">
        <f>'Civil OE'!M80</f>
        <v>0</v>
      </c>
      <c r="O519" s="40">
        <f>'Civil OE'!N80</f>
        <v>0</v>
      </c>
      <c r="P519" s="40">
        <f>'Civil OE'!O80</f>
        <v>0</v>
      </c>
      <c r="Q519" s="40">
        <f>'Civil OE'!P80</f>
        <v>0</v>
      </c>
      <c r="R519" s="40"/>
      <c r="S519" s="630"/>
      <c r="T519" s="653">
        <f>'Civil OE'!Q80</f>
        <v>0</v>
      </c>
      <c r="U519" s="40"/>
      <c r="V519" s="630"/>
      <c r="W519" s="653">
        <f>'Civil OE'!T80</f>
        <v>0</v>
      </c>
      <c r="X519" s="40"/>
      <c r="Y519" s="630"/>
      <c r="Z519" s="653">
        <f>'Civil OE'!W80</f>
        <v>0</v>
      </c>
      <c r="AA519" s="40">
        <f>'Civil OE'!X80</f>
        <v>0</v>
      </c>
      <c r="AB519" s="630">
        <f>'Civil OE'!Y80</f>
        <v>0</v>
      </c>
      <c r="AC519" s="653">
        <f>'Civil OE'!Z80</f>
        <v>0</v>
      </c>
      <c r="AD519" s="40">
        <f>'Civil OE'!AA80</f>
        <v>0</v>
      </c>
      <c r="AE519" s="630">
        <f>'Civil OE'!AB80</f>
        <v>0</v>
      </c>
      <c r="AF519" s="653">
        <f>'Civil OE'!AC80</f>
        <v>0</v>
      </c>
      <c r="AG519" s="40">
        <f>'Civil OE'!AD80</f>
        <v>0</v>
      </c>
      <c r="AH519" s="630">
        <f>'Civil OE'!AE80</f>
        <v>0</v>
      </c>
      <c r="AI519" s="653">
        <f>'Civil OE'!AF80</f>
        <v>0</v>
      </c>
      <c r="AJ519" s="40">
        <f>'Civil OE'!AG80</f>
        <v>0</v>
      </c>
      <c r="AK519" s="630">
        <f>'Civil OE'!AH80</f>
        <v>0</v>
      </c>
      <c r="AL519" s="653">
        <f>'Civil OE'!AI80</f>
        <v>0</v>
      </c>
      <c r="AM519" s="40">
        <f>'Civil OE'!AJ80</f>
        <v>0</v>
      </c>
      <c r="AN519" s="630">
        <f>'Civil OE'!AK80</f>
        <v>0</v>
      </c>
      <c r="AO519" s="653">
        <f>'Civil OE'!AL80</f>
        <v>0</v>
      </c>
      <c r="AP519" s="10">
        <f>'Civil OE'!AM80</f>
        <v>0</v>
      </c>
      <c r="AQ519" s="630">
        <f>'Civil OE'!AN80</f>
        <v>0</v>
      </c>
      <c r="AR519" s="653">
        <f>'Civil OE'!AO80</f>
        <v>0</v>
      </c>
      <c r="AS519" s="10">
        <f>'Civil OE'!AP80</f>
        <v>0</v>
      </c>
      <c r="AT519" s="630">
        <f>'Civil OE'!AQ80</f>
        <v>0</v>
      </c>
      <c r="AU519" s="653">
        <f>'Civil OE'!AR80</f>
        <v>0</v>
      </c>
      <c r="AV519" s="10">
        <f>'Civil OE'!AS80</f>
        <v>0</v>
      </c>
      <c r="AW519" s="236">
        <f>'Civil OE'!AT80</f>
        <v>0</v>
      </c>
      <c r="AX519" s="605">
        <f>'Civil OE'!AU80</f>
        <v>0</v>
      </c>
      <c r="AY519" s="56">
        <f>'Civil OE'!AV80</f>
        <v>0</v>
      </c>
      <c r="AZ519" s="236">
        <f>'Civil OE'!AW80</f>
        <v>0</v>
      </c>
      <c r="BA519" s="605">
        <f>'Civil OE'!AX80</f>
        <v>0</v>
      </c>
      <c r="BB519" s="56">
        <f>'Civil OE'!AY80</f>
        <v>0</v>
      </c>
      <c r="BC519" s="236">
        <f>'Civil OE'!AZ80</f>
        <v>0</v>
      </c>
      <c r="BD519" s="605">
        <f>'Civil OE'!BA80</f>
        <v>0</v>
      </c>
      <c r="BE519" s="56">
        <f>'Civil OE'!BB80</f>
        <v>0</v>
      </c>
      <c r="BF519" s="236">
        <f>'Civil OE'!BC80</f>
        <v>0</v>
      </c>
      <c r="BG519" s="605">
        <f>'Civil OE'!BD80</f>
        <v>0</v>
      </c>
      <c r="BH519" s="56">
        <f>'Civil OE'!BE80</f>
        <v>0</v>
      </c>
      <c r="BI519" s="236">
        <f>'Civil OE'!BF80</f>
        <v>0</v>
      </c>
      <c r="BJ519" s="605">
        <f>'Civil OE'!BG80</f>
        <v>0</v>
      </c>
    </row>
    <row r="520" spans="1:64">
      <c r="A520" s="25" t="s">
        <v>459</v>
      </c>
      <c r="C520" s="40">
        <f>C521-C519-C518</f>
        <v>17</v>
      </c>
      <c r="D520" s="40">
        <f t="shared" ref="D520:T520" si="1514">D521-D519-D518</f>
        <v>-31</v>
      </c>
      <c r="E520" s="40">
        <f t="shared" si="1514"/>
        <v>-22</v>
      </c>
      <c r="F520" s="40">
        <f t="shared" si="1514"/>
        <v>-14</v>
      </c>
      <c r="G520" s="40">
        <f t="shared" si="1514"/>
        <v>1</v>
      </c>
      <c r="H520" s="40">
        <f t="shared" si="1514"/>
        <v>3</v>
      </c>
      <c r="I520" s="40">
        <f t="shared" si="1514"/>
        <v>-13</v>
      </c>
      <c r="J520" s="40">
        <f t="shared" si="1514"/>
        <v>-12</v>
      </c>
      <c r="K520" s="40">
        <f t="shared" si="1514"/>
        <v>1</v>
      </c>
      <c r="L520" s="40">
        <f t="shared" si="1514"/>
        <v>-9</v>
      </c>
      <c r="M520" s="40">
        <f t="shared" si="1514"/>
        <v>0</v>
      </c>
      <c r="N520" s="40">
        <f t="shared" si="1514"/>
        <v>0</v>
      </c>
      <c r="O520" s="40">
        <f t="shared" si="1514"/>
        <v>-6</v>
      </c>
      <c r="P520" s="40">
        <f t="shared" si="1514"/>
        <v>-8</v>
      </c>
      <c r="Q520" s="40">
        <f t="shared" si="1514"/>
        <v>-8</v>
      </c>
      <c r="R520" s="40"/>
      <c r="S520" s="630"/>
      <c r="T520" s="653">
        <f t="shared" si="1514"/>
        <v>-8</v>
      </c>
      <c r="U520" s="40"/>
      <c r="V520" s="630"/>
      <c r="W520" s="653">
        <f t="shared" ref="W520:AL520" si="1515">W521-W519-W518</f>
        <v>-8</v>
      </c>
      <c r="X520" s="40"/>
      <c r="Y520" s="630"/>
      <c r="Z520" s="653">
        <f t="shared" si="1515"/>
        <v>-16</v>
      </c>
      <c r="AA520" s="40">
        <f t="shared" si="1515"/>
        <v>-20</v>
      </c>
      <c r="AB520" s="630">
        <f t="shared" si="1515"/>
        <v>0</v>
      </c>
      <c r="AC520" s="653">
        <f t="shared" si="1515"/>
        <v>-20</v>
      </c>
      <c r="AD520" s="40">
        <f t="shared" si="1515"/>
        <v>-4</v>
      </c>
      <c r="AE520" s="630">
        <f t="shared" si="1515"/>
        <v>0</v>
      </c>
      <c r="AF520" s="653">
        <f t="shared" si="1515"/>
        <v>-4</v>
      </c>
      <c r="AG520" s="40">
        <f t="shared" ref="AG520:AH520" si="1516">AG521-AG519-AG518</f>
        <v>-2</v>
      </c>
      <c r="AH520" s="630">
        <f t="shared" si="1516"/>
        <v>0</v>
      </c>
      <c r="AI520" s="653">
        <f t="shared" si="1515"/>
        <v>-2</v>
      </c>
      <c r="AJ520" s="40">
        <f t="shared" si="1515"/>
        <v>-2</v>
      </c>
      <c r="AK520" s="630">
        <f t="shared" ref="AK520" si="1517">AK521-AK519-AK518</f>
        <v>0</v>
      </c>
      <c r="AL520" s="653">
        <f t="shared" si="1515"/>
        <v>-2</v>
      </c>
      <c r="AM520" s="40">
        <f t="shared" ref="AM520:AO520" si="1518">AM521-AM519-AM518</f>
        <v>0</v>
      </c>
      <c r="AN520" s="630">
        <f t="shared" si="1518"/>
        <v>-10</v>
      </c>
      <c r="AO520" s="653">
        <f t="shared" si="1518"/>
        <v>-10</v>
      </c>
      <c r="AP520" s="40">
        <f t="shared" ref="AP520:AR520" si="1519">AP521-AP519-AP518</f>
        <v>-4</v>
      </c>
      <c r="AQ520" s="630">
        <f t="shared" si="1519"/>
        <v>-2</v>
      </c>
      <c r="AR520" s="653">
        <f t="shared" si="1519"/>
        <v>-6</v>
      </c>
      <c r="AS520" s="40">
        <f t="shared" ref="AS520:AU520" si="1520">AS521-AS519-AS518</f>
        <v>-14</v>
      </c>
      <c r="AT520" s="630">
        <f t="shared" si="1520"/>
        <v>-10</v>
      </c>
      <c r="AU520" s="653">
        <f t="shared" si="1520"/>
        <v>-24</v>
      </c>
      <c r="AV520" s="40">
        <f t="shared" ref="AV520" si="1521">AV521-AV519-AV518</f>
        <v>-2</v>
      </c>
      <c r="AW520" s="236">
        <f>AX520-AV520</f>
        <v>-23</v>
      </c>
      <c r="AX520" s="580">
        <v>-25</v>
      </c>
      <c r="AY520" s="56">
        <f>BA520/2</f>
        <v>-12.5</v>
      </c>
      <c r="AZ520" s="236">
        <f>BA520-AY520</f>
        <v>-12.5</v>
      </c>
      <c r="BA520" s="605">
        <f>AX520</f>
        <v>-25</v>
      </c>
      <c r="BB520" s="56">
        <f>BD520/2</f>
        <v>-12.5</v>
      </c>
      <c r="BC520" s="236">
        <f>BD520-BB520</f>
        <v>-12.5</v>
      </c>
      <c r="BD520" s="605">
        <f>BA520</f>
        <v>-25</v>
      </c>
      <c r="BE520" s="56">
        <f>BG520/2</f>
        <v>-12.5</v>
      </c>
      <c r="BF520" s="236">
        <f>BG520-BE520</f>
        <v>-12.5</v>
      </c>
      <c r="BG520" s="605">
        <f>BD520</f>
        <v>-25</v>
      </c>
      <c r="BH520" s="56">
        <f>BJ520/2</f>
        <v>-12.5</v>
      </c>
      <c r="BI520" s="236">
        <f>BJ520-BH520</f>
        <v>-12.5</v>
      </c>
      <c r="BJ520" s="605">
        <f t="shared" ref="BJ520" si="1522">BG520</f>
        <v>-25</v>
      </c>
    </row>
    <row r="521" spans="1:64">
      <c r="A521" s="31" t="s">
        <v>463</v>
      </c>
      <c r="B521" s="31">
        <f t="shared" ref="B521:AL521" si="1523">B387</f>
        <v>224</v>
      </c>
      <c r="C521" s="51">
        <f t="shared" si="1523"/>
        <v>296</v>
      </c>
      <c r="D521" s="51">
        <f t="shared" si="1523"/>
        <v>344</v>
      </c>
      <c r="E521" s="51">
        <f t="shared" si="1523"/>
        <v>376</v>
      </c>
      <c r="F521" s="51">
        <f t="shared" si="1523"/>
        <v>392</v>
      </c>
      <c r="G521" s="51">
        <f t="shared" si="1523"/>
        <v>408</v>
      </c>
      <c r="H521" s="51">
        <f t="shared" si="1523"/>
        <v>432</v>
      </c>
      <c r="I521" s="51">
        <f t="shared" si="1523"/>
        <v>444</v>
      </c>
      <c r="J521" s="51">
        <f t="shared" si="1523"/>
        <v>442</v>
      </c>
      <c r="K521" s="51">
        <f t="shared" si="1523"/>
        <v>450</v>
      </c>
      <c r="L521" s="51">
        <f t="shared" si="1523"/>
        <v>450</v>
      </c>
      <c r="M521" s="51">
        <f t="shared" si="1523"/>
        <v>450</v>
      </c>
      <c r="N521" s="51">
        <f t="shared" si="1523"/>
        <v>450</v>
      </c>
      <c r="O521" s="51">
        <f t="shared" si="1523"/>
        <v>444</v>
      </c>
      <c r="P521" s="51">
        <f t="shared" si="1523"/>
        <v>436</v>
      </c>
      <c r="Q521" s="51">
        <f t="shared" si="1523"/>
        <v>428</v>
      </c>
      <c r="R521" s="51"/>
      <c r="S521" s="629"/>
      <c r="T521" s="652">
        <f t="shared" si="1523"/>
        <v>420</v>
      </c>
      <c r="U521" s="51"/>
      <c r="V521" s="629"/>
      <c r="W521" s="652">
        <f t="shared" si="1523"/>
        <v>412</v>
      </c>
      <c r="X521" s="51"/>
      <c r="Y521" s="629"/>
      <c r="Z521" s="652">
        <f t="shared" si="1523"/>
        <v>396</v>
      </c>
      <c r="AA521" s="51">
        <f t="shared" si="1523"/>
        <v>376</v>
      </c>
      <c r="AB521" s="629">
        <f t="shared" si="1523"/>
        <v>376</v>
      </c>
      <c r="AC521" s="652">
        <f t="shared" si="1523"/>
        <v>376</v>
      </c>
      <c r="AD521" s="51">
        <f t="shared" si="1523"/>
        <v>372</v>
      </c>
      <c r="AE521" s="629">
        <f t="shared" si="1523"/>
        <v>372</v>
      </c>
      <c r="AF521" s="652">
        <f t="shared" si="1523"/>
        <v>372</v>
      </c>
      <c r="AG521" s="51">
        <f t="shared" ref="AG521:AH521" si="1524">AG387</f>
        <v>370</v>
      </c>
      <c r="AH521" s="629">
        <f t="shared" si="1524"/>
        <v>370</v>
      </c>
      <c r="AI521" s="652">
        <f t="shared" si="1523"/>
        <v>370</v>
      </c>
      <c r="AJ521" s="51">
        <f t="shared" si="1523"/>
        <v>368</v>
      </c>
      <c r="AK521" s="629">
        <f t="shared" ref="AK521" si="1525">AK387</f>
        <v>368</v>
      </c>
      <c r="AL521" s="652">
        <f t="shared" si="1523"/>
        <v>368</v>
      </c>
      <c r="AM521" s="51">
        <f t="shared" ref="AM521:AO521" si="1526">AM387</f>
        <v>368</v>
      </c>
      <c r="AN521" s="629">
        <f t="shared" si="1526"/>
        <v>358</v>
      </c>
      <c r="AO521" s="652">
        <f t="shared" si="1526"/>
        <v>358</v>
      </c>
      <c r="AP521" s="51">
        <f t="shared" ref="AP521:AR521" si="1527">AP387</f>
        <v>354</v>
      </c>
      <c r="AQ521" s="629">
        <f t="shared" si="1527"/>
        <v>352</v>
      </c>
      <c r="AR521" s="652">
        <f t="shared" si="1527"/>
        <v>352</v>
      </c>
      <c r="AS521" s="51">
        <f t="shared" ref="AS521:AU521" si="1528">AS387</f>
        <v>338</v>
      </c>
      <c r="AT521" s="629">
        <f t="shared" si="1528"/>
        <v>328</v>
      </c>
      <c r="AU521" s="652">
        <f t="shared" si="1528"/>
        <v>328</v>
      </c>
      <c r="AV521" s="51">
        <f t="shared" ref="AV521" si="1529">AV387</f>
        <v>326</v>
      </c>
      <c r="AW521" s="237">
        <f t="shared" ref="AW521:BJ521" si="1530">AW518+AW519+AW520</f>
        <v>303</v>
      </c>
      <c r="AX521" s="576">
        <f t="shared" si="1530"/>
        <v>303</v>
      </c>
      <c r="AY521" s="48">
        <f t="shared" si="1530"/>
        <v>290.5</v>
      </c>
      <c r="AZ521" s="237">
        <f t="shared" si="1530"/>
        <v>278</v>
      </c>
      <c r="BA521" s="576">
        <f t="shared" si="1530"/>
        <v>278</v>
      </c>
      <c r="BB521" s="48">
        <f t="shared" si="1530"/>
        <v>265.5</v>
      </c>
      <c r="BC521" s="237">
        <f t="shared" si="1530"/>
        <v>253</v>
      </c>
      <c r="BD521" s="576">
        <f t="shared" si="1530"/>
        <v>253</v>
      </c>
      <c r="BE521" s="48">
        <f t="shared" si="1530"/>
        <v>240.5</v>
      </c>
      <c r="BF521" s="237">
        <f t="shared" si="1530"/>
        <v>228</v>
      </c>
      <c r="BG521" s="576">
        <f t="shared" si="1530"/>
        <v>228</v>
      </c>
      <c r="BH521" s="48">
        <f t="shared" si="1530"/>
        <v>215.5</v>
      </c>
      <c r="BI521" s="237">
        <f t="shared" si="1530"/>
        <v>203</v>
      </c>
      <c r="BJ521" s="576">
        <f t="shared" si="1530"/>
        <v>203</v>
      </c>
    </row>
    <row r="522" spans="1:64">
      <c r="A522" s="31" t="s">
        <v>474</v>
      </c>
      <c r="B522" s="31"/>
      <c r="C522" s="51">
        <f>AVERAGE(C518,C521)</f>
        <v>260</v>
      </c>
      <c r="D522" s="51">
        <f t="shared" ref="D522:BJ522" si="1531">AVERAGE(D518,D521)</f>
        <v>320</v>
      </c>
      <c r="E522" s="51">
        <f t="shared" si="1531"/>
        <v>360</v>
      </c>
      <c r="F522" s="51">
        <f t="shared" si="1531"/>
        <v>384</v>
      </c>
      <c r="G522" s="51">
        <f t="shared" si="1531"/>
        <v>400</v>
      </c>
      <c r="H522" s="51">
        <f t="shared" si="1531"/>
        <v>420</v>
      </c>
      <c r="I522" s="51">
        <f t="shared" si="1531"/>
        <v>438</v>
      </c>
      <c r="J522" s="51">
        <f t="shared" si="1531"/>
        <v>443</v>
      </c>
      <c r="K522" s="51">
        <f t="shared" si="1531"/>
        <v>446</v>
      </c>
      <c r="L522" s="51">
        <f t="shared" si="1531"/>
        <v>450</v>
      </c>
      <c r="M522" s="51">
        <f t="shared" si="1531"/>
        <v>450</v>
      </c>
      <c r="N522" s="51">
        <f t="shared" si="1531"/>
        <v>450</v>
      </c>
      <c r="O522" s="51">
        <f t="shared" si="1531"/>
        <v>447</v>
      </c>
      <c r="P522" s="51">
        <f t="shared" si="1531"/>
        <v>440</v>
      </c>
      <c r="Q522" s="51">
        <f t="shared" si="1531"/>
        <v>432</v>
      </c>
      <c r="R522" s="51"/>
      <c r="S522" s="629"/>
      <c r="T522" s="652">
        <f t="shared" si="1531"/>
        <v>424</v>
      </c>
      <c r="U522" s="51"/>
      <c r="V522" s="629"/>
      <c r="W522" s="652">
        <f>AVERAGE(W518,W521)</f>
        <v>416</v>
      </c>
      <c r="X522" s="51"/>
      <c r="Y522" s="629"/>
      <c r="Z522" s="652">
        <f>AVERAGE(Z518,Z521)</f>
        <v>404</v>
      </c>
      <c r="AA522" s="51">
        <f t="shared" ref="AA522:AB522" si="1532">AVERAGE(AA518,AA521)</f>
        <v>386</v>
      </c>
      <c r="AB522" s="629">
        <f t="shared" si="1532"/>
        <v>376</v>
      </c>
      <c r="AC522" s="652">
        <f>AVERAGE(AC518,AC521)</f>
        <v>386</v>
      </c>
      <c r="AD522" s="51">
        <f t="shared" ref="AD522:AE522" si="1533">AVERAGE(AD518,AD521)</f>
        <v>374</v>
      </c>
      <c r="AE522" s="629">
        <f t="shared" si="1533"/>
        <v>372</v>
      </c>
      <c r="AF522" s="652">
        <f>AVERAGE(AF518,AF521)</f>
        <v>374</v>
      </c>
      <c r="AG522" s="51">
        <f t="shared" ref="AG522:AH522" si="1534">AVERAGE(AG518,AG521)</f>
        <v>371</v>
      </c>
      <c r="AH522" s="629">
        <f t="shared" si="1534"/>
        <v>370</v>
      </c>
      <c r="AI522" s="652">
        <f>AVERAGE(AI518,AI521)</f>
        <v>371</v>
      </c>
      <c r="AJ522" s="51">
        <f t="shared" ref="AJ522:AK522" si="1535">AVERAGE(AJ518,AJ521)</f>
        <v>369</v>
      </c>
      <c r="AK522" s="629">
        <f t="shared" si="1535"/>
        <v>368</v>
      </c>
      <c r="AL522" s="652">
        <f t="shared" si="1531"/>
        <v>369</v>
      </c>
      <c r="AM522" s="51">
        <f t="shared" ref="AM522:AO522" si="1536">AVERAGE(AM518,AM521)</f>
        <v>368</v>
      </c>
      <c r="AN522" s="629">
        <f t="shared" si="1536"/>
        <v>363</v>
      </c>
      <c r="AO522" s="652">
        <f t="shared" si="1536"/>
        <v>363</v>
      </c>
      <c r="AP522" s="27">
        <f t="shared" ref="AP522:AR522" si="1537">AVERAGE(AP518,AP521)</f>
        <v>356</v>
      </c>
      <c r="AQ522" s="629">
        <f t="shared" si="1537"/>
        <v>353</v>
      </c>
      <c r="AR522" s="652">
        <f t="shared" si="1537"/>
        <v>355</v>
      </c>
      <c r="AS522" s="27">
        <f t="shared" ref="AS522:AU522" si="1538">AVERAGE(AS518,AS521)</f>
        <v>345</v>
      </c>
      <c r="AT522" s="629">
        <f t="shared" si="1538"/>
        <v>333</v>
      </c>
      <c r="AU522" s="652">
        <f t="shared" si="1538"/>
        <v>340</v>
      </c>
      <c r="AV522" s="27">
        <f t="shared" ref="AV522" si="1539">AVERAGE(AV518,AV521)</f>
        <v>327</v>
      </c>
      <c r="AW522" s="237">
        <f t="shared" si="1531"/>
        <v>314.5</v>
      </c>
      <c r="AX522" s="576">
        <f t="shared" si="1531"/>
        <v>315.5</v>
      </c>
      <c r="AY522" s="48">
        <f t="shared" si="1531"/>
        <v>296.75</v>
      </c>
      <c r="AZ522" s="237">
        <f t="shared" si="1531"/>
        <v>284.25</v>
      </c>
      <c r="BA522" s="576">
        <f t="shared" si="1531"/>
        <v>290.5</v>
      </c>
      <c r="BB522" s="48">
        <f t="shared" si="1531"/>
        <v>271.75</v>
      </c>
      <c r="BC522" s="237">
        <f t="shared" si="1531"/>
        <v>259.25</v>
      </c>
      <c r="BD522" s="576">
        <f t="shared" si="1531"/>
        <v>265.5</v>
      </c>
      <c r="BE522" s="48">
        <f t="shared" si="1531"/>
        <v>246.75</v>
      </c>
      <c r="BF522" s="237">
        <f t="shared" si="1531"/>
        <v>234.25</v>
      </c>
      <c r="BG522" s="576">
        <f t="shared" si="1531"/>
        <v>240.5</v>
      </c>
      <c r="BH522" s="48">
        <f t="shared" si="1531"/>
        <v>221.75</v>
      </c>
      <c r="BI522" s="237">
        <f t="shared" si="1531"/>
        <v>209.25</v>
      </c>
      <c r="BJ522" s="576">
        <f t="shared" si="1531"/>
        <v>215.5</v>
      </c>
    </row>
    <row r="523" spans="1:64">
      <c r="B523" s="31"/>
      <c r="C523" s="40"/>
      <c r="D523" s="40"/>
      <c r="E523" s="40"/>
      <c r="F523" s="40"/>
      <c r="G523" s="40"/>
      <c r="H523" s="40"/>
      <c r="I523" s="40"/>
      <c r="J523" s="40"/>
      <c r="K523" s="40"/>
      <c r="L523" s="40"/>
      <c r="M523" s="40"/>
      <c r="N523" s="40"/>
      <c r="O523" s="40"/>
      <c r="P523" s="40"/>
      <c r="Q523" s="40"/>
      <c r="R523" s="121"/>
      <c r="S523" s="776"/>
      <c r="T523" s="783"/>
      <c r="U523" s="121"/>
      <c r="V523" s="776"/>
      <c r="W523" s="783"/>
      <c r="X523" s="121"/>
      <c r="Y523" s="776"/>
      <c r="Z523" s="783"/>
      <c r="AA523" s="121"/>
      <c r="AB523" s="776"/>
      <c r="AC523" s="783"/>
      <c r="AD523" s="121"/>
      <c r="AE523" s="776"/>
      <c r="AF523" s="783"/>
      <c r="AG523" s="121"/>
      <c r="AH523" s="776"/>
      <c r="AI523" s="783"/>
      <c r="AJ523" s="121"/>
      <c r="AK523" s="776"/>
      <c r="AL523" s="783"/>
      <c r="AM523" s="121"/>
      <c r="AN523" s="819"/>
      <c r="AO523" s="852"/>
      <c r="AP523" s="257"/>
      <c r="AQ523" s="819"/>
      <c r="AR523" s="852"/>
      <c r="AS523" s="257"/>
      <c r="AT523" s="819"/>
      <c r="AU523" s="852"/>
      <c r="AV523" s="257"/>
      <c r="AW523" s="819"/>
      <c r="AX523" s="852"/>
      <c r="AY523" s="257"/>
      <c r="AZ523" s="819"/>
      <c r="BA523" s="852"/>
      <c r="BB523" s="257"/>
      <c r="BC523" s="819"/>
      <c r="BD523" s="852"/>
      <c r="BE523" s="257"/>
      <c r="BF523" s="819"/>
      <c r="BG523" s="852"/>
      <c r="BH523" s="257"/>
      <c r="BI523" s="819"/>
      <c r="BJ523" s="852"/>
    </row>
    <row r="524" spans="1:64">
      <c r="A524" s="25" t="s">
        <v>464</v>
      </c>
      <c r="C524" s="40">
        <f t="shared" ref="C524:Q524" si="1540">B388</f>
        <v>0</v>
      </c>
      <c r="D524" s="40">
        <f t="shared" si="1540"/>
        <v>0</v>
      </c>
      <c r="E524" s="40">
        <f t="shared" si="1540"/>
        <v>0</v>
      </c>
      <c r="F524" s="40">
        <f t="shared" si="1540"/>
        <v>0</v>
      </c>
      <c r="G524" s="40">
        <f t="shared" si="1540"/>
        <v>0</v>
      </c>
      <c r="H524" s="40">
        <f t="shared" si="1540"/>
        <v>0</v>
      </c>
      <c r="I524" s="40">
        <f t="shared" si="1540"/>
        <v>16</v>
      </c>
      <c r="J524" s="40">
        <f t="shared" si="1540"/>
        <v>20</v>
      </c>
      <c r="K524" s="40">
        <f t="shared" si="1540"/>
        <v>36</v>
      </c>
      <c r="L524" s="40">
        <f t="shared" si="1540"/>
        <v>68</v>
      </c>
      <c r="M524" s="40">
        <f t="shared" si="1540"/>
        <v>96</v>
      </c>
      <c r="N524" s="40">
        <f t="shared" si="1540"/>
        <v>152</v>
      </c>
      <c r="O524" s="40">
        <f t="shared" si="1540"/>
        <v>216</v>
      </c>
      <c r="P524" s="40">
        <f t="shared" si="1540"/>
        <v>252</v>
      </c>
      <c r="Q524" s="40">
        <f t="shared" si="1540"/>
        <v>296</v>
      </c>
      <c r="R524" s="40"/>
      <c r="S524" s="630"/>
      <c r="T524" s="653">
        <f>Q388</f>
        <v>320</v>
      </c>
      <c r="U524" s="40"/>
      <c r="V524" s="630"/>
      <c r="W524" s="653">
        <f>T388</f>
        <v>340</v>
      </c>
      <c r="X524" s="40"/>
      <c r="Y524" s="630"/>
      <c r="Z524" s="653">
        <f>W388</f>
        <v>376</v>
      </c>
      <c r="AA524" s="40">
        <f>Z527</f>
        <v>412</v>
      </c>
      <c r="AB524" s="630">
        <f>AA527</f>
        <v>444</v>
      </c>
      <c r="AC524" s="653">
        <f>Z388</f>
        <v>412</v>
      </c>
      <c r="AD524" s="40">
        <f>AC527</f>
        <v>444</v>
      </c>
      <c r="AE524" s="630">
        <f>AD527</f>
        <v>452</v>
      </c>
      <c r="AF524" s="653">
        <f>AC388</f>
        <v>444</v>
      </c>
      <c r="AG524" s="40">
        <f>AF527</f>
        <v>452</v>
      </c>
      <c r="AH524" s="630">
        <f>AG527</f>
        <v>464</v>
      </c>
      <c r="AI524" s="653">
        <f>AF388</f>
        <v>452</v>
      </c>
      <c r="AJ524" s="40">
        <f>AI527</f>
        <v>464</v>
      </c>
      <c r="AK524" s="630">
        <f>AJ527</f>
        <v>448</v>
      </c>
      <c r="AL524" s="653">
        <f t="shared" ref="AL524" si="1541">AI527</f>
        <v>464</v>
      </c>
      <c r="AM524" s="40">
        <f>AL527</f>
        <v>448</v>
      </c>
      <c r="AN524" s="630">
        <f>AM527</f>
        <v>448</v>
      </c>
      <c r="AO524" s="653">
        <f t="shared" ref="AO524" si="1542">AL527</f>
        <v>448</v>
      </c>
      <c r="AP524" s="10">
        <f>AO527</f>
        <v>440</v>
      </c>
      <c r="AQ524" s="630">
        <f>AP527</f>
        <v>432</v>
      </c>
      <c r="AR524" s="653">
        <f t="shared" ref="AR524" si="1543">AO527</f>
        <v>440</v>
      </c>
      <c r="AS524" s="10">
        <f>AR527</f>
        <v>428</v>
      </c>
      <c r="AT524" s="630">
        <f>AS527</f>
        <v>400</v>
      </c>
      <c r="AU524" s="653">
        <f t="shared" ref="AU524" si="1544">AR527</f>
        <v>428</v>
      </c>
      <c r="AV524" s="10">
        <f>AU527</f>
        <v>388</v>
      </c>
      <c r="AW524" s="236">
        <f>AV527</f>
        <v>380</v>
      </c>
      <c r="AX524" s="605">
        <f>AU527</f>
        <v>388</v>
      </c>
      <c r="AY524" s="56">
        <f>AX527</f>
        <v>368</v>
      </c>
      <c r="AZ524" s="236">
        <f>AY527</f>
        <v>358</v>
      </c>
      <c r="BA524" s="605">
        <f>AX527</f>
        <v>368</v>
      </c>
      <c r="BB524" s="56">
        <f>BA527</f>
        <v>348</v>
      </c>
      <c r="BC524" s="236">
        <f>BB527</f>
        <v>338</v>
      </c>
      <c r="BD524" s="605">
        <f>BA527</f>
        <v>348</v>
      </c>
      <c r="BE524" s="56">
        <f>BD527</f>
        <v>328</v>
      </c>
      <c r="BF524" s="236">
        <f>BE527</f>
        <v>318</v>
      </c>
      <c r="BG524" s="605">
        <f>BD527</f>
        <v>328</v>
      </c>
      <c r="BH524" s="56">
        <f>BG527</f>
        <v>308</v>
      </c>
      <c r="BI524" s="236">
        <f>BH527</f>
        <v>298</v>
      </c>
      <c r="BJ524" s="605">
        <f>BG527</f>
        <v>308</v>
      </c>
    </row>
    <row r="525" spans="1:64">
      <c r="A525" s="25" t="s">
        <v>458</v>
      </c>
      <c r="C525" s="40">
        <f>'Civil OE'!C81</f>
        <v>0</v>
      </c>
      <c r="D525" s="40">
        <f>'Civil OE'!D81</f>
        <v>0</v>
      </c>
      <c r="E525" s="40">
        <f>'Civil OE'!E81</f>
        <v>0</v>
      </c>
      <c r="F525" s="40">
        <f>'Civil OE'!F81</f>
        <v>0</v>
      </c>
      <c r="G525" s="40">
        <f>'Civil OE'!G81</f>
        <v>0</v>
      </c>
      <c r="H525" s="40">
        <f>'Civil OE'!H81</f>
        <v>20</v>
      </c>
      <c r="I525" s="40">
        <f>'Civil OE'!I81</f>
        <v>10</v>
      </c>
      <c r="J525" s="40">
        <f>'Civil OE'!J81</f>
        <v>48</v>
      </c>
      <c r="K525" s="40">
        <f>'Civil OE'!K81</f>
        <v>33</v>
      </c>
      <c r="L525" s="40">
        <f>'Civil OE'!L81</f>
        <v>30</v>
      </c>
      <c r="M525" s="40">
        <f>'Civil OE'!M81</f>
        <v>70</v>
      </c>
      <c r="N525" s="40">
        <f>'Civil OE'!N81</f>
        <v>64</v>
      </c>
      <c r="O525" s="40">
        <f>'Civil OE'!O81</f>
        <v>42</v>
      </c>
      <c r="P525" s="40">
        <f>'Civil OE'!P81</f>
        <v>35</v>
      </c>
      <c r="Q525" s="40">
        <f>'Civil OE'!Q81</f>
        <v>6</v>
      </c>
      <c r="R525" s="40"/>
      <c r="S525" s="630"/>
      <c r="T525" s="653">
        <f>'Civil OE'!T81</f>
        <v>30</v>
      </c>
      <c r="U525" s="40"/>
      <c r="V525" s="630"/>
      <c r="W525" s="653">
        <f>'Civil OE'!W81</f>
        <v>67</v>
      </c>
      <c r="X525" s="40"/>
      <c r="Y525" s="630"/>
      <c r="Z525" s="653">
        <f>'Civil OE'!Z81</f>
        <v>44</v>
      </c>
      <c r="AA525" s="40">
        <f>'Civil OE'!AA81</f>
        <v>18</v>
      </c>
      <c r="AB525" s="630">
        <f>'Civil OE'!AB81</f>
        <v>16</v>
      </c>
      <c r="AC525" s="653">
        <f>'Civil OE'!AC81</f>
        <v>34</v>
      </c>
      <c r="AD525" s="40">
        <f>'Civil OE'!AD81</f>
        <v>8</v>
      </c>
      <c r="AE525" s="630">
        <f>'Civil OE'!AE81</f>
        <v>7</v>
      </c>
      <c r="AF525" s="653">
        <f>'Civil OE'!AF81</f>
        <v>15</v>
      </c>
      <c r="AG525" s="40">
        <f>'Civil OE'!AG81</f>
        <v>0</v>
      </c>
      <c r="AH525" s="630">
        <f>'Civil OE'!AH81</f>
        <v>1</v>
      </c>
      <c r="AI525" s="653">
        <f>'Civil OE'!AI81</f>
        <v>1</v>
      </c>
      <c r="AJ525" s="40">
        <f>'Civil OE'!AJ81</f>
        <v>1</v>
      </c>
      <c r="AK525" s="630">
        <f>'Civil OE'!AK81</f>
        <v>1</v>
      </c>
      <c r="AL525" s="653">
        <f>'Civil OE'!AL81</f>
        <v>2</v>
      </c>
      <c r="AM525" s="40">
        <f>'Civil OE'!AM81</f>
        <v>0</v>
      </c>
      <c r="AN525" s="630">
        <f>'Civil OE'!AN81</f>
        <v>0</v>
      </c>
      <c r="AO525" s="653">
        <f>'Civil OE'!AO81</f>
        <v>0</v>
      </c>
      <c r="AP525" s="10">
        <f>'Civil OE'!AP81</f>
        <v>0</v>
      </c>
      <c r="AQ525" s="630">
        <f>'Civil OE'!AQ81</f>
        <v>0</v>
      </c>
      <c r="AR525" s="653">
        <f>'Civil OE'!AR81</f>
        <v>0</v>
      </c>
      <c r="AS525" s="10">
        <f>'Civil OE'!AS81</f>
        <v>0</v>
      </c>
      <c r="AT525" s="630">
        <f>'Civil OE'!AT81</f>
        <v>0</v>
      </c>
      <c r="AU525" s="653">
        <f>'Civil OE'!AU81</f>
        <v>0</v>
      </c>
      <c r="AV525" s="10">
        <f>'Civil OE'!AV81</f>
        <v>0</v>
      </c>
      <c r="AW525" s="236">
        <f>'Civil OE'!AW81</f>
        <v>0</v>
      </c>
      <c r="AX525" s="605">
        <f>'Civil OE'!AX81</f>
        <v>0</v>
      </c>
      <c r="AY525" s="56">
        <f>'Civil OE'!AY81</f>
        <v>0</v>
      </c>
      <c r="AZ525" s="236">
        <f>'Civil OE'!AZ81</f>
        <v>0</v>
      </c>
      <c r="BA525" s="605">
        <f>'Civil OE'!BA81</f>
        <v>0</v>
      </c>
      <c r="BB525" s="56">
        <f>'Civil OE'!BB81</f>
        <v>0</v>
      </c>
      <c r="BC525" s="236">
        <f>'Civil OE'!BC81</f>
        <v>0</v>
      </c>
      <c r="BD525" s="605">
        <f>'Civil OE'!BD81</f>
        <v>0</v>
      </c>
      <c r="BE525" s="56">
        <f>'Civil OE'!BE81</f>
        <v>0</v>
      </c>
      <c r="BF525" s="236">
        <f>'Civil OE'!BF81</f>
        <v>0</v>
      </c>
      <c r="BG525" s="605">
        <f>'Civil OE'!BG81</f>
        <v>0</v>
      </c>
      <c r="BH525" s="56">
        <f>'Civil OE'!BH81</f>
        <v>0</v>
      </c>
      <c r="BI525" s="236">
        <f>'Civil OE'!BI81</f>
        <v>0</v>
      </c>
      <c r="BJ525" s="605">
        <f>'Civil OE'!BJ81</f>
        <v>0</v>
      </c>
    </row>
    <row r="526" spans="1:64">
      <c r="A526" s="25" t="s">
        <v>459</v>
      </c>
      <c r="C526" s="40">
        <f>C527-C525-C524</f>
        <v>0</v>
      </c>
      <c r="D526" s="40">
        <f t="shared" ref="D526:T526" si="1545">D527-D525-D524</f>
        <v>0</v>
      </c>
      <c r="E526" s="40">
        <f t="shared" si="1545"/>
        <v>0</v>
      </c>
      <c r="F526" s="40">
        <f t="shared" si="1545"/>
        <v>0</v>
      </c>
      <c r="G526" s="40">
        <f t="shared" si="1545"/>
        <v>0</v>
      </c>
      <c r="H526" s="40">
        <f t="shared" si="1545"/>
        <v>-4</v>
      </c>
      <c r="I526" s="40">
        <f t="shared" si="1545"/>
        <v>-6</v>
      </c>
      <c r="J526" s="40">
        <f t="shared" si="1545"/>
        <v>-32</v>
      </c>
      <c r="K526" s="40">
        <f t="shared" si="1545"/>
        <v>-1</v>
      </c>
      <c r="L526" s="40">
        <f t="shared" si="1545"/>
        <v>-2</v>
      </c>
      <c r="M526" s="40">
        <f t="shared" si="1545"/>
        <v>-14</v>
      </c>
      <c r="N526" s="40">
        <f t="shared" si="1545"/>
        <v>0</v>
      </c>
      <c r="O526" s="40">
        <f t="shared" si="1545"/>
        <v>-6</v>
      </c>
      <c r="P526" s="40">
        <f t="shared" si="1545"/>
        <v>9</v>
      </c>
      <c r="Q526" s="40">
        <f t="shared" si="1545"/>
        <v>18</v>
      </c>
      <c r="R526" s="40"/>
      <c r="S526" s="630"/>
      <c r="T526" s="653">
        <f t="shared" si="1545"/>
        <v>-10</v>
      </c>
      <c r="U526" s="40"/>
      <c r="V526" s="630"/>
      <c r="W526" s="653">
        <f t="shared" ref="W526:AL526" si="1546">W527-W525-W524</f>
        <v>-31</v>
      </c>
      <c r="X526" s="40"/>
      <c r="Y526" s="630"/>
      <c r="Z526" s="653">
        <f t="shared" si="1546"/>
        <v>-8</v>
      </c>
      <c r="AA526" s="40">
        <f t="shared" si="1546"/>
        <v>14</v>
      </c>
      <c r="AB526" s="630">
        <f t="shared" si="1546"/>
        <v>-16</v>
      </c>
      <c r="AC526" s="653">
        <f t="shared" si="1546"/>
        <v>-2</v>
      </c>
      <c r="AD526" s="40">
        <f t="shared" si="1546"/>
        <v>0</v>
      </c>
      <c r="AE526" s="630">
        <f t="shared" si="1546"/>
        <v>-7</v>
      </c>
      <c r="AF526" s="653">
        <f t="shared" si="1546"/>
        <v>-7</v>
      </c>
      <c r="AG526" s="40">
        <f t="shared" ref="AG526:AH526" si="1547">AG527-AG525-AG524</f>
        <v>12</v>
      </c>
      <c r="AH526" s="630">
        <f t="shared" si="1547"/>
        <v>-1</v>
      </c>
      <c r="AI526" s="653">
        <f t="shared" si="1546"/>
        <v>11</v>
      </c>
      <c r="AJ526" s="40">
        <f t="shared" si="1546"/>
        <v>-17</v>
      </c>
      <c r="AK526" s="630">
        <f t="shared" ref="AK526" si="1548">AK527-AK525-AK524</f>
        <v>-1</v>
      </c>
      <c r="AL526" s="653">
        <f t="shared" si="1546"/>
        <v>-18</v>
      </c>
      <c r="AM526" s="40">
        <f t="shared" ref="AM526:AO526" si="1549">AM527-AM525-AM524</f>
        <v>0</v>
      </c>
      <c r="AN526" s="630">
        <f t="shared" si="1549"/>
        <v>-8</v>
      </c>
      <c r="AO526" s="653">
        <f t="shared" si="1549"/>
        <v>-8</v>
      </c>
      <c r="AP526" s="40">
        <f t="shared" ref="AP526:AR526" si="1550">AP527-AP525-AP524</f>
        <v>-8</v>
      </c>
      <c r="AQ526" s="630">
        <f t="shared" si="1550"/>
        <v>-4</v>
      </c>
      <c r="AR526" s="653">
        <f t="shared" si="1550"/>
        <v>-12</v>
      </c>
      <c r="AS526" s="40">
        <f t="shared" ref="AS526:AU526" si="1551">AS527-AS525-AS524</f>
        <v>-28</v>
      </c>
      <c r="AT526" s="630">
        <f t="shared" si="1551"/>
        <v>-12</v>
      </c>
      <c r="AU526" s="653">
        <f t="shared" si="1551"/>
        <v>-40</v>
      </c>
      <c r="AV526" s="40">
        <f t="shared" ref="AV526" si="1552">AV527-AV525-AV524</f>
        <v>-8</v>
      </c>
      <c r="AW526" s="236">
        <f>AX526-AV526</f>
        <v>-12</v>
      </c>
      <c r="AX526" s="580">
        <v>-20</v>
      </c>
      <c r="AY526" s="56">
        <f>BA526/2</f>
        <v>-10</v>
      </c>
      <c r="AZ526" s="236">
        <f>BA526-AY526</f>
        <v>-10</v>
      </c>
      <c r="BA526" s="605">
        <f>AX526</f>
        <v>-20</v>
      </c>
      <c r="BB526" s="56">
        <f>BD526/2</f>
        <v>-10</v>
      </c>
      <c r="BC526" s="236">
        <f>BD526-BB526</f>
        <v>-10</v>
      </c>
      <c r="BD526" s="605">
        <f>BA526</f>
        <v>-20</v>
      </c>
      <c r="BE526" s="56">
        <f>BG526/2</f>
        <v>-10</v>
      </c>
      <c r="BF526" s="236">
        <f>BG526-BE526</f>
        <v>-10</v>
      </c>
      <c r="BG526" s="605">
        <f>BD526</f>
        <v>-20</v>
      </c>
      <c r="BH526" s="56">
        <f>BJ526/2</f>
        <v>-10</v>
      </c>
      <c r="BI526" s="236">
        <f>BJ526-BH526</f>
        <v>-10</v>
      </c>
      <c r="BJ526" s="605">
        <f t="shared" ref="BJ526" si="1553">BG526</f>
        <v>-20</v>
      </c>
    </row>
    <row r="527" spans="1:64">
      <c r="A527" s="31" t="s">
        <v>465</v>
      </c>
      <c r="B527" s="31">
        <f t="shared" ref="B527:AL527" si="1554">B388</f>
        <v>0</v>
      </c>
      <c r="C527" s="51">
        <f t="shared" si="1554"/>
        <v>0</v>
      </c>
      <c r="D527" s="51">
        <f t="shared" si="1554"/>
        <v>0</v>
      </c>
      <c r="E527" s="51">
        <f t="shared" si="1554"/>
        <v>0</v>
      </c>
      <c r="F527" s="51">
        <f t="shared" si="1554"/>
        <v>0</v>
      </c>
      <c r="G527" s="51">
        <f t="shared" si="1554"/>
        <v>0</v>
      </c>
      <c r="H527" s="51">
        <f t="shared" si="1554"/>
        <v>16</v>
      </c>
      <c r="I527" s="51">
        <f t="shared" si="1554"/>
        <v>20</v>
      </c>
      <c r="J527" s="51">
        <f t="shared" si="1554"/>
        <v>36</v>
      </c>
      <c r="K527" s="51">
        <f t="shared" si="1554"/>
        <v>68</v>
      </c>
      <c r="L527" s="51">
        <f t="shared" si="1554"/>
        <v>96</v>
      </c>
      <c r="M527" s="51">
        <f t="shared" si="1554"/>
        <v>152</v>
      </c>
      <c r="N527" s="51">
        <f t="shared" si="1554"/>
        <v>216</v>
      </c>
      <c r="O527" s="51">
        <f t="shared" si="1554"/>
        <v>252</v>
      </c>
      <c r="P527" s="51">
        <f t="shared" si="1554"/>
        <v>296</v>
      </c>
      <c r="Q527" s="51">
        <f t="shared" si="1554"/>
        <v>320</v>
      </c>
      <c r="R527" s="51"/>
      <c r="S527" s="629"/>
      <c r="T527" s="652">
        <f t="shared" si="1554"/>
        <v>340</v>
      </c>
      <c r="U527" s="51"/>
      <c r="V527" s="629"/>
      <c r="W527" s="652">
        <f t="shared" si="1554"/>
        <v>376</v>
      </c>
      <c r="X527" s="51"/>
      <c r="Y527" s="629"/>
      <c r="Z527" s="652">
        <f t="shared" si="1554"/>
        <v>412</v>
      </c>
      <c r="AA527" s="51">
        <f t="shared" si="1554"/>
        <v>444</v>
      </c>
      <c r="AB527" s="629">
        <f t="shared" si="1554"/>
        <v>444</v>
      </c>
      <c r="AC527" s="652">
        <f t="shared" si="1554"/>
        <v>444</v>
      </c>
      <c r="AD527" s="51">
        <f t="shared" si="1554"/>
        <v>452</v>
      </c>
      <c r="AE527" s="629">
        <f t="shared" si="1554"/>
        <v>452</v>
      </c>
      <c r="AF527" s="652">
        <f t="shared" si="1554"/>
        <v>452</v>
      </c>
      <c r="AG527" s="51">
        <f t="shared" ref="AG527:AH527" si="1555">AG388</f>
        <v>464</v>
      </c>
      <c r="AH527" s="629">
        <f t="shared" si="1555"/>
        <v>464</v>
      </c>
      <c r="AI527" s="652">
        <f t="shared" si="1554"/>
        <v>464</v>
      </c>
      <c r="AJ527" s="51">
        <f t="shared" si="1554"/>
        <v>448</v>
      </c>
      <c r="AK527" s="629">
        <f t="shared" ref="AK527" si="1556">AK388</f>
        <v>448</v>
      </c>
      <c r="AL527" s="652">
        <f t="shared" si="1554"/>
        <v>448</v>
      </c>
      <c r="AM527" s="51">
        <f t="shared" ref="AM527:AO527" si="1557">AM388</f>
        <v>448</v>
      </c>
      <c r="AN527" s="629">
        <f t="shared" si="1557"/>
        <v>440</v>
      </c>
      <c r="AO527" s="652">
        <f t="shared" si="1557"/>
        <v>440</v>
      </c>
      <c r="AP527" s="51">
        <f t="shared" ref="AP527:AR527" si="1558">AP388</f>
        <v>432</v>
      </c>
      <c r="AQ527" s="629">
        <f t="shared" si="1558"/>
        <v>428</v>
      </c>
      <c r="AR527" s="652">
        <f t="shared" si="1558"/>
        <v>428</v>
      </c>
      <c r="AS527" s="51">
        <f t="shared" ref="AS527:AU527" si="1559">AS388</f>
        <v>400</v>
      </c>
      <c r="AT527" s="629">
        <f t="shared" si="1559"/>
        <v>388</v>
      </c>
      <c r="AU527" s="652">
        <f t="shared" si="1559"/>
        <v>388</v>
      </c>
      <c r="AV527" s="51">
        <f t="shared" ref="AV527" si="1560">AV388</f>
        <v>380</v>
      </c>
      <c r="AW527" s="237">
        <f t="shared" ref="AW527:BJ527" si="1561">AW524+AW525+AW526</f>
        <v>368</v>
      </c>
      <c r="AX527" s="576">
        <f t="shared" si="1561"/>
        <v>368</v>
      </c>
      <c r="AY527" s="48">
        <f t="shared" si="1561"/>
        <v>358</v>
      </c>
      <c r="AZ527" s="237">
        <f t="shared" si="1561"/>
        <v>348</v>
      </c>
      <c r="BA527" s="576">
        <f t="shared" si="1561"/>
        <v>348</v>
      </c>
      <c r="BB527" s="48">
        <f t="shared" si="1561"/>
        <v>338</v>
      </c>
      <c r="BC527" s="237">
        <f t="shared" si="1561"/>
        <v>328</v>
      </c>
      <c r="BD527" s="576">
        <f t="shared" si="1561"/>
        <v>328</v>
      </c>
      <c r="BE527" s="48">
        <f t="shared" si="1561"/>
        <v>318</v>
      </c>
      <c r="BF527" s="237">
        <f t="shared" si="1561"/>
        <v>308</v>
      </c>
      <c r="BG527" s="576">
        <f t="shared" si="1561"/>
        <v>308</v>
      </c>
      <c r="BH527" s="48">
        <f t="shared" si="1561"/>
        <v>298</v>
      </c>
      <c r="BI527" s="237">
        <f t="shared" si="1561"/>
        <v>288</v>
      </c>
      <c r="BJ527" s="576">
        <f t="shared" si="1561"/>
        <v>288</v>
      </c>
    </row>
    <row r="528" spans="1:64">
      <c r="A528" s="31" t="s">
        <v>474</v>
      </c>
      <c r="B528" s="31"/>
      <c r="C528" s="51">
        <f>AVERAGE(C524,C527)</f>
        <v>0</v>
      </c>
      <c r="D528" s="51">
        <f t="shared" ref="D528:BJ528" si="1562">AVERAGE(D524,D527)</f>
        <v>0</v>
      </c>
      <c r="E528" s="51">
        <f t="shared" si="1562"/>
        <v>0</v>
      </c>
      <c r="F528" s="51">
        <f t="shared" si="1562"/>
        <v>0</v>
      </c>
      <c r="G528" s="51">
        <f t="shared" si="1562"/>
        <v>0</v>
      </c>
      <c r="H528" s="51">
        <f t="shared" si="1562"/>
        <v>8</v>
      </c>
      <c r="I528" s="51">
        <f t="shared" si="1562"/>
        <v>18</v>
      </c>
      <c r="J528" s="51">
        <f t="shared" si="1562"/>
        <v>28</v>
      </c>
      <c r="K528" s="51">
        <f t="shared" si="1562"/>
        <v>52</v>
      </c>
      <c r="L528" s="51">
        <f t="shared" si="1562"/>
        <v>82</v>
      </c>
      <c r="M528" s="51">
        <f t="shared" si="1562"/>
        <v>124</v>
      </c>
      <c r="N528" s="51">
        <f t="shared" si="1562"/>
        <v>184</v>
      </c>
      <c r="O528" s="51">
        <f t="shared" si="1562"/>
        <v>234</v>
      </c>
      <c r="P528" s="51">
        <f t="shared" si="1562"/>
        <v>274</v>
      </c>
      <c r="Q528" s="51">
        <f t="shared" si="1562"/>
        <v>308</v>
      </c>
      <c r="R528" s="51"/>
      <c r="S528" s="629"/>
      <c r="T528" s="652">
        <f t="shared" si="1562"/>
        <v>330</v>
      </c>
      <c r="U528" s="51"/>
      <c r="V528" s="629"/>
      <c r="W528" s="652">
        <f>AVERAGE(W524,W527)</f>
        <v>358</v>
      </c>
      <c r="X528" s="51"/>
      <c r="Y528" s="629"/>
      <c r="Z528" s="652">
        <f>AVERAGE(Z524,Z527)</f>
        <v>394</v>
      </c>
      <c r="AA528" s="51">
        <f t="shared" ref="AA528:AB528" si="1563">AVERAGE(AA524,AA527)</f>
        <v>428</v>
      </c>
      <c r="AB528" s="629">
        <f t="shared" si="1563"/>
        <v>444</v>
      </c>
      <c r="AC528" s="652">
        <f>AVERAGE(AC524,AC527)</f>
        <v>428</v>
      </c>
      <c r="AD528" s="51">
        <f t="shared" ref="AD528:AE528" si="1564">AVERAGE(AD524,AD527)</f>
        <v>448</v>
      </c>
      <c r="AE528" s="629">
        <f t="shared" si="1564"/>
        <v>452</v>
      </c>
      <c r="AF528" s="652">
        <f>AVERAGE(AF524,AF527)</f>
        <v>448</v>
      </c>
      <c r="AG528" s="51">
        <f t="shared" ref="AG528:AH528" si="1565">AVERAGE(AG524,AG527)</f>
        <v>458</v>
      </c>
      <c r="AH528" s="629">
        <f t="shared" si="1565"/>
        <v>464</v>
      </c>
      <c r="AI528" s="652">
        <f>AVERAGE(AI524,AI527)</f>
        <v>458</v>
      </c>
      <c r="AJ528" s="51">
        <f t="shared" ref="AJ528:AK528" si="1566">AVERAGE(AJ524,AJ527)</f>
        <v>456</v>
      </c>
      <c r="AK528" s="629">
        <f t="shared" si="1566"/>
        <v>448</v>
      </c>
      <c r="AL528" s="652">
        <f t="shared" si="1562"/>
        <v>456</v>
      </c>
      <c r="AM528" s="51">
        <f t="shared" ref="AM528:AO528" si="1567">AVERAGE(AM524,AM527)</f>
        <v>448</v>
      </c>
      <c r="AN528" s="629">
        <f t="shared" si="1567"/>
        <v>444</v>
      </c>
      <c r="AO528" s="652">
        <f t="shared" si="1567"/>
        <v>444</v>
      </c>
      <c r="AP528" s="27">
        <f t="shared" ref="AP528:AR528" si="1568">AVERAGE(AP524,AP527)</f>
        <v>436</v>
      </c>
      <c r="AQ528" s="629">
        <f t="shared" si="1568"/>
        <v>430</v>
      </c>
      <c r="AR528" s="652">
        <f t="shared" si="1568"/>
        <v>434</v>
      </c>
      <c r="AS528" s="27">
        <f t="shared" ref="AS528:AU528" si="1569">AVERAGE(AS524,AS527)</f>
        <v>414</v>
      </c>
      <c r="AT528" s="629">
        <f t="shared" si="1569"/>
        <v>394</v>
      </c>
      <c r="AU528" s="652">
        <f t="shared" si="1569"/>
        <v>408</v>
      </c>
      <c r="AV528" s="27">
        <f t="shared" ref="AV528" si="1570">AVERAGE(AV524,AV527)</f>
        <v>384</v>
      </c>
      <c r="AW528" s="237">
        <f t="shared" si="1562"/>
        <v>374</v>
      </c>
      <c r="AX528" s="576">
        <f t="shared" si="1562"/>
        <v>378</v>
      </c>
      <c r="AY528" s="48">
        <f t="shared" si="1562"/>
        <v>363</v>
      </c>
      <c r="AZ528" s="237">
        <f t="shared" si="1562"/>
        <v>353</v>
      </c>
      <c r="BA528" s="576">
        <f t="shared" si="1562"/>
        <v>358</v>
      </c>
      <c r="BB528" s="48">
        <f t="shared" si="1562"/>
        <v>343</v>
      </c>
      <c r="BC528" s="237">
        <f t="shared" si="1562"/>
        <v>333</v>
      </c>
      <c r="BD528" s="576">
        <f t="shared" si="1562"/>
        <v>338</v>
      </c>
      <c r="BE528" s="48">
        <f t="shared" si="1562"/>
        <v>323</v>
      </c>
      <c r="BF528" s="237">
        <f t="shared" si="1562"/>
        <v>313</v>
      </c>
      <c r="BG528" s="576">
        <f t="shared" si="1562"/>
        <v>318</v>
      </c>
      <c r="BH528" s="48">
        <f t="shared" si="1562"/>
        <v>303</v>
      </c>
      <c r="BI528" s="237">
        <f t="shared" si="1562"/>
        <v>293</v>
      </c>
      <c r="BJ528" s="576">
        <f t="shared" si="1562"/>
        <v>298</v>
      </c>
    </row>
    <row r="529" spans="1:62">
      <c r="B529" s="31"/>
      <c r="C529" s="40"/>
      <c r="D529" s="40"/>
      <c r="E529" s="40"/>
      <c r="F529" s="40"/>
      <c r="G529" s="40"/>
      <c r="H529" s="40"/>
      <c r="I529" s="40"/>
      <c r="J529" s="40"/>
      <c r="K529" s="40"/>
      <c r="L529" s="40"/>
      <c r="M529" s="40"/>
      <c r="N529" s="40"/>
      <c r="O529" s="40"/>
      <c r="P529" s="40"/>
      <c r="Q529" s="40"/>
      <c r="R529" s="121"/>
      <c r="S529" s="776"/>
      <c r="T529" s="783"/>
      <c r="U529" s="121"/>
      <c r="V529" s="776"/>
      <c r="W529" s="783"/>
      <c r="X529" s="121"/>
      <c r="Y529" s="776"/>
      <c r="Z529" s="783"/>
      <c r="AA529" s="121"/>
      <c r="AB529" s="776"/>
      <c r="AC529" s="783"/>
      <c r="AD529" s="121"/>
      <c r="AE529" s="776"/>
      <c r="AF529" s="783"/>
      <c r="AG529" s="121"/>
      <c r="AH529" s="776"/>
      <c r="AI529" s="783"/>
      <c r="AJ529" s="121"/>
      <c r="AK529" s="776"/>
      <c r="AL529" s="783"/>
      <c r="AM529" s="121"/>
      <c r="AN529" s="819"/>
      <c r="AO529" s="852"/>
      <c r="AP529" s="257"/>
      <c r="AQ529" s="819"/>
      <c r="AR529" s="852"/>
      <c r="AS529" s="257"/>
      <c r="AT529" s="819"/>
      <c r="AU529" s="852"/>
      <c r="AV529" s="257"/>
      <c r="AW529" s="819"/>
      <c r="AX529" s="852"/>
      <c r="AY529" s="257"/>
      <c r="AZ529" s="819"/>
      <c r="BA529" s="852"/>
      <c r="BB529" s="257"/>
      <c r="BC529" s="819"/>
      <c r="BD529" s="852"/>
      <c r="BE529" s="257"/>
      <c r="BF529" s="819"/>
      <c r="BG529" s="852"/>
      <c r="BH529" s="257"/>
      <c r="BI529" s="819"/>
      <c r="BJ529" s="852"/>
    </row>
    <row r="530" spans="1:62">
      <c r="A530" s="25" t="s">
        <v>466</v>
      </c>
      <c r="C530" s="40">
        <f t="shared" ref="C530:Q530" si="1571">B389</f>
        <v>0</v>
      </c>
      <c r="D530" s="40">
        <f t="shared" si="1571"/>
        <v>0</v>
      </c>
      <c r="E530" s="40">
        <f t="shared" si="1571"/>
        <v>0</v>
      </c>
      <c r="F530" s="40">
        <f t="shared" si="1571"/>
        <v>0</v>
      </c>
      <c r="G530" s="40">
        <f t="shared" si="1571"/>
        <v>0</v>
      </c>
      <c r="H530" s="40">
        <f t="shared" si="1571"/>
        <v>0</v>
      </c>
      <c r="I530" s="40">
        <f t="shared" si="1571"/>
        <v>0</v>
      </c>
      <c r="J530" s="40">
        <f t="shared" si="1571"/>
        <v>0</v>
      </c>
      <c r="K530" s="40">
        <f t="shared" si="1571"/>
        <v>0</v>
      </c>
      <c r="L530" s="40">
        <f t="shared" si="1571"/>
        <v>0</v>
      </c>
      <c r="M530" s="40">
        <f t="shared" si="1571"/>
        <v>0</v>
      </c>
      <c r="N530" s="40">
        <f t="shared" si="1571"/>
        <v>14</v>
      </c>
      <c r="O530" s="40">
        <f t="shared" si="1571"/>
        <v>52</v>
      </c>
      <c r="P530" s="40">
        <f t="shared" si="1571"/>
        <v>94</v>
      </c>
      <c r="Q530" s="40">
        <f t="shared" si="1571"/>
        <v>178</v>
      </c>
      <c r="R530" s="40"/>
      <c r="S530" s="630"/>
      <c r="T530" s="653">
        <f>Q389</f>
        <v>270</v>
      </c>
      <c r="U530" s="40"/>
      <c r="V530" s="630"/>
      <c r="W530" s="653">
        <f>T389</f>
        <v>394</v>
      </c>
      <c r="X530" s="40"/>
      <c r="Y530" s="630"/>
      <c r="Z530" s="653">
        <f>W389</f>
        <v>494</v>
      </c>
      <c r="AA530" s="40">
        <f>Z533</f>
        <v>604</v>
      </c>
      <c r="AB530" s="630">
        <f>AA533</f>
        <v>700</v>
      </c>
      <c r="AC530" s="653">
        <f>Z389</f>
        <v>604</v>
      </c>
      <c r="AD530" s="40">
        <f>AC533</f>
        <v>700</v>
      </c>
      <c r="AE530" s="630">
        <f>AD533</f>
        <v>726</v>
      </c>
      <c r="AF530" s="653">
        <f>AC389</f>
        <v>700</v>
      </c>
      <c r="AG530" s="40">
        <f>AF533</f>
        <v>726</v>
      </c>
      <c r="AH530" s="630">
        <f>AG533</f>
        <v>738</v>
      </c>
      <c r="AI530" s="653">
        <f>AF389</f>
        <v>726</v>
      </c>
      <c r="AJ530" s="40">
        <f>AI533</f>
        <v>738</v>
      </c>
      <c r="AK530" s="630">
        <f>AJ533</f>
        <v>750</v>
      </c>
      <c r="AL530" s="653">
        <f t="shared" ref="AL530" si="1572">AI533</f>
        <v>738</v>
      </c>
      <c r="AM530" s="40">
        <f>AL533</f>
        <v>750</v>
      </c>
      <c r="AN530" s="630">
        <f>AM533</f>
        <v>754</v>
      </c>
      <c r="AO530" s="653">
        <f t="shared" ref="AO530" si="1573">AL533</f>
        <v>750</v>
      </c>
      <c r="AP530" s="10">
        <f>AO533</f>
        <v>788</v>
      </c>
      <c r="AQ530" s="630">
        <f>AP533</f>
        <v>800</v>
      </c>
      <c r="AR530" s="653">
        <f t="shared" ref="AR530" si="1574">AO533</f>
        <v>788</v>
      </c>
      <c r="AS530" s="10">
        <f>AR533</f>
        <v>804</v>
      </c>
      <c r="AT530" s="630">
        <f>AS533</f>
        <v>812</v>
      </c>
      <c r="AU530" s="653">
        <f t="shared" ref="AU530" si="1575">AR533</f>
        <v>804</v>
      </c>
      <c r="AV530" s="10">
        <f>AU533</f>
        <v>830</v>
      </c>
      <c r="AW530" s="236">
        <f>AV533</f>
        <v>848</v>
      </c>
      <c r="AX530" s="605">
        <f>AU533</f>
        <v>830</v>
      </c>
      <c r="AY530" s="56">
        <f>AX533</f>
        <v>865.90909090909088</v>
      </c>
      <c r="AZ530" s="236">
        <f>AY533</f>
        <v>886.64438502673795</v>
      </c>
      <c r="BA530" s="605">
        <f>AX533</f>
        <v>865.90909090909088</v>
      </c>
      <c r="BB530" s="56">
        <f>BA533</f>
        <v>907.37967914438502</v>
      </c>
      <c r="BC530" s="236">
        <f>BB533</f>
        <v>928.11497326203209</v>
      </c>
      <c r="BD530" s="605">
        <f>BA533</f>
        <v>907.37967914438502</v>
      </c>
      <c r="BE530" s="56">
        <f>BD533</f>
        <v>948.85026737967917</v>
      </c>
      <c r="BF530" s="236">
        <f>BE533</f>
        <v>969.58556149732624</v>
      </c>
      <c r="BG530" s="605">
        <f>BD533</f>
        <v>948.85026737967917</v>
      </c>
      <c r="BH530" s="56">
        <f>BG533</f>
        <v>990.32085561497331</v>
      </c>
      <c r="BI530" s="236">
        <f>BH533</f>
        <v>1011.0561497326204</v>
      </c>
      <c r="BJ530" s="605">
        <f>BG533</f>
        <v>990.32085561497331</v>
      </c>
    </row>
    <row r="531" spans="1:62">
      <c r="A531" s="25" t="s">
        <v>458</v>
      </c>
      <c r="C531" s="40">
        <f>'Civil OE'!C82</f>
        <v>0</v>
      </c>
      <c r="D531" s="40">
        <f>'Civil OE'!D82</f>
        <v>0</v>
      </c>
      <c r="E531" s="40">
        <f>'Civil OE'!E82</f>
        <v>0</v>
      </c>
      <c r="F531" s="40">
        <f>'Civil OE'!F82</f>
        <v>0</v>
      </c>
      <c r="G531" s="40">
        <f>'Civil OE'!G82</f>
        <v>0</v>
      </c>
      <c r="H531" s="40">
        <f>'Civil OE'!H82</f>
        <v>0</v>
      </c>
      <c r="I531" s="40">
        <f>'Civil OE'!I82</f>
        <v>0</v>
      </c>
      <c r="J531" s="40">
        <f>'Civil OE'!J82</f>
        <v>0</v>
      </c>
      <c r="K531" s="40">
        <f>'Civil OE'!K82</f>
        <v>0</v>
      </c>
      <c r="L531" s="40">
        <f>'Civil OE'!L82</f>
        <v>0</v>
      </c>
      <c r="M531" s="40">
        <f>'Civil OE'!M82</f>
        <v>18</v>
      </c>
      <c r="N531" s="40">
        <f>'Civil OE'!N82</f>
        <v>46</v>
      </c>
      <c r="O531" s="40">
        <f>'Civil OE'!O82</f>
        <v>59</v>
      </c>
      <c r="P531" s="40">
        <f>'Civil OE'!P82</f>
        <v>79</v>
      </c>
      <c r="Q531" s="40">
        <f>'Civil OE'!Q82</f>
        <v>106</v>
      </c>
      <c r="R531" s="40"/>
      <c r="S531" s="630"/>
      <c r="T531" s="653">
        <f>'Civil OE'!T82</f>
        <v>122</v>
      </c>
      <c r="U531" s="40"/>
      <c r="V531" s="630"/>
      <c r="W531" s="653">
        <f>'Civil OE'!W82</f>
        <v>109</v>
      </c>
      <c r="X531" s="40"/>
      <c r="Y531" s="630"/>
      <c r="Z531" s="653">
        <f>'Civil OE'!Z82</f>
        <v>125</v>
      </c>
      <c r="AA531" s="40">
        <f>'Civil OE'!AA82</f>
        <v>59</v>
      </c>
      <c r="AB531" s="630">
        <f>'Civil OE'!AB82</f>
        <v>67</v>
      </c>
      <c r="AC531" s="653">
        <f>'Civil OE'!AC82</f>
        <v>126</v>
      </c>
      <c r="AD531" s="40">
        <f>'Civil OE'!AD82</f>
        <v>48</v>
      </c>
      <c r="AE531" s="630">
        <f>'Civil OE'!AE82</f>
        <v>34</v>
      </c>
      <c r="AF531" s="653">
        <f>'Civil OE'!AF82</f>
        <v>82</v>
      </c>
      <c r="AG531" s="40">
        <f>'Civil OE'!AG82</f>
        <v>11</v>
      </c>
      <c r="AH531" s="630">
        <f>'Civil OE'!AH82</f>
        <v>1</v>
      </c>
      <c r="AI531" s="653">
        <f>'Civil OE'!AI82</f>
        <v>12</v>
      </c>
      <c r="AJ531" s="40">
        <f>'Civil OE'!AJ82</f>
        <v>0</v>
      </c>
      <c r="AK531" s="630">
        <f>'Civil OE'!AK82</f>
        <v>5</v>
      </c>
      <c r="AL531" s="653">
        <f>'Civil OE'!AL82</f>
        <v>5</v>
      </c>
      <c r="AM531" s="40">
        <f>'Civil OE'!AM82</f>
        <v>13</v>
      </c>
      <c r="AN531" s="630">
        <f>'Civil OE'!AN82</f>
        <v>25</v>
      </c>
      <c r="AO531" s="653">
        <f>'Civil OE'!AO82</f>
        <v>38</v>
      </c>
      <c r="AP531" s="10">
        <f>'Civil OE'!AP82</f>
        <v>24</v>
      </c>
      <c r="AQ531" s="630">
        <f>'Civil OE'!AQ82</f>
        <v>23</v>
      </c>
      <c r="AR531" s="653">
        <f>'Civil OE'!AR82</f>
        <v>47</v>
      </c>
      <c r="AS531" s="10">
        <f>'Civil OE'!AS82</f>
        <v>19</v>
      </c>
      <c r="AT531" s="630">
        <f>'Civil OE'!AT82</f>
        <v>21</v>
      </c>
      <c r="AU531" s="653">
        <f>'Civil OE'!AU82</f>
        <v>40</v>
      </c>
      <c r="AV531" s="10">
        <f>'Civil OE'!AV82</f>
        <v>9</v>
      </c>
      <c r="AW531" s="236">
        <f>'Civil OE'!AW82</f>
        <v>41.909090909090914</v>
      </c>
      <c r="AX531" s="605">
        <f>'Civil OE'!AX82</f>
        <v>50.909090909090914</v>
      </c>
      <c r="AY531" s="56">
        <f>'Civil OE'!AY82</f>
        <v>28.235294117647058</v>
      </c>
      <c r="AZ531" s="236">
        <f>'Civil OE'!AZ82</f>
        <v>28.235294117647058</v>
      </c>
      <c r="BA531" s="605">
        <f>'Civil OE'!BA82</f>
        <v>56.470588235294116</v>
      </c>
      <c r="BB531" s="56">
        <f>'Civil OE'!BB82</f>
        <v>28.235294117647058</v>
      </c>
      <c r="BC531" s="236">
        <f>'Civil OE'!BC82</f>
        <v>28.235294117647058</v>
      </c>
      <c r="BD531" s="605">
        <f>'Civil OE'!BD82</f>
        <v>56.470588235294116</v>
      </c>
      <c r="BE531" s="56">
        <f>'Civil OE'!BE82</f>
        <v>28.235294117647058</v>
      </c>
      <c r="BF531" s="236">
        <f>'Civil OE'!BF82</f>
        <v>28.235294117647058</v>
      </c>
      <c r="BG531" s="605">
        <f>'Civil OE'!BG82</f>
        <v>56.470588235294116</v>
      </c>
      <c r="BH531" s="56">
        <f>'Civil OE'!BH82</f>
        <v>28.235294117647058</v>
      </c>
      <c r="BI531" s="236">
        <f>'Civil OE'!BI82</f>
        <v>28.235294117647058</v>
      </c>
      <c r="BJ531" s="605">
        <f>'Civil OE'!BJ82</f>
        <v>56.470588235294116</v>
      </c>
    </row>
    <row r="532" spans="1:62">
      <c r="A532" s="25" t="s">
        <v>459</v>
      </c>
      <c r="C532" s="40">
        <f>C533-C531-C530</f>
        <v>0</v>
      </c>
      <c r="D532" s="40">
        <f t="shared" ref="D532:T532" si="1576">D533-D531-D530</f>
        <v>0</v>
      </c>
      <c r="E532" s="40">
        <f t="shared" si="1576"/>
        <v>0</v>
      </c>
      <c r="F532" s="40">
        <f t="shared" si="1576"/>
        <v>0</v>
      </c>
      <c r="G532" s="40">
        <f t="shared" si="1576"/>
        <v>0</v>
      </c>
      <c r="H532" s="40">
        <f t="shared" si="1576"/>
        <v>0</v>
      </c>
      <c r="I532" s="40">
        <f t="shared" si="1576"/>
        <v>0</v>
      </c>
      <c r="J532" s="40">
        <f t="shared" si="1576"/>
        <v>0</v>
      </c>
      <c r="K532" s="40">
        <f t="shared" si="1576"/>
        <v>0</v>
      </c>
      <c r="L532" s="40">
        <f t="shared" si="1576"/>
        <v>0</v>
      </c>
      <c r="M532" s="40">
        <f t="shared" si="1576"/>
        <v>-4</v>
      </c>
      <c r="N532" s="40">
        <f t="shared" si="1576"/>
        <v>-8</v>
      </c>
      <c r="O532" s="40">
        <f t="shared" si="1576"/>
        <v>-17</v>
      </c>
      <c r="P532" s="40">
        <f t="shared" si="1576"/>
        <v>5</v>
      </c>
      <c r="Q532" s="40">
        <f t="shared" si="1576"/>
        <v>-14</v>
      </c>
      <c r="R532" s="40"/>
      <c r="S532" s="630"/>
      <c r="T532" s="653">
        <f t="shared" si="1576"/>
        <v>2</v>
      </c>
      <c r="U532" s="40"/>
      <c r="V532" s="630"/>
      <c r="W532" s="653">
        <f t="shared" ref="W532:AL532" si="1577">W533-W531-W530</f>
        <v>-9</v>
      </c>
      <c r="X532" s="40"/>
      <c r="Y532" s="630"/>
      <c r="Z532" s="653">
        <f t="shared" si="1577"/>
        <v>-15</v>
      </c>
      <c r="AA532" s="40">
        <f t="shared" si="1577"/>
        <v>37</v>
      </c>
      <c r="AB532" s="630">
        <f t="shared" si="1577"/>
        <v>-67</v>
      </c>
      <c r="AC532" s="653">
        <f t="shared" si="1577"/>
        <v>-30</v>
      </c>
      <c r="AD532" s="40">
        <f t="shared" si="1577"/>
        <v>-22</v>
      </c>
      <c r="AE532" s="630">
        <f t="shared" si="1577"/>
        <v>-34</v>
      </c>
      <c r="AF532" s="653">
        <f t="shared" si="1577"/>
        <v>-56</v>
      </c>
      <c r="AG532" s="40">
        <f t="shared" ref="AG532:AH532" si="1578">AG533-AG531-AG530</f>
        <v>1</v>
      </c>
      <c r="AH532" s="630">
        <f t="shared" si="1578"/>
        <v>-1</v>
      </c>
      <c r="AI532" s="653">
        <f t="shared" si="1577"/>
        <v>0</v>
      </c>
      <c r="AJ532" s="40">
        <f t="shared" si="1577"/>
        <v>12</v>
      </c>
      <c r="AK532" s="630">
        <f t="shared" ref="AK532" si="1579">AK533-AK531-AK530</f>
        <v>-5</v>
      </c>
      <c r="AL532" s="653">
        <f t="shared" si="1577"/>
        <v>7</v>
      </c>
      <c r="AM532" s="40">
        <f t="shared" ref="AM532:AO532" si="1580">AM533-AM531-AM530</f>
        <v>-9</v>
      </c>
      <c r="AN532" s="630">
        <f t="shared" si="1580"/>
        <v>9</v>
      </c>
      <c r="AO532" s="653">
        <f t="shared" si="1580"/>
        <v>0</v>
      </c>
      <c r="AP532" s="40">
        <f t="shared" ref="AP532:AR532" si="1581">AP533-AP531-AP530</f>
        <v>-12</v>
      </c>
      <c r="AQ532" s="630">
        <f t="shared" si="1581"/>
        <v>-19</v>
      </c>
      <c r="AR532" s="653">
        <f t="shared" si="1581"/>
        <v>-31</v>
      </c>
      <c r="AS532" s="40">
        <f t="shared" ref="AS532:AU532" si="1582">AS533-AS531-AS530</f>
        <v>-11</v>
      </c>
      <c r="AT532" s="630">
        <f t="shared" si="1582"/>
        <v>-3</v>
      </c>
      <c r="AU532" s="653">
        <f t="shared" si="1582"/>
        <v>-14</v>
      </c>
      <c r="AV532" s="40">
        <f t="shared" ref="AV532" si="1583">AV533-AV531-AV530</f>
        <v>9</v>
      </c>
      <c r="AW532" s="236">
        <f>AX532-AV532</f>
        <v>-24</v>
      </c>
      <c r="AX532" s="580">
        <v>-15</v>
      </c>
      <c r="AY532" s="56">
        <f>BA532/2</f>
        <v>-7.5</v>
      </c>
      <c r="AZ532" s="236">
        <f>BA532-AY532</f>
        <v>-7.5</v>
      </c>
      <c r="BA532" s="605">
        <f>AX532</f>
        <v>-15</v>
      </c>
      <c r="BB532" s="56">
        <f>BD532/2</f>
        <v>-7.5</v>
      </c>
      <c r="BC532" s="236">
        <f>BD532-BB532</f>
        <v>-7.5</v>
      </c>
      <c r="BD532" s="605">
        <f>BA532</f>
        <v>-15</v>
      </c>
      <c r="BE532" s="56">
        <f>BG532/2</f>
        <v>-7.5</v>
      </c>
      <c r="BF532" s="236">
        <f>BG532-BE532</f>
        <v>-7.5</v>
      </c>
      <c r="BG532" s="605">
        <f>BD532</f>
        <v>-15</v>
      </c>
      <c r="BH532" s="56">
        <f>BJ532/2</f>
        <v>-7.5</v>
      </c>
      <c r="BI532" s="236">
        <f>BJ532-BH532</f>
        <v>-7.5</v>
      </c>
      <c r="BJ532" s="605">
        <f>BG532</f>
        <v>-15</v>
      </c>
    </row>
    <row r="533" spans="1:62">
      <c r="A533" s="31" t="s">
        <v>467</v>
      </c>
      <c r="B533" s="31">
        <f t="shared" ref="B533:AL533" si="1584">B389</f>
        <v>0</v>
      </c>
      <c r="C533" s="51">
        <f t="shared" si="1584"/>
        <v>0</v>
      </c>
      <c r="D533" s="51">
        <f t="shared" si="1584"/>
        <v>0</v>
      </c>
      <c r="E533" s="51">
        <f t="shared" si="1584"/>
        <v>0</v>
      </c>
      <c r="F533" s="51">
        <f t="shared" si="1584"/>
        <v>0</v>
      </c>
      <c r="G533" s="51">
        <f t="shared" si="1584"/>
        <v>0</v>
      </c>
      <c r="H533" s="51">
        <f t="shared" si="1584"/>
        <v>0</v>
      </c>
      <c r="I533" s="51">
        <f t="shared" si="1584"/>
        <v>0</v>
      </c>
      <c r="J533" s="51">
        <f t="shared" si="1584"/>
        <v>0</v>
      </c>
      <c r="K533" s="51">
        <f t="shared" si="1584"/>
        <v>0</v>
      </c>
      <c r="L533" s="51">
        <f t="shared" si="1584"/>
        <v>0</v>
      </c>
      <c r="M533" s="51">
        <f t="shared" si="1584"/>
        <v>14</v>
      </c>
      <c r="N533" s="51">
        <f t="shared" si="1584"/>
        <v>52</v>
      </c>
      <c r="O533" s="51">
        <f t="shared" si="1584"/>
        <v>94</v>
      </c>
      <c r="P533" s="51">
        <f t="shared" si="1584"/>
        <v>178</v>
      </c>
      <c r="Q533" s="51">
        <f t="shared" si="1584"/>
        <v>270</v>
      </c>
      <c r="R533" s="51"/>
      <c r="S533" s="629"/>
      <c r="T533" s="652">
        <f t="shared" si="1584"/>
        <v>394</v>
      </c>
      <c r="U533" s="51"/>
      <c r="V533" s="629"/>
      <c r="W533" s="652">
        <f t="shared" si="1584"/>
        <v>494</v>
      </c>
      <c r="X533" s="51"/>
      <c r="Y533" s="629"/>
      <c r="Z533" s="652">
        <f t="shared" si="1584"/>
        <v>604</v>
      </c>
      <c r="AA533" s="51">
        <f t="shared" si="1584"/>
        <v>700</v>
      </c>
      <c r="AB533" s="629">
        <f t="shared" si="1584"/>
        <v>700</v>
      </c>
      <c r="AC533" s="652">
        <f t="shared" si="1584"/>
        <v>700</v>
      </c>
      <c r="AD533" s="51">
        <f t="shared" si="1584"/>
        <v>726</v>
      </c>
      <c r="AE533" s="629">
        <f t="shared" si="1584"/>
        <v>726</v>
      </c>
      <c r="AF533" s="652">
        <f t="shared" si="1584"/>
        <v>726</v>
      </c>
      <c r="AG533" s="51">
        <f t="shared" ref="AG533:AH533" si="1585">AG389</f>
        <v>738</v>
      </c>
      <c r="AH533" s="629">
        <f t="shared" si="1585"/>
        <v>738</v>
      </c>
      <c r="AI533" s="652">
        <f t="shared" si="1584"/>
        <v>738</v>
      </c>
      <c r="AJ533" s="51">
        <f t="shared" si="1584"/>
        <v>750</v>
      </c>
      <c r="AK533" s="629">
        <f t="shared" ref="AK533" si="1586">AK389</f>
        <v>750</v>
      </c>
      <c r="AL533" s="652">
        <f t="shared" si="1584"/>
        <v>750</v>
      </c>
      <c r="AM533" s="51">
        <f t="shared" ref="AM533:AO533" si="1587">AM389</f>
        <v>754</v>
      </c>
      <c r="AN533" s="629">
        <f t="shared" si="1587"/>
        <v>788</v>
      </c>
      <c r="AO533" s="652">
        <f t="shared" si="1587"/>
        <v>788</v>
      </c>
      <c r="AP533" s="51">
        <f t="shared" ref="AP533:AR533" si="1588">AP389</f>
        <v>800</v>
      </c>
      <c r="AQ533" s="629">
        <f t="shared" si="1588"/>
        <v>804</v>
      </c>
      <c r="AR533" s="652">
        <f t="shared" si="1588"/>
        <v>804</v>
      </c>
      <c r="AS533" s="51">
        <f t="shared" ref="AS533:AU533" si="1589">AS389</f>
        <v>812</v>
      </c>
      <c r="AT533" s="629">
        <f t="shared" si="1589"/>
        <v>830</v>
      </c>
      <c r="AU533" s="652">
        <f t="shared" si="1589"/>
        <v>830</v>
      </c>
      <c r="AV533" s="51">
        <f t="shared" ref="AV533" si="1590">AV389</f>
        <v>848</v>
      </c>
      <c r="AW533" s="237">
        <f t="shared" ref="AW533:BJ533" si="1591">AW530+AW531+AW532</f>
        <v>865.90909090909088</v>
      </c>
      <c r="AX533" s="576">
        <f t="shared" si="1591"/>
        <v>865.90909090909088</v>
      </c>
      <c r="AY533" s="48">
        <f t="shared" si="1591"/>
        <v>886.64438502673795</v>
      </c>
      <c r="AZ533" s="237">
        <f t="shared" si="1591"/>
        <v>907.37967914438502</v>
      </c>
      <c r="BA533" s="576">
        <f t="shared" si="1591"/>
        <v>907.37967914438502</v>
      </c>
      <c r="BB533" s="48">
        <f t="shared" si="1591"/>
        <v>928.11497326203209</v>
      </c>
      <c r="BC533" s="237">
        <f t="shared" si="1591"/>
        <v>948.85026737967917</v>
      </c>
      <c r="BD533" s="576">
        <f t="shared" si="1591"/>
        <v>948.85026737967917</v>
      </c>
      <c r="BE533" s="48">
        <f t="shared" si="1591"/>
        <v>969.58556149732624</v>
      </c>
      <c r="BF533" s="237">
        <f t="shared" si="1591"/>
        <v>990.32085561497331</v>
      </c>
      <c r="BG533" s="576">
        <f t="shared" si="1591"/>
        <v>990.32085561497331</v>
      </c>
      <c r="BH533" s="48">
        <f t="shared" si="1591"/>
        <v>1011.0561497326204</v>
      </c>
      <c r="BI533" s="237">
        <f t="shared" si="1591"/>
        <v>1031.7914438502673</v>
      </c>
      <c r="BJ533" s="576">
        <f t="shared" si="1591"/>
        <v>1031.7914438502673</v>
      </c>
    </row>
    <row r="534" spans="1:62">
      <c r="A534" s="31" t="s">
        <v>474</v>
      </c>
      <c r="B534" s="31"/>
      <c r="C534" s="51">
        <f>AVERAGE(C530,C533)</f>
        <v>0</v>
      </c>
      <c r="D534" s="51">
        <f t="shared" ref="D534:BJ534" si="1592">AVERAGE(D530,D533)</f>
        <v>0</v>
      </c>
      <c r="E534" s="51">
        <f t="shared" si="1592"/>
        <v>0</v>
      </c>
      <c r="F534" s="51">
        <f t="shared" si="1592"/>
        <v>0</v>
      </c>
      <c r="G534" s="51">
        <f t="shared" si="1592"/>
        <v>0</v>
      </c>
      <c r="H534" s="51">
        <f t="shared" si="1592"/>
        <v>0</v>
      </c>
      <c r="I534" s="51">
        <f t="shared" si="1592"/>
        <v>0</v>
      </c>
      <c r="J534" s="51">
        <f t="shared" si="1592"/>
        <v>0</v>
      </c>
      <c r="K534" s="51">
        <f t="shared" si="1592"/>
        <v>0</v>
      </c>
      <c r="L534" s="51">
        <f t="shared" si="1592"/>
        <v>0</v>
      </c>
      <c r="M534" s="51">
        <f t="shared" si="1592"/>
        <v>7</v>
      </c>
      <c r="N534" s="51">
        <f t="shared" si="1592"/>
        <v>33</v>
      </c>
      <c r="O534" s="51">
        <f t="shared" si="1592"/>
        <v>73</v>
      </c>
      <c r="P534" s="51">
        <f t="shared" si="1592"/>
        <v>136</v>
      </c>
      <c r="Q534" s="51">
        <f t="shared" si="1592"/>
        <v>224</v>
      </c>
      <c r="R534" s="51"/>
      <c r="S534" s="629"/>
      <c r="T534" s="652">
        <f t="shared" si="1592"/>
        <v>332</v>
      </c>
      <c r="U534" s="51"/>
      <c r="V534" s="629"/>
      <c r="W534" s="652">
        <f>AVERAGE(W530,W533)</f>
        <v>444</v>
      </c>
      <c r="X534" s="51"/>
      <c r="Y534" s="629"/>
      <c r="Z534" s="652">
        <f>AVERAGE(Z530,Z533)</f>
        <v>549</v>
      </c>
      <c r="AA534" s="51">
        <f t="shared" ref="AA534:AB534" si="1593">AVERAGE(AA530,AA533)</f>
        <v>652</v>
      </c>
      <c r="AB534" s="629">
        <f t="shared" si="1593"/>
        <v>700</v>
      </c>
      <c r="AC534" s="652">
        <f>AVERAGE(AC530,AC533)</f>
        <v>652</v>
      </c>
      <c r="AD534" s="51">
        <f t="shared" ref="AD534:AE534" si="1594">AVERAGE(AD530,AD533)</f>
        <v>713</v>
      </c>
      <c r="AE534" s="629">
        <f t="shared" si="1594"/>
        <v>726</v>
      </c>
      <c r="AF534" s="652">
        <f>AVERAGE(AF530,AF533)</f>
        <v>713</v>
      </c>
      <c r="AG534" s="51">
        <f t="shared" ref="AG534:AH534" si="1595">AVERAGE(AG530,AG533)</f>
        <v>732</v>
      </c>
      <c r="AH534" s="629">
        <f t="shared" si="1595"/>
        <v>738</v>
      </c>
      <c r="AI534" s="652">
        <f>AVERAGE(AI530,AI533)</f>
        <v>732</v>
      </c>
      <c r="AJ534" s="51">
        <f t="shared" ref="AJ534:AK534" si="1596">AVERAGE(AJ530,AJ533)</f>
        <v>744</v>
      </c>
      <c r="AK534" s="629">
        <f t="shared" si="1596"/>
        <v>750</v>
      </c>
      <c r="AL534" s="652">
        <f t="shared" si="1592"/>
        <v>744</v>
      </c>
      <c r="AM534" s="51">
        <f t="shared" ref="AM534:AO534" si="1597">AVERAGE(AM530,AM533)</f>
        <v>752</v>
      </c>
      <c r="AN534" s="629">
        <f t="shared" si="1597"/>
        <v>771</v>
      </c>
      <c r="AO534" s="652">
        <f t="shared" si="1597"/>
        <v>769</v>
      </c>
      <c r="AP534" s="27">
        <f t="shared" ref="AP534:AR534" si="1598">AVERAGE(AP530,AP533)</f>
        <v>794</v>
      </c>
      <c r="AQ534" s="629">
        <f t="shared" si="1598"/>
        <v>802</v>
      </c>
      <c r="AR534" s="652">
        <f t="shared" si="1598"/>
        <v>796</v>
      </c>
      <c r="AS534" s="27">
        <f t="shared" ref="AS534:AU534" si="1599">AVERAGE(AS530,AS533)</f>
        <v>808</v>
      </c>
      <c r="AT534" s="629">
        <f t="shared" si="1599"/>
        <v>821</v>
      </c>
      <c r="AU534" s="652">
        <f t="shared" si="1599"/>
        <v>817</v>
      </c>
      <c r="AV534" s="27">
        <f t="shared" ref="AV534" si="1600">AVERAGE(AV530,AV533)</f>
        <v>839</v>
      </c>
      <c r="AW534" s="237">
        <f t="shared" si="1592"/>
        <v>856.9545454545455</v>
      </c>
      <c r="AX534" s="576">
        <f t="shared" si="1592"/>
        <v>847.9545454545455</v>
      </c>
      <c r="AY534" s="48">
        <f t="shared" si="1592"/>
        <v>876.27673796791441</v>
      </c>
      <c r="AZ534" s="237">
        <f t="shared" si="1592"/>
        <v>897.01203208556149</v>
      </c>
      <c r="BA534" s="576">
        <f t="shared" si="1592"/>
        <v>886.64438502673795</v>
      </c>
      <c r="BB534" s="48">
        <f t="shared" si="1592"/>
        <v>917.74732620320856</v>
      </c>
      <c r="BC534" s="237">
        <f t="shared" si="1592"/>
        <v>938.48262032085563</v>
      </c>
      <c r="BD534" s="576">
        <f t="shared" si="1592"/>
        <v>928.11497326203209</v>
      </c>
      <c r="BE534" s="48">
        <f t="shared" si="1592"/>
        <v>959.2179144385027</v>
      </c>
      <c r="BF534" s="237">
        <f t="shared" si="1592"/>
        <v>979.95320855614978</v>
      </c>
      <c r="BG534" s="576">
        <f t="shared" si="1592"/>
        <v>969.58556149732624</v>
      </c>
      <c r="BH534" s="48">
        <f t="shared" si="1592"/>
        <v>1000.6885026737968</v>
      </c>
      <c r="BI534" s="237">
        <f t="shared" si="1592"/>
        <v>1021.4237967914439</v>
      </c>
      <c r="BJ534" s="576">
        <f t="shared" si="1592"/>
        <v>1011.0561497326203</v>
      </c>
    </row>
    <row r="535" spans="1:62">
      <c r="A535" s="31"/>
      <c r="C535" s="40"/>
      <c r="D535" s="51"/>
      <c r="E535" s="51"/>
      <c r="F535" s="51"/>
      <c r="G535" s="51"/>
      <c r="H535" s="51"/>
      <c r="I535" s="51"/>
      <c r="J535" s="51"/>
      <c r="K535" s="51"/>
      <c r="L535" s="51"/>
      <c r="M535" s="51"/>
      <c r="N535" s="51"/>
      <c r="O535" s="51"/>
      <c r="P535" s="51"/>
      <c r="Q535" s="51"/>
      <c r="R535" s="121"/>
      <c r="S535" s="776"/>
      <c r="T535" s="783"/>
      <c r="U535" s="121"/>
      <c r="V535" s="776"/>
      <c r="W535" s="783"/>
      <c r="X535" s="121"/>
      <c r="Y535" s="776"/>
      <c r="Z535" s="783"/>
      <c r="AA535" s="121"/>
      <c r="AB535" s="776"/>
      <c r="AC535" s="783"/>
      <c r="AD535" s="121"/>
      <c r="AE535" s="776"/>
      <c r="AF535" s="783"/>
      <c r="AG535" s="121"/>
      <c r="AH535" s="776"/>
      <c r="AI535" s="783"/>
      <c r="AJ535" s="121"/>
      <c r="AK535" s="776"/>
      <c r="AL535" s="783"/>
      <c r="AM535" s="121"/>
      <c r="AN535" s="819"/>
      <c r="AO535" s="852"/>
      <c r="AP535" s="257"/>
      <c r="AQ535" s="819"/>
      <c r="AR535" s="852"/>
      <c r="AS535" s="257"/>
      <c r="AT535" s="819"/>
      <c r="AU535" s="852"/>
      <c r="AV535" s="257"/>
      <c r="AW535" s="819"/>
      <c r="AX535" s="852"/>
      <c r="AY535" s="257"/>
      <c r="AZ535" s="819"/>
      <c r="BA535" s="852"/>
      <c r="BB535" s="257"/>
      <c r="BC535" s="819"/>
      <c r="BD535" s="852"/>
      <c r="BE535" s="257"/>
      <c r="BF535" s="819"/>
      <c r="BG535" s="852"/>
      <c r="BH535" s="257"/>
      <c r="BI535" s="819"/>
      <c r="BJ535" s="852"/>
    </row>
    <row r="536" spans="1:62">
      <c r="A536" s="25" t="s">
        <v>488</v>
      </c>
      <c r="C536" s="40">
        <f t="shared" ref="C536:Q536" si="1601">B390</f>
        <v>0</v>
      </c>
      <c r="D536" s="40">
        <f t="shared" si="1601"/>
        <v>0</v>
      </c>
      <c r="E536" s="40">
        <f t="shared" si="1601"/>
        <v>0</v>
      </c>
      <c r="F536" s="40">
        <f t="shared" si="1601"/>
        <v>0</v>
      </c>
      <c r="G536" s="40">
        <f t="shared" si="1601"/>
        <v>0</v>
      </c>
      <c r="H536" s="40">
        <f t="shared" si="1601"/>
        <v>0</v>
      </c>
      <c r="I536" s="40">
        <f t="shared" si="1601"/>
        <v>0</v>
      </c>
      <c r="J536" s="40">
        <f t="shared" si="1601"/>
        <v>0</v>
      </c>
      <c r="K536" s="40">
        <f t="shared" si="1601"/>
        <v>0</v>
      </c>
      <c r="L536" s="40">
        <f t="shared" si="1601"/>
        <v>0</v>
      </c>
      <c r="M536" s="40">
        <f t="shared" si="1601"/>
        <v>0</v>
      </c>
      <c r="N536" s="40">
        <f t="shared" si="1601"/>
        <v>0</v>
      </c>
      <c r="O536" s="40">
        <f t="shared" si="1601"/>
        <v>0</v>
      </c>
      <c r="P536" s="40">
        <f t="shared" si="1601"/>
        <v>0</v>
      </c>
      <c r="Q536" s="40">
        <f t="shared" si="1601"/>
        <v>12</v>
      </c>
      <c r="R536" s="40"/>
      <c r="S536" s="630"/>
      <c r="T536" s="653">
        <f>Q390</f>
        <v>38</v>
      </c>
      <c r="U536" s="40"/>
      <c r="V536" s="630"/>
      <c r="W536" s="653">
        <f>T390</f>
        <v>132</v>
      </c>
      <c r="X536" s="40"/>
      <c r="Y536" s="630"/>
      <c r="Z536" s="653">
        <f>W390</f>
        <v>290</v>
      </c>
      <c r="AA536" s="40">
        <f>Z539</f>
        <v>448</v>
      </c>
      <c r="AB536" s="630">
        <f>AA539</f>
        <v>602</v>
      </c>
      <c r="AC536" s="653">
        <f>Z390</f>
        <v>448</v>
      </c>
      <c r="AD536" s="40">
        <f>AC539</f>
        <v>602</v>
      </c>
      <c r="AE536" s="630">
        <f>AD539</f>
        <v>712</v>
      </c>
      <c r="AF536" s="653">
        <f>AC390</f>
        <v>602</v>
      </c>
      <c r="AG536" s="40">
        <f>AF539</f>
        <v>712</v>
      </c>
      <c r="AH536" s="630">
        <f>AG539</f>
        <v>732</v>
      </c>
      <c r="AI536" s="653">
        <f>AF390</f>
        <v>712</v>
      </c>
      <c r="AJ536" s="40">
        <f>AI539</f>
        <v>732</v>
      </c>
      <c r="AK536" s="630">
        <f>AJ539</f>
        <v>828</v>
      </c>
      <c r="AL536" s="653">
        <f t="shared" ref="AL536" si="1602">AI539</f>
        <v>732</v>
      </c>
      <c r="AM536" s="40">
        <f>AL539</f>
        <v>828</v>
      </c>
      <c r="AN536" s="630">
        <f>AM539</f>
        <v>868</v>
      </c>
      <c r="AO536" s="653">
        <f t="shared" ref="AO536" si="1603">AL539</f>
        <v>828</v>
      </c>
      <c r="AP536" s="10">
        <f>AO539</f>
        <v>940</v>
      </c>
      <c r="AQ536" s="630">
        <f>AP539</f>
        <v>974</v>
      </c>
      <c r="AR536" s="653">
        <f t="shared" ref="AR536" si="1604">AO539</f>
        <v>940</v>
      </c>
      <c r="AS536" s="10">
        <f>AR539</f>
        <v>1026</v>
      </c>
      <c r="AT536" s="630">
        <f>AS539</f>
        <v>1066</v>
      </c>
      <c r="AU536" s="653">
        <f t="shared" ref="AU536" si="1605">AR539</f>
        <v>1026</v>
      </c>
      <c r="AV536" s="10">
        <f>AU539</f>
        <v>1110</v>
      </c>
      <c r="AW536" s="236">
        <f>AV539</f>
        <v>1146</v>
      </c>
      <c r="AX536" s="605">
        <f>AU539</f>
        <v>1110</v>
      </c>
      <c r="AY536" s="56">
        <f>AX539</f>
        <v>1224.1176470588234</v>
      </c>
      <c r="AZ536" s="236">
        <f>AY539</f>
        <v>1290.8618331053351</v>
      </c>
      <c r="BA536" s="605">
        <f>AX539</f>
        <v>1224.1176470588234</v>
      </c>
      <c r="BB536" s="56">
        <f>BA539</f>
        <v>1362.2571819425443</v>
      </c>
      <c r="BC536" s="236">
        <f>BB539</f>
        <v>1436.828610513973</v>
      </c>
      <c r="BD536" s="605">
        <f>BA539</f>
        <v>1362.2571819425443</v>
      </c>
      <c r="BE536" s="56">
        <f>BD539</f>
        <v>1517.1143247996872</v>
      </c>
      <c r="BF536" s="236">
        <f>BE539</f>
        <v>1603.1143247996872</v>
      </c>
      <c r="BG536" s="605">
        <f>BD539</f>
        <v>1517.1143247996872</v>
      </c>
      <c r="BH536" s="56">
        <f>BG539</f>
        <v>1686.828610513973</v>
      </c>
      <c r="BI536" s="236">
        <f>BH539</f>
        <v>1772.828610513973</v>
      </c>
      <c r="BJ536" s="605">
        <f>BG539</f>
        <v>1686.828610513973</v>
      </c>
    </row>
    <row r="537" spans="1:62">
      <c r="A537" s="25" t="s">
        <v>458</v>
      </c>
      <c r="C537" s="40">
        <f>'Civil OE'!C83</f>
        <v>0</v>
      </c>
      <c r="D537" s="40">
        <f>'Civil OE'!D83</f>
        <v>0</v>
      </c>
      <c r="E537" s="40">
        <f>'Civil OE'!E83</f>
        <v>0</v>
      </c>
      <c r="F537" s="40">
        <f>'Civil OE'!F83</f>
        <v>0</v>
      </c>
      <c r="G537" s="40">
        <f>'Civil OE'!G83</f>
        <v>0</v>
      </c>
      <c r="H537" s="40">
        <f>'Civil OE'!H83</f>
        <v>0</v>
      </c>
      <c r="I537" s="40">
        <f>'Civil OE'!I83</f>
        <v>0</v>
      </c>
      <c r="J537" s="40">
        <f>'Civil OE'!J83</f>
        <v>0</v>
      </c>
      <c r="K537" s="40">
        <f>'Civil OE'!K83</f>
        <v>0</v>
      </c>
      <c r="L537" s="40">
        <f>'Civil OE'!L83</f>
        <v>0</v>
      </c>
      <c r="M537" s="40">
        <f>'Civil OE'!M83</f>
        <v>0</v>
      </c>
      <c r="N537" s="40">
        <f>'Civil OE'!N83</f>
        <v>0</v>
      </c>
      <c r="O537" s="40">
        <f>'Civil OE'!O83</f>
        <v>0</v>
      </c>
      <c r="P537" s="40">
        <f>'Civil OE'!P83</f>
        <v>13</v>
      </c>
      <c r="Q537" s="40">
        <f>'Civil OE'!Q83</f>
        <v>56</v>
      </c>
      <c r="R537" s="40"/>
      <c r="S537" s="630"/>
      <c r="T537" s="653">
        <f>'Civil OE'!T83</f>
        <v>117</v>
      </c>
      <c r="U537" s="40"/>
      <c r="V537" s="630"/>
      <c r="W537" s="653">
        <f>'Civil OE'!W83</f>
        <v>196</v>
      </c>
      <c r="X537" s="40"/>
      <c r="Y537" s="630"/>
      <c r="Z537" s="653">
        <f>'Civil OE'!Z83</f>
        <v>184</v>
      </c>
      <c r="AA537" s="40">
        <f>'Civil OE'!AA83</f>
        <v>85</v>
      </c>
      <c r="AB537" s="630">
        <f>'Civil OE'!AB83</f>
        <v>93</v>
      </c>
      <c r="AC537" s="653">
        <f>'Civil OE'!AC83</f>
        <v>178</v>
      </c>
      <c r="AD537" s="40">
        <f>'Civil OE'!AD83</f>
        <v>51</v>
      </c>
      <c r="AE537" s="630">
        <f>'Civil OE'!AE83</f>
        <v>58</v>
      </c>
      <c r="AF537" s="653">
        <f>'Civil OE'!AF83</f>
        <v>109</v>
      </c>
      <c r="AG537" s="40">
        <f>'Civil OE'!AG83</f>
        <v>60</v>
      </c>
      <c r="AH537" s="630">
        <f>'Civil OE'!AH83</f>
        <v>60</v>
      </c>
      <c r="AI537" s="653">
        <f>'Civil OE'!AI83</f>
        <v>120</v>
      </c>
      <c r="AJ537" s="40">
        <f>'Civil OE'!AJ83</f>
        <v>43</v>
      </c>
      <c r="AK537" s="630">
        <f>'Civil OE'!AK83</f>
        <v>53</v>
      </c>
      <c r="AL537" s="653">
        <f>'Civil OE'!AL83</f>
        <v>96</v>
      </c>
      <c r="AM537" s="40">
        <f>'Civil OE'!AM83</f>
        <v>55</v>
      </c>
      <c r="AN537" s="630">
        <f>'Civil OE'!AN83</f>
        <v>63</v>
      </c>
      <c r="AO537" s="653">
        <f>'Civil OE'!AO83</f>
        <v>118</v>
      </c>
      <c r="AP537" s="10">
        <f>'Civil OE'!AP83</f>
        <v>44</v>
      </c>
      <c r="AQ537" s="630">
        <f>'Civil OE'!AQ83</f>
        <v>65</v>
      </c>
      <c r="AR537" s="653">
        <f>'Civil OE'!AR83</f>
        <v>109</v>
      </c>
      <c r="AS537" s="10">
        <f>'Civil OE'!AS83</f>
        <v>52</v>
      </c>
      <c r="AT537" s="630">
        <f>'Civil OE'!AT83</f>
        <v>54</v>
      </c>
      <c r="AU537" s="653">
        <f>'Civil OE'!AU83</f>
        <v>106</v>
      </c>
      <c r="AV537" s="10">
        <f>'Civil OE'!AV83</f>
        <v>62</v>
      </c>
      <c r="AW537" s="236">
        <f>'Civil OE'!AW83</f>
        <v>72.117647058823536</v>
      </c>
      <c r="AX537" s="605">
        <f>'Civil OE'!AX83</f>
        <v>134.11764705882354</v>
      </c>
      <c r="AY537" s="56">
        <f>'Civil OE'!AY83</f>
        <v>76.744186046511629</v>
      </c>
      <c r="AZ537" s="236">
        <f>'Civil OE'!AZ83</f>
        <v>81.395348837209298</v>
      </c>
      <c r="BA537" s="605">
        <f>'Civil OE'!BA83</f>
        <v>158.13953488372093</v>
      </c>
      <c r="BB537" s="56">
        <f>'Civil OE'!BB83</f>
        <v>84.571428571428569</v>
      </c>
      <c r="BC537" s="236">
        <f>'Civil OE'!BC83</f>
        <v>90.285714285714292</v>
      </c>
      <c r="BD537" s="605">
        <f>'Civil OE'!BD83</f>
        <v>174.85714285714286</v>
      </c>
      <c r="BE537" s="56">
        <f>'Civil OE'!BE83</f>
        <v>96</v>
      </c>
      <c r="BF537" s="236">
        <f>'Civil OE'!BF83</f>
        <v>93.714285714285722</v>
      </c>
      <c r="BG537" s="605">
        <f>'Civil OE'!BG83</f>
        <v>189.71428571428572</v>
      </c>
      <c r="BH537" s="56">
        <f>'Civil OE'!BH83</f>
        <v>96</v>
      </c>
      <c r="BI537" s="236">
        <f>'Civil OE'!BI83</f>
        <v>93.714285714285722</v>
      </c>
      <c r="BJ537" s="605">
        <f>'Civil OE'!BJ83</f>
        <v>189.71428571428572</v>
      </c>
    </row>
    <row r="538" spans="1:62">
      <c r="A538" s="25" t="s">
        <v>459</v>
      </c>
      <c r="C538" s="40">
        <f>C539-C537-C536</f>
        <v>0</v>
      </c>
      <c r="D538" s="40">
        <f t="shared" ref="D538:T538" si="1606">D539-D537-D536</f>
        <v>0</v>
      </c>
      <c r="E538" s="40">
        <f t="shared" si="1606"/>
        <v>0</v>
      </c>
      <c r="F538" s="40">
        <f t="shared" si="1606"/>
        <v>0</v>
      </c>
      <c r="G538" s="40">
        <f t="shared" si="1606"/>
        <v>0</v>
      </c>
      <c r="H538" s="40">
        <f t="shared" si="1606"/>
        <v>0</v>
      </c>
      <c r="I538" s="40">
        <f t="shared" si="1606"/>
        <v>0</v>
      </c>
      <c r="J538" s="40">
        <f t="shared" si="1606"/>
        <v>0</v>
      </c>
      <c r="K538" s="40">
        <f t="shared" si="1606"/>
        <v>0</v>
      </c>
      <c r="L538" s="40">
        <f t="shared" si="1606"/>
        <v>0</v>
      </c>
      <c r="M538" s="40">
        <f t="shared" si="1606"/>
        <v>0</v>
      </c>
      <c r="N538" s="40">
        <f t="shared" si="1606"/>
        <v>0</v>
      </c>
      <c r="O538" s="40">
        <f t="shared" si="1606"/>
        <v>0</v>
      </c>
      <c r="P538" s="40">
        <f t="shared" si="1606"/>
        <v>-1</v>
      </c>
      <c r="Q538" s="40">
        <f t="shared" si="1606"/>
        <v>-30</v>
      </c>
      <c r="R538" s="40"/>
      <c r="S538" s="630"/>
      <c r="T538" s="653">
        <f t="shared" si="1606"/>
        <v>-23</v>
      </c>
      <c r="U538" s="40"/>
      <c r="V538" s="630"/>
      <c r="W538" s="653">
        <f t="shared" ref="W538:AL538" si="1607">W539-W537-W536</f>
        <v>-38</v>
      </c>
      <c r="X538" s="40"/>
      <c r="Y538" s="630"/>
      <c r="Z538" s="653">
        <f t="shared" si="1607"/>
        <v>-26</v>
      </c>
      <c r="AA538" s="40">
        <f t="shared" si="1607"/>
        <v>69</v>
      </c>
      <c r="AB538" s="630">
        <f t="shared" si="1607"/>
        <v>-93</v>
      </c>
      <c r="AC538" s="653">
        <f t="shared" si="1607"/>
        <v>-24</v>
      </c>
      <c r="AD538" s="40">
        <f t="shared" si="1607"/>
        <v>59</v>
      </c>
      <c r="AE538" s="630">
        <f t="shared" si="1607"/>
        <v>-58</v>
      </c>
      <c r="AF538" s="653">
        <f t="shared" si="1607"/>
        <v>1</v>
      </c>
      <c r="AG538" s="40">
        <f t="shared" ref="AG538:AH538" si="1608">AG539-AG537-AG536</f>
        <v>-40</v>
      </c>
      <c r="AH538" s="630">
        <f t="shared" si="1608"/>
        <v>-60</v>
      </c>
      <c r="AI538" s="653">
        <f t="shared" si="1607"/>
        <v>-100</v>
      </c>
      <c r="AJ538" s="40">
        <f t="shared" si="1607"/>
        <v>53</v>
      </c>
      <c r="AK538" s="630">
        <f t="shared" ref="AK538" si="1609">AK539-AK537-AK536</f>
        <v>-53</v>
      </c>
      <c r="AL538" s="653">
        <f t="shared" si="1607"/>
        <v>0</v>
      </c>
      <c r="AM538" s="40">
        <f t="shared" ref="AM538:AO538" si="1610">AM539-AM537-AM536</f>
        <v>-15</v>
      </c>
      <c r="AN538" s="630">
        <f t="shared" si="1610"/>
        <v>9</v>
      </c>
      <c r="AO538" s="653">
        <f t="shared" si="1610"/>
        <v>-6</v>
      </c>
      <c r="AP538" s="40">
        <f t="shared" ref="AP538:AR538" si="1611">AP539-AP537-AP536</f>
        <v>-10</v>
      </c>
      <c r="AQ538" s="630">
        <f t="shared" si="1611"/>
        <v>-13</v>
      </c>
      <c r="AR538" s="653">
        <f t="shared" si="1611"/>
        <v>-23</v>
      </c>
      <c r="AS538" s="40">
        <f t="shared" ref="AS538:AU538" si="1612">AS539-AS537-AS536</f>
        <v>-12</v>
      </c>
      <c r="AT538" s="630">
        <f t="shared" si="1612"/>
        <v>-10</v>
      </c>
      <c r="AU538" s="653">
        <f t="shared" si="1612"/>
        <v>-22</v>
      </c>
      <c r="AV538" s="40">
        <f t="shared" ref="AV538" si="1613">AV539-AV537-AV536</f>
        <v>-26</v>
      </c>
      <c r="AW538" s="236">
        <f>AX538-AV538</f>
        <v>6</v>
      </c>
      <c r="AX538" s="580">
        <v>-20</v>
      </c>
      <c r="AY538" s="56">
        <f>BA538/2</f>
        <v>-10</v>
      </c>
      <c r="AZ538" s="236">
        <f>BA538-AY538</f>
        <v>-10</v>
      </c>
      <c r="BA538" s="605">
        <f>AX538</f>
        <v>-20</v>
      </c>
      <c r="BB538" s="56">
        <f>BD538/2</f>
        <v>-10</v>
      </c>
      <c r="BC538" s="236">
        <f>BD538-BB538</f>
        <v>-10</v>
      </c>
      <c r="BD538" s="605">
        <f>BA538</f>
        <v>-20</v>
      </c>
      <c r="BE538" s="56">
        <f>BG538/2</f>
        <v>-10</v>
      </c>
      <c r="BF538" s="236">
        <f>BG538-BE538</f>
        <v>-10</v>
      </c>
      <c r="BG538" s="605">
        <f>BD538</f>
        <v>-20</v>
      </c>
      <c r="BH538" s="56">
        <f>BJ538/2</f>
        <v>-10</v>
      </c>
      <c r="BI538" s="236">
        <f>BJ538-BH538</f>
        <v>-10</v>
      </c>
      <c r="BJ538" s="605">
        <f>BG538</f>
        <v>-20</v>
      </c>
    </row>
    <row r="539" spans="1:62">
      <c r="A539" s="31" t="s">
        <v>489</v>
      </c>
      <c r="B539" s="31">
        <f t="shared" ref="B539:AL539" si="1614">B390</f>
        <v>0</v>
      </c>
      <c r="C539" s="51">
        <f t="shared" si="1614"/>
        <v>0</v>
      </c>
      <c r="D539" s="51">
        <f t="shared" si="1614"/>
        <v>0</v>
      </c>
      <c r="E539" s="51">
        <f t="shared" si="1614"/>
        <v>0</v>
      </c>
      <c r="F539" s="51">
        <f t="shared" si="1614"/>
        <v>0</v>
      </c>
      <c r="G539" s="51">
        <f t="shared" si="1614"/>
        <v>0</v>
      </c>
      <c r="H539" s="51">
        <f t="shared" si="1614"/>
        <v>0</v>
      </c>
      <c r="I539" s="51">
        <f t="shared" si="1614"/>
        <v>0</v>
      </c>
      <c r="J539" s="51">
        <f t="shared" si="1614"/>
        <v>0</v>
      </c>
      <c r="K539" s="51">
        <f t="shared" si="1614"/>
        <v>0</v>
      </c>
      <c r="L539" s="51">
        <f t="shared" si="1614"/>
        <v>0</v>
      </c>
      <c r="M539" s="51">
        <f t="shared" si="1614"/>
        <v>0</v>
      </c>
      <c r="N539" s="51">
        <f t="shared" si="1614"/>
        <v>0</v>
      </c>
      <c r="O539" s="51">
        <f t="shared" si="1614"/>
        <v>0</v>
      </c>
      <c r="P539" s="51">
        <f t="shared" si="1614"/>
        <v>12</v>
      </c>
      <c r="Q539" s="51">
        <f t="shared" si="1614"/>
        <v>38</v>
      </c>
      <c r="R539" s="51"/>
      <c r="S539" s="629"/>
      <c r="T539" s="652">
        <f t="shared" si="1614"/>
        <v>132</v>
      </c>
      <c r="U539" s="51"/>
      <c r="V539" s="629"/>
      <c r="W539" s="652">
        <f t="shared" si="1614"/>
        <v>290</v>
      </c>
      <c r="X539" s="51"/>
      <c r="Y539" s="629"/>
      <c r="Z539" s="652">
        <f t="shared" si="1614"/>
        <v>448</v>
      </c>
      <c r="AA539" s="51">
        <f t="shared" si="1614"/>
        <v>602</v>
      </c>
      <c r="AB539" s="629">
        <f t="shared" si="1614"/>
        <v>602</v>
      </c>
      <c r="AC539" s="652">
        <f t="shared" si="1614"/>
        <v>602</v>
      </c>
      <c r="AD539" s="51">
        <f t="shared" si="1614"/>
        <v>712</v>
      </c>
      <c r="AE539" s="629">
        <f t="shared" si="1614"/>
        <v>712</v>
      </c>
      <c r="AF539" s="652">
        <f t="shared" si="1614"/>
        <v>712</v>
      </c>
      <c r="AG539" s="51">
        <f t="shared" ref="AG539:AH539" si="1615">AG390</f>
        <v>732</v>
      </c>
      <c r="AH539" s="629">
        <f t="shared" si="1615"/>
        <v>732</v>
      </c>
      <c r="AI539" s="652">
        <f t="shared" si="1614"/>
        <v>732</v>
      </c>
      <c r="AJ539" s="51">
        <f t="shared" si="1614"/>
        <v>828</v>
      </c>
      <c r="AK539" s="629">
        <f t="shared" ref="AK539" si="1616">AK390</f>
        <v>828</v>
      </c>
      <c r="AL539" s="652">
        <f t="shared" si="1614"/>
        <v>828</v>
      </c>
      <c r="AM539" s="51">
        <f t="shared" ref="AM539:AO539" si="1617">AM390</f>
        <v>868</v>
      </c>
      <c r="AN539" s="629">
        <f t="shared" si="1617"/>
        <v>940</v>
      </c>
      <c r="AO539" s="652">
        <f t="shared" si="1617"/>
        <v>940</v>
      </c>
      <c r="AP539" s="51">
        <f t="shared" ref="AP539:AR539" si="1618">AP390</f>
        <v>974</v>
      </c>
      <c r="AQ539" s="629">
        <f t="shared" si="1618"/>
        <v>1026</v>
      </c>
      <c r="AR539" s="652">
        <f t="shared" si="1618"/>
        <v>1026</v>
      </c>
      <c r="AS539" s="51">
        <f t="shared" ref="AS539:AT539" si="1619">AS390</f>
        <v>1066</v>
      </c>
      <c r="AT539" s="629">
        <f t="shared" si="1619"/>
        <v>1110</v>
      </c>
      <c r="AU539" s="652">
        <f>AU390</f>
        <v>1110</v>
      </c>
      <c r="AV539" s="51">
        <f t="shared" ref="AV539" si="1620">AV390</f>
        <v>1146</v>
      </c>
      <c r="AW539" s="237">
        <f t="shared" ref="AW539:BJ539" si="1621">AW536+AW537+AW538</f>
        <v>1224.1176470588234</v>
      </c>
      <c r="AX539" s="576">
        <f t="shared" si="1621"/>
        <v>1224.1176470588234</v>
      </c>
      <c r="AY539" s="48">
        <f t="shared" si="1621"/>
        <v>1290.8618331053351</v>
      </c>
      <c r="AZ539" s="237">
        <f t="shared" si="1621"/>
        <v>1362.2571819425443</v>
      </c>
      <c r="BA539" s="576">
        <f t="shared" si="1621"/>
        <v>1362.2571819425443</v>
      </c>
      <c r="BB539" s="48">
        <f t="shared" si="1621"/>
        <v>1436.828610513973</v>
      </c>
      <c r="BC539" s="237">
        <f t="shared" si="1621"/>
        <v>1517.1143247996872</v>
      </c>
      <c r="BD539" s="576">
        <f t="shared" si="1621"/>
        <v>1517.1143247996872</v>
      </c>
      <c r="BE539" s="48">
        <f t="shared" si="1621"/>
        <v>1603.1143247996872</v>
      </c>
      <c r="BF539" s="237">
        <f t="shared" si="1621"/>
        <v>1686.828610513973</v>
      </c>
      <c r="BG539" s="576">
        <f t="shared" si="1621"/>
        <v>1686.828610513973</v>
      </c>
      <c r="BH539" s="48">
        <f t="shared" si="1621"/>
        <v>1772.828610513973</v>
      </c>
      <c r="BI539" s="237">
        <f t="shared" si="1621"/>
        <v>1856.5428962282588</v>
      </c>
      <c r="BJ539" s="576">
        <f t="shared" si="1621"/>
        <v>1856.5428962282588</v>
      </c>
    </row>
    <row r="540" spans="1:62">
      <c r="A540" s="31" t="s">
        <v>474</v>
      </c>
      <c r="B540" s="31"/>
      <c r="C540" s="51">
        <f>AVERAGE(C536,C539)</f>
        <v>0</v>
      </c>
      <c r="D540" s="51">
        <f t="shared" ref="D540:BJ540" si="1622">AVERAGE(D536,D539)</f>
        <v>0</v>
      </c>
      <c r="E540" s="51">
        <f t="shared" si="1622"/>
        <v>0</v>
      </c>
      <c r="F540" s="51">
        <f t="shared" si="1622"/>
        <v>0</v>
      </c>
      <c r="G540" s="51">
        <f t="shared" si="1622"/>
        <v>0</v>
      </c>
      <c r="H540" s="51">
        <f t="shared" si="1622"/>
        <v>0</v>
      </c>
      <c r="I540" s="51">
        <f t="shared" si="1622"/>
        <v>0</v>
      </c>
      <c r="J540" s="51">
        <f t="shared" si="1622"/>
        <v>0</v>
      </c>
      <c r="K540" s="51">
        <f t="shared" si="1622"/>
        <v>0</v>
      </c>
      <c r="L540" s="51">
        <f t="shared" si="1622"/>
        <v>0</v>
      </c>
      <c r="M540" s="51">
        <f t="shared" si="1622"/>
        <v>0</v>
      </c>
      <c r="N540" s="51">
        <f t="shared" si="1622"/>
        <v>0</v>
      </c>
      <c r="O540" s="51">
        <f t="shared" si="1622"/>
        <v>0</v>
      </c>
      <c r="P540" s="51">
        <f t="shared" si="1622"/>
        <v>6</v>
      </c>
      <c r="Q540" s="51">
        <f t="shared" si="1622"/>
        <v>25</v>
      </c>
      <c r="R540" s="51"/>
      <c r="S540" s="629"/>
      <c r="T540" s="652">
        <f t="shared" si="1622"/>
        <v>85</v>
      </c>
      <c r="U540" s="51"/>
      <c r="V540" s="629"/>
      <c r="W540" s="652">
        <f>AVERAGE(W536,W539)</f>
        <v>211</v>
      </c>
      <c r="X540" s="51"/>
      <c r="Y540" s="629"/>
      <c r="Z540" s="652">
        <f>AVERAGE(Z536,Z539)</f>
        <v>369</v>
      </c>
      <c r="AA540" s="51">
        <f t="shared" ref="AA540:AB540" si="1623">AVERAGE(AA536,AA539)</f>
        <v>525</v>
      </c>
      <c r="AB540" s="629">
        <f t="shared" si="1623"/>
        <v>602</v>
      </c>
      <c r="AC540" s="652">
        <f>AVERAGE(AC536,AC539)</f>
        <v>525</v>
      </c>
      <c r="AD540" s="51">
        <f t="shared" ref="AD540:AE540" si="1624">AVERAGE(AD536,AD539)</f>
        <v>657</v>
      </c>
      <c r="AE540" s="629">
        <f t="shared" si="1624"/>
        <v>712</v>
      </c>
      <c r="AF540" s="652">
        <f>AVERAGE(AF536,AF539)</f>
        <v>657</v>
      </c>
      <c r="AG540" s="51">
        <f t="shared" ref="AG540:AH540" si="1625">AVERAGE(AG536,AG539)</f>
        <v>722</v>
      </c>
      <c r="AH540" s="629">
        <f t="shared" si="1625"/>
        <v>732</v>
      </c>
      <c r="AI540" s="652">
        <f>AVERAGE(AI536,AI539)</f>
        <v>722</v>
      </c>
      <c r="AJ540" s="51">
        <f t="shared" ref="AJ540:AK540" si="1626">AVERAGE(AJ536,AJ539)</f>
        <v>780</v>
      </c>
      <c r="AK540" s="629">
        <f t="shared" si="1626"/>
        <v>828</v>
      </c>
      <c r="AL540" s="652">
        <f t="shared" si="1622"/>
        <v>780</v>
      </c>
      <c r="AM540" s="51">
        <f t="shared" ref="AM540:AO540" si="1627">AVERAGE(AM536,AM539)</f>
        <v>848</v>
      </c>
      <c r="AN540" s="629">
        <f t="shared" si="1627"/>
        <v>904</v>
      </c>
      <c r="AO540" s="652">
        <f t="shared" si="1627"/>
        <v>884</v>
      </c>
      <c r="AP540" s="27">
        <f t="shared" ref="AP540:AR540" si="1628">AVERAGE(AP536,AP539)</f>
        <v>957</v>
      </c>
      <c r="AQ540" s="629">
        <f t="shared" si="1628"/>
        <v>1000</v>
      </c>
      <c r="AR540" s="652">
        <f t="shared" si="1628"/>
        <v>983</v>
      </c>
      <c r="AS540" s="27">
        <f t="shared" ref="AS540:AU540" si="1629">AVERAGE(AS536,AS539)</f>
        <v>1046</v>
      </c>
      <c r="AT540" s="629">
        <f t="shared" si="1629"/>
        <v>1088</v>
      </c>
      <c r="AU540" s="652">
        <f t="shared" si="1629"/>
        <v>1068</v>
      </c>
      <c r="AV540" s="27">
        <f t="shared" ref="AV540" si="1630">AVERAGE(AV536,AV539)</f>
        <v>1128</v>
      </c>
      <c r="AW540" s="237">
        <f t="shared" si="1622"/>
        <v>1185.0588235294117</v>
      </c>
      <c r="AX540" s="576">
        <f t="shared" si="1622"/>
        <v>1167.0588235294117</v>
      </c>
      <c r="AY540" s="48">
        <f t="shared" si="1622"/>
        <v>1257.4897400820792</v>
      </c>
      <c r="AZ540" s="237">
        <f t="shared" si="1622"/>
        <v>1326.5595075239398</v>
      </c>
      <c r="BA540" s="576">
        <f t="shared" si="1622"/>
        <v>1293.1874145006839</v>
      </c>
      <c r="BB540" s="48">
        <f t="shared" si="1622"/>
        <v>1399.5428962282585</v>
      </c>
      <c r="BC540" s="237">
        <f t="shared" si="1622"/>
        <v>1476.9714676568301</v>
      </c>
      <c r="BD540" s="576">
        <f t="shared" si="1622"/>
        <v>1439.6857533711159</v>
      </c>
      <c r="BE540" s="48">
        <f t="shared" si="1622"/>
        <v>1560.1143247996872</v>
      </c>
      <c r="BF540" s="237">
        <f t="shared" si="1622"/>
        <v>1644.9714676568301</v>
      </c>
      <c r="BG540" s="576">
        <f t="shared" si="1622"/>
        <v>1601.9714676568301</v>
      </c>
      <c r="BH540" s="48">
        <f t="shared" si="1622"/>
        <v>1729.828610513973</v>
      </c>
      <c r="BI540" s="237">
        <f t="shared" si="1622"/>
        <v>1814.6857533711159</v>
      </c>
      <c r="BJ540" s="576">
        <f t="shared" si="1622"/>
        <v>1771.6857533711159</v>
      </c>
    </row>
    <row r="541" spans="1:62">
      <c r="A541" s="31"/>
      <c r="C541" s="40"/>
      <c r="D541" s="51"/>
      <c r="E541" s="51"/>
      <c r="F541" s="51"/>
      <c r="G541" s="51"/>
      <c r="H541" s="51"/>
      <c r="I541" s="51"/>
      <c r="J541" s="51"/>
      <c r="K541" s="51"/>
      <c r="L541" s="51"/>
      <c r="M541" s="51"/>
      <c r="N541" s="51"/>
      <c r="O541" s="51"/>
      <c r="P541" s="51"/>
      <c r="Q541" s="51"/>
      <c r="R541" s="121"/>
      <c r="S541" s="776"/>
      <c r="T541" s="783"/>
      <c r="U541" s="121"/>
      <c r="V541" s="776"/>
      <c r="W541" s="783"/>
      <c r="X541" s="121"/>
      <c r="Y541" s="776"/>
      <c r="Z541" s="783"/>
      <c r="AA541" s="121"/>
      <c r="AB541" s="776"/>
      <c r="AC541" s="783"/>
      <c r="AD541" s="121"/>
      <c r="AE541" s="776"/>
      <c r="AF541" s="783"/>
      <c r="AG541" s="121"/>
      <c r="AH541" s="776"/>
      <c r="AI541" s="783"/>
      <c r="AJ541" s="121"/>
      <c r="AK541" s="776"/>
      <c r="AL541" s="783"/>
      <c r="AM541" s="121"/>
      <c r="AN541" s="819"/>
      <c r="AO541" s="852"/>
      <c r="AP541" s="257"/>
      <c r="AQ541" s="819"/>
      <c r="AR541" s="852"/>
      <c r="AS541" s="257"/>
      <c r="AT541" s="819"/>
      <c r="AU541" s="852"/>
      <c r="AV541" s="257"/>
      <c r="AW541" s="819"/>
      <c r="AX541" s="852"/>
      <c r="AY541" s="257"/>
      <c r="AZ541" s="819"/>
      <c r="BA541" s="852"/>
      <c r="BB541" s="257"/>
      <c r="BC541" s="819"/>
      <c r="BD541" s="852"/>
      <c r="BE541" s="257"/>
      <c r="BF541" s="819"/>
      <c r="BG541" s="852"/>
      <c r="BH541" s="257"/>
      <c r="BI541" s="819"/>
      <c r="BJ541" s="852"/>
    </row>
    <row r="542" spans="1:62">
      <c r="A542" s="25" t="s">
        <v>528</v>
      </c>
      <c r="C542" s="40">
        <f t="shared" ref="C542:Q542" si="1631">B391</f>
        <v>0</v>
      </c>
      <c r="D542" s="40">
        <f t="shared" si="1631"/>
        <v>0</v>
      </c>
      <c r="E542" s="40">
        <f t="shared" si="1631"/>
        <v>0</v>
      </c>
      <c r="F542" s="40">
        <f t="shared" si="1631"/>
        <v>0</v>
      </c>
      <c r="G542" s="40">
        <f t="shared" si="1631"/>
        <v>0</v>
      </c>
      <c r="H542" s="40">
        <f t="shared" si="1631"/>
        <v>0</v>
      </c>
      <c r="I542" s="40">
        <f t="shared" si="1631"/>
        <v>0</v>
      </c>
      <c r="J542" s="40">
        <f t="shared" si="1631"/>
        <v>0</v>
      </c>
      <c r="K542" s="40">
        <f t="shared" si="1631"/>
        <v>0</v>
      </c>
      <c r="L542" s="40">
        <f t="shared" si="1631"/>
        <v>0</v>
      </c>
      <c r="M542" s="40">
        <f t="shared" si="1631"/>
        <v>0</v>
      </c>
      <c r="N542" s="40">
        <f t="shared" si="1631"/>
        <v>0</v>
      </c>
      <c r="O542" s="40">
        <f t="shared" si="1631"/>
        <v>0</v>
      </c>
      <c r="P542" s="40">
        <f t="shared" si="1631"/>
        <v>0</v>
      </c>
      <c r="Q542" s="40">
        <f t="shared" si="1631"/>
        <v>0</v>
      </c>
      <c r="R542" s="40"/>
      <c r="S542" s="630"/>
      <c r="T542" s="653">
        <f>Q391</f>
        <v>0</v>
      </c>
      <c r="U542" s="40"/>
      <c r="V542" s="630"/>
      <c r="W542" s="653">
        <f>T391</f>
        <v>0</v>
      </c>
      <c r="X542" s="40"/>
      <c r="Y542" s="630"/>
      <c r="Z542" s="653">
        <f>W391</f>
        <v>6</v>
      </c>
      <c r="AA542" s="40">
        <f>Z545</f>
        <v>44</v>
      </c>
      <c r="AB542" s="630">
        <f>AA545</f>
        <v>100</v>
      </c>
      <c r="AC542" s="653">
        <f>Z391</f>
        <v>44</v>
      </c>
      <c r="AD542" s="40">
        <f>AC545</f>
        <v>100</v>
      </c>
      <c r="AE542" s="630">
        <f>AD545</f>
        <v>108</v>
      </c>
      <c r="AF542" s="653">
        <f>AC391</f>
        <v>100</v>
      </c>
      <c r="AG542" s="40">
        <f>AF545</f>
        <v>108</v>
      </c>
      <c r="AH542" s="630">
        <f>AG545</f>
        <v>120</v>
      </c>
      <c r="AI542" s="653">
        <f>AF391</f>
        <v>108</v>
      </c>
      <c r="AJ542" s="40">
        <f>AI545</f>
        <v>120</v>
      </c>
      <c r="AK542" s="630">
        <f>AJ545</f>
        <v>140</v>
      </c>
      <c r="AL542" s="653">
        <f t="shared" ref="AL542" si="1632">AI545</f>
        <v>120</v>
      </c>
      <c r="AM542" s="40">
        <f>AL545</f>
        <v>140</v>
      </c>
      <c r="AN542" s="630">
        <f>AM545</f>
        <v>150</v>
      </c>
      <c r="AO542" s="653">
        <f t="shared" ref="AO542" si="1633">AL545</f>
        <v>140</v>
      </c>
      <c r="AP542" s="10">
        <f>AO545</f>
        <v>164</v>
      </c>
      <c r="AQ542" s="630">
        <f>AP545</f>
        <v>172</v>
      </c>
      <c r="AR542" s="653">
        <f t="shared" ref="AR542" si="1634">AO545</f>
        <v>164</v>
      </c>
      <c r="AS542" s="10">
        <f>AR545</f>
        <v>188</v>
      </c>
      <c r="AT542" s="630">
        <f>AS545</f>
        <v>194</v>
      </c>
      <c r="AU542" s="653">
        <f t="shared" ref="AU542" si="1635">AR545</f>
        <v>188</v>
      </c>
      <c r="AV542" s="10">
        <f>AU545</f>
        <v>220</v>
      </c>
      <c r="AW542" s="236">
        <f>AV545</f>
        <v>230</v>
      </c>
      <c r="AX542" s="605">
        <f>AU545</f>
        <v>220</v>
      </c>
      <c r="AY542" s="56">
        <f>AX545</f>
        <v>259.0322580645161</v>
      </c>
      <c r="AZ542" s="236">
        <f>AY545</f>
        <v>280.69892473118279</v>
      </c>
      <c r="BA542" s="605">
        <f>AX545</f>
        <v>259.0322580645161</v>
      </c>
      <c r="BB542" s="56">
        <f>BA545</f>
        <v>304.78983382209185</v>
      </c>
      <c r="BC542" s="236">
        <f>BB545</f>
        <v>329.20159852797423</v>
      </c>
      <c r="BD542" s="605">
        <f>BA545</f>
        <v>304.78983382209185</v>
      </c>
      <c r="BE542" s="56">
        <f>BD545</f>
        <v>355.96630441032715</v>
      </c>
      <c r="BF542" s="236">
        <f>BE545</f>
        <v>383.90748088091539</v>
      </c>
      <c r="BG542" s="605">
        <f>BD545</f>
        <v>355.96630441032715</v>
      </c>
      <c r="BH542" s="56">
        <f>BG545</f>
        <v>411.84865735150362</v>
      </c>
      <c r="BI542" s="236">
        <f>BH545</f>
        <v>439.78983382209185</v>
      </c>
      <c r="BJ542" s="605">
        <f>BG545</f>
        <v>411.84865735150362</v>
      </c>
    </row>
    <row r="543" spans="1:62">
      <c r="A543" s="25" t="s">
        <v>458</v>
      </c>
      <c r="C543" s="40">
        <f>'Civil OE'!C84</f>
        <v>0</v>
      </c>
      <c r="D543" s="40">
        <f>'Civil OE'!D84</f>
        <v>0</v>
      </c>
      <c r="E543" s="40">
        <f>'Civil OE'!E84</f>
        <v>0</v>
      </c>
      <c r="F543" s="40">
        <f>'Civil OE'!F84</f>
        <v>0</v>
      </c>
      <c r="G543" s="40">
        <f>'Civil OE'!G84</f>
        <v>0</v>
      </c>
      <c r="H543" s="40">
        <f>'Civil OE'!H84</f>
        <v>0</v>
      </c>
      <c r="I543" s="40">
        <f>'Civil OE'!I84</f>
        <v>0</v>
      </c>
      <c r="J543" s="40">
        <f>'Civil OE'!J84</f>
        <v>0</v>
      </c>
      <c r="K543" s="40">
        <f>'Civil OE'!K84</f>
        <v>0</v>
      </c>
      <c r="L543" s="40">
        <f>'Civil OE'!L84</f>
        <v>0</v>
      </c>
      <c r="M543" s="40">
        <f>'Civil OE'!M84</f>
        <v>0</v>
      </c>
      <c r="N543" s="40">
        <f>'Civil OE'!N84</f>
        <v>0</v>
      </c>
      <c r="O543" s="40">
        <f>'Civil OE'!O84</f>
        <v>0</v>
      </c>
      <c r="P543" s="40">
        <f>'Civil OE'!P84</f>
        <v>0</v>
      </c>
      <c r="Q543" s="40">
        <f>'Civil OE'!Q84</f>
        <v>0</v>
      </c>
      <c r="R543" s="40"/>
      <c r="S543" s="630"/>
      <c r="T543" s="653">
        <f>'Civil OE'!T84</f>
        <v>0</v>
      </c>
      <c r="U543" s="40"/>
      <c r="V543" s="630"/>
      <c r="W543" s="653">
        <f>'Civil OE'!W84</f>
        <v>1</v>
      </c>
      <c r="X543" s="40"/>
      <c r="Y543" s="630"/>
      <c r="Z543" s="653">
        <f>'Civil OE'!Z84</f>
        <v>45</v>
      </c>
      <c r="AA543" s="40">
        <f>'Civil OE'!AA84</f>
        <v>33</v>
      </c>
      <c r="AB543" s="630">
        <f>'Civil OE'!AB84</f>
        <v>73</v>
      </c>
      <c r="AC543" s="653">
        <f>'Civil OE'!AC84</f>
        <v>106</v>
      </c>
      <c r="AD543" s="40">
        <f>'Civil OE'!AD84</f>
        <v>22</v>
      </c>
      <c r="AE543" s="630">
        <f>'Civil OE'!AE84</f>
        <v>12</v>
      </c>
      <c r="AF543" s="653">
        <f>'Civil OE'!AF84</f>
        <v>34</v>
      </c>
      <c r="AG543" s="40">
        <f>'Civil OE'!AG84</f>
        <v>9</v>
      </c>
      <c r="AH543" s="630">
        <f>'Civil OE'!AH84</f>
        <v>20</v>
      </c>
      <c r="AI543" s="653">
        <f>'Civil OE'!AI84</f>
        <v>29</v>
      </c>
      <c r="AJ543" s="40">
        <f>'Civil OE'!AJ84</f>
        <v>11</v>
      </c>
      <c r="AK543" s="630">
        <f>'Civil OE'!AK84</f>
        <v>12</v>
      </c>
      <c r="AL543" s="653">
        <f>'Civil OE'!AL84</f>
        <v>23</v>
      </c>
      <c r="AM543" s="40">
        <f>'Civil OE'!AM84</f>
        <v>11</v>
      </c>
      <c r="AN543" s="630">
        <f>'Civil OE'!AN84</f>
        <v>20</v>
      </c>
      <c r="AO543" s="653">
        <f>'Civil OE'!AO84</f>
        <v>31</v>
      </c>
      <c r="AP543" s="10">
        <f>'Civil OE'!AP84</f>
        <v>15</v>
      </c>
      <c r="AQ543" s="630">
        <f>'Civil OE'!AQ84</f>
        <v>21</v>
      </c>
      <c r="AR543" s="653">
        <f>'Civil OE'!AR84</f>
        <v>36</v>
      </c>
      <c r="AS543" s="10">
        <f>'Civil OE'!AS84</f>
        <v>17</v>
      </c>
      <c r="AT543" s="630">
        <f>'Civil OE'!AT84</f>
        <v>21</v>
      </c>
      <c r="AU543" s="653">
        <f>'Civil OE'!AU84</f>
        <v>38</v>
      </c>
      <c r="AV543" s="10">
        <f>'Civil OE'!AV84</f>
        <v>34</v>
      </c>
      <c r="AW543" s="236">
        <f>'Civil OE'!AW84</f>
        <v>15.032258064516128</v>
      </c>
      <c r="AX543" s="605">
        <f>'Civil OE'!AX84</f>
        <v>49.032258064516128</v>
      </c>
      <c r="AY543" s="56">
        <f>'Civil OE'!AY84</f>
        <v>26.666666666666668</v>
      </c>
      <c r="AZ543" s="236">
        <f>'Civil OE'!AZ84</f>
        <v>29.09090909090909</v>
      </c>
      <c r="BA543" s="605">
        <f>'Civil OE'!BA84</f>
        <v>55.757575757575758</v>
      </c>
      <c r="BB543" s="56">
        <f>'Civil OE'!BB84</f>
        <v>29.411764705882355</v>
      </c>
      <c r="BC543" s="236">
        <f>'Civil OE'!BC84</f>
        <v>31.764705882352942</v>
      </c>
      <c r="BD543" s="605">
        <f>'Civil OE'!BD84</f>
        <v>61.176470588235297</v>
      </c>
      <c r="BE543" s="56">
        <f>'Civil OE'!BE84</f>
        <v>32.941176470588239</v>
      </c>
      <c r="BF543" s="236">
        <f>'Civil OE'!BF84</f>
        <v>32.941176470588239</v>
      </c>
      <c r="BG543" s="605">
        <f>'Civil OE'!BG84</f>
        <v>65.882352941176478</v>
      </c>
      <c r="BH543" s="56">
        <f>'Civil OE'!BH84</f>
        <v>32.941176470588239</v>
      </c>
      <c r="BI543" s="236">
        <f>'Civil OE'!BI84</f>
        <v>32.941176470588239</v>
      </c>
      <c r="BJ543" s="605">
        <f>'Civil OE'!BJ84</f>
        <v>65.882352941176478</v>
      </c>
    </row>
    <row r="544" spans="1:62">
      <c r="A544" s="25" t="s">
        <v>459</v>
      </c>
      <c r="C544" s="40">
        <f>C545-C543-C542</f>
        <v>0</v>
      </c>
      <c r="D544" s="40">
        <f t="shared" ref="D544:T544" si="1636">D545-D543-D542</f>
        <v>0</v>
      </c>
      <c r="E544" s="40">
        <f t="shared" si="1636"/>
        <v>0</v>
      </c>
      <c r="F544" s="40">
        <f t="shared" si="1636"/>
        <v>0</v>
      </c>
      <c r="G544" s="40">
        <f t="shared" si="1636"/>
        <v>0</v>
      </c>
      <c r="H544" s="40">
        <f t="shared" si="1636"/>
        <v>0</v>
      </c>
      <c r="I544" s="40">
        <f t="shared" si="1636"/>
        <v>0</v>
      </c>
      <c r="J544" s="40">
        <f t="shared" si="1636"/>
        <v>0</v>
      </c>
      <c r="K544" s="40">
        <f t="shared" si="1636"/>
        <v>0</v>
      </c>
      <c r="L544" s="40">
        <f t="shared" si="1636"/>
        <v>0</v>
      </c>
      <c r="M544" s="40">
        <f t="shared" si="1636"/>
        <v>0</v>
      </c>
      <c r="N544" s="40">
        <f t="shared" si="1636"/>
        <v>0</v>
      </c>
      <c r="O544" s="40">
        <f t="shared" si="1636"/>
        <v>0</v>
      </c>
      <c r="P544" s="40">
        <f t="shared" si="1636"/>
        <v>0</v>
      </c>
      <c r="Q544" s="40">
        <f t="shared" si="1636"/>
        <v>0</v>
      </c>
      <c r="R544" s="40"/>
      <c r="S544" s="630"/>
      <c r="T544" s="653">
        <f t="shared" si="1636"/>
        <v>0</v>
      </c>
      <c r="U544" s="40"/>
      <c r="V544" s="630"/>
      <c r="W544" s="653">
        <f t="shared" ref="W544:AL544" si="1637">W545-W543-W542</f>
        <v>5</v>
      </c>
      <c r="X544" s="40"/>
      <c r="Y544" s="630"/>
      <c r="Z544" s="653">
        <f t="shared" si="1637"/>
        <v>-7</v>
      </c>
      <c r="AA544" s="40">
        <f t="shared" si="1637"/>
        <v>23</v>
      </c>
      <c r="AB544" s="630">
        <f t="shared" si="1637"/>
        <v>-73</v>
      </c>
      <c r="AC544" s="653">
        <f t="shared" si="1637"/>
        <v>-50</v>
      </c>
      <c r="AD544" s="40">
        <f t="shared" si="1637"/>
        <v>-14</v>
      </c>
      <c r="AE544" s="630">
        <f t="shared" si="1637"/>
        <v>-12</v>
      </c>
      <c r="AF544" s="653">
        <f t="shared" si="1637"/>
        <v>-26</v>
      </c>
      <c r="AG544" s="40">
        <f t="shared" ref="AG544:AH544" si="1638">AG545-AG543-AG542</f>
        <v>3</v>
      </c>
      <c r="AH544" s="630">
        <f t="shared" si="1638"/>
        <v>-20</v>
      </c>
      <c r="AI544" s="653">
        <f t="shared" si="1637"/>
        <v>-17</v>
      </c>
      <c r="AJ544" s="40">
        <f t="shared" si="1637"/>
        <v>9</v>
      </c>
      <c r="AK544" s="630">
        <f t="shared" ref="AK544" si="1639">AK545-AK543-AK542</f>
        <v>-12</v>
      </c>
      <c r="AL544" s="653">
        <f t="shared" si="1637"/>
        <v>-3</v>
      </c>
      <c r="AM544" s="40">
        <f t="shared" ref="AM544:AO544" si="1640">AM545-AM543-AM542</f>
        <v>-1</v>
      </c>
      <c r="AN544" s="630">
        <f t="shared" si="1640"/>
        <v>-6</v>
      </c>
      <c r="AO544" s="653">
        <f t="shared" si="1640"/>
        <v>-7</v>
      </c>
      <c r="AP544" s="40">
        <f t="shared" ref="AP544:AR544" si="1641">AP545-AP543-AP542</f>
        <v>-7</v>
      </c>
      <c r="AQ544" s="630">
        <f t="shared" si="1641"/>
        <v>-5</v>
      </c>
      <c r="AR544" s="653">
        <f t="shared" si="1641"/>
        <v>-12</v>
      </c>
      <c r="AS544" s="40">
        <f t="shared" ref="AS544:AU544" si="1642">AS545-AS543-AS542</f>
        <v>-11</v>
      </c>
      <c r="AT544" s="630">
        <f t="shared" si="1642"/>
        <v>5</v>
      </c>
      <c r="AU544" s="653">
        <f t="shared" si="1642"/>
        <v>-6</v>
      </c>
      <c r="AV544" s="40">
        <f t="shared" ref="AV544" si="1643">AV545-AV543-AV542</f>
        <v>-24</v>
      </c>
      <c r="AW544" s="236">
        <f>AX544-AV544</f>
        <v>14</v>
      </c>
      <c r="AX544" s="580">
        <v>-10</v>
      </c>
      <c r="AY544" s="56">
        <f>BA544/2</f>
        <v>-5</v>
      </c>
      <c r="AZ544" s="236">
        <f>BA544-AY544</f>
        <v>-5</v>
      </c>
      <c r="BA544" s="605">
        <f>AX544</f>
        <v>-10</v>
      </c>
      <c r="BB544" s="56">
        <f>BD544/2</f>
        <v>-5</v>
      </c>
      <c r="BC544" s="236">
        <f>BD544-BB544</f>
        <v>-5</v>
      </c>
      <c r="BD544" s="605">
        <f>BA544</f>
        <v>-10</v>
      </c>
      <c r="BE544" s="56">
        <f>BG544/2</f>
        <v>-5</v>
      </c>
      <c r="BF544" s="236">
        <f>BG544-BE544</f>
        <v>-5</v>
      </c>
      <c r="BG544" s="605">
        <f>BD544</f>
        <v>-10</v>
      </c>
      <c r="BH544" s="56">
        <f>BJ544/2</f>
        <v>-5</v>
      </c>
      <c r="BI544" s="236">
        <f>BJ544-BH544</f>
        <v>-5</v>
      </c>
      <c r="BJ544" s="605">
        <f t="shared" ref="BJ544" si="1644">BG544</f>
        <v>-10</v>
      </c>
    </row>
    <row r="545" spans="1:63">
      <c r="A545" s="31" t="s">
        <v>529</v>
      </c>
      <c r="B545" s="31">
        <f t="shared" ref="B545:AL545" si="1645">B391</f>
        <v>0</v>
      </c>
      <c r="C545" s="51">
        <f t="shared" si="1645"/>
        <v>0</v>
      </c>
      <c r="D545" s="51">
        <f t="shared" si="1645"/>
        <v>0</v>
      </c>
      <c r="E545" s="51">
        <f t="shared" si="1645"/>
        <v>0</v>
      </c>
      <c r="F545" s="51">
        <f t="shared" si="1645"/>
        <v>0</v>
      </c>
      <c r="G545" s="51">
        <f t="shared" si="1645"/>
        <v>0</v>
      </c>
      <c r="H545" s="51">
        <f t="shared" si="1645"/>
        <v>0</v>
      </c>
      <c r="I545" s="51">
        <f t="shared" si="1645"/>
        <v>0</v>
      </c>
      <c r="J545" s="51">
        <f t="shared" si="1645"/>
        <v>0</v>
      </c>
      <c r="K545" s="51">
        <f t="shared" si="1645"/>
        <v>0</v>
      </c>
      <c r="L545" s="51">
        <f t="shared" si="1645"/>
        <v>0</v>
      </c>
      <c r="M545" s="51">
        <f t="shared" si="1645"/>
        <v>0</v>
      </c>
      <c r="N545" s="51">
        <f t="shared" si="1645"/>
        <v>0</v>
      </c>
      <c r="O545" s="51">
        <f t="shared" si="1645"/>
        <v>0</v>
      </c>
      <c r="P545" s="51">
        <f t="shared" si="1645"/>
        <v>0</v>
      </c>
      <c r="Q545" s="51">
        <f t="shared" si="1645"/>
        <v>0</v>
      </c>
      <c r="R545" s="51"/>
      <c r="S545" s="629"/>
      <c r="T545" s="652">
        <f t="shared" si="1645"/>
        <v>0</v>
      </c>
      <c r="U545" s="51"/>
      <c r="V545" s="629"/>
      <c r="W545" s="652">
        <f t="shared" si="1645"/>
        <v>6</v>
      </c>
      <c r="X545" s="51"/>
      <c r="Y545" s="629"/>
      <c r="Z545" s="652">
        <f t="shared" si="1645"/>
        <v>44</v>
      </c>
      <c r="AA545" s="51">
        <f t="shared" si="1645"/>
        <v>100</v>
      </c>
      <c r="AB545" s="629">
        <f t="shared" si="1645"/>
        <v>100</v>
      </c>
      <c r="AC545" s="652">
        <f t="shared" si="1645"/>
        <v>100</v>
      </c>
      <c r="AD545" s="51">
        <f t="shared" si="1645"/>
        <v>108</v>
      </c>
      <c r="AE545" s="629">
        <f t="shared" si="1645"/>
        <v>108</v>
      </c>
      <c r="AF545" s="652">
        <f t="shared" si="1645"/>
        <v>108</v>
      </c>
      <c r="AG545" s="51">
        <f t="shared" ref="AG545:AH545" si="1646">AG391</f>
        <v>120</v>
      </c>
      <c r="AH545" s="629">
        <f t="shared" si="1646"/>
        <v>120</v>
      </c>
      <c r="AI545" s="652">
        <f t="shared" si="1645"/>
        <v>120</v>
      </c>
      <c r="AJ545" s="51">
        <f t="shared" si="1645"/>
        <v>140</v>
      </c>
      <c r="AK545" s="629">
        <f t="shared" ref="AK545" si="1647">AK391</f>
        <v>140</v>
      </c>
      <c r="AL545" s="652">
        <f t="shared" si="1645"/>
        <v>140</v>
      </c>
      <c r="AM545" s="51">
        <f t="shared" ref="AM545:AO545" si="1648">AM391</f>
        <v>150</v>
      </c>
      <c r="AN545" s="629">
        <f t="shared" si="1648"/>
        <v>164</v>
      </c>
      <c r="AO545" s="652">
        <f t="shared" si="1648"/>
        <v>164</v>
      </c>
      <c r="AP545" s="51">
        <f t="shared" ref="AP545:AR545" si="1649">AP391</f>
        <v>172</v>
      </c>
      <c r="AQ545" s="629">
        <f t="shared" si="1649"/>
        <v>188</v>
      </c>
      <c r="AR545" s="652">
        <f t="shared" si="1649"/>
        <v>188</v>
      </c>
      <c r="AS545" s="51">
        <f t="shared" ref="AS545:AU545" si="1650">AS391</f>
        <v>194</v>
      </c>
      <c r="AT545" s="629">
        <f t="shared" si="1650"/>
        <v>220</v>
      </c>
      <c r="AU545" s="652">
        <f t="shared" si="1650"/>
        <v>220</v>
      </c>
      <c r="AV545" s="51">
        <f t="shared" ref="AV545" si="1651">AV391</f>
        <v>230</v>
      </c>
      <c r="AW545" s="237">
        <f t="shared" ref="AW545:BJ545" si="1652">AW542+AW543+AW544</f>
        <v>259.0322580645161</v>
      </c>
      <c r="AX545" s="576">
        <f t="shared" si="1652"/>
        <v>259.0322580645161</v>
      </c>
      <c r="AY545" s="48">
        <f t="shared" si="1652"/>
        <v>280.69892473118279</v>
      </c>
      <c r="AZ545" s="237">
        <f t="shared" si="1652"/>
        <v>304.78983382209185</v>
      </c>
      <c r="BA545" s="576">
        <f t="shared" si="1652"/>
        <v>304.78983382209185</v>
      </c>
      <c r="BB545" s="48">
        <f t="shared" si="1652"/>
        <v>329.20159852797423</v>
      </c>
      <c r="BC545" s="237">
        <f t="shared" si="1652"/>
        <v>355.96630441032715</v>
      </c>
      <c r="BD545" s="576">
        <f t="shared" si="1652"/>
        <v>355.96630441032715</v>
      </c>
      <c r="BE545" s="48">
        <f t="shared" si="1652"/>
        <v>383.90748088091539</v>
      </c>
      <c r="BF545" s="237">
        <f t="shared" si="1652"/>
        <v>411.84865735150362</v>
      </c>
      <c r="BG545" s="576">
        <f t="shared" si="1652"/>
        <v>411.84865735150362</v>
      </c>
      <c r="BH545" s="48">
        <f t="shared" si="1652"/>
        <v>439.78983382209185</v>
      </c>
      <c r="BI545" s="237">
        <f t="shared" si="1652"/>
        <v>467.73101029268008</v>
      </c>
      <c r="BJ545" s="576">
        <f t="shared" si="1652"/>
        <v>467.73101029268008</v>
      </c>
    </row>
    <row r="546" spans="1:63">
      <c r="A546" s="31" t="s">
        <v>474</v>
      </c>
      <c r="B546" s="31"/>
      <c r="C546" s="51">
        <f>AVERAGE(C542,C545)</f>
        <v>0</v>
      </c>
      <c r="D546" s="51">
        <f t="shared" ref="D546:BJ546" si="1653">AVERAGE(D542,D545)</f>
        <v>0</v>
      </c>
      <c r="E546" s="51">
        <f t="shared" si="1653"/>
        <v>0</v>
      </c>
      <c r="F546" s="51">
        <f t="shared" si="1653"/>
        <v>0</v>
      </c>
      <c r="G546" s="51">
        <f t="shared" si="1653"/>
        <v>0</v>
      </c>
      <c r="H546" s="51">
        <f t="shared" si="1653"/>
        <v>0</v>
      </c>
      <c r="I546" s="51">
        <f t="shared" si="1653"/>
        <v>0</v>
      </c>
      <c r="J546" s="51">
        <f t="shared" si="1653"/>
        <v>0</v>
      </c>
      <c r="K546" s="51">
        <f t="shared" si="1653"/>
        <v>0</v>
      </c>
      <c r="L546" s="51">
        <f t="shared" si="1653"/>
        <v>0</v>
      </c>
      <c r="M546" s="51">
        <f t="shared" si="1653"/>
        <v>0</v>
      </c>
      <c r="N546" s="51">
        <f t="shared" si="1653"/>
        <v>0</v>
      </c>
      <c r="O546" s="51">
        <f t="shared" si="1653"/>
        <v>0</v>
      </c>
      <c r="P546" s="51">
        <f t="shared" si="1653"/>
        <v>0</v>
      </c>
      <c r="Q546" s="51">
        <f t="shared" si="1653"/>
        <v>0</v>
      </c>
      <c r="R546" s="51"/>
      <c r="S546" s="629"/>
      <c r="T546" s="652">
        <f t="shared" si="1653"/>
        <v>0</v>
      </c>
      <c r="U546" s="51"/>
      <c r="V546" s="629"/>
      <c r="W546" s="652">
        <f>AVERAGE(W542,W545)</f>
        <v>3</v>
      </c>
      <c r="X546" s="51"/>
      <c r="Y546" s="629"/>
      <c r="Z546" s="652">
        <f>AVERAGE(Z542,Z545)</f>
        <v>25</v>
      </c>
      <c r="AA546" s="51">
        <f t="shared" ref="AA546:AB546" si="1654">AVERAGE(AA542,AA545)</f>
        <v>72</v>
      </c>
      <c r="AB546" s="629">
        <f t="shared" si="1654"/>
        <v>100</v>
      </c>
      <c r="AC546" s="652">
        <f>AVERAGE(AC542,AC545)</f>
        <v>72</v>
      </c>
      <c r="AD546" s="51">
        <f t="shared" ref="AD546:AE546" si="1655">AVERAGE(AD542,AD545)</f>
        <v>104</v>
      </c>
      <c r="AE546" s="629">
        <f t="shared" si="1655"/>
        <v>108</v>
      </c>
      <c r="AF546" s="652">
        <f>AVERAGE(AF542,AF545)</f>
        <v>104</v>
      </c>
      <c r="AG546" s="51">
        <f t="shared" ref="AG546:AH546" si="1656">AVERAGE(AG542,AG545)</f>
        <v>114</v>
      </c>
      <c r="AH546" s="629">
        <f t="shared" si="1656"/>
        <v>120</v>
      </c>
      <c r="AI546" s="652">
        <f>AVERAGE(AI542,AI545)</f>
        <v>114</v>
      </c>
      <c r="AJ546" s="51">
        <f t="shared" ref="AJ546:AK546" si="1657">AVERAGE(AJ542,AJ545)</f>
        <v>130</v>
      </c>
      <c r="AK546" s="629">
        <f t="shared" si="1657"/>
        <v>140</v>
      </c>
      <c r="AL546" s="652">
        <f t="shared" si="1653"/>
        <v>130</v>
      </c>
      <c r="AM546" s="51">
        <f t="shared" ref="AM546:AO546" si="1658">AVERAGE(AM542,AM545)</f>
        <v>145</v>
      </c>
      <c r="AN546" s="629">
        <f t="shared" si="1658"/>
        <v>157</v>
      </c>
      <c r="AO546" s="652">
        <f t="shared" si="1658"/>
        <v>152</v>
      </c>
      <c r="AP546" s="27">
        <f t="shared" ref="AP546:AR546" si="1659">AVERAGE(AP542,AP545)</f>
        <v>168</v>
      </c>
      <c r="AQ546" s="629">
        <f t="shared" si="1659"/>
        <v>180</v>
      </c>
      <c r="AR546" s="652">
        <f t="shared" si="1659"/>
        <v>176</v>
      </c>
      <c r="AS546" s="27">
        <f t="shared" ref="AS546:AU546" si="1660">AVERAGE(AS542,AS545)</f>
        <v>191</v>
      </c>
      <c r="AT546" s="629">
        <f t="shared" si="1660"/>
        <v>207</v>
      </c>
      <c r="AU546" s="652">
        <f t="shared" si="1660"/>
        <v>204</v>
      </c>
      <c r="AV546" s="27">
        <f t="shared" ref="AV546" si="1661">AVERAGE(AV542,AV545)</f>
        <v>225</v>
      </c>
      <c r="AW546" s="237">
        <f t="shared" si="1653"/>
        <v>244.51612903225805</v>
      </c>
      <c r="AX546" s="576">
        <f t="shared" si="1653"/>
        <v>239.51612903225805</v>
      </c>
      <c r="AY546" s="48">
        <f t="shared" si="1653"/>
        <v>269.86559139784947</v>
      </c>
      <c r="AZ546" s="237">
        <f t="shared" si="1653"/>
        <v>292.74437927663735</v>
      </c>
      <c r="BA546" s="576">
        <f t="shared" si="1653"/>
        <v>281.91104594330398</v>
      </c>
      <c r="BB546" s="48">
        <f t="shared" si="1653"/>
        <v>316.99571617503307</v>
      </c>
      <c r="BC546" s="237">
        <f t="shared" si="1653"/>
        <v>342.58395146915069</v>
      </c>
      <c r="BD546" s="576">
        <f t="shared" si="1653"/>
        <v>330.37806911620953</v>
      </c>
      <c r="BE546" s="48">
        <f t="shared" si="1653"/>
        <v>369.93689264562124</v>
      </c>
      <c r="BF546" s="237">
        <f t="shared" si="1653"/>
        <v>397.87806911620953</v>
      </c>
      <c r="BG546" s="576">
        <f t="shared" si="1653"/>
        <v>383.90748088091539</v>
      </c>
      <c r="BH546" s="48">
        <f t="shared" si="1653"/>
        <v>425.81924558679771</v>
      </c>
      <c r="BI546" s="237">
        <f t="shared" si="1653"/>
        <v>453.76042205738599</v>
      </c>
      <c r="BJ546" s="576">
        <f t="shared" si="1653"/>
        <v>439.78983382209185</v>
      </c>
    </row>
    <row r="547" spans="1:63">
      <c r="A547" s="31"/>
      <c r="C547" s="40"/>
      <c r="D547" s="51"/>
      <c r="E547" s="51"/>
      <c r="F547" s="51"/>
      <c r="G547" s="51"/>
      <c r="H547" s="51"/>
      <c r="I547" s="51"/>
      <c r="J547" s="51"/>
      <c r="K547" s="51"/>
      <c r="L547" s="51"/>
      <c r="M547" s="51"/>
      <c r="N547" s="51"/>
      <c r="O547" s="51"/>
      <c r="P547" s="51"/>
      <c r="Q547" s="51"/>
      <c r="R547" s="121"/>
      <c r="S547" s="776"/>
      <c r="T547" s="783"/>
      <c r="U547" s="121"/>
      <c r="V547" s="776"/>
      <c r="W547" s="783"/>
      <c r="X547" s="121"/>
      <c r="Y547" s="776"/>
      <c r="Z547" s="783"/>
      <c r="AA547" s="121"/>
      <c r="AB547" s="776"/>
      <c r="AC547" s="783"/>
      <c r="AD547" s="121"/>
      <c r="AE547" s="776"/>
      <c r="AF547" s="783"/>
      <c r="AG547" s="121"/>
      <c r="AH547" s="776"/>
      <c r="AI547" s="783"/>
      <c r="AJ547" s="121"/>
      <c r="AK547" s="776"/>
      <c r="AL547" s="783"/>
      <c r="AM547" s="121"/>
      <c r="AN547" s="776"/>
      <c r="AO547" s="783"/>
      <c r="AP547" s="257"/>
      <c r="AQ547" s="776"/>
      <c r="AR547" s="783"/>
      <c r="AS547" s="257"/>
      <c r="AT547" s="776"/>
      <c r="AU547" s="783"/>
      <c r="AV547" s="257"/>
      <c r="AW547" s="819"/>
      <c r="AX547" s="852"/>
      <c r="AY547" s="257"/>
      <c r="AZ547" s="819"/>
      <c r="BA547" s="852"/>
      <c r="BB547" s="257"/>
      <c r="BC547" s="819"/>
      <c r="BD547" s="852"/>
      <c r="BE547" s="257"/>
      <c r="BF547" s="819"/>
      <c r="BG547" s="852"/>
      <c r="BH547" s="257"/>
      <c r="BI547" s="819"/>
      <c r="BJ547" s="852"/>
    </row>
    <row r="548" spans="1:63">
      <c r="A548" s="25" t="s">
        <v>526</v>
      </c>
      <c r="C548" s="40">
        <f t="shared" ref="C548:Q548" si="1662">B392</f>
        <v>0</v>
      </c>
      <c r="D548" s="40">
        <f t="shared" si="1662"/>
        <v>0</v>
      </c>
      <c r="E548" s="40">
        <f t="shared" si="1662"/>
        <v>0</v>
      </c>
      <c r="F548" s="40">
        <f t="shared" si="1662"/>
        <v>0</v>
      </c>
      <c r="G548" s="40">
        <f t="shared" si="1662"/>
        <v>0</v>
      </c>
      <c r="H548" s="40">
        <f t="shared" si="1662"/>
        <v>0</v>
      </c>
      <c r="I548" s="40">
        <f t="shared" si="1662"/>
        <v>0</v>
      </c>
      <c r="J548" s="40">
        <f t="shared" si="1662"/>
        <v>0</v>
      </c>
      <c r="K548" s="40">
        <f t="shared" si="1662"/>
        <v>0</v>
      </c>
      <c r="L548" s="40">
        <f t="shared" si="1662"/>
        <v>0</v>
      </c>
      <c r="M548" s="40">
        <f t="shared" si="1662"/>
        <v>0</v>
      </c>
      <c r="N548" s="40">
        <f t="shared" si="1662"/>
        <v>0</v>
      </c>
      <c r="O548" s="40">
        <f t="shared" si="1662"/>
        <v>0</v>
      </c>
      <c r="P548" s="40">
        <f t="shared" si="1662"/>
        <v>0</v>
      </c>
      <c r="Q548" s="40">
        <f t="shared" si="1662"/>
        <v>0</v>
      </c>
      <c r="R548" s="40"/>
      <c r="S548" s="630"/>
      <c r="T548" s="653">
        <f>Q392</f>
        <v>0</v>
      </c>
      <c r="U548" s="40"/>
      <c r="V548" s="630"/>
      <c r="W548" s="653">
        <f>T392</f>
        <v>0</v>
      </c>
      <c r="X548" s="40"/>
      <c r="Y548" s="630"/>
      <c r="Z548" s="653">
        <f>W392</f>
        <v>0</v>
      </c>
      <c r="AA548" s="40">
        <f>Z551</f>
        <v>12</v>
      </c>
      <c r="AB548" s="630">
        <f>AA551</f>
        <v>94</v>
      </c>
      <c r="AC548" s="653">
        <f>Z392</f>
        <v>12</v>
      </c>
      <c r="AD548" s="40">
        <f>AC551</f>
        <v>94</v>
      </c>
      <c r="AE548" s="630">
        <f>AD551</f>
        <v>120</v>
      </c>
      <c r="AF548" s="653">
        <f>AC392</f>
        <v>94</v>
      </c>
      <c r="AG548" s="40">
        <f>AF551</f>
        <v>120</v>
      </c>
      <c r="AH548" s="630">
        <f>AG551</f>
        <v>146</v>
      </c>
      <c r="AI548" s="653">
        <f>AF392</f>
        <v>120</v>
      </c>
      <c r="AJ548" s="40">
        <f>AI551</f>
        <v>146</v>
      </c>
      <c r="AK548" s="630">
        <f>AJ551</f>
        <v>192</v>
      </c>
      <c r="AL548" s="653">
        <f t="shared" ref="AL548" si="1663">AI551</f>
        <v>146</v>
      </c>
      <c r="AM548" s="40">
        <f>AL551</f>
        <v>192</v>
      </c>
      <c r="AN548" s="630">
        <f>AM551</f>
        <v>216</v>
      </c>
      <c r="AO548" s="653">
        <f t="shared" ref="AO548" si="1664">AL551</f>
        <v>192</v>
      </c>
      <c r="AP548" s="10">
        <f>AO551</f>
        <v>250</v>
      </c>
      <c r="AQ548" s="630">
        <f>AP551</f>
        <v>276</v>
      </c>
      <c r="AR548" s="653">
        <f t="shared" ref="AR548" si="1665">AO551</f>
        <v>250</v>
      </c>
      <c r="AS548" s="10">
        <f>AR551</f>
        <v>310</v>
      </c>
      <c r="AT548" s="630">
        <f>AS551</f>
        <v>332</v>
      </c>
      <c r="AU548" s="653">
        <f t="shared" ref="AU548" si="1666">AR551</f>
        <v>310</v>
      </c>
      <c r="AV548" s="10">
        <f>AU551</f>
        <v>378</v>
      </c>
      <c r="AW548" s="236">
        <f>AV551</f>
        <v>394</v>
      </c>
      <c r="AX548" s="605">
        <f>AU551</f>
        <v>378</v>
      </c>
      <c r="AY548" s="56">
        <f>AX551</f>
        <v>435.64705882352939</v>
      </c>
      <c r="AZ548" s="236">
        <f>AY551</f>
        <v>473.14705882352939</v>
      </c>
      <c r="BA548" s="605">
        <f>AX551</f>
        <v>435.64705882352939</v>
      </c>
      <c r="BB548" s="56">
        <f>BA551</f>
        <v>508.29411764705878</v>
      </c>
      <c r="BC548" s="236">
        <f>BB551</f>
        <v>545.79411764705878</v>
      </c>
      <c r="BD548" s="605">
        <f>BA551</f>
        <v>508.29411764705878</v>
      </c>
      <c r="BE548" s="56">
        <f>BD551</f>
        <v>580.94117647058818</v>
      </c>
      <c r="BF548" s="236">
        <f>BE551</f>
        <v>617.29831932773106</v>
      </c>
      <c r="BG548" s="605">
        <f>BD551</f>
        <v>580.94117647058818</v>
      </c>
      <c r="BH548" s="56">
        <f>BG551</f>
        <v>654.79831932773106</v>
      </c>
      <c r="BI548" s="236">
        <f>BH551</f>
        <v>698.01260504201673</v>
      </c>
      <c r="BJ548" s="605">
        <f>BG551</f>
        <v>654.79831932773106</v>
      </c>
    </row>
    <row r="549" spans="1:63">
      <c r="A549" s="25" t="s">
        <v>458</v>
      </c>
      <c r="C549" s="40">
        <f>'Civil OE'!C85</f>
        <v>0</v>
      </c>
      <c r="D549" s="40">
        <f>'Civil OE'!D85</f>
        <v>0</v>
      </c>
      <c r="E549" s="40">
        <f>'Civil OE'!E85</f>
        <v>0</v>
      </c>
      <c r="F549" s="40">
        <f>'Civil OE'!F85</f>
        <v>0</v>
      </c>
      <c r="G549" s="40">
        <f>'Civil OE'!G85</f>
        <v>0</v>
      </c>
      <c r="H549" s="40">
        <f>'Civil OE'!H85</f>
        <v>0</v>
      </c>
      <c r="I549" s="40">
        <f>'Civil OE'!I85</f>
        <v>0</v>
      </c>
      <c r="J549" s="40">
        <f>'Civil OE'!J85</f>
        <v>0</v>
      </c>
      <c r="K549" s="40">
        <f>'Civil OE'!K85</f>
        <v>0</v>
      </c>
      <c r="L549" s="40">
        <f>'Civil OE'!L85</f>
        <v>0</v>
      </c>
      <c r="M549" s="40">
        <f>'Civil OE'!M85</f>
        <v>0</v>
      </c>
      <c r="N549" s="40">
        <f>'Civil OE'!N85</f>
        <v>0</v>
      </c>
      <c r="O549" s="40">
        <f>'Civil OE'!O85</f>
        <v>0</v>
      </c>
      <c r="P549" s="40">
        <f>'Civil OE'!P85</f>
        <v>0</v>
      </c>
      <c r="Q549" s="40">
        <f>'Civil OE'!Q85</f>
        <v>0</v>
      </c>
      <c r="R549" s="40"/>
      <c r="S549" s="630"/>
      <c r="T549" s="653">
        <f>'Civil OE'!T85</f>
        <v>0</v>
      </c>
      <c r="U549" s="40"/>
      <c r="V549" s="630"/>
      <c r="W549" s="653">
        <f>'Civil OE'!W85</f>
        <v>0</v>
      </c>
      <c r="X549" s="40"/>
      <c r="Y549" s="630"/>
      <c r="Z549" s="653">
        <f>'Civil OE'!Z85</f>
        <v>8</v>
      </c>
      <c r="AA549" s="40">
        <f>'Civil OE'!AA85</f>
        <v>54</v>
      </c>
      <c r="AB549" s="630">
        <f>'Civil OE'!AB85</f>
        <v>2</v>
      </c>
      <c r="AC549" s="653">
        <f>'Civil OE'!AC85</f>
        <v>56</v>
      </c>
      <c r="AD549" s="40">
        <f>'Civil OE'!AD85</f>
        <v>8</v>
      </c>
      <c r="AE549" s="630">
        <f>'Civil OE'!AE85</f>
        <v>14</v>
      </c>
      <c r="AF549" s="653">
        <f>'Civil OE'!AF85</f>
        <v>22</v>
      </c>
      <c r="AG549" s="40">
        <f>'Civil OE'!AG85</f>
        <v>20</v>
      </c>
      <c r="AH549" s="630">
        <f>'Civil OE'!AH85</f>
        <v>11</v>
      </c>
      <c r="AI549" s="653">
        <f>'Civil OE'!AI85</f>
        <v>31</v>
      </c>
      <c r="AJ549" s="40">
        <f>'Civil OE'!AJ85</f>
        <v>23</v>
      </c>
      <c r="AK549" s="630">
        <f>'Civil OE'!AK85</f>
        <v>40</v>
      </c>
      <c r="AL549" s="653">
        <f>'Civil OE'!AL85</f>
        <v>63</v>
      </c>
      <c r="AM549" s="40">
        <f>'Civil OE'!AM85</f>
        <v>35</v>
      </c>
      <c r="AN549" s="630">
        <f>'Civil OE'!AN85</f>
        <v>39</v>
      </c>
      <c r="AO549" s="653">
        <f>'Civil OE'!AO85</f>
        <v>74</v>
      </c>
      <c r="AP549" s="10">
        <f>'Civil OE'!AP85</f>
        <v>37</v>
      </c>
      <c r="AQ549" s="630">
        <f>'Civil OE'!AQ85</f>
        <v>49</v>
      </c>
      <c r="AR549" s="653">
        <f>'Civil OE'!AR85</f>
        <v>86</v>
      </c>
      <c r="AS549" s="10">
        <f>'Civil OE'!AS85</f>
        <v>34</v>
      </c>
      <c r="AT549" s="630">
        <f>'Civil OE'!AT85</f>
        <v>41</v>
      </c>
      <c r="AU549" s="653">
        <f>'Civil OE'!AU85</f>
        <v>75</v>
      </c>
      <c r="AV549" s="10">
        <f>'Civil OE'!AV85</f>
        <v>51</v>
      </c>
      <c r="AW549" s="236">
        <f>'Civil OE'!AW85</f>
        <v>26.64705882352942</v>
      </c>
      <c r="AX549" s="605">
        <f>'Civil OE'!AX85</f>
        <v>77.64705882352942</v>
      </c>
      <c r="AY549" s="56">
        <f>'Civil OE'!AY85</f>
        <v>40</v>
      </c>
      <c r="AZ549" s="236">
        <f>'Civil OE'!AZ85</f>
        <v>37.64705882352942</v>
      </c>
      <c r="BA549" s="605">
        <f>'Civil OE'!BA85</f>
        <v>77.64705882352942</v>
      </c>
      <c r="BB549" s="56">
        <f>'Civil OE'!BB85</f>
        <v>40</v>
      </c>
      <c r="BC549" s="236">
        <f>'Civil OE'!BC85</f>
        <v>37.64705882352942</v>
      </c>
      <c r="BD549" s="605">
        <f>'Civil OE'!BD85</f>
        <v>77.64705882352942</v>
      </c>
      <c r="BE549" s="56">
        <f>'Civil OE'!BE85</f>
        <v>38.857142857142854</v>
      </c>
      <c r="BF549" s="236">
        <f>'Civil OE'!BF85</f>
        <v>40.000000000000007</v>
      </c>
      <c r="BG549" s="605">
        <f>'Civil OE'!BG85</f>
        <v>78.857142857142861</v>
      </c>
      <c r="BH549" s="56">
        <f>'Civil OE'!BH85</f>
        <v>45.714285714285715</v>
      </c>
      <c r="BI549" s="236">
        <f>'Civil OE'!BI85</f>
        <v>33.142857142857146</v>
      </c>
      <c r="BJ549" s="605">
        <f>'Civil OE'!BJ85</f>
        <v>78.857142857142861</v>
      </c>
    </row>
    <row r="550" spans="1:63">
      <c r="A550" s="25" t="s">
        <v>459</v>
      </c>
      <c r="C550" s="40">
        <f>C551-C549-C548</f>
        <v>0</v>
      </c>
      <c r="D550" s="40">
        <f t="shared" ref="D550:T550" si="1667">D551-D549-D548</f>
        <v>0</v>
      </c>
      <c r="E550" s="40">
        <f t="shared" si="1667"/>
        <v>0</v>
      </c>
      <c r="F550" s="40">
        <f t="shared" si="1667"/>
        <v>0</v>
      </c>
      <c r="G550" s="40">
        <f t="shared" si="1667"/>
        <v>0</v>
      </c>
      <c r="H550" s="40">
        <f t="shared" si="1667"/>
        <v>0</v>
      </c>
      <c r="I550" s="40">
        <f t="shared" si="1667"/>
        <v>0</v>
      </c>
      <c r="J550" s="40">
        <f t="shared" si="1667"/>
        <v>0</v>
      </c>
      <c r="K550" s="40">
        <f t="shared" si="1667"/>
        <v>0</v>
      </c>
      <c r="L550" s="40">
        <f t="shared" si="1667"/>
        <v>0</v>
      </c>
      <c r="M550" s="40">
        <f t="shared" si="1667"/>
        <v>0</v>
      </c>
      <c r="N550" s="40">
        <f t="shared" si="1667"/>
        <v>0</v>
      </c>
      <c r="O550" s="40">
        <f t="shared" si="1667"/>
        <v>0</v>
      </c>
      <c r="P550" s="40">
        <f t="shared" si="1667"/>
        <v>0</v>
      </c>
      <c r="Q550" s="40">
        <f t="shared" si="1667"/>
        <v>0</v>
      </c>
      <c r="R550" s="40"/>
      <c r="S550" s="630"/>
      <c r="T550" s="653">
        <f t="shared" si="1667"/>
        <v>0</v>
      </c>
      <c r="U550" s="40"/>
      <c r="V550" s="630"/>
      <c r="W550" s="653">
        <f t="shared" ref="W550:AL550" si="1668">W551-W549-W548</f>
        <v>0</v>
      </c>
      <c r="X550" s="40"/>
      <c r="Y550" s="630"/>
      <c r="Z550" s="653">
        <f t="shared" si="1668"/>
        <v>4</v>
      </c>
      <c r="AA550" s="40">
        <f t="shared" si="1668"/>
        <v>28</v>
      </c>
      <c r="AB550" s="630">
        <f t="shared" si="1668"/>
        <v>-2</v>
      </c>
      <c r="AC550" s="653">
        <f t="shared" si="1668"/>
        <v>26</v>
      </c>
      <c r="AD550" s="40">
        <f t="shared" si="1668"/>
        <v>18</v>
      </c>
      <c r="AE550" s="630">
        <f t="shared" si="1668"/>
        <v>-14</v>
      </c>
      <c r="AF550" s="653">
        <f t="shared" si="1668"/>
        <v>4</v>
      </c>
      <c r="AG550" s="40">
        <f t="shared" ref="AG550:AH550" si="1669">AG551-AG549-AG548</f>
        <v>6</v>
      </c>
      <c r="AH550" s="630">
        <f t="shared" si="1669"/>
        <v>-11</v>
      </c>
      <c r="AI550" s="653">
        <f t="shared" si="1668"/>
        <v>-5</v>
      </c>
      <c r="AJ550" s="40">
        <f t="shared" si="1668"/>
        <v>23</v>
      </c>
      <c r="AK550" s="630">
        <f t="shared" ref="AK550" si="1670">AK551-AK549-AK548</f>
        <v>-40</v>
      </c>
      <c r="AL550" s="653">
        <f t="shared" si="1668"/>
        <v>-17</v>
      </c>
      <c r="AM550" s="40">
        <f t="shared" ref="AM550:AO550" si="1671">AM551-AM549-AM548</f>
        <v>-11</v>
      </c>
      <c r="AN550" s="630">
        <f t="shared" si="1671"/>
        <v>-5</v>
      </c>
      <c r="AO550" s="653">
        <f t="shared" si="1671"/>
        <v>-16</v>
      </c>
      <c r="AP550" s="40">
        <f t="shared" ref="AP550:AR550" si="1672">AP551-AP549-AP548</f>
        <v>-11</v>
      </c>
      <c r="AQ550" s="630">
        <f t="shared" si="1672"/>
        <v>-15</v>
      </c>
      <c r="AR550" s="653">
        <f t="shared" si="1672"/>
        <v>-26</v>
      </c>
      <c r="AS550" s="40">
        <f t="shared" ref="AS550:AU550" si="1673">AS551-AS549-AS548</f>
        <v>-12</v>
      </c>
      <c r="AT550" s="630">
        <f t="shared" si="1673"/>
        <v>5</v>
      </c>
      <c r="AU550" s="653">
        <f t="shared" si="1673"/>
        <v>-7</v>
      </c>
      <c r="AV550" s="40">
        <f t="shared" ref="AV550" si="1674">AV551-AV549-AV548</f>
        <v>-35</v>
      </c>
      <c r="AW550" s="236">
        <f>AX550-AV550</f>
        <v>15</v>
      </c>
      <c r="AX550" s="580">
        <v>-20</v>
      </c>
      <c r="AY550" s="56">
        <f>BA550/2</f>
        <v>-2.5</v>
      </c>
      <c r="AZ550" s="236">
        <f>BA550-AY550</f>
        <v>-2.5</v>
      </c>
      <c r="BA550" s="580">
        <v>-5</v>
      </c>
      <c r="BB550" s="56">
        <f>BD550/2</f>
        <v>-2.5</v>
      </c>
      <c r="BC550" s="236">
        <f>BD550-BB550</f>
        <v>-2.5</v>
      </c>
      <c r="BD550" s="605">
        <f>BA550</f>
        <v>-5</v>
      </c>
      <c r="BE550" s="56">
        <f>BG550/2</f>
        <v>-2.5</v>
      </c>
      <c r="BF550" s="236">
        <f>BG550-BE550</f>
        <v>-2.5</v>
      </c>
      <c r="BG550" s="605">
        <f t="shared" ref="BG550" si="1675">BD550</f>
        <v>-5</v>
      </c>
      <c r="BH550" s="56">
        <f>BJ550/2</f>
        <v>-2.5</v>
      </c>
      <c r="BI550" s="236">
        <f>BJ550-BH550</f>
        <v>-2.5</v>
      </c>
      <c r="BJ550" s="605">
        <f>BG550</f>
        <v>-5</v>
      </c>
    </row>
    <row r="551" spans="1:63">
      <c r="A551" s="31" t="s">
        <v>527</v>
      </c>
      <c r="B551" s="31">
        <f t="shared" ref="B551:AL551" si="1676">B392</f>
        <v>0</v>
      </c>
      <c r="C551" s="51">
        <f t="shared" si="1676"/>
        <v>0</v>
      </c>
      <c r="D551" s="51">
        <f t="shared" si="1676"/>
        <v>0</v>
      </c>
      <c r="E551" s="51">
        <f t="shared" si="1676"/>
        <v>0</v>
      </c>
      <c r="F551" s="51">
        <f t="shared" si="1676"/>
        <v>0</v>
      </c>
      <c r="G551" s="51">
        <f t="shared" si="1676"/>
        <v>0</v>
      </c>
      <c r="H551" s="51">
        <f t="shared" si="1676"/>
        <v>0</v>
      </c>
      <c r="I551" s="51">
        <f t="shared" si="1676"/>
        <v>0</v>
      </c>
      <c r="J551" s="51">
        <f t="shared" si="1676"/>
        <v>0</v>
      </c>
      <c r="K551" s="51">
        <f t="shared" si="1676"/>
        <v>0</v>
      </c>
      <c r="L551" s="51">
        <f t="shared" si="1676"/>
        <v>0</v>
      </c>
      <c r="M551" s="51">
        <f t="shared" si="1676"/>
        <v>0</v>
      </c>
      <c r="N551" s="51">
        <f t="shared" si="1676"/>
        <v>0</v>
      </c>
      <c r="O551" s="51">
        <f t="shared" si="1676"/>
        <v>0</v>
      </c>
      <c r="P551" s="51">
        <f t="shared" si="1676"/>
        <v>0</v>
      </c>
      <c r="Q551" s="51">
        <f t="shared" si="1676"/>
        <v>0</v>
      </c>
      <c r="R551" s="51"/>
      <c r="S551" s="629"/>
      <c r="T551" s="652">
        <f t="shared" si="1676"/>
        <v>0</v>
      </c>
      <c r="U551" s="51"/>
      <c r="V551" s="629"/>
      <c r="W551" s="652">
        <f t="shared" si="1676"/>
        <v>0</v>
      </c>
      <c r="X551" s="51"/>
      <c r="Y551" s="629"/>
      <c r="Z551" s="652">
        <f t="shared" si="1676"/>
        <v>12</v>
      </c>
      <c r="AA551" s="51">
        <f t="shared" si="1676"/>
        <v>94</v>
      </c>
      <c r="AB551" s="629">
        <f t="shared" si="1676"/>
        <v>94</v>
      </c>
      <c r="AC551" s="652">
        <f t="shared" si="1676"/>
        <v>94</v>
      </c>
      <c r="AD551" s="51">
        <f t="shared" si="1676"/>
        <v>120</v>
      </c>
      <c r="AE551" s="629">
        <f t="shared" si="1676"/>
        <v>120</v>
      </c>
      <c r="AF551" s="652">
        <f t="shared" si="1676"/>
        <v>120</v>
      </c>
      <c r="AG551" s="51">
        <f t="shared" ref="AG551:AH551" si="1677">AG392</f>
        <v>146</v>
      </c>
      <c r="AH551" s="629">
        <f t="shared" si="1677"/>
        <v>146</v>
      </c>
      <c r="AI551" s="652">
        <f t="shared" si="1676"/>
        <v>146</v>
      </c>
      <c r="AJ551" s="51">
        <f t="shared" si="1676"/>
        <v>192</v>
      </c>
      <c r="AK551" s="629">
        <f t="shared" ref="AK551" si="1678">AK392</f>
        <v>192</v>
      </c>
      <c r="AL551" s="652">
        <f t="shared" si="1676"/>
        <v>192</v>
      </c>
      <c r="AM551" s="51">
        <f t="shared" ref="AM551:AO551" si="1679">AM392</f>
        <v>216</v>
      </c>
      <c r="AN551" s="629">
        <f t="shared" si="1679"/>
        <v>250</v>
      </c>
      <c r="AO551" s="652">
        <f t="shared" si="1679"/>
        <v>250</v>
      </c>
      <c r="AP551" s="51">
        <f t="shared" ref="AP551:AR551" si="1680">AP392</f>
        <v>276</v>
      </c>
      <c r="AQ551" s="629">
        <f t="shared" si="1680"/>
        <v>310</v>
      </c>
      <c r="AR551" s="652">
        <f t="shared" si="1680"/>
        <v>310</v>
      </c>
      <c r="AS551" s="51">
        <f t="shared" ref="AS551:AT551" si="1681">AS392</f>
        <v>332</v>
      </c>
      <c r="AT551" s="629">
        <f t="shared" si="1681"/>
        <v>378</v>
      </c>
      <c r="AU551" s="652">
        <f>AU392</f>
        <v>378</v>
      </c>
      <c r="AV551" s="51">
        <f t="shared" ref="AV551" si="1682">AV392</f>
        <v>394</v>
      </c>
      <c r="AW551" s="237">
        <f t="shared" ref="AW551:BJ551" si="1683">AW548+AW549+AW550</f>
        <v>435.64705882352939</v>
      </c>
      <c r="AX551" s="576">
        <f t="shared" si="1683"/>
        <v>435.64705882352939</v>
      </c>
      <c r="AY551" s="48">
        <f t="shared" si="1683"/>
        <v>473.14705882352939</v>
      </c>
      <c r="AZ551" s="237">
        <f t="shared" si="1683"/>
        <v>508.29411764705878</v>
      </c>
      <c r="BA551" s="576">
        <f t="shared" si="1683"/>
        <v>508.29411764705878</v>
      </c>
      <c r="BB551" s="48">
        <f t="shared" si="1683"/>
        <v>545.79411764705878</v>
      </c>
      <c r="BC551" s="237">
        <f t="shared" si="1683"/>
        <v>580.94117647058818</v>
      </c>
      <c r="BD551" s="576">
        <f t="shared" si="1683"/>
        <v>580.94117647058818</v>
      </c>
      <c r="BE551" s="48">
        <f t="shared" si="1683"/>
        <v>617.29831932773106</v>
      </c>
      <c r="BF551" s="237">
        <f t="shared" si="1683"/>
        <v>654.79831932773106</v>
      </c>
      <c r="BG551" s="576">
        <f t="shared" si="1683"/>
        <v>654.79831932773106</v>
      </c>
      <c r="BH551" s="48">
        <f t="shared" si="1683"/>
        <v>698.01260504201673</v>
      </c>
      <c r="BI551" s="237">
        <f t="shared" si="1683"/>
        <v>728.65546218487384</v>
      </c>
      <c r="BJ551" s="576">
        <f t="shared" si="1683"/>
        <v>728.65546218487395</v>
      </c>
    </row>
    <row r="552" spans="1:63">
      <c r="A552" s="31" t="s">
        <v>474</v>
      </c>
      <c r="B552" s="31"/>
      <c r="C552" s="51">
        <f>AVERAGE(C548,C551)</f>
        <v>0</v>
      </c>
      <c r="D552" s="51">
        <f t="shared" ref="D552:BJ552" si="1684">AVERAGE(D548,D551)</f>
        <v>0</v>
      </c>
      <c r="E552" s="51">
        <f t="shared" si="1684"/>
        <v>0</v>
      </c>
      <c r="F552" s="51">
        <f t="shared" si="1684"/>
        <v>0</v>
      </c>
      <c r="G552" s="51">
        <f t="shared" si="1684"/>
        <v>0</v>
      </c>
      <c r="H552" s="51">
        <f t="shared" si="1684"/>
        <v>0</v>
      </c>
      <c r="I552" s="51">
        <f t="shared" si="1684"/>
        <v>0</v>
      </c>
      <c r="J552" s="51">
        <f t="shared" si="1684"/>
        <v>0</v>
      </c>
      <c r="K552" s="51">
        <f t="shared" si="1684"/>
        <v>0</v>
      </c>
      <c r="L552" s="51">
        <f t="shared" si="1684"/>
        <v>0</v>
      </c>
      <c r="M552" s="51">
        <f t="shared" si="1684"/>
        <v>0</v>
      </c>
      <c r="N552" s="51">
        <f t="shared" si="1684"/>
        <v>0</v>
      </c>
      <c r="O552" s="51">
        <f t="shared" si="1684"/>
        <v>0</v>
      </c>
      <c r="P552" s="51">
        <f t="shared" si="1684"/>
        <v>0</v>
      </c>
      <c r="Q552" s="51">
        <f t="shared" si="1684"/>
        <v>0</v>
      </c>
      <c r="R552" s="51"/>
      <c r="S552" s="629"/>
      <c r="T552" s="652">
        <f t="shared" si="1684"/>
        <v>0</v>
      </c>
      <c r="U552" s="51"/>
      <c r="V552" s="629"/>
      <c r="W552" s="652">
        <f>AVERAGE(W548,W551)</f>
        <v>0</v>
      </c>
      <c r="X552" s="51"/>
      <c r="Y552" s="629"/>
      <c r="Z552" s="652">
        <f>AVERAGE(Z548,Z551)</f>
        <v>6</v>
      </c>
      <c r="AA552" s="51">
        <f t="shared" ref="AA552:AB552" si="1685">AVERAGE(AA548,AA551)</f>
        <v>53</v>
      </c>
      <c r="AB552" s="629">
        <f t="shared" si="1685"/>
        <v>94</v>
      </c>
      <c r="AC552" s="652">
        <f>AVERAGE(AC548,AC551)</f>
        <v>53</v>
      </c>
      <c r="AD552" s="51">
        <f t="shared" ref="AD552:AE552" si="1686">AVERAGE(AD548,AD551)</f>
        <v>107</v>
      </c>
      <c r="AE552" s="629">
        <f t="shared" si="1686"/>
        <v>120</v>
      </c>
      <c r="AF552" s="652">
        <f>AVERAGE(AF548,AF551)</f>
        <v>107</v>
      </c>
      <c r="AG552" s="51">
        <f t="shared" ref="AG552:AH552" si="1687">AVERAGE(AG548,AG551)</f>
        <v>133</v>
      </c>
      <c r="AH552" s="629">
        <f t="shared" si="1687"/>
        <v>146</v>
      </c>
      <c r="AI552" s="652">
        <f>AVERAGE(AI548,AI551)</f>
        <v>133</v>
      </c>
      <c r="AJ552" s="51">
        <f t="shared" ref="AJ552:AK552" si="1688">AVERAGE(AJ548,AJ551)</f>
        <v>169</v>
      </c>
      <c r="AK552" s="629">
        <f t="shared" si="1688"/>
        <v>192</v>
      </c>
      <c r="AL552" s="652">
        <f t="shared" si="1684"/>
        <v>169</v>
      </c>
      <c r="AM552" s="51">
        <f t="shared" ref="AM552:AO552" si="1689">AVERAGE(AM548,AM551)</f>
        <v>204</v>
      </c>
      <c r="AN552" s="629">
        <f t="shared" si="1689"/>
        <v>233</v>
      </c>
      <c r="AO552" s="652">
        <f t="shared" si="1689"/>
        <v>221</v>
      </c>
      <c r="AP552" s="27">
        <f t="shared" ref="AP552:AR552" si="1690">AVERAGE(AP548,AP551)</f>
        <v>263</v>
      </c>
      <c r="AQ552" s="629">
        <f t="shared" si="1690"/>
        <v>293</v>
      </c>
      <c r="AR552" s="652">
        <f t="shared" si="1690"/>
        <v>280</v>
      </c>
      <c r="AS552" s="27">
        <f t="shared" ref="AS552:AU552" si="1691">AVERAGE(AS548,AS551)</f>
        <v>321</v>
      </c>
      <c r="AT552" s="629">
        <f t="shared" si="1691"/>
        <v>355</v>
      </c>
      <c r="AU552" s="652">
        <f t="shared" si="1691"/>
        <v>344</v>
      </c>
      <c r="AV552" s="27">
        <f t="shared" ref="AV552" si="1692">AVERAGE(AV548,AV551)</f>
        <v>386</v>
      </c>
      <c r="AW552" s="237">
        <f t="shared" si="1684"/>
        <v>414.8235294117647</v>
      </c>
      <c r="AX552" s="576">
        <f t="shared" si="1684"/>
        <v>406.8235294117647</v>
      </c>
      <c r="AY552" s="48">
        <f t="shared" si="1684"/>
        <v>454.39705882352939</v>
      </c>
      <c r="AZ552" s="237">
        <f t="shared" si="1684"/>
        <v>490.72058823529409</v>
      </c>
      <c r="BA552" s="576">
        <f t="shared" si="1684"/>
        <v>471.97058823529409</v>
      </c>
      <c r="BB552" s="48">
        <f t="shared" si="1684"/>
        <v>527.04411764705878</v>
      </c>
      <c r="BC552" s="237">
        <f t="shared" si="1684"/>
        <v>563.36764705882342</v>
      </c>
      <c r="BD552" s="576">
        <f t="shared" si="1684"/>
        <v>544.61764705882342</v>
      </c>
      <c r="BE552" s="48">
        <f t="shared" si="1684"/>
        <v>599.11974789915962</v>
      </c>
      <c r="BF552" s="237">
        <f t="shared" si="1684"/>
        <v>636.04831932773106</v>
      </c>
      <c r="BG552" s="576">
        <f t="shared" si="1684"/>
        <v>617.86974789915962</v>
      </c>
      <c r="BH552" s="48">
        <f t="shared" si="1684"/>
        <v>676.40546218487384</v>
      </c>
      <c r="BI552" s="237">
        <f t="shared" si="1684"/>
        <v>713.33403361344529</v>
      </c>
      <c r="BJ552" s="576">
        <f t="shared" si="1684"/>
        <v>691.72689075630251</v>
      </c>
    </row>
    <row r="553" spans="1:63">
      <c r="A553" s="31"/>
      <c r="B553" s="31"/>
      <c r="C553" s="51"/>
      <c r="D553" s="51"/>
      <c r="E553" s="51"/>
      <c r="F553" s="51"/>
      <c r="G553" s="51"/>
      <c r="H553" s="51"/>
      <c r="I553" s="51"/>
      <c r="J553" s="51"/>
      <c r="K553" s="51"/>
      <c r="L553" s="51"/>
      <c r="M553" s="51"/>
      <c r="N553" s="51"/>
      <c r="O553" s="51"/>
      <c r="P553" s="51"/>
      <c r="Q553" s="51"/>
      <c r="R553" s="51"/>
      <c r="S553" s="629"/>
      <c r="T553" s="652"/>
      <c r="U553" s="51"/>
      <c r="V553" s="629"/>
      <c r="W553" s="652"/>
      <c r="X553" s="51"/>
      <c r="Y553" s="629"/>
      <c r="Z553" s="652"/>
      <c r="AA553" s="51"/>
      <c r="AB553" s="629"/>
      <c r="AC553" s="652"/>
      <c r="AD553" s="51"/>
      <c r="AE553" s="629"/>
      <c r="AF553" s="652"/>
      <c r="AG553" s="51"/>
      <c r="AH553" s="629"/>
      <c r="AI553" s="652"/>
      <c r="AJ553" s="51"/>
      <c r="AK553" s="629"/>
      <c r="AL553" s="652"/>
      <c r="AM553" s="51"/>
      <c r="AN553" s="629"/>
      <c r="AO553" s="652"/>
      <c r="AP553" s="48"/>
      <c r="AQ553" s="629"/>
      <c r="AR553" s="652"/>
      <c r="AS553" s="48"/>
      <c r="AT553" s="237"/>
      <c r="AU553" s="576"/>
      <c r="AV553" s="48"/>
      <c r="AW553" s="237"/>
      <c r="AX553" s="576"/>
      <c r="AY553" s="48"/>
      <c r="AZ553" s="237"/>
      <c r="BA553" s="576"/>
      <c r="BB553" s="48"/>
      <c r="BC553" s="237"/>
      <c r="BD553" s="576"/>
      <c r="BE553" s="48"/>
      <c r="BF553" s="237"/>
      <c r="BG553" s="576"/>
      <c r="BH553" s="48"/>
      <c r="BI553" s="237"/>
      <c r="BJ553" s="576"/>
    </row>
    <row r="554" spans="1:63">
      <c r="A554" s="31" t="s">
        <v>924</v>
      </c>
      <c r="D554" s="31"/>
      <c r="E554" s="31"/>
      <c r="F554" s="31"/>
      <c r="G554" s="31"/>
      <c r="H554" s="31"/>
      <c r="I554" s="31"/>
      <c r="J554" s="31"/>
      <c r="K554" s="31"/>
      <c r="L554" s="31"/>
      <c r="M554" s="31"/>
      <c r="N554" s="31"/>
      <c r="O554" s="31"/>
      <c r="P554" s="31"/>
      <c r="Q554" s="31"/>
      <c r="R554" s="31"/>
      <c r="S554" s="793"/>
      <c r="T554" s="824"/>
      <c r="U554" s="31"/>
      <c r="V554" s="793"/>
      <c r="W554" s="824"/>
      <c r="X554" s="31"/>
      <c r="Y554" s="793"/>
      <c r="Z554" s="824"/>
      <c r="AA554" s="31"/>
      <c r="AB554" s="793"/>
      <c r="AC554" s="824"/>
      <c r="AD554" s="31"/>
      <c r="AE554" s="793"/>
      <c r="AF554" s="824"/>
      <c r="AG554" s="31"/>
      <c r="AH554" s="793"/>
      <c r="AI554" s="824"/>
      <c r="AJ554" s="31"/>
      <c r="AK554" s="793"/>
      <c r="AL554" s="824">
        <f>AL533+AL539+AL551+AL545</f>
        <v>1910</v>
      </c>
      <c r="AM554" s="31"/>
      <c r="AN554" s="541"/>
      <c r="AO554" s="824">
        <f>AO533+AO539+AO551+AO545</f>
        <v>2142</v>
      </c>
      <c r="AP554" s="2"/>
      <c r="AQ554" s="541"/>
      <c r="AR554" s="824">
        <f>AR533+AR539+AR551+AR545</f>
        <v>2328</v>
      </c>
      <c r="AS554" s="2"/>
      <c r="AT554" s="541"/>
      <c r="AU554" s="578"/>
      <c r="AV554" s="2"/>
      <c r="AW554" s="541"/>
      <c r="AX554" s="578"/>
      <c r="AY554" s="2"/>
      <c r="AZ554" s="541"/>
      <c r="BA554" s="576">
        <f>BA533+BA539+BA551+BA545</f>
        <v>3082.7208125560801</v>
      </c>
      <c r="BB554" s="2"/>
      <c r="BC554" s="541"/>
      <c r="BD554" s="578"/>
      <c r="BE554" s="2"/>
      <c r="BF554" s="541"/>
      <c r="BG554" s="578"/>
      <c r="BH554" s="2"/>
      <c r="BI554" s="541"/>
      <c r="BJ554" s="576">
        <f>BJ533+BJ539+BJ551+BJ545</f>
        <v>4084.7208125560801</v>
      </c>
      <c r="BK554" s="182">
        <f>(BJ554/AL554)^(1/8)-1</f>
        <v>9.9679493081871851E-2</v>
      </c>
    </row>
    <row r="555" spans="1:63">
      <c r="A555" s="500"/>
      <c r="B555" s="495"/>
      <c r="C555" s="496"/>
      <c r="D555" s="501"/>
      <c r="E555" s="501"/>
      <c r="F555" s="501"/>
      <c r="G555" s="501"/>
      <c r="H555" s="501"/>
      <c r="I555" s="501"/>
      <c r="J555" s="501"/>
      <c r="K555" s="501"/>
      <c r="L555" s="501"/>
      <c r="M555" s="501"/>
      <c r="N555" s="501"/>
      <c r="O555" s="501"/>
      <c r="P555" s="501"/>
      <c r="Q555" s="501"/>
      <c r="R555" s="501"/>
      <c r="S555" s="881"/>
      <c r="T555" s="905"/>
      <c r="U555" s="501"/>
      <c r="V555" s="881"/>
      <c r="W555" s="905"/>
      <c r="X555" s="501"/>
      <c r="Y555" s="881"/>
      <c r="Z555" s="905"/>
      <c r="AA555" s="501"/>
      <c r="AB555" s="881"/>
      <c r="AC555" s="905"/>
      <c r="AD555" s="501"/>
      <c r="AE555" s="881"/>
      <c r="AF555" s="905"/>
      <c r="AG555" s="501"/>
      <c r="AH555" s="881"/>
      <c r="AI555" s="905"/>
      <c r="AJ555" s="501"/>
      <c r="AK555" s="881"/>
      <c r="AL555" s="905"/>
      <c r="AM555" s="501"/>
      <c r="AN555" s="820"/>
      <c r="AO555" s="853"/>
      <c r="AP555" s="502"/>
      <c r="AQ555" s="820"/>
      <c r="AR555" s="853"/>
      <c r="AS555" s="502"/>
      <c r="AT555" s="820"/>
      <c r="AU555" s="853"/>
      <c r="AV555" s="502"/>
      <c r="AW555" s="820"/>
      <c r="AX555" s="853"/>
      <c r="AY555" s="502"/>
      <c r="AZ555" s="820"/>
      <c r="BA555" s="853"/>
      <c r="BB555" s="502"/>
      <c r="BC555" s="820"/>
      <c r="BD555" s="853"/>
      <c r="BE555" s="502"/>
      <c r="BF555" s="820"/>
      <c r="BG555" s="853"/>
      <c r="BH555" s="502"/>
      <c r="BI555" s="820"/>
      <c r="BJ555" s="853"/>
    </row>
    <row r="556" spans="1:63">
      <c r="A556" s="31"/>
      <c r="C556" s="40"/>
      <c r="D556" s="51"/>
      <c r="E556" s="51"/>
      <c r="F556" s="51"/>
      <c r="G556" s="51"/>
      <c r="H556" s="51"/>
      <c r="I556" s="51"/>
      <c r="J556" s="51"/>
      <c r="K556" s="51"/>
      <c r="L556" s="51"/>
      <c r="M556" s="51"/>
      <c r="N556" s="51"/>
      <c r="O556" s="51"/>
      <c r="P556" s="51"/>
      <c r="Q556" s="51"/>
      <c r="R556" s="51"/>
      <c r="S556" s="629"/>
      <c r="T556" s="652"/>
      <c r="U556" s="51"/>
      <c r="V556" s="629"/>
      <c r="W556" s="652"/>
      <c r="X556" s="51"/>
      <c r="Y556" s="629"/>
      <c r="Z556" s="652"/>
      <c r="AA556" s="51"/>
      <c r="AB556" s="629"/>
      <c r="AC556" s="652"/>
      <c r="AD556" s="51"/>
      <c r="AE556" s="629"/>
      <c r="AF556" s="652"/>
      <c r="AG556" s="51"/>
      <c r="AH556" s="629"/>
      <c r="AI556" s="652"/>
      <c r="AJ556" s="51"/>
      <c r="AK556" s="629"/>
      <c r="AL556" s="652"/>
      <c r="AM556" s="51"/>
      <c r="AN556" s="541"/>
      <c r="AO556" s="578"/>
      <c r="AP556" s="2"/>
      <c r="AQ556" s="541"/>
      <c r="AR556" s="578"/>
      <c r="AS556" s="2"/>
      <c r="AT556" s="541"/>
      <c r="AU556" s="578"/>
      <c r="AV556" s="2"/>
      <c r="AW556" s="541"/>
      <c r="AX556" s="578"/>
      <c r="AY556" s="2"/>
      <c r="AZ556" s="541"/>
      <c r="BA556" s="578"/>
      <c r="BB556" s="2"/>
      <c r="BC556" s="541"/>
      <c r="BD556" s="578"/>
      <c r="BE556" s="2"/>
      <c r="BF556" s="541"/>
      <c r="BG556" s="578"/>
      <c r="BH556" s="2"/>
      <c r="BI556" s="541"/>
      <c r="BJ556" s="578"/>
    </row>
    <row r="557" spans="1:63">
      <c r="A557" s="25" t="s">
        <v>530</v>
      </c>
      <c r="C557" s="40">
        <f t="shared" ref="C557:Q557" si="1693">B395</f>
        <v>1472</v>
      </c>
      <c r="D557" s="40">
        <f t="shared" si="1693"/>
        <v>1442</v>
      </c>
      <c r="E557" s="40">
        <f t="shared" si="1693"/>
        <v>1408</v>
      </c>
      <c r="F557" s="40">
        <f t="shared" si="1693"/>
        <v>1376</v>
      </c>
      <c r="G557" s="40">
        <f t="shared" si="1693"/>
        <v>1342</v>
      </c>
      <c r="H557" s="40">
        <f t="shared" si="1693"/>
        <v>1246</v>
      </c>
      <c r="I557" s="40">
        <f t="shared" si="1693"/>
        <v>1204</v>
      </c>
      <c r="J557" s="40">
        <f t="shared" si="1693"/>
        <v>1158</v>
      </c>
      <c r="K557" s="40">
        <f t="shared" si="1693"/>
        <v>1132</v>
      </c>
      <c r="L557" s="40">
        <f t="shared" si="1693"/>
        <v>1056</v>
      </c>
      <c r="M557" s="40">
        <f t="shared" si="1693"/>
        <v>1000</v>
      </c>
      <c r="N557" s="40">
        <f t="shared" si="1693"/>
        <v>892</v>
      </c>
      <c r="O557" s="40">
        <f t="shared" si="1693"/>
        <v>848</v>
      </c>
      <c r="P557" s="40">
        <f t="shared" si="1693"/>
        <v>768</v>
      </c>
      <c r="Q557" s="40">
        <f t="shared" si="1693"/>
        <v>690</v>
      </c>
      <c r="R557" s="40"/>
      <c r="S557" s="630"/>
      <c r="T557" s="653">
        <f>Q395</f>
        <v>590</v>
      </c>
      <c r="U557" s="40"/>
      <c r="V557" s="630"/>
      <c r="W557" s="653">
        <f>T395</f>
        <v>516</v>
      </c>
      <c r="X557" s="40"/>
      <c r="Y557" s="630"/>
      <c r="Z557" s="653">
        <f>W395</f>
        <v>434</v>
      </c>
      <c r="AA557" s="40">
        <f>Z560</f>
        <v>392</v>
      </c>
      <c r="AB557" s="630">
        <f>AA560</f>
        <v>361</v>
      </c>
      <c r="AC557" s="653">
        <f>Z395</f>
        <v>392</v>
      </c>
      <c r="AD557" s="40">
        <f>AC560</f>
        <v>330</v>
      </c>
      <c r="AE557" s="630">
        <f>AD560</f>
        <v>307</v>
      </c>
      <c r="AF557" s="653">
        <f>AC395</f>
        <v>330</v>
      </c>
      <c r="AG557" s="40">
        <f>AF560</f>
        <v>284</v>
      </c>
      <c r="AH557" s="630">
        <f>AG560</f>
        <v>278</v>
      </c>
      <c r="AI557" s="653">
        <f>AF395</f>
        <v>284</v>
      </c>
      <c r="AJ557" s="40">
        <f>AI560</f>
        <v>272</v>
      </c>
      <c r="AK557" s="630">
        <f>AJ560</f>
        <v>266.5</v>
      </c>
      <c r="AL557" s="653">
        <f t="shared" ref="AL557" si="1694">AI560</f>
        <v>272</v>
      </c>
      <c r="AM557" s="40">
        <f>AL560</f>
        <v>261</v>
      </c>
      <c r="AN557" s="630">
        <f>AM560</f>
        <v>251</v>
      </c>
      <c r="AO557" s="653">
        <f t="shared" ref="AO557" si="1695">AL560</f>
        <v>261</v>
      </c>
      <c r="AP557" s="10">
        <f>AO560</f>
        <v>250</v>
      </c>
      <c r="AQ557" s="630">
        <f>AP560</f>
        <v>240</v>
      </c>
      <c r="AR557" s="653">
        <f t="shared" ref="AR557" si="1696">AO560</f>
        <v>250</v>
      </c>
      <c r="AS557" s="10">
        <f>AR560</f>
        <v>239</v>
      </c>
      <c r="AT557" s="630">
        <f>AS560</f>
        <v>233.5</v>
      </c>
      <c r="AU557" s="653">
        <f t="shared" ref="AU557" si="1697">AR560</f>
        <v>239</v>
      </c>
      <c r="AV557" s="10">
        <f>AU560</f>
        <v>228</v>
      </c>
      <c r="AW557" s="236">
        <f>AV560</f>
        <v>223</v>
      </c>
      <c r="AX557" s="605">
        <f>AU560</f>
        <v>228</v>
      </c>
      <c r="AY557" s="56">
        <f>AX560</f>
        <v>218</v>
      </c>
      <c r="AZ557" s="236">
        <f>AY560</f>
        <v>213</v>
      </c>
      <c r="BA557" s="605">
        <f>AX560</f>
        <v>218</v>
      </c>
      <c r="BB557" s="56">
        <f>BA560</f>
        <v>208</v>
      </c>
      <c r="BC557" s="236">
        <f>BB560</f>
        <v>203</v>
      </c>
      <c r="BD557" s="605">
        <f>BA560</f>
        <v>208</v>
      </c>
      <c r="BE557" s="56">
        <f>BD560</f>
        <v>198</v>
      </c>
      <c r="BF557" s="236">
        <f>BE560</f>
        <v>193</v>
      </c>
      <c r="BG557" s="605">
        <f>BD560</f>
        <v>198</v>
      </c>
      <c r="BH557" s="56">
        <f>BG560</f>
        <v>188</v>
      </c>
      <c r="BI557" s="236">
        <f>BH560</f>
        <v>183</v>
      </c>
      <c r="BJ557" s="605">
        <f>BG560</f>
        <v>188</v>
      </c>
    </row>
    <row r="558" spans="1:63">
      <c r="A558" s="25" t="s">
        <v>458</v>
      </c>
      <c r="C558" s="40">
        <f>'Civil OE'!C88</f>
        <v>0</v>
      </c>
      <c r="D558" s="40">
        <f>'Civil OE'!D88</f>
        <v>0</v>
      </c>
      <c r="E558" s="40">
        <f>'Civil OE'!E88</f>
        <v>0</v>
      </c>
      <c r="F558" s="40">
        <f>'Civil OE'!F88</f>
        <v>0</v>
      </c>
      <c r="G558" s="40">
        <f>'Civil OE'!G88</f>
        <v>0</v>
      </c>
      <c r="H558" s="40">
        <f>'Civil OE'!H88</f>
        <v>0</v>
      </c>
      <c r="I558" s="40">
        <f>'Civil OE'!I88</f>
        <v>0</v>
      </c>
      <c r="J558" s="40">
        <f>'Civil OE'!J88</f>
        <v>0</v>
      </c>
      <c r="K558" s="40">
        <f>'Civil OE'!K88</f>
        <v>0</v>
      </c>
      <c r="L558" s="40">
        <f>'Civil OE'!L88</f>
        <v>0</v>
      </c>
      <c r="M558" s="40">
        <f>'Civil OE'!M88</f>
        <v>0</v>
      </c>
      <c r="N558" s="40">
        <f>'Civil OE'!N88</f>
        <v>0</v>
      </c>
      <c r="O558" s="40">
        <f>'Civil OE'!O88</f>
        <v>0</v>
      </c>
      <c r="P558" s="40">
        <f>'Civil OE'!P88</f>
        <v>0</v>
      </c>
      <c r="Q558" s="40">
        <f>'Civil OE'!Q88</f>
        <v>0</v>
      </c>
      <c r="R558" s="40"/>
      <c r="S558" s="630"/>
      <c r="T558" s="653">
        <f>'Civil OE'!T88</f>
        <v>0</v>
      </c>
      <c r="U558" s="40"/>
      <c r="V558" s="630"/>
      <c r="W558" s="653">
        <f>'Civil OE'!W88</f>
        <v>0</v>
      </c>
      <c r="X558" s="40"/>
      <c r="Y558" s="630"/>
      <c r="Z558" s="653">
        <f>'Civil OE'!Z88</f>
        <v>0</v>
      </c>
      <c r="AA558" s="40">
        <f>'Civil OE'!AA88</f>
        <v>0</v>
      </c>
      <c r="AB558" s="630">
        <f>'Civil OE'!AB88</f>
        <v>0</v>
      </c>
      <c r="AC558" s="653">
        <f>'Civil OE'!AC88</f>
        <v>0</v>
      </c>
      <c r="AD558" s="40">
        <f>'Civil OE'!AD88</f>
        <v>0</v>
      </c>
      <c r="AE558" s="630">
        <f>'Civil OE'!AE88</f>
        <v>0</v>
      </c>
      <c r="AF558" s="653">
        <f>'Civil OE'!AF88</f>
        <v>0</v>
      </c>
      <c r="AG558" s="40">
        <f>'Civil OE'!AG88</f>
        <v>0</v>
      </c>
      <c r="AH558" s="630">
        <f>'Civil OE'!AH88</f>
        <v>0</v>
      </c>
      <c r="AI558" s="653">
        <f>'Civil OE'!AI88</f>
        <v>0</v>
      </c>
      <c r="AJ558" s="40">
        <f>'Civil OE'!AJ88</f>
        <v>0</v>
      </c>
      <c r="AK558" s="630">
        <f>'Civil OE'!AK88</f>
        <v>0</v>
      </c>
      <c r="AL558" s="653">
        <f>'Civil OE'!AL88</f>
        <v>0</v>
      </c>
      <c r="AM558" s="40">
        <f>'Civil OE'!AM88</f>
        <v>0</v>
      </c>
      <c r="AN558" s="630">
        <f>'Civil OE'!AN88</f>
        <v>0</v>
      </c>
      <c r="AO558" s="653">
        <f>'Civil OE'!AO88</f>
        <v>0</v>
      </c>
      <c r="AP558" s="10">
        <f>'Civil OE'!AP88</f>
        <v>0</v>
      </c>
      <c r="AQ558" s="630">
        <f>'Civil OE'!AQ88</f>
        <v>0</v>
      </c>
      <c r="AR558" s="653">
        <f>'Civil OE'!AR88</f>
        <v>0</v>
      </c>
      <c r="AS558" s="10">
        <f>'Civil OE'!AS88</f>
        <v>0</v>
      </c>
      <c r="AT558" s="630">
        <f>'Civil OE'!AT88</f>
        <v>0</v>
      </c>
      <c r="AU558" s="653">
        <f>'Civil OE'!AU88</f>
        <v>0</v>
      </c>
      <c r="AV558" s="10">
        <f>'Civil OE'!AV88</f>
        <v>0</v>
      </c>
      <c r="AW558" s="236">
        <f>'Civil OE'!AW88</f>
        <v>0</v>
      </c>
      <c r="AX558" s="605">
        <f>'Civil OE'!AX88</f>
        <v>0</v>
      </c>
      <c r="AY558" s="56">
        <f>'Civil OE'!AY88</f>
        <v>0</v>
      </c>
      <c r="AZ558" s="236">
        <f>'Civil OE'!AZ88</f>
        <v>0</v>
      </c>
      <c r="BA558" s="605">
        <f>'Civil OE'!BA88</f>
        <v>0</v>
      </c>
      <c r="BB558" s="56">
        <f>'Civil OE'!BB88</f>
        <v>0</v>
      </c>
      <c r="BC558" s="236">
        <f>'Civil OE'!BC88</f>
        <v>0</v>
      </c>
      <c r="BD558" s="605">
        <f>'Civil OE'!BD88</f>
        <v>0</v>
      </c>
      <c r="BE558" s="56">
        <f>'Civil OE'!BE88</f>
        <v>0</v>
      </c>
      <c r="BF558" s="236">
        <f>'Civil OE'!BF88</f>
        <v>0</v>
      </c>
      <c r="BG558" s="605">
        <f>'Civil OE'!BG88</f>
        <v>0</v>
      </c>
      <c r="BH558" s="56">
        <f>'Civil OE'!BH88</f>
        <v>0</v>
      </c>
      <c r="BI558" s="236">
        <f>'Civil OE'!BI88</f>
        <v>0</v>
      </c>
      <c r="BJ558" s="605">
        <f>'Civil OE'!BJ88</f>
        <v>0</v>
      </c>
    </row>
    <row r="559" spans="1:63">
      <c r="A559" s="25" t="s">
        <v>459</v>
      </c>
      <c r="C559" s="40">
        <f>C560-C558-C557</f>
        <v>-30</v>
      </c>
      <c r="D559" s="40">
        <f t="shared" ref="D559:T559" si="1698">D560-D558-D557</f>
        <v>-34</v>
      </c>
      <c r="E559" s="40">
        <f t="shared" si="1698"/>
        <v>-32</v>
      </c>
      <c r="F559" s="40">
        <f t="shared" si="1698"/>
        <v>-34</v>
      </c>
      <c r="G559" s="40">
        <f t="shared" si="1698"/>
        <v>-96</v>
      </c>
      <c r="H559" s="40">
        <f t="shared" si="1698"/>
        <v>-42</v>
      </c>
      <c r="I559" s="40">
        <f t="shared" si="1698"/>
        <v>-46</v>
      </c>
      <c r="J559" s="40">
        <f t="shared" si="1698"/>
        <v>-26</v>
      </c>
      <c r="K559" s="40">
        <f t="shared" si="1698"/>
        <v>-76</v>
      </c>
      <c r="L559" s="40">
        <f t="shared" si="1698"/>
        <v>-56</v>
      </c>
      <c r="M559" s="40">
        <f t="shared" si="1698"/>
        <v>-108</v>
      </c>
      <c r="N559" s="40">
        <f t="shared" si="1698"/>
        <v>-44</v>
      </c>
      <c r="O559" s="40">
        <f t="shared" si="1698"/>
        <v>-80</v>
      </c>
      <c r="P559" s="40">
        <f t="shared" si="1698"/>
        <v>-78</v>
      </c>
      <c r="Q559" s="40">
        <f t="shared" si="1698"/>
        <v>-100</v>
      </c>
      <c r="R559" s="40"/>
      <c r="S559" s="630"/>
      <c r="T559" s="653">
        <f t="shared" si="1698"/>
        <v>-74</v>
      </c>
      <c r="U559" s="40"/>
      <c r="V559" s="630"/>
      <c r="W559" s="653">
        <f>W560-W558-W557</f>
        <v>-82</v>
      </c>
      <c r="X559" s="40"/>
      <c r="Y559" s="630"/>
      <c r="Z559" s="653">
        <f>Z560-Z558-Z557</f>
        <v>-42</v>
      </c>
      <c r="AA559" s="40">
        <f>AC559/2</f>
        <v>-31</v>
      </c>
      <c r="AB559" s="630">
        <f>AC559-AA559</f>
        <v>-31</v>
      </c>
      <c r="AC559" s="653">
        <f>AC560-AC558-AC557</f>
        <v>-62</v>
      </c>
      <c r="AD559" s="40">
        <f>AF559/2</f>
        <v>-23</v>
      </c>
      <c r="AE559" s="630">
        <f>AF559-AD559</f>
        <v>-23</v>
      </c>
      <c r="AF559" s="653">
        <f>AF560-AF558-AF557</f>
        <v>-46</v>
      </c>
      <c r="AG559" s="40">
        <f>AI559/2</f>
        <v>-6</v>
      </c>
      <c r="AH559" s="630">
        <f>AI559-AG559</f>
        <v>-6</v>
      </c>
      <c r="AI559" s="653">
        <f>AI560-AI558-AI557</f>
        <v>-12</v>
      </c>
      <c r="AJ559" s="40">
        <f>AL559/2</f>
        <v>-5.5</v>
      </c>
      <c r="AK559" s="630">
        <f>AL559-AJ559</f>
        <v>-5.5</v>
      </c>
      <c r="AL559" s="653">
        <f>ROUND(AI559/AI557*AI560,0)</f>
        <v>-11</v>
      </c>
      <c r="AM559" s="40">
        <v>-10</v>
      </c>
      <c r="AN559" s="630">
        <f>AO559-AM559</f>
        <v>-1</v>
      </c>
      <c r="AO559" s="653">
        <f>ROUND(AL559/AL557*AL560,0)</f>
        <v>-11</v>
      </c>
      <c r="AP559" s="40">
        <v>-10</v>
      </c>
      <c r="AQ559" s="630">
        <f>AR559-AP559</f>
        <v>-1</v>
      </c>
      <c r="AR559" s="653">
        <f>ROUND(AO559/AO557*AO560,0)</f>
        <v>-11</v>
      </c>
      <c r="AS559" s="40">
        <f>AU559/2</f>
        <v>-5.5</v>
      </c>
      <c r="AT559" s="630">
        <f>AU559-AS559</f>
        <v>-5.5</v>
      </c>
      <c r="AU559" s="653">
        <f>ROUND(AR559/AR557*AR560,0)</f>
        <v>-11</v>
      </c>
      <c r="AV559" s="40">
        <f>AX559/2</f>
        <v>-5</v>
      </c>
      <c r="AW559" s="236">
        <f>AX559-AV559</f>
        <v>-5</v>
      </c>
      <c r="AX559" s="580">
        <v>-10</v>
      </c>
      <c r="AY559" s="56">
        <f>BA559/2</f>
        <v>-5</v>
      </c>
      <c r="AZ559" s="236">
        <f>BA559-AY559</f>
        <v>-5</v>
      </c>
      <c r="BA559" s="605">
        <f>AX559</f>
        <v>-10</v>
      </c>
      <c r="BB559" s="56">
        <f>BD559/2</f>
        <v>-5</v>
      </c>
      <c r="BC559" s="236">
        <f>BD559-BB559</f>
        <v>-5</v>
      </c>
      <c r="BD559" s="605">
        <f>BA559</f>
        <v>-10</v>
      </c>
      <c r="BE559" s="56">
        <f>BG559/2</f>
        <v>-5</v>
      </c>
      <c r="BF559" s="236">
        <f>BG559-BE559</f>
        <v>-5</v>
      </c>
      <c r="BG559" s="605">
        <f>BD559</f>
        <v>-10</v>
      </c>
      <c r="BH559" s="56">
        <f>BJ559/2</f>
        <v>-5</v>
      </c>
      <c r="BI559" s="236">
        <f>BJ559-BH559</f>
        <v>-5</v>
      </c>
      <c r="BJ559" s="605">
        <f t="shared" ref="BJ559" si="1699">BG559</f>
        <v>-10</v>
      </c>
    </row>
    <row r="560" spans="1:63">
      <c r="A560" s="31" t="s">
        <v>531</v>
      </c>
      <c r="B560" s="31">
        <f t="shared" ref="B560:AI560" si="1700">B395</f>
        <v>1472</v>
      </c>
      <c r="C560" s="51">
        <f t="shared" si="1700"/>
        <v>1442</v>
      </c>
      <c r="D560" s="51">
        <f t="shared" si="1700"/>
        <v>1408</v>
      </c>
      <c r="E560" s="51">
        <f t="shared" si="1700"/>
        <v>1376</v>
      </c>
      <c r="F560" s="51">
        <f t="shared" si="1700"/>
        <v>1342</v>
      </c>
      <c r="G560" s="51">
        <f t="shared" si="1700"/>
        <v>1246</v>
      </c>
      <c r="H560" s="51">
        <f t="shared" si="1700"/>
        <v>1204</v>
      </c>
      <c r="I560" s="51">
        <f t="shared" si="1700"/>
        <v>1158</v>
      </c>
      <c r="J560" s="51">
        <f t="shared" si="1700"/>
        <v>1132</v>
      </c>
      <c r="K560" s="51">
        <f t="shared" si="1700"/>
        <v>1056</v>
      </c>
      <c r="L560" s="51">
        <f t="shared" si="1700"/>
        <v>1000</v>
      </c>
      <c r="M560" s="51">
        <f t="shared" si="1700"/>
        <v>892</v>
      </c>
      <c r="N560" s="51">
        <f t="shared" si="1700"/>
        <v>848</v>
      </c>
      <c r="O560" s="51">
        <f t="shared" si="1700"/>
        <v>768</v>
      </c>
      <c r="P560" s="51">
        <f t="shared" si="1700"/>
        <v>690</v>
      </c>
      <c r="Q560" s="51">
        <f t="shared" si="1700"/>
        <v>590</v>
      </c>
      <c r="R560" s="51"/>
      <c r="S560" s="629"/>
      <c r="T560" s="652">
        <f t="shared" si="1700"/>
        <v>516</v>
      </c>
      <c r="U560" s="51"/>
      <c r="V560" s="629"/>
      <c r="W560" s="652">
        <f t="shared" si="1700"/>
        <v>434</v>
      </c>
      <c r="X560" s="51"/>
      <c r="Y560" s="629"/>
      <c r="Z560" s="652">
        <f t="shared" si="1700"/>
        <v>392</v>
      </c>
      <c r="AA560" s="51">
        <f t="shared" ref="AA560:AB560" si="1701">AA557+AA558+AA559</f>
        <v>361</v>
      </c>
      <c r="AB560" s="629">
        <f t="shared" si="1701"/>
        <v>330</v>
      </c>
      <c r="AC560" s="652">
        <f t="shared" si="1700"/>
        <v>330</v>
      </c>
      <c r="AD560" s="51">
        <f t="shared" ref="AD560:AE560" si="1702">AD557+AD558+AD559</f>
        <v>307</v>
      </c>
      <c r="AE560" s="629">
        <f t="shared" si="1702"/>
        <v>284</v>
      </c>
      <c r="AF560" s="652">
        <f t="shared" si="1700"/>
        <v>284</v>
      </c>
      <c r="AG560" s="51">
        <f t="shared" ref="AG560:AH560" si="1703">AG557+AG558+AG559</f>
        <v>278</v>
      </c>
      <c r="AH560" s="629">
        <f t="shared" si="1703"/>
        <v>272</v>
      </c>
      <c r="AI560" s="652">
        <f t="shared" si="1700"/>
        <v>272</v>
      </c>
      <c r="AJ560" s="51">
        <f t="shared" ref="AJ560:AK560" si="1704">AJ557+AJ558+AJ559</f>
        <v>266.5</v>
      </c>
      <c r="AK560" s="629">
        <f t="shared" si="1704"/>
        <v>261</v>
      </c>
      <c r="AL560" s="652">
        <f t="shared" ref="AL560:BJ560" si="1705">AL557+AL558+AL559</f>
        <v>261</v>
      </c>
      <c r="AM560" s="51">
        <f t="shared" ref="AM560:AO560" si="1706">AM557+AM558+AM559</f>
        <v>251</v>
      </c>
      <c r="AN560" s="629">
        <f t="shared" si="1706"/>
        <v>250</v>
      </c>
      <c r="AO560" s="652">
        <f t="shared" si="1706"/>
        <v>250</v>
      </c>
      <c r="AP560" s="51">
        <f t="shared" ref="AP560:AR560" si="1707">AP557+AP558+AP559</f>
        <v>240</v>
      </c>
      <c r="AQ560" s="629">
        <f t="shared" si="1707"/>
        <v>239</v>
      </c>
      <c r="AR560" s="652">
        <f t="shared" si="1707"/>
        <v>239</v>
      </c>
      <c r="AS560" s="51">
        <f t="shared" ref="AS560:AU560" si="1708">AS557+AS558+AS559</f>
        <v>233.5</v>
      </c>
      <c r="AT560" s="629">
        <f t="shared" si="1708"/>
        <v>228</v>
      </c>
      <c r="AU560" s="652">
        <f t="shared" si="1708"/>
        <v>228</v>
      </c>
      <c r="AV560" s="51">
        <f t="shared" ref="AV560" si="1709">AV557+AV558+AV559</f>
        <v>223</v>
      </c>
      <c r="AW560" s="237">
        <f t="shared" si="1705"/>
        <v>218</v>
      </c>
      <c r="AX560" s="576">
        <f t="shared" si="1705"/>
        <v>218</v>
      </c>
      <c r="AY560" s="48">
        <f t="shared" si="1705"/>
        <v>213</v>
      </c>
      <c r="AZ560" s="237">
        <f t="shared" si="1705"/>
        <v>208</v>
      </c>
      <c r="BA560" s="576">
        <f t="shared" si="1705"/>
        <v>208</v>
      </c>
      <c r="BB560" s="48">
        <f t="shared" si="1705"/>
        <v>203</v>
      </c>
      <c r="BC560" s="237">
        <f t="shared" si="1705"/>
        <v>198</v>
      </c>
      <c r="BD560" s="576">
        <f t="shared" si="1705"/>
        <v>198</v>
      </c>
      <c r="BE560" s="48">
        <f t="shared" si="1705"/>
        <v>193</v>
      </c>
      <c r="BF560" s="237">
        <f t="shared" si="1705"/>
        <v>188</v>
      </c>
      <c r="BG560" s="576">
        <f t="shared" si="1705"/>
        <v>188</v>
      </c>
      <c r="BH560" s="48">
        <f t="shared" si="1705"/>
        <v>183</v>
      </c>
      <c r="BI560" s="237">
        <f t="shared" si="1705"/>
        <v>178</v>
      </c>
      <c r="BJ560" s="576">
        <f t="shared" si="1705"/>
        <v>178</v>
      </c>
    </row>
    <row r="561" spans="1:62">
      <c r="A561" s="31" t="s">
        <v>474</v>
      </c>
      <c r="B561" s="31"/>
      <c r="C561" s="51">
        <f>AVERAGE(C557,C560)</f>
        <v>1457</v>
      </c>
      <c r="D561" s="51">
        <f t="shared" ref="D561:BJ561" si="1710">AVERAGE(D557,D560)</f>
        <v>1425</v>
      </c>
      <c r="E561" s="51">
        <f t="shared" si="1710"/>
        <v>1392</v>
      </c>
      <c r="F561" s="51">
        <f t="shared" si="1710"/>
        <v>1359</v>
      </c>
      <c r="G561" s="51">
        <f t="shared" si="1710"/>
        <v>1294</v>
      </c>
      <c r="H561" s="51">
        <f t="shared" si="1710"/>
        <v>1225</v>
      </c>
      <c r="I561" s="51">
        <f t="shared" si="1710"/>
        <v>1181</v>
      </c>
      <c r="J561" s="51">
        <f t="shared" si="1710"/>
        <v>1145</v>
      </c>
      <c r="K561" s="51">
        <f t="shared" si="1710"/>
        <v>1094</v>
      </c>
      <c r="L561" s="51">
        <f t="shared" si="1710"/>
        <v>1028</v>
      </c>
      <c r="M561" s="51">
        <f t="shared" si="1710"/>
        <v>946</v>
      </c>
      <c r="N561" s="51">
        <f t="shared" si="1710"/>
        <v>870</v>
      </c>
      <c r="O561" s="51">
        <f t="shared" si="1710"/>
        <v>808</v>
      </c>
      <c r="P561" s="51">
        <f t="shared" si="1710"/>
        <v>729</v>
      </c>
      <c r="Q561" s="51">
        <f t="shared" si="1710"/>
        <v>640</v>
      </c>
      <c r="R561" s="51"/>
      <c r="S561" s="629"/>
      <c r="T561" s="652">
        <f t="shared" si="1710"/>
        <v>553</v>
      </c>
      <c r="U561" s="51"/>
      <c r="V561" s="629"/>
      <c r="W561" s="652">
        <f>AVERAGE(W557,W560)</f>
        <v>475</v>
      </c>
      <c r="X561" s="51"/>
      <c r="Y561" s="629"/>
      <c r="Z561" s="652">
        <f>AVERAGE(Z557,Z560)</f>
        <v>413</v>
      </c>
      <c r="AA561" s="51">
        <f t="shared" ref="AA561:AB561" si="1711">AVERAGE(AA557,AA560)</f>
        <v>376.5</v>
      </c>
      <c r="AB561" s="629">
        <f t="shared" si="1711"/>
        <v>345.5</v>
      </c>
      <c r="AC561" s="652">
        <f>AVERAGE(AC557,AC560)</f>
        <v>361</v>
      </c>
      <c r="AD561" s="51">
        <f t="shared" ref="AD561:AE561" si="1712">AVERAGE(AD557,AD560)</f>
        <v>318.5</v>
      </c>
      <c r="AE561" s="629">
        <f t="shared" si="1712"/>
        <v>295.5</v>
      </c>
      <c r="AF561" s="652">
        <f>AVERAGE(AF557,AF560)</f>
        <v>307</v>
      </c>
      <c r="AG561" s="51">
        <f t="shared" ref="AG561:AH561" si="1713">AVERAGE(AG557,AG560)</f>
        <v>281</v>
      </c>
      <c r="AH561" s="629">
        <f t="shared" si="1713"/>
        <v>275</v>
      </c>
      <c r="AI561" s="652">
        <f>AVERAGE(AI557,AI560)</f>
        <v>278</v>
      </c>
      <c r="AJ561" s="51">
        <f t="shared" ref="AJ561:AK561" si="1714">AVERAGE(AJ557,AJ560)</f>
        <v>269.25</v>
      </c>
      <c r="AK561" s="629">
        <f t="shared" si="1714"/>
        <v>263.75</v>
      </c>
      <c r="AL561" s="652">
        <f t="shared" si="1710"/>
        <v>266.5</v>
      </c>
      <c r="AM561" s="51">
        <f t="shared" ref="AM561:AO561" si="1715">AVERAGE(AM557,AM560)</f>
        <v>256</v>
      </c>
      <c r="AN561" s="629">
        <f t="shared" si="1715"/>
        <v>250.5</v>
      </c>
      <c r="AO561" s="652">
        <f t="shared" si="1715"/>
        <v>255.5</v>
      </c>
      <c r="AP561" s="27">
        <f t="shared" ref="AP561:AR561" si="1716">AVERAGE(AP557,AP560)</f>
        <v>245</v>
      </c>
      <c r="AQ561" s="629">
        <f t="shared" si="1716"/>
        <v>239.5</v>
      </c>
      <c r="AR561" s="652">
        <f t="shared" si="1716"/>
        <v>244.5</v>
      </c>
      <c r="AS561" s="27">
        <f t="shared" ref="AS561:AU561" si="1717">AVERAGE(AS557,AS560)</f>
        <v>236.25</v>
      </c>
      <c r="AT561" s="629">
        <f t="shared" si="1717"/>
        <v>230.75</v>
      </c>
      <c r="AU561" s="652">
        <f t="shared" si="1717"/>
        <v>233.5</v>
      </c>
      <c r="AV561" s="27">
        <f t="shared" ref="AV561" si="1718">AVERAGE(AV557,AV560)</f>
        <v>225.5</v>
      </c>
      <c r="AW561" s="237">
        <f t="shared" si="1710"/>
        <v>220.5</v>
      </c>
      <c r="AX561" s="576">
        <f t="shared" si="1710"/>
        <v>223</v>
      </c>
      <c r="AY561" s="48">
        <f t="shared" si="1710"/>
        <v>215.5</v>
      </c>
      <c r="AZ561" s="237">
        <f t="shared" si="1710"/>
        <v>210.5</v>
      </c>
      <c r="BA561" s="576">
        <f t="shared" si="1710"/>
        <v>213</v>
      </c>
      <c r="BB561" s="48">
        <f t="shared" si="1710"/>
        <v>205.5</v>
      </c>
      <c r="BC561" s="237">
        <f t="shared" si="1710"/>
        <v>200.5</v>
      </c>
      <c r="BD561" s="576">
        <f t="shared" si="1710"/>
        <v>203</v>
      </c>
      <c r="BE561" s="48">
        <f t="shared" si="1710"/>
        <v>195.5</v>
      </c>
      <c r="BF561" s="237">
        <f t="shared" si="1710"/>
        <v>190.5</v>
      </c>
      <c r="BG561" s="576">
        <f t="shared" si="1710"/>
        <v>193</v>
      </c>
      <c r="BH561" s="48">
        <f t="shared" si="1710"/>
        <v>185.5</v>
      </c>
      <c r="BI561" s="237">
        <f t="shared" si="1710"/>
        <v>180.5</v>
      </c>
      <c r="BJ561" s="576">
        <f t="shared" si="1710"/>
        <v>183</v>
      </c>
    </row>
    <row r="562" spans="1:62">
      <c r="A562" s="31"/>
      <c r="C562" s="40"/>
      <c r="D562" s="51"/>
      <c r="E562" s="51"/>
      <c r="F562" s="51"/>
      <c r="G562" s="51"/>
      <c r="H562" s="51"/>
      <c r="I562" s="51"/>
      <c r="J562" s="51"/>
      <c r="K562" s="51"/>
      <c r="L562" s="51"/>
      <c r="M562" s="51"/>
      <c r="N562" s="51"/>
      <c r="O562" s="51"/>
      <c r="P562" s="51"/>
      <c r="Q562" s="51"/>
      <c r="R562" s="51"/>
      <c r="S562" s="629"/>
      <c r="T562" s="652"/>
      <c r="U562" s="51"/>
      <c r="V562" s="629"/>
      <c r="W562" s="652"/>
      <c r="X562" s="51"/>
      <c r="Y562" s="629"/>
      <c r="Z562" s="652"/>
      <c r="AA562" s="51"/>
      <c r="AB562" s="629"/>
      <c r="AC562" s="652"/>
      <c r="AD562" s="51"/>
      <c r="AE562" s="629"/>
      <c r="AF562" s="652"/>
      <c r="AG562" s="51"/>
      <c r="AH562" s="629"/>
      <c r="AI562" s="652"/>
      <c r="AJ562" s="51"/>
      <c r="AK562" s="629"/>
      <c r="AL562" s="652"/>
      <c r="AM562" s="51"/>
      <c r="AN562" s="541"/>
      <c r="AO562" s="578"/>
      <c r="AP562" s="2"/>
      <c r="AQ562" s="541"/>
      <c r="AR562" s="578"/>
      <c r="AS562" s="2"/>
      <c r="AT562" s="541"/>
      <c r="AU562" s="578"/>
      <c r="AV562" s="2"/>
      <c r="AW562" s="541"/>
      <c r="AX562" s="578"/>
      <c r="AY562" s="2"/>
      <c r="AZ562" s="541"/>
      <c r="BA562" s="578"/>
      <c r="BB562" s="2"/>
      <c r="BC562" s="541"/>
      <c r="BD562" s="578"/>
      <c r="BE562" s="2"/>
      <c r="BF562" s="541"/>
      <c r="BG562" s="578"/>
      <c r="BH562" s="2"/>
      <c r="BI562" s="541"/>
      <c r="BJ562" s="578"/>
    </row>
    <row r="563" spans="1:62">
      <c r="A563" s="25" t="s">
        <v>532</v>
      </c>
      <c r="C563" s="40">
        <f t="shared" ref="C563:Q563" si="1719">B396</f>
        <v>1640</v>
      </c>
      <c r="D563" s="40">
        <f t="shared" si="1719"/>
        <v>1714</v>
      </c>
      <c r="E563" s="40">
        <f t="shared" si="1719"/>
        <v>1772</v>
      </c>
      <c r="F563" s="40">
        <f t="shared" si="1719"/>
        <v>1830</v>
      </c>
      <c r="G563" s="40">
        <f t="shared" si="1719"/>
        <v>1847</v>
      </c>
      <c r="H563" s="40">
        <f t="shared" si="1719"/>
        <v>1866</v>
      </c>
      <c r="I563" s="40">
        <f t="shared" si="1719"/>
        <v>1890</v>
      </c>
      <c r="J563" s="40">
        <f t="shared" si="1719"/>
        <v>1903</v>
      </c>
      <c r="K563" s="40">
        <f t="shared" si="1719"/>
        <v>1951</v>
      </c>
      <c r="L563" s="40">
        <f t="shared" si="1719"/>
        <v>2017</v>
      </c>
      <c r="M563" s="40">
        <f t="shared" si="1719"/>
        <v>2057</v>
      </c>
      <c r="N563" s="40">
        <f t="shared" si="1719"/>
        <v>2077</v>
      </c>
      <c r="O563" s="40">
        <f t="shared" si="1719"/>
        <v>2119</v>
      </c>
      <c r="P563" s="40">
        <f t="shared" si="1719"/>
        <v>2155</v>
      </c>
      <c r="Q563" s="40">
        <f t="shared" si="1719"/>
        <v>2177</v>
      </c>
      <c r="R563" s="40"/>
      <c r="S563" s="630"/>
      <c r="T563" s="653">
        <f>Q396</f>
        <v>2201</v>
      </c>
      <c r="U563" s="40"/>
      <c r="V563" s="630"/>
      <c r="W563" s="653">
        <f>T396</f>
        <v>2203</v>
      </c>
      <c r="X563" s="40"/>
      <c r="Y563" s="630"/>
      <c r="Z563" s="653">
        <f>W396</f>
        <v>2161</v>
      </c>
      <c r="AA563" s="40">
        <f>Z566</f>
        <v>2111</v>
      </c>
      <c r="AB563" s="630">
        <f>AA566</f>
        <v>2066</v>
      </c>
      <c r="AC563" s="653">
        <f>Z396</f>
        <v>2111</v>
      </c>
      <c r="AD563" s="40">
        <f>AC566</f>
        <v>2066</v>
      </c>
      <c r="AE563" s="630">
        <f>AD566</f>
        <v>2111</v>
      </c>
      <c r="AF563" s="653">
        <f>AC396</f>
        <v>2066</v>
      </c>
      <c r="AG563" s="40">
        <f>AF566</f>
        <v>2111</v>
      </c>
      <c r="AH563" s="630">
        <f>AG566</f>
        <v>1976</v>
      </c>
      <c r="AI563" s="653">
        <f>AF396</f>
        <v>2111</v>
      </c>
      <c r="AJ563" s="40">
        <f>AI566</f>
        <v>1976</v>
      </c>
      <c r="AK563" s="630">
        <f>AJ566</f>
        <v>1966</v>
      </c>
      <c r="AL563" s="653">
        <f t="shared" ref="AL563" si="1720">AI566</f>
        <v>1976</v>
      </c>
      <c r="AM563" s="40">
        <f>AL566</f>
        <v>1966</v>
      </c>
      <c r="AN563" s="630">
        <f>AM566</f>
        <v>1962</v>
      </c>
      <c r="AO563" s="653">
        <f t="shared" ref="AO563" si="1721">AL566</f>
        <v>1966</v>
      </c>
      <c r="AP563" s="10">
        <f>AO566</f>
        <v>1954</v>
      </c>
      <c r="AQ563" s="630">
        <f>AP566</f>
        <v>1942</v>
      </c>
      <c r="AR563" s="653">
        <f t="shared" ref="AR563" si="1722">AO566</f>
        <v>1954</v>
      </c>
      <c r="AS563" s="10">
        <f>AR566</f>
        <v>1926</v>
      </c>
      <c r="AT563" s="630">
        <f>AS566</f>
        <v>1918</v>
      </c>
      <c r="AU563" s="653">
        <f t="shared" ref="AU563" si="1723">AR566</f>
        <v>1926</v>
      </c>
      <c r="AV563" s="10">
        <f>AU566</f>
        <v>1882</v>
      </c>
      <c r="AW563" s="236">
        <f>AV566</f>
        <v>1874</v>
      </c>
      <c r="AX563" s="605">
        <f>AU566</f>
        <v>1882</v>
      </c>
      <c r="AY563" s="56">
        <f>AX566</f>
        <v>1852</v>
      </c>
      <c r="AZ563" s="236">
        <f>AY566</f>
        <v>1837</v>
      </c>
      <c r="BA563" s="605">
        <f>AX566</f>
        <v>1852</v>
      </c>
      <c r="BB563" s="56">
        <f>BA566</f>
        <v>1822</v>
      </c>
      <c r="BC563" s="236">
        <f>BB566</f>
        <v>1807</v>
      </c>
      <c r="BD563" s="605">
        <f>BA566</f>
        <v>1822</v>
      </c>
      <c r="BE563" s="56">
        <f>BD566</f>
        <v>1792</v>
      </c>
      <c r="BF563" s="236">
        <f>BE566</f>
        <v>1777</v>
      </c>
      <c r="BG563" s="605">
        <f>BD566</f>
        <v>1792</v>
      </c>
      <c r="BH563" s="56">
        <f>BG566</f>
        <v>1762</v>
      </c>
      <c r="BI563" s="236">
        <f>BH566</f>
        <v>1747</v>
      </c>
      <c r="BJ563" s="605">
        <f>BG566</f>
        <v>1762</v>
      </c>
    </row>
    <row r="564" spans="1:62">
      <c r="A564" s="25" t="s">
        <v>458</v>
      </c>
      <c r="C564" s="40">
        <f>'Civil OE'!C89</f>
        <v>75</v>
      </c>
      <c r="D564" s="40">
        <f>'Civil OE'!D89</f>
        <v>66</v>
      </c>
      <c r="E564" s="40">
        <f>'Civil OE'!E89</f>
        <v>48</v>
      </c>
      <c r="F564" s="40">
        <f>'Civil OE'!F89</f>
        <v>43</v>
      </c>
      <c r="G564" s="40">
        <f>'Civil OE'!G89</f>
        <v>55</v>
      </c>
      <c r="H564" s="40">
        <f>'Civil OE'!H89</f>
        <v>66</v>
      </c>
      <c r="I564" s="40">
        <f>'Civil OE'!I89</f>
        <v>80</v>
      </c>
      <c r="J564" s="40">
        <f>'Civil OE'!J89</f>
        <v>92</v>
      </c>
      <c r="K564" s="40">
        <f>'Civil OE'!K89</f>
        <v>68</v>
      </c>
      <c r="L564" s="40">
        <f>'Civil OE'!L89</f>
        <v>51</v>
      </c>
      <c r="M564" s="40">
        <f>'Civil OE'!M89</f>
        <v>57</v>
      </c>
      <c r="N564" s="40">
        <f>'Civil OE'!N89</f>
        <v>60</v>
      </c>
      <c r="O564" s="40">
        <f>'Civil OE'!O89</f>
        <v>67</v>
      </c>
      <c r="P564" s="40">
        <f>'Civil OE'!P89</f>
        <v>46</v>
      </c>
      <c r="Q564" s="40">
        <f>'Civil OE'!Q89</f>
        <v>38</v>
      </c>
      <c r="R564" s="40"/>
      <c r="S564" s="630"/>
      <c r="T564" s="653">
        <f>'Civil OE'!T89</f>
        <v>28</v>
      </c>
      <c r="U564" s="40"/>
      <c r="V564" s="630"/>
      <c r="W564" s="653">
        <f>'Civil OE'!W89</f>
        <v>2</v>
      </c>
      <c r="X564" s="40"/>
      <c r="Y564" s="630"/>
      <c r="Z564" s="653">
        <f>'Civil OE'!Z89</f>
        <v>0</v>
      </c>
      <c r="AA564" s="40">
        <f>'Civil OE'!AA89</f>
        <v>0</v>
      </c>
      <c r="AB564" s="630">
        <f>'Civil OE'!AB89</f>
        <v>0</v>
      </c>
      <c r="AC564" s="653">
        <f>'Civil OE'!AC89</f>
        <v>0</v>
      </c>
      <c r="AD564" s="40">
        <f>'Civil OE'!AD89</f>
        <v>0</v>
      </c>
      <c r="AE564" s="630">
        <f>'Civil OE'!AE89</f>
        <v>0</v>
      </c>
      <c r="AF564" s="653">
        <f>'Civil OE'!AF89</f>
        <v>0</v>
      </c>
      <c r="AG564" s="40">
        <f>'Civil OE'!AG89</f>
        <v>0</v>
      </c>
      <c r="AH564" s="630">
        <f>'Civil OE'!AH89</f>
        <v>0</v>
      </c>
      <c r="AI564" s="653">
        <f>'Civil OE'!AI89</f>
        <v>0</v>
      </c>
      <c r="AJ564" s="40">
        <f>'Civil OE'!AJ89</f>
        <v>0</v>
      </c>
      <c r="AK564" s="630">
        <f>'Civil OE'!AK89</f>
        <v>0</v>
      </c>
      <c r="AL564" s="653">
        <f>'Civil OE'!AL89</f>
        <v>0</v>
      </c>
      <c r="AM564" s="40">
        <f>'Civil OE'!AM89</f>
        <v>0</v>
      </c>
      <c r="AN564" s="630">
        <f>'Civil OE'!AN89</f>
        <v>0</v>
      </c>
      <c r="AO564" s="653">
        <f>'Civil OE'!AO89</f>
        <v>0</v>
      </c>
      <c r="AP564" s="10">
        <f>'Civil OE'!AP89</f>
        <v>0</v>
      </c>
      <c r="AQ564" s="630">
        <f>'Civil OE'!AQ89</f>
        <v>0</v>
      </c>
      <c r="AR564" s="653">
        <f>'Civil OE'!AR89</f>
        <v>0</v>
      </c>
      <c r="AS564" s="10">
        <f>'Civil OE'!AS89</f>
        <v>0</v>
      </c>
      <c r="AT564" s="630">
        <f>'Civil OE'!AT89</f>
        <v>0</v>
      </c>
      <c r="AU564" s="653">
        <f>'Civil OE'!AU89</f>
        <v>0</v>
      </c>
      <c r="AV564" s="10">
        <f>'Civil OE'!AV89</f>
        <v>0</v>
      </c>
      <c r="AW564" s="236">
        <f>'Civil OE'!AW89</f>
        <v>0</v>
      </c>
      <c r="AX564" s="605">
        <f>'Civil OE'!AX89</f>
        <v>0</v>
      </c>
      <c r="AY564" s="56">
        <f>'Civil OE'!AY89</f>
        <v>0</v>
      </c>
      <c r="AZ564" s="236">
        <f>'Civil OE'!AZ89</f>
        <v>0</v>
      </c>
      <c r="BA564" s="605">
        <f>'Civil OE'!BA89</f>
        <v>0</v>
      </c>
      <c r="BB564" s="56">
        <f>'Civil OE'!BB89</f>
        <v>0</v>
      </c>
      <c r="BC564" s="236">
        <f>'Civil OE'!BC89</f>
        <v>0</v>
      </c>
      <c r="BD564" s="605">
        <f>'Civil OE'!BD89</f>
        <v>0</v>
      </c>
      <c r="BE564" s="56">
        <f>'Civil OE'!BE89</f>
        <v>0</v>
      </c>
      <c r="BF564" s="236">
        <f>'Civil OE'!BF89</f>
        <v>0</v>
      </c>
      <c r="BG564" s="605">
        <f>'Civil OE'!BG89</f>
        <v>0</v>
      </c>
      <c r="BH564" s="56">
        <f>'Civil OE'!BH89</f>
        <v>0</v>
      </c>
      <c r="BI564" s="236">
        <f>'Civil OE'!BI89</f>
        <v>0</v>
      </c>
      <c r="BJ564" s="605">
        <f>'Civil OE'!BJ89</f>
        <v>0</v>
      </c>
    </row>
    <row r="565" spans="1:62">
      <c r="A565" s="25" t="s">
        <v>459</v>
      </c>
      <c r="C565" s="40">
        <f>C566-C564-C563</f>
        <v>-1</v>
      </c>
      <c r="D565" s="40">
        <f t="shared" ref="D565:T565" si="1724">D566-D564-D563</f>
        <v>-8</v>
      </c>
      <c r="E565" s="40">
        <f t="shared" si="1724"/>
        <v>10</v>
      </c>
      <c r="F565" s="40">
        <f t="shared" si="1724"/>
        <v>-26</v>
      </c>
      <c r="G565" s="40">
        <f t="shared" si="1724"/>
        <v>-36</v>
      </c>
      <c r="H565" s="40">
        <f t="shared" si="1724"/>
        <v>-42</v>
      </c>
      <c r="I565" s="40">
        <f t="shared" si="1724"/>
        <v>-67</v>
      </c>
      <c r="J565" s="40">
        <f t="shared" si="1724"/>
        <v>-44</v>
      </c>
      <c r="K565" s="40">
        <f t="shared" si="1724"/>
        <v>-2</v>
      </c>
      <c r="L565" s="40">
        <f t="shared" si="1724"/>
        <v>-11</v>
      </c>
      <c r="M565" s="40">
        <f t="shared" si="1724"/>
        <v>-37</v>
      </c>
      <c r="N565" s="40">
        <f t="shared" si="1724"/>
        <v>-18</v>
      </c>
      <c r="O565" s="40">
        <f t="shared" si="1724"/>
        <v>-31</v>
      </c>
      <c r="P565" s="40">
        <f t="shared" si="1724"/>
        <v>-24</v>
      </c>
      <c r="Q565" s="40">
        <f t="shared" si="1724"/>
        <v>-14</v>
      </c>
      <c r="R565" s="40"/>
      <c r="S565" s="630"/>
      <c r="T565" s="653">
        <f t="shared" si="1724"/>
        <v>-26</v>
      </c>
      <c r="U565" s="40"/>
      <c r="V565" s="630"/>
      <c r="W565" s="653">
        <f t="shared" ref="W565:AL565" si="1725">W566-W564-W563</f>
        <v>-44</v>
      </c>
      <c r="X565" s="40"/>
      <c r="Y565" s="630"/>
      <c r="Z565" s="653">
        <f t="shared" si="1725"/>
        <v>-50</v>
      </c>
      <c r="AA565" s="40">
        <f t="shared" si="1725"/>
        <v>-45</v>
      </c>
      <c r="AB565" s="630">
        <f t="shared" si="1725"/>
        <v>0</v>
      </c>
      <c r="AC565" s="653">
        <f t="shared" si="1725"/>
        <v>-45</v>
      </c>
      <c r="AD565" s="40">
        <f t="shared" si="1725"/>
        <v>45</v>
      </c>
      <c r="AE565" s="630">
        <f t="shared" si="1725"/>
        <v>0</v>
      </c>
      <c r="AF565" s="653">
        <f t="shared" si="1725"/>
        <v>45</v>
      </c>
      <c r="AG565" s="40">
        <f t="shared" ref="AG565:AH565" si="1726">AG566-AG564-AG563</f>
        <v>-135</v>
      </c>
      <c r="AH565" s="630">
        <f t="shared" si="1726"/>
        <v>0</v>
      </c>
      <c r="AI565" s="653">
        <f t="shared" si="1725"/>
        <v>-135</v>
      </c>
      <c r="AJ565" s="40">
        <f t="shared" si="1725"/>
        <v>-10</v>
      </c>
      <c r="AK565" s="630">
        <f t="shared" ref="AK565" si="1727">AK566-AK564-AK563</f>
        <v>0</v>
      </c>
      <c r="AL565" s="653">
        <f t="shared" si="1725"/>
        <v>-10</v>
      </c>
      <c r="AM565" s="40">
        <f t="shared" ref="AM565:AO565" si="1728">AM566-AM564-AM563</f>
        <v>-4</v>
      </c>
      <c r="AN565" s="630">
        <f t="shared" si="1728"/>
        <v>-8</v>
      </c>
      <c r="AO565" s="653">
        <f t="shared" si="1728"/>
        <v>-12</v>
      </c>
      <c r="AP565" s="40">
        <f t="shared" ref="AP565:AR565" si="1729">AP566-AP564-AP563</f>
        <v>-12</v>
      </c>
      <c r="AQ565" s="630">
        <f t="shared" si="1729"/>
        <v>-16</v>
      </c>
      <c r="AR565" s="653">
        <f t="shared" si="1729"/>
        <v>-28</v>
      </c>
      <c r="AS565" s="40">
        <f t="shared" ref="AS565:AU565" si="1730">AS566-AS564-AS563</f>
        <v>-8</v>
      </c>
      <c r="AT565" s="630">
        <f t="shared" si="1730"/>
        <v>-36</v>
      </c>
      <c r="AU565" s="653">
        <f t="shared" si="1730"/>
        <v>-44</v>
      </c>
      <c r="AV565" s="40">
        <f t="shared" ref="AV565" si="1731">AV566-AV564-AV563</f>
        <v>-8</v>
      </c>
      <c r="AW565" s="236">
        <f>AX565-AV565</f>
        <v>-22</v>
      </c>
      <c r="AX565" s="580">
        <v>-30</v>
      </c>
      <c r="AY565" s="56">
        <f>BA565/2</f>
        <v>-15</v>
      </c>
      <c r="AZ565" s="236">
        <f>BA565-AY565</f>
        <v>-15</v>
      </c>
      <c r="BA565" s="605">
        <f>AX565</f>
        <v>-30</v>
      </c>
      <c r="BB565" s="56">
        <f>BD565/2</f>
        <v>-15</v>
      </c>
      <c r="BC565" s="236">
        <f>BD565-BB565</f>
        <v>-15</v>
      </c>
      <c r="BD565" s="605">
        <f>BA565</f>
        <v>-30</v>
      </c>
      <c r="BE565" s="56">
        <f>BG565/2</f>
        <v>-15</v>
      </c>
      <c r="BF565" s="236">
        <f>BG565-BE565</f>
        <v>-15</v>
      </c>
      <c r="BG565" s="605">
        <f>BD565</f>
        <v>-30</v>
      </c>
      <c r="BH565" s="56">
        <f>BJ565/2</f>
        <v>-15</v>
      </c>
      <c r="BI565" s="236">
        <f>BJ565-BH565</f>
        <v>-15</v>
      </c>
      <c r="BJ565" s="605">
        <f>BG565</f>
        <v>-30</v>
      </c>
    </row>
    <row r="566" spans="1:62">
      <c r="A566" s="31" t="s">
        <v>533</v>
      </c>
      <c r="B566" s="31">
        <f t="shared" ref="B566:AL566" si="1732">B396</f>
        <v>1640</v>
      </c>
      <c r="C566" s="51">
        <f t="shared" si="1732"/>
        <v>1714</v>
      </c>
      <c r="D566" s="51">
        <f t="shared" si="1732"/>
        <v>1772</v>
      </c>
      <c r="E566" s="51">
        <f t="shared" si="1732"/>
        <v>1830</v>
      </c>
      <c r="F566" s="51">
        <f t="shared" si="1732"/>
        <v>1847</v>
      </c>
      <c r="G566" s="51">
        <f t="shared" si="1732"/>
        <v>1866</v>
      </c>
      <c r="H566" s="51">
        <f t="shared" si="1732"/>
        <v>1890</v>
      </c>
      <c r="I566" s="51">
        <f t="shared" si="1732"/>
        <v>1903</v>
      </c>
      <c r="J566" s="51">
        <f t="shared" si="1732"/>
        <v>1951</v>
      </c>
      <c r="K566" s="51">
        <f t="shared" si="1732"/>
        <v>2017</v>
      </c>
      <c r="L566" s="51">
        <f t="shared" si="1732"/>
        <v>2057</v>
      </c>
      <c r="M566" s="51">
        <f t="shared" si="1732"/>
        <v>2077</v>
      </c>
      <c r="N566" s="51">
        <f t="shared" si="1732"/>
        <v>2119</v>
      </c>
      <c r="O566" s="51">
        <f t="shared" si="1732"/>
        <v>2155</v>
      </c>
      <c r="P566" s="51">
        <f t="shared" si="1732"/>
        <v>2177</v>
      </c>
      <c r="Q566" s="51">
        <f t="shared" si="1732"/>
        <v>2201</v>
      </c>
      <c r="R566" s="51"/>
      <c r="S566" s="629"/>
      <c r="T566" s="652">
        <f t="shared" si="1732"/>
        <v>2203</v>
      </c>
      <c r="U566" s="51"/>
      <c r="V566" s="629"/>
      <c r="W566" s="652">
        <f t="shared" si="1732"/>
        <v>2161</v>
      </c>
      <c r="X566" s="51"/>
      <c r="Y566" s="629"/>
      <c r="Z566" s="652">
        <f t="shared" si="1732"/>
        <v>2111</v>
      </c>
      <c r="AA566" s="51">
        <f t="shared" si="1732"/>
        <v>2066</v>
      </c>
      <c r="AB566" s="629">
        <f t="shared" si="1732"/>
        <v>2066</v>
      </c>
      <c r="AC566" s="652">
        <f t="shared" si="1732"/>
        <v>2066</v>
      </c>
      <c r="AD566" s="51">
        <f t="shared" si="1732"/>
        <v>2111</v>
      </c>
      <c r="AE566" s="629">
        <f t="shared" si="1732"/>
        <v>2111</v>
      </c>
      <c r="AF566" s="652">
        <f t="shared" si="1732"/>
        <v>2111</v>
      </c>
      <c r="AG566" s="51">
        <f t="shared" ref="AG566:AH566" si="1733">AG396</f>
        <v>1976</v>
      </c>
      <c r="AH566" s="629">
        <f t="shared" si="1733"/>
        <v>1976</v>
      </c>
      <c r="AI566" s="652">
        <f t="shared" si="1732"/>
        <v>1976</v>
      </c>
      <c r="AJ566" s="51">
        <f t="shared" si="1732"/>
        <v>1966</v>
      </c>
      <c r="AK566" s="629">
        <f t="shared" ref="AK566" si="1734">AK396</f>
        <v>1966</v>
      </c>
      <c r="AL566" s="652">
        <f t="shared" si="1732"/>
        <v>1966</v>
      </c>
      <c r="AM566" s="51">
        <f t="shared" ref="AM566:AO566" si="1735">AM396</f>
        <v>1962</v>
      </c>
      <c r="AN566" s="629">
        <f t="shared" si="1735"/>
        <v>1954</v>
      </c>
      <c r="AO566" s="652">
        <f t="shared" si="1735"/>
        <v>1954</v>
      </c>
      <c r="AP566" s="51">
        <f t="shared" ref="AP566:AR566" si="1736">AP396</f>
        <v>1942</v>
      </c>
      <c r="AQ566" s="629">
        <f t="shared" si="1736"/>
        <v>1926</v>
      </c>
      <c r="AR566" s="652">
        <f t="shared" si="1736"/>
        <v>1926</v>
      </c>
      <c r="AS566" s="51">
        <f t="shared" ref="AS566:AU566" si="1737">AS396</f>
        <v>1918</v>
      </c>
      <c r="AT566" s="629">
        <f t="shared" si="1737"/>
        <v>1882</v>
      </c>
      <c r="AU566" s="652">
        <f t="shared" si="1737"/>
        <v>1882</v>
      </c>
      <c r="AV566" s="51">
        <f t="shared" ref="AV566" si="1738">AV396</f>
        <v>1874</v>
      </c>
      <c r="AW566" s="237">
        <f t="shared" ref="AW566:BJ566" si="1739">AW563+AW564+AW565</f>
        <v>1852</v>
      </c>
      <c r="AX566" s="576">
        <f t="shared" si="1739"/>
        <v>1852</v>
      </c>
      <c r="AY566" s="48">
        <f t="shared" si="1739"/>
        <v>1837</v>
      </c>
      <c r="AZ566" s="237">
        <f t="shared" si="1739"/>
        <v>1822</v>
      </c>
      <c r="BA566" s="576">
        <f t="shared" si="1739"/>
        <v>1822</v>
      </c>
      <c r="BB566" s="48">
        <f t="shared" si="1739"/>
        <v>1807</v>
      </c>
      <c r="BC566" s="237">
        <f t="shared" si="1739"/>
        <v>1792</v>
      </c>
      <c r="BD566" s="576">
        <f t="shared" si="1739"/>
        <v>1792</v>
      </c>
      <c r="BE566" s="48">
        <f t="shared" si="1739"/>
        <v>1777</v>
      </c>
      <c r="BF566" s="237">
        <f t="shared" si="1739"/>
        <v>1762</v>
      </c>
      <c r="BG566" s="576">
        <f t="shared" si="1739"/>
        <v>1762</v>
      </c>
      <c r="BH566" s="48">
        <f t="shared" si="1739"/>
        <v>1747</v>
      </c>
      <c r="BI566" s="237">
        <f t="shared" si="1739"/>
        <v>1732</v>
      </c>
      <c r="BJ566" s="576">
        <f t="shared" si="1739"/>
        <v>1732</v>
      </c>
    </row>
    <row r="567" spans="1:62">
      <c r="A567" s="31" t="s">
        <v>474</v>
      </c>
      <c r="B567" s="31"/>
      <c r="C567" s="51">
        <f>AVERAGE(C563,C566)</f>
        <v>1677</v>
      </c>
      <c r="D567" s="51">
        <f t="shared" ref="D567:BJ567" si="1740">AVERAGE(D563,D566)</f>
        <v>1743</v>
      </c>
      <c r="E567" s="51">
        <f t="shared" si="1740"/>
        <v>1801</v>
      </c>
      <c r="F567" s="51">
        <f t="shared" si="1740"/>
        <v>1838.5</v>
      </c>
      <c r="G567" s="51">
        <f t="shared" si="1740"/>
        <v>1856.5</v>
      </c>
      <c r="H567" s="51">
        <f t="shared" si="1740"/>
        <v>1878</v>
      </c>
      <c r="I567" s="51">
        <f t="shared" si="1740"/>
        <v>1896.5</v>
      </c>
      <c r="J567" s="51">
        <f t="shared" si="1740"/>
        <v>1927</v>
      </c>
      <c r="K567" s="51">
        <f t="shared" si="1740"/>
        <v>1984</v>
      </c>
      <c r="L567" s="51">
        <f t="shared" si="1740"/>
        <v>2037</v>
      </c>
      <c r="M567" s="51">
        <f t="shared" si="1740"/>
        <v>2067</v>
      </c>
      <c r="N567" s="51">
        <f t="shared" si="1740"/>
        <v>2098</v>
      </c>
      <c r="O567" s="51">
        <f t="shared" si="1740"/>
        <v>2137</v>
      </c>
      <c r="P567" s="51">
        <f t="shared" si="1740"/>
        <v>2166</v>
      </c>
      <c r="Q567" s="51">
        <f t="shared" si="1740"/>
        <v>2189</v>
      </c>
      <c r="R567" s="51"/>
      <c r="S567" s="629"/>
      <c r="T567" s="652">
        <f t="shared" si="1740"/>
        <v>2202</v>
      </c>
      <c r="U567" s="51"/>
      <c r="V567" s="629"/>
      <c r="W567" s="652">
        <f>AVERAGE(W563,W566)</f>
        <v>2182</v>
      </c>
      <c r="X567" s="51"/>
      <c r="Y567" s="629"/>
      <c r="Z567" s="652">
        <f>AVERAGE(Z563,Z566)</f>
        <v>2136</v>
      </c>
      <c r="AA567" s="51">
        <f t="shared" ref="AA567:AB567" si="1741">AVERAGE(AA563,AA566)</f>
        <v>2088.5</v>
      </c>
      <c r="AB567" s="629">
        <f t="shared" si="1741"/>
        <v>2066</v>
      </c>
      <c r="AC567" s="652">
        <f>AVERAGE(AC563,AC566)</f>
        <v>2088.5</v>
      </c>
      <c r="AD567" s="51">
        <f t="shared" ref="AD567:AE567" si="1742">AVERAGE(AD563,AD566)</f>
        <v>2088.5</v>
      </c>
      <c r="AE567" s="629">
        <f t="shared" si="1742"/>
        <v>2111</v>
      </c>
      <c r="AF567" s="652">
        <f>AVERAGE(AF563,AF566)</f>
        <v>2088.5</v>
      </c>
      <c r="AG567" s="51">
        <f t="shared" ref="AG567:AH567" si="1743">AVERAGE(AG563,AG566)</f>
        <v>2043.5</v>
      </c>
      <c r="AH567" s="629">
        <f t="shared" si="1743"/>
        <v>1976</v>
      </c>
      <c r="AI567" s="652">
        <f>AVERAGE(AI563,AI566)</f>
        <v>2043.5</v>
      </c>
      <c r="AJ567" s="51">
        <f t="shared" ref="AJ567:AK567" si="1744">AVERAGE(AJ563,AJ566)</f>
        <v>1971</v>
      </c>
      <c r="AK567" s="629">
        <f t="shared" si="1744"/>
        <v>1966</v>
      </c>
      <c r="AL567" s="652">
        <f t="shared" si="1740"/>
        <v>1971</v>
      </c>
      <c r="AM567" s="51">
        <f t="shared" ref="AM567:AO567" si="1745">AVERAGE(AM563,AM566)</f>
        <v>1964</v>
      </c>
      <c r="AN567" s="629">
        <f t="shared" si="1745"/>
        <v>1958</v>
      </c>
      <c r="AO567" s="652">
        <f t="shared" si="1745"/>
        <v>1960</v>
      </c>
      <c r="AP567" s="27">
        <f t="shared" ref="AP567:AR567" si="1746">AVERAGE(AP563,AP566)</f>
        <v>1948</v>
      </c>
      <c r="AQ567" s="629">
        <f t="shared" si="1746"/>
        <v>1934</v>
      </c>
      <c r="AR567" s="652">
        <f t="shared" si="1746"/>
        <v>1940</v>
      </c>
      <c r="AS567" s="27">
        <f t="shared" ref="AS567:AU567" si="1747">AVERAGE(AS563,AS566)</f>
        <v>1922</v>
      </c>
      <c r="AT567" s="629">
        <f t="shared" si="1747"/>
        <v>1900</v>
      </c>
      <c r="AU567" s="652">
        <f t="shared" si="1747"/>
        <v>1904</v>
      </c>
      <c r="AV567" s="27">
        <f t="shared" ref="AV567" si="1748">AVERAGE(AV563,AV566)</f>
        <v>1878</v>
      </c>
      <c r="AW567" s="237">
        <f t="shared" si="1740"/>
        <v>1863</v>
      </c>
      <c r="AX567" s="576">
        <f t="shared" si="1740"/>
        <v>1867</v>
      </c>
      <c r="AY567" s="48">
        <f t="shared" si="1740"/>
        <v>1844.5</v>
      </c>
      <c r="AZ567" s="237">
        <f t="shared" si="1740"/>
        <v>1829.5</v>
      </c>
      <c r="BA567" s="576">
        <f t="shared" si="1740"/>
        <v>1837</v>
      </c>
      <c r="BB567" s="48">
        <f t="shared" si="1740"/>
        <v>1814.5</v>
      </c>
      <c r="BC567" s="237">
        <f t="shared" si="1740"/>
        <v>1799.5</v>
      </c>
      <c r="BD567" s="576">
        <f t="shared" si="1740"/>
        <v>1807</v>
      </c>
      <c r="BE567" s="48">
        <f t="shared" si="1740"/>
        <v>1784.5</v>
      </c>
      <c r="BF567" s="237">
        <f t="shared" si="1740"/>
        <v>1769.5</v>
      </c>
      <c r="BG567" s="576">
        <f t="shared" si="1740"/>
        <v>1777</v>
      </c>
      <c r="BH567" s="48">
        <f t="shared" si="1740"/>
        <v>1754.5</v>
      </c>
      <c r="BI567" s="237">
        <f t="shared" si="1740"/>
        <v>1739.5</v>
      </c>
      <c r="BJ567" s="576">
        <f t="shared" si="1740"/>
        <v>1747</v>
      </c>
    </row>
    <row r="568" spans="1:62">
      <c r="A568" s="31"/>
      <c r="B568" s="31"/>
      <c r="C568" s="51"/>
      <c r="D568" s="51"/>
      <c r="E568" s="51"/>
      <c r="F568" s="51"/>
      <c r="G568" s="51"/>
      <c r="H568" s="51"/>
      <c r="I568" s="51"/>
      <c r="J568" s="51"/>
      <c r="K568" s="51"/>
      <c r="L568" s="51"/>
      <c r="M568" s="51"/>
      <c r="N568" s="51"/>
      <c r="O568" s="51"/>
      <c r="P568" s="51"/>
      <c r="Q568" s="51"/>
      <c r="R568" s="51"/>
      <c r="S568" s="629"/>
      <c r="T568" s="652"/>
      <c r="U568" s="51"/>
      <c r="V568" s="629"/>
      <c r="W568" s="652"/>
      <c r="X568" s="51"/>
      <c r="Y568" s="629"/>
      <c r="Z568" s="652"/>
      <c r="AA568" s="51"/>
      <c r="AB568" s="629"/>
      <c r="AC568" s="652"/>
      <c r="AD568" s="51"/>
      <c r="AE568" s="629"/>
      <c r="AF568" s="652"/>
      <c r="AG568" s="51"/>
      <c r="AH568" s="629"/>
      <c r="AI568" s="652"/>
      <c r="AJ568" s="51"/>
      <c r="AK568" s="629"/>
      <c r="AL568" s="652"/>
      <c r="AM568" s="51"/>
      <c r="AN568" s="541"/>
      <c r="AO568" s="578"/>
      <c r="AP568" s="2"/>
      <c r="AQ568" s="541"/>
      <c r="AR568" s="578"/>
      <c r="AS568" s="2"/>
      <c r="AT568" s="541"/>
      <c r="AU568" s="578"/>
      <c r="AV568" s="2"/>
      <c r="AW568" s="541"/>
      <c r="AX568" s="578"/>
      <c r="AY568" s="2"/>
      <c r="AZ568" s="541"/>
      <c r="BA568" s="578"/>
      <c r="BB568" s="2"/>
      <c r="BC568" s="541"/>
      <c r="BD568" s="578"/>
      <c r="BE568" s="2"/>
      <c r="BF568" s="541"/>
      <c r="BG568" s="578"/>
      <c r="BH568" s="2"/>
      <c r="BI568" s="541"/>
      <c r="BJ568" s="578"/>
    </row>
    <row r="569" spans="1:62">
      <c r="A569" s="25" t="s">
        <v>534</v>
      </c>
      <c r="C569" s="40">
        <f t="shared" ref="C569:Q569" si="1749">B397</f>
        <v>986</v>
      </c>
      <c r="D569" s="40">
        <f t="shared" si="1749"/>
        <v>1380</v>
      </c>
      <c r="E569" s="40">
        <f t="shared" si="1749"/>
        <v>1718</v>
      </c>
      <c r="F569" s="40">
        <f t="shared" si="1749"/>
        <v>1966</v>
      </c>
      <c r="G569" s="40">
        <f t="shared" si="1749"/>
        <v>2200</v>
      </c>
      <c r="H569" s="40">
        <f t="shared" si="1749"/>
        <v>2370</v>
      </c>
      <c r="I569" s="40">
        <f t="shared" si="1749"/>
        <v>2476</v>
      </c>
      <c r="J569" s="40">
        <f t="shared" si="1749"/>
        <v>2596</v>
      </c>
      <c r="K569" s="40">
        <f t="shared" si="1749"/>
        <v>2710</v>
      </c>
      <c r="L569" s="40">
        <f t="shared" si="1749"/>
        <v>2782</v>
      </c>
      <c r="M569" s="40">
        <f t="shared" si="1749"/>
        <v>2814</v>
      </c>
      <c r="N569" s="40">
        <f t="shared" si="1749"/>
        <v>2850</v>
      </c>
      <c r="O569" s="40">
        <f t="shared" si="1749"/>
        <v>2896</v>
      </c>
      <c r="P569" s="40">
        <f t="shared" si="1749"/>
        <v>2950</v>
      </c>
      <c r="Q569" s="40">
        <f t="shared" si="1749"/>
        <v>2976</v>
      </c>
      <c r="R569" s="40"/>
      <c r="S569" s="630"/>
      <c r="T569" s="653">
        <f>Q397</f>
        <v>2970</v>
      </c>
      <c r="U569" s="40"/>
      <c r="V569" s="630"/>
      <c r="W569" s="653">
        <f>T397</f>
        <v>2966</v>
      </c>
      <c r="X569" s="40"/>
      <c r="Y569" s="630"/>
      <c r="Z569" s="653">
        <f>W397</f>
        <v>2938</v>
      </c>
      <c r="AA569" s="40">
        <f>Z572</f>
        <v>2924</v>
      </c>
      <c r="AB569" s="630">
        <f>AA572</f>
        <v>2864</v>
      </c>
      <c r="AC569" s="653">
        <f>Z397</f>
        <v>2924</v>
      </c>
      <c r="AD569" s="40">
        <f>AC572</f>
        <v>2864</v>
      </c>
      <c r="AE569" s="630">
        <f>AD572</f>
        <v>2924</v>
      </c>
      <c r="AF569" s="653">
        <f>AC397</f>
        <v>2864</v>
      </c>
      <c r="AG569" s="40">
        <f>AF572</f>
        <v>2924</v>
      </c>
      <c r="AH569" s="630">
        <f>AG572</f>
        <v>2758</v>
      </c>
      <c r="AI569" s="653">
        <f>AF397</f>
        <v>2924</v>
      </c>
      <c r="AJ569" s="40">
        <f>AI572</f>
        <v>2758</v>
      </c>
      <c r="AK569" s="630">
        <f>AJ572</f>
        <v>2740</v>
      </c>
      <c r="AL569" s="653">
        <f t="shared" ref="AL569" si="1750">AI572</f>
        <v>2758</v>
      </c>
      <c r="AM569" s="40">
        <f>AL572</f>
        <v>2740</v>
      </c>
      <c r="AN569" s="630">
        <f>AM572</f>
        <v>2714</v>
      </c>
      <c r="AO569" s="653">
        <f t="shared" ref="AO569" si="1751">AL572</f>
        <v>2740</v>
      </c>
      <c r="AP569" s="10">
        <f>AO572</f>
        <v>2694</v>
      </c>
      <c r="AQ569" s="630">
        <f>AP572</f>
        <v>2674</v>
      </c>
      <c r="AR569" s="653">
        <f t="shared" ref="AR569" si="1752">AO572</f>
        <v>2694</v>
      </c>
      <c r="AS569" s="10">
        <f>AR572</f>
        <v>2628</v>
      </c>
      <c r="AT569" s="630">
        <f>AS572</f>
        <v>2616</v>
      </c>
      <c r="AU569" s="653">
        <f t="shared" ref="AU569" si="1753">AR572</f>
        <v>2628</v>
      </c>
      <c r="AV569" s="10">
        <f>AU572</f>
        <v>2598</v>
      </c>
      <c r="AW569" s="236">
        <f>AV572</f>
        <v>2592</v>
      </c>
      <c r="AX569" s="605">
        <f>AU572</f>
        <v>2598</v>
      </c>
      <c r="AY569" s="56">
        <f>AX572</f>
        <v>2548</v>
      </c>
      <c r="AZ569" s="236">
        <f>AY572</f>
        <v>2523</v>
      </c>
      <c r="BA569" s="605">
        <f>AX572</f>
        <v>2548</v>
      </c>
      <c r="BB569" s="56">
        <f>BA572</f>
        <v>2498</v>
      </c>
      <c r="BC569" s="236">
        <f>BB572</f>
        <v>2473</v>
      </c>
      <c r="BD569" s="605">
        <f>BA572</f>
        <v>2498</v>
      </c>
      <c r="BE569" s="56">
        <f>BD572</f>
        <v>2448</v>
      </c>
      <c r="BF569" s="236">
        <f>BE572</f>
        <v>2423</v>
      </c>
      <c r="BG569" s="605">
        <f>BD572</f>
        <v>2448</v>
      </c>
      <c r="BH569" s="56">
        <f>BG572</f>
        <v>2398</v>
      </c>
      <c r="BI569" s="236">
        <f>BH572</f>
        <v>2373</v>
      </c>
      <c r="BJ569" s="605">
        <f>BG572</f>
        <v>2398</v>
      </c>
    </row>
    <row r="570" spans="1:62">
      <c r="A570" s="25" t="s">
        <v>458</v>
      </c>
      <c r="C570" s="40">
        <f>'Civil OE'!C90</f>
        <v>519</v>
      </c>
      <c r="D570" s="40">
        <f>'Civil OE'!D90</f>
        <v>288</v>
      </c>
      <c r="E570" s="40">
        <f>'Civil OE'!E90</f>
        <v>217</v>
      </c>
      <c r="F570" s="40">
        <f>'Civil OE'!F90</f>
        <v>242</v>
      </c>
      <c r="G570" s="40">
        <f>'Civil OE'!G90</f>
        <v>168</v>
      </c>
      <c r="H570" s="40">
        <f>'Civil OE'!H90</f>
        <v>113</v>
      </c>
      <c r="I570" s="40">
        <f>'Civil OE'!I90</f>
        <v>135</v>
      </c>
      <c r="J570" s="40">
        <f>'Civil OE'!J90</f>
        <v>135</v>
      </c>
      <c r="K570" s="40">
        <f>'Civil OE'!K90</f>
        <v>32</v>
      </c>
      <c r="L570" s="40">
        <f>'Civil OE'!L90</f>
        <v>55</v>
      </c>
      <c r="M570" s="40">
        <f>'Civil OE'!M90</f>
        <v>31</v>
      </c>
      <c r="N570" s="40">
        <f>'Civil OE'!N90</f>
        <v>43</v>
      </c>
      <c r="O570" s="40">
        <f>'Civil OE'!O90</f>
        <v>78</v>
      </c>
      <c r="P570" s="40">
        <f>'Civil OE'!P90</f>
        <v>48</v>
      </c>
      <c r="Q570" s="40">
        <f>'Civil OE'!Q90</f>
        <v>34</v>
      </c>
      <c r="R570" s="40"/>
      <c r="S570" s="630"/>
      <c r="T570" s="653">
        <f>'Civil OE'!T90</f>
        <v>20</v>
      </c>
      <c r="U570" s="40"/>
      <c r="V570" s="630"/>
      <c r="W570" s="653">
        <f>'Civil OE'!W90</f>
        <v>8</v>
      </c>
      <c r="X570" s="40"/>
      <c r="Y570" s="630"/>
      <c r="Z570" s="653">
        <f>'Civil OE'!Z90</f>
        <v>10</v>
      </c>
      <c r="AA570" s="40">
        <f>'Civil OE'!AA90</f>
        <v>4</v>
      </c>
      <c r="AB570" s="630">
        <f>'Civil OE'!AB90</f>
        <v>0</v>
      </c>
      <c r="AC570" s="653">
        <f>'Civil OE'!AC90</f>
        <v>4</v>
      </c>
      <c r="AD570" s="40">
        <f>'Civil OE'!AD90</f>
        <v>0</v>
      </c>
      <c r="AE570" s="630">
        <f>'Civil OE'!AE90</f>
        <v>0</v>
      </c>
      <c r="AF570" s="653">
        <f>'Civil OE'!AF90</f>
        <v>0</v>
      </c>
      <c r="AG570" s="40">
        <f>'Civil OE'!AG90</f>
        <v>0</v>
      </c>
      <c r="AH570" s="630">
        <f>'Civil OE'!AH90</f>
        <v>0</v>
      </c>
      <c r="AI570" s="653">
        <f>'Civil OE'!AI90</f>
        <v>0</v>
      </c>
      <c r="AJ570" s="40">
        <f>'Civil OE'!AJ90</f>
        <v>0</v>
      </c>
      <c r="AK570" s="630">
        <f>'Civil OE'!AK90</f>
        <v>0</v>
      </c>
      <c r="AL570" s="653">
        <f>'Civil OE'!AL90</f>
        <v>0</v>
      </c>
      <c r="AM570" s="40">
        <f>'Civil OE'!AM90</f>
        <v>0</v>
      </c>
      <c r="AN570" s="630">
        <f>'Civil OE'!AN90</f>
        <v>0</v>
      </c>
      <c r="AO570" s="653">
        <f>'Civil OE'!AO90</f>
        <v>0</v>
      </c>
      <c r="AP570" s="10">
        <f>'Civil OE'!AP90</f>
        <v>0</v>
      </c>
      <c r="AQ570" s="630">
        <f>'Civil OE'!AQ90</f>
        <v>0</v>
      </c>
      <c r="AR570" s="653">
        <f>'Civil OE'!AR90</f>
        <v>0</v>
      </c>
      <c r="AS570" s="10">
        <f>'Civil OE'!AS90</f>
        <v>0</v>
      </c>
      <c r="AT570" s="630">
        <f>'Civil OE'!AT90</f>
        <v>0</v>
      </c>
      <c r="AU570" s="653">
        <f>'Civil OE'!AU90</f>
        <v>0</v>
      </c>
      <c r="AV570" s="10">
        <f>'Civil OE'!AV90</f>
        <v>0</v>
      </c>
      <c r="AW570" s="236">
        <f>'Civil OE'!AW90</f>
        <v>0</v>
      </c>
      <c r="AX570" s="605">
        <f>'Civil OE'!AX90</f>
        <v>0</v>
      </c>
      <c r="AY570" s="56">
        <f>'Civil OE'!AY90</f>
        <v>0</v>
      </c>
      <c r="AZ570" s="236">
        <f>'Civil OE'!AZ90</f>
        <v>0</v>
      </c>
      <c r="BA570" s="605">
        <f>'Civil OE'!BA90</f>
        <v>0</v>
      </c>
      <c r="BB570" s="56">
        <f>'Civil OE'!BB90</f>
        <v>0</v>
      </c>
      <c r="BC570" s="236">
        <f>'Civil OE'!BC90</f>
        <v>0</v>
      </c>
      <c r="BD570" s="605">
        <f>'Civil OE'!BD90</f>
        <v>0</v>
      </c>
      <c r="BE570" s="56">
        <f>'Civil OE'!BE90</f>
        <v>0</v>
      </c>
      <c r="BF570" s="236">
        <f>'Civil OE'!BF90</f>
        <v>0</v>
      </c>
      <c r="BG570" s="605">
        <f>'Civil OE'!BG90</f>
        <v>0</v>
      </c>
      <c r="BH570" s="56">
        <f>'Civil OE'!BH90</f>
        <v>0</v>
      </c>
      <c r="BI570" s="236">
        <f>'Civil OE'!BI90</f>
        <v>0</v>
      </c>
      <c r="BJ570" s="605">
        <f>'Civil OE'!BJ90</f>
        <v>0</v>
      </c>
    </row>
    <row r="571" spans="1:62">
      <c r="A571" s="25" t="s">
        <v>459</v>
      </c>
      <c r="C571" s="40">
        <f>C572-C570-C569</f>
        <v>-125</v>
      </c>
      <c r="D571" s="40">
        <f t="shared" ref="D571:T571" si="1754">D572-D570-D569</f>
        <v>50</v>
      </c>
      <c r="E571" s="40">
        <f t="shared" si="1754"/>
        <v>31</v>
      </c>
      <c r="F571" s="40">
        <f t="shared" si="1754"/>
        <v>-8</v>
      </c>
      <c r="G571" s="40">
        <f t="shared" si="1754"/>
        <v>2</v>
      </c>
      <c r="H571" s="40">
        <f t="shared" si="1754"/>
        <v>-7</v>
      </c>
      <c r="I571" s="40">
        <f t="shared" si="1754"/>
        <v>-15</v>
      </c>
      <c r="J571" s="40">
        <f t="shared" si="1754"/>
        <v>-21</v>
      </c>
      <c r="K571" s="40">
        <f t="shared" si="1754"/>
        <v>40</v>
      </c>
      <c r="L571" s="40">
        <f t="shared" si="1754"/>
        <v>-23</v>
      </c>
      <c r="M571" s="40">
        <f t="shared" si="1754"/>
        <v>5</v>
      </c>
      <c r="N571" s="40">
        <f t="shared" si="1754"/>
        <v>3</v>
      </c>
      <c r="O571" s="40">
        <f t="shared" si="1754"/>
        <v>-24</v>
      </c>
      <c r="P571" s="40">
        <f t="shared" si="1754"/>
        <v>-22</v>
      </c>
      <c r="Q571" s="40">
        <f t="shared" si="1754"/>
        <v>-40</v>
      </c>
      <c r="R571" s="40"/>
      <c r="S571" s="630"/>
      <c r="T571" s="653">
        <f t="shared" si="1754"/>
        <v>-24</v>
      </c>
      <c r="U571" s="40"/>
      <c r="V571" s="630"/>
      <c r="W571" s="653">
        <f t="shared" ref="W571:AL571" si="1755">W572-W570-W569</f>
        <v>-36</v>
      </c>
      <c r="X571" s="40"/>
      <c r="Y571" s="630"/>
      <c r="Z571" s="653">
        <f t="shared" si="1755"/>
        <v>-24</v>
      </c>
      <c r="AA571" s="40">
        <f t="shared" si="1755"/>
        <v>-64</v>
      </c>
      <c r="AB571" s="630">
        <f t="shared" si="1755"/>
        <v>0</v>
      </c>
      <c r="AC571" s="653">
        <f t="shared" si="1755"/>
        <v>-64</v>
      </c>
      <c r="AD571" s="40">
        <f t="shared" si="1755"/>
        <v>60</v>
      </c>
      <c r="AE571" s="630">
        <f t="shared" si="1755"/>
        <v>0</v>
      </c>
      <c r="AF571" s="653">
        <f t="shared" si="1755"/>
        <v>60</v>
      </c>
      <c r="AG571" s="40">
        <f t="shared" ref="AG571:AH571" si="1756">AG572-AG570-AG569</f>
        <v>-166</v>
      </c>
      <c r="AH571" s="630">
        <f t="shared" si="1756"/>
        <v>0</v>
      </c>
      <c r="AI571" s="653">
        <f t="shared" si="1755"/>
        <v>-166</v>
      </c>
      <c r="AJ571" s="40">
        <f t="shared" si="1755"/>
        <v>-18</v>
      </c>
      <c r="AK571" s="630">
        <f t="shared" ref="AK571" si="1757">AK572-AK570-AK569</f>
        <v>0</v>
      </c>
      <c r="AL571" s="653">
        <f t="shared" si="1755"/>
        <v>-18</v>
      </c>
      <c r="AM571" s="40">
        <f t="shared" ref="AM571:AO571" si="1758">AM572-AM570-AM569</f>
        <v>-26</v>
      </c>
      <c r="AN571" s="630">
        <f t="shared" si="1758"/>
        <v>-20</v>
      </c>
      <c r="AO571" s="653">
        <f t="shared" si="1758"/>
        <v>-46</v>
      </c>
      <c r="AP571" s="40">
        <f t="shared" ref="AP571:AR571" si="1759">AP572-AP570-AP569</f>
        <v>-20</v>
      </c>
      <c r="AQ571" s="630">
        <f t="shared" si="1759"/>
        <v>-46</v>
      </c>
      <c r="AR571" s="653">
        <f t="shared" si="1759"/>
        <v>-66</v>
      </c>
      <c r="AS571" s="40">
        <f t="shared" ref="AS571:AU571" si="1760">AS572-AS570-AS569</f>
        <v>-12</v>
      </c>
      <c r="AT571" s="630">
        <f t="shared" si="1760"/>
        <v>-18</v>
      </c>
      <c r="AU571" s="653">
        <f t="shared" si="1760"/>
        <v>-30</v>
      </c>
      <c r="AV571" s="40">
        <f t="shared" ref="AV571" si="1761">AV572-AV570-AV569</f>
        <v>-6</v>
      </c>
      <c r="AW571" s="236">
        <f>AX571-AV571</f>
        <v>-44</v>
      </c>
      <c r="AX571" s="580">
        <v>-50</v>
      </c>
      <c r="AY571" s="56">
        <f>BA571/2</f>
        <v>-25</v>
      </c>
      <c r="AZ571" s="236">
        <f>BA571-AY571</f>
        <v>-25</v>
      </c>
      <c r="BA571" s="605">
        <f>AX571</f>
        <v>-50</v>
      </c>
      <c r="BB571" s="56">
        <f>BD571/2</f>
        <v>-25</v>
      </c>
      <c r="BC571" s="236">
        <f>BD571-BB571</f>
        <v>-25</v>
      </c>
      <c r="BD571" s="605">
        <f>BA571</f>
        <v>-50</v>
      </c>
      <c r="BE571" s="56">
        <f>BG571/2</f>
        <v>-25</v>
      </c>
      <c r="BF571" s="236">
        <f>BG571-BE571</f>
        <v>-25</v>
      </c>
      <c r="BG571" s="605">
        <f>BD571</f>
        <v>-50</v>
      </c>
      <c r="BH571" s="56">
        <f>BJ571/2</f>
        <v>-25</v>
      </c>
      <c r="BI571" s="236">
        <f>BJ571-BH571</f>
        <v>-25</v>
      </c>
      <c r="BJ571" s="605">
        <f>BG571</f>
        <v>-50</v>
      </c>
    </row>
    <row r="572" spans="1:62">
      <c r="A572" s="31" t="s">
        <v>535</v>
      </c>
      <c r="B572" s="31">
        <f t="shared" ref="B572:AL572" si="1762">B397</f>
        <v>986</v>
      </c>
      <c r="C572" s="51">
        <f t="shared" si="1762"/>
        <v>1380</v>
      </c>
      <c r="D572" s="51">
        <f t="shared" si="1762"/>
        <v>1718</v>
      </c>
      <c r="E572" s="51">
        <f t="shared" si="1762"/>
        <v>1966</v>
      </c>
      <c r="F572" s="51">
        <f t="shared" si="1762"/>
        <v>2200</v>
      </c>
      <c r="G572" s="51">
        <f t="shared" si="1762"/>
        <v>2370</v>
      </c>
      <c r="H572" s="51">
        <f t="shared" si="1762"/>
        <v>2476</v>
      </c>
      <c r="I572" s="51">
        <f t="shared" si="1762"/>
        <v>2596</v>
      </c>
      <c r="J572" s="51">
        <f t="shared" si="1762"/>
        <v>2710</v>
      </c>
      <c r="K572" s="51">
        <f t="shared" si="1762"/>
        <v>2782</v>
      </c>
      <c r="L572" s="51">
        <f t="shared" si="1762"/>
        <v>2814</v>
      </c>
      <c r="M572" s="51">
        <f t="shared" si="1762"/>
        <v>2850</v>
      </c>
      <c r="N572" s="51">
        <f t="shared" si="1762"/>
        <v>2896</v>
      </c>
      <c r="O572" s="51">
        <f t="shared" si="1762"/>
        <v>2950</v>
      </c>
      <c r="P572" s="51">
        <f t="shared" si="1762"/>
        <v>2976</v>
      </c>
      <c r="Q572" s="51">
        <f t="shared" si="1762"/>
        <v>2970</v>
      </c>
      <c r="R572" s="51"/>
      <c r="S572" s="629"/>
      <c r="T572" s="652">
        <f t="shared" si="1762"/>
        <v>2966</v>
      </c>
      <c r="U572" s="51"/>
      <c r="V572" s="629"/>
      <c r="W572" s="652">
        <f t="shared" si="1762"/>
        <v>2938</v>
      </c>
      <c r="X572" s="51"/>
      <c r="Y572" s="629"/>
      <c r="Z572" s="652">
        <f t="shared" si="1762"/>
        <v>2924</v>
      </c>
      <c r="AA572" s="51">
        <f t="shared" si="1762"/>
        <v>2864</v>
      </c>
      <c r="AB572" s="629">
        <f t="shared" si="1762"/>
        <v>2864</v>
      </c>
      <c r="AC572" s="652">
        <f t="shared" si="1762"/>
        <v>2864</v>
      </c>
      <c r="AD572" s="51">
        <f t="shared" si="1762"/>
        <v>2924</v>
      </c>
      <c r="AE572" s="629">
        <f t="shared" si="1762"/>
        <v>2924</v>
      </c>
      <c r="AF572" s="652">
        <f t="shared" si="1762"/>
        <v>2924</v>
      </c>
      <c r="AG572" s="51">
        <f t="shared" ref="AG572:AH572" si="1763">AG397</f>
        <v>2758</v>
      </c>
      <c r="AH572" s="629">
        <f t="shared" si="1763"/>
        <v>2758</v>
      </c>
      <c r="AI572" s="652">
        <f t="shared" si="1762"/>
        <v>2758</v>
      </c>
      <c r="AJ572" s="51">
        <f t="shared" si="1762"/>
        <v>2740</v>
      </c>
      <c r="AK572" s="629">
        <f t="shared" ref="AK572" si="1764">AK397</f>
        <v>2740</v>
      </c>
      <c r="AL572" s="652">
        <f t="shared" si="1762"/>
        <v>2740</v>
      </c>
      <c r="AM572" s="51">
        <f t="shared" ref="AM572:AO572" si="1765">AM397</f>
        <v>2714</v>
      </c>
      <c r="AN572" s="629">
        <f t="shared" si="1765"/>
        <v>2694</v>
      </c>
      <c r="AO572" s="652">
        <f t="shared" si="1765"/>
        <v>2694</v>
      </c>
      <c r="AP572" s="51">
        <f t="shared" ref="AP572:AR572" si="1766">AP397</f>
        <v>2674</v>
      </c>
      <c r="AQ572" s="629">
        <f t="shared" si="1766"/>
        <v>2628</v>
      </c>
      <c r="AR572" s="652">
        <f t="shared" si="1766"/>
        <v>2628</v>
      </c>
      <c r="AS572" s="51">
        <f t="shared" ref="AS572:AU572" si="1767">AS397</f>
        <v>2616</v>
      </c>
      <c r="AT572" s="629">
        <f t="shared" si="1767"/>
        <v>2598</v>
      </c>
      <c r="AU572" s="652">
        <f t="shared" si="1767"/>
        <v>2598</v>
      </c>
      <c r="AV572" s="51">
        <f t="shared" ref="AV572" si="1768">AV397</f>
        <v>2592</v>
      </c>
      <c r="AW572" s="237">
        <f t="shared" ref="AW572:BJ572" si="1769">AW569+AW570+AW571</f>
        <v>2548</v>
      </c>
      <c r="AX572" s="576">
        <f t="shared" si="1769"/>
        <v>2548</v>
      </c>
      <c r="AY572" s="48">
        <f t="shared" si="1769"/>
        <v>2523</v>
      </c>
      <c r="AZ572" s="237">
        <f t="shared" si="1769"/>
        <v>2498</v>
      </c>
      <c r="BA572" s="576">
        <f t="shared" si="1769"/>
        <v>2498</v>
      </c>
      <c r="BB572" s="48">
        <f t="shared" si="1769"/>
        <v>2473</v>
      </c>
      <c r="BC572" s="237">
        <f t="shared" si="1769"/>
        <v>2448</v>
      </c>
      <c r="BD572" s="576">
        <f t="shared" si="1769"/>
        <v>2448</v>
      </c>
      <c r="BE572" s="48">
        <f t="shared" si="1769"/>
        <v>2423</v>
      </c>
      <c r="BF572" s="237">
        <f t="shared" si="1769"/>
        <v>2398</v>
      </c>
      <c r="BG572" s="576">
        <f t="shared" si="1769"/>
        <v>2398</v>
      </c>
      <c r="BH572" s="48">
        <f t="shared" si="1769"/>
        <v>2373</v>
      </c>
      <c r="BI572" s="237">
        <f t="shared" si="1769"/>
        <v>2348</v>
      </c>
      <c r="BJ572" s="576">
        <f t="shared" si="1769"/>
        <v>2348</v>
      </c>
    </row>
    <row r="573" spans="1:62">
      <c r="A573" s="31" t="s">
        <v>474</v>
      </c>
      <c r="B573" s="31"/>
      <c r="C573" s="51">
        <f>AVERAGE(C569,C572)</f>
        <v>1183</v>
      </c>
      <c r="D573" s="51">
        <f t="shared" ref="D573:BJ573" si="1770">AVERAGE(D569,D572)</f>
        <v>1549</v>
      </c>
      <c r="E573" s="51">
        <f t="shared" si="1770"/>
        <v>1842</v>
      </c>
      <c r="F573" s="51">
        <f t="shared" si="1770"/>
        <v>2083</v>
      </c>
      <c r="G573" s="51">
        <f t="shared" si="1770"/>
        <v>2285</v>
      </c>
      <c r="H573" s="51">
        <f t="shared" si="1770"/>
        <v>2423</v>
      </c>
      <c r="I573" s="51">
        <f t="shared" si="1770"/>
        <v>2536</v>
      </c>
      <c r="J573" s="51">
        <f t="shared" si="1770"/>
        <v>2653</v>
      </c>
      <c r="K573" s="51">
        <f t="shared" si="1770"/>
        <v>2746</v>
      </c>
      <c r="L573" s="51">
        <f t="shared" si="1770"/>
        <v>2798</v>
      </c>
      <c r="M573" s="51">
        <f t="shared" si="1770"/>
        <v>2832</v>
      </c>
      <c r="N573" s="51">
        <f t="shared" si="1770"/>
        <v>2873</v>
      </c>
      <c r="O573" s="51">
        <f t="shared" si="1770"/>
        <v>2923</v>
      </c>
      <c r="P573" s="51">
        <f t="shared" si="1770"/>
        <v>2963</v>
      </c>
      <c r="Q573" s="51">
        <f t="shared" si="1770"/>
        <v>2973</v>
      </c>
      <c r="R573" s="51"/>
      <c r="S573" s="629"/>
      <c r="T573" s="652">
        <f t="shared" si="1770"/>
        <v>2968</v>
      </c>
      <c r="U573" s="51"/>
      <c r="V573" s="629"/>
      <c r="W573" s="652">
        <f>AVERAGE(W569,W572)</f>
        <v>2952</v>
      </c>
      <c r="X573" s="51"/>
      <c r="Y573" s="629"/>
      <c r="Z573" s="652">
        <f>AVERAGE(Z569,Z572)</f>
        <v>2931</v>
      </c>
      <c r="AA573" s="51">
        <f t="shared" ref="AA573:AB573" si="1771">AVERAGE(AA569,AA572)</f>
        <v>2894</v>
      </c>
      <c r="AB573" s="629">
        <f t="shared" si="1771"/>
        <v>2864</v>
      </c>
      <c r="AC573" s="652">
        <f>AVERAGE(AC569,AC572)</f>
        <v>2894</v>
      </c>
      <c r="AD573" s="51">
        <f t="shared" ref="AD573:AE573" si="1772">AVERAGE(AD569,AD572)</f>
        <v>2894</v>
      </c>
      <c r="AE573" s="629">
        <f t="shared" si="1772"/>
        <v>2924</v>
      </c>
      <c r="AF573" s="652">
        <f>AVERAGE(AF569,AF572)</f>
        <v>2894</v>
      </c>
      <c r="AG573" s="51">
        <f t="shared" ref="AG573:AH573" si="1773">AVERAGE(AG569,AG572)</f>
        <v>2841</v>
      </c>
      <c r="AH573" s="629">
        <f t="shared" si="1773"/>
        <v>2758</v>
      </c>
      <c r="AI573" s="652">
        <f>AVERAGE(AI569,AI572)</f>
        <v>2841</v>
      </c>
      <c r="AJ573" s="51">
        <f t="shared" ref="AJ573:AK573" si="1774">AVERAGE(AJ569,AJ572)</f>
        <v>2749</v>
      </c>
      <c r="AK573" s="629">
        <f t="shared" si="1774"/>
        <v>2740</v>
      </c>
      <c r="AL573" s="652">
        <f t="shared" si="1770"/>
        <v>2749</v>
      </c>
      <c r="AM573" s="51">
        <f t="shared" ref="AM573:AO573" si="1775">AVERAGE(AM569,AM572)</f>
        <v>2727</v>
      </c>
      <c r="AN573" s="629">
        <f t="shared" si="1775"/>
        <v>2704</v>
      </c>
      <c r="AO573" s="652">
        <f t="shared" si="1775"/>
        <v>2717</v>
      </c>
      <c r="AP573" s="27">
        <f t="shared" ref="AP573:AR573" si="1776">AVERAGE(AP569,AP572)</f>
        <v>2684</v>
      </c>
      <c r="AQ573" s="629">
        <f t="shared" si="1776"/>
        <v>2651</v>
      </c>
      <c r="AR573" s="652">
        <f t="shared" si="1776"/>
        <v>2661</v>
      </c>
      <c r="AS573" s="27">
        <f t="shared" ref="AS573:AU573" si="1777">AVERAGE(AS569,AS572)</f>
        <v>2622</v>
      </c>
      <c r="AT573" s="629">
        <f t="shared" si="1777"/>
        <v>2607</v>
      </c>
      <c r="AU573" s="652">
        <f t="shared" si="1777"/>
        <v>2613</v>
      </c>
      <c r="AV573" s="27">
        <f t="shared" ref="AV573" si="1778">AVERAGE(AV569,AV572)</f>
        <v>2595</v>
      </c>
      <c r="AW573" s="237">
        <f t="shared" si="1770"/>
        <v>2570</v>
      </c>
      <c r="AX573" s="576">
        <f t="shared" si="1770"/>
        <v>2573</v>
      </c>
      <c r="AY573" s="48">
        <f t="shared" si="1770"/>
        <v>2535.5</v>
      </c>
      <c r="AZ573" s="237">
        <f t="shared" si="1770"/>
        <v>2510.5</v>
      </c>
      <c r="BA573" s="576">
        <f t="shared" si="1770"/>
        <v>2523</v>
      </c>
      <c r="BB573" s="48">
        <f t="shared" si="1770"/>
        <v>2485.5</v>
      </c>
      <c r="BC573" s="237">
        <f t="shared" si="1770"/>
        <v>2460.5</v>
      </c>
      <c r="BD573" s="576">
        <f t="shared" si="1770"/>
        <v>2473</v>
      </c>
      <c r="BE573" s="48">
        <f t="shared" si="1770"/>
        <v>2435.5</v>
      </c>
      <c r="BF573" s="237">
        <f t="shared" si="1770"/>
        <v>2410.5</v>
      </c>
      <c r="BG573" s="576">
        <f t="shared" si="1770"/>
        <v>2423</v>
      </c>
      <c r="BH573" s="48">
        <f t="shared" si="1770"/>
        <v>2385.5</v>
      </c>
      <c r="BI573" s="237">
        <f t="shared" si="1770"/>
        <v>2360.5</v>
      </c>
      <c r="BJ573" s="576">
        <f t="shared" si="1770"/>
        <v>2373</v>
      </c>
    </row>
    <row r="574" spans="1:62">
      <c r="A574" s="31"/>
      <c r="B574" s="31"/>
      <c r="C574" s="51"/>
      <c r="D574" s="51"/>
      <c r="E574" s="51"/>
      <c r="F574" s="51"/>
      <c r="G574" s="51"/>
      <c r="H574" s="51"/>
      <c r="I574" s="51"/>
      <c r="J574" s="51"/>
      <c r="K574" s="51"/>
      <c r="L574" s="51"/>
      <c r="M574" s="51"/>
      <c r="N574" s="51"/>
      <c r="O574" s="51"/>
      <c r="P574" s="51"/>
      <c r="Q574" s="51"/>
      <c r="R574" s="51"/>
      <c r="S574" s="629"/>
      <c r="T574" s="652"/>
      <c r="U574" s="51"/>
      <c r="V574" s="629"/>
      <c r="W574" s="652"/>
      <c r="X574" s="51"/>
      <c r="Y574" s="629"/>
      <c r="Z574" s="652"/>
      <c r="AA574" s="51"/>
      <c r="AB574" s="629"/>
      <c r="AC574" s="652"/>
      <c r="AD574" s="51"/>
      <c r="AE574" s="629"/>
      <c r="AF574" s="652"/>
      <c r="AG574" s="51"/>
      <c r="AH574" s="629"/>
      <c r="AI574" s="652"/>
      <c r="AJ574" s="51"/>
      <c r="AK574" s="629"/>
      <c r="AL574" s="652"/>
      <c r="AM574" s="51"/>
      <c r="AN574" s="541"/>
      <c r="AO574" s="578"/>
      <c r="AP574" s="2"/>
      <c r="AQ574" s="541"/>
      <c r="AR574" s="578"/>
      <c r="AS574" s="2"/>
      <c r="AT574" s="541"/>
      <c r="AU574" s="578"/>
      <c r="AV574" s="2"/>
      <c r="AW574" s="541"/>
      <c r="AX574" s="578"/>
      <c r="AY574" s="2"/>
      <c r="AZ574" s="541"/>
      <c r="BA574" s="578"/>
      <c r="BB574" s="2"/>
      <c r="BC574" s="541"/>
      <c r="BD574" s="578"/>
      <c r="BE574" s="2"/>
      <c r="BF574" s="541"/>
      <c r="BG574" s="578"/>
      <c r="BH574" s="2"/>
      <c r="BI574" s="541"/>
      <c r="BJ574" s="578"/>
    </row>
    <row r="575" spans="1:62">
      <c r="A575" s="25" t="s">
        <v>536</v>
      </c>
      <c r="C575" s="40">
        <f t="shared" ref="C575:Q575" si="1779">B398</f>
        <v>448</v>
      </c>
      <c r="D575" s="40">
        <f t="shared" si="1779"/>
        <v>662</v>
      </c>
      <c r="E575" s="40">
        <f t="shared" si="1779"/>
        <v>792</v>
      </c>
      <c r="F575" s="40">
        <f t="shared" si="1779"/>
        <v>904</v>
      </c>
      <c r="G575" s="40">
        <f t="shared" si="1779"/>
        <v>1006</v>
      </c>
      <c r="H575" s="40">
        <f t="shared" si="1779"/>
        <v>1164</v>
      </c>
      <c r="I575" s="40">
        <f t="shared" si="1779"/>
        <v>1312</v>
      </c>
      <c r="J575" s="40">
        <f t="shared" si="1779"/>
        <v>1480</v>
      </c>
      <c r="K575" s="40">
        <f t="shared" si="1779"/>
        <v>1650</v>
      </c>
      <c r="L575" s="40">
        <f t="shared" si="1779"/>
        <v>1832</v>
      </c>
      <c r="M575" s="40">
        <f t="shared" si="1779"/>
        <v>2032</v>
      </c>
      <c r="N575" s="40">
        <f t="shared" si="1779"/>
        <v>2226</v>
      </c>
      <c r="O575" s="40">
        <f t="shared" si="1779"/>
        <v>2448</v>
      </c>
      <c r="P575" s="40">
        <f t="shared" si="1779"/>
        <v>2744</v>
      </c>
      <c r="Q575" s="40">
        <f t="shared" si="1779"/>
        <v>3084</v>
      </c>
      <c r="R575" s="40"/>
      <c r="S575" s="630"/>
      <c r="T575" s="653">
        <f>Q398</f>
        <v>3432</v>
      </c>
      <c r="U575" s="40"/>
      <c r="V575" s="630"/>
      <c r="W575" s="653">
        <f>T398</f>
        <v>3684</v>
      </c>
      <c r="X575" s="40"/>
      <c r="Y575" s="630"/>
      <c r="Z575" s="653">
        <f>W398</f>
        <v>3932</v>
      </c>
      <c r="AA575" s="40">
        <f>Z578</f>
        <v>4150</v>
      </c>
      <c r="AB575" s="630">
        <f>AA578</f>
        <v>4396</v>
      </c>
      <c r="AC575" s="653">
        <f>Z398</f>
        <v>4150</v>
      </c>
      <c r="AD575" s="40">
        <f>AC578</f>
        <v>4396</v>
      </c>
      <c r="AE575" s="630">
        <f>AD578</f>
        <v>4482</v>
      </c>
      <c r="AF575" s="653">
        <f>AC398</f>
        <v>4396</v>
      </c>
      <c r="AG575" s="40">
        <f>AF578</f>
        <v>4482</v>
      </c>
      <c r="AH575" s="630">
        <f>AG578</f>
        <v>4576</v>
      </c>
      <c r="AI575" s="653">
        <f>AF398</f>
        <v>4482</v>
      </c>
      <c r="AJ575" s="40">
        <f>AI578</f>
        <v>4576</v>
      </c>
      <c r="AK575" s="630">
        <f>AJ578</f>
        <v>4676</v>
      </c>
      <c r="AL575" s="653">
        <f t="shared" ref="AL575" si="1780">AI578</f>
        <v>4576</v>
      </c>
      <c r="AM575" s="40">
        <f>AL578</f>
        <v>4676</v>
      </c>
      <c r="AN575" s="630">
        <f>AM578</f>
        <v>4702</v>
      </c>
      <c r="AO575" s="653">
        <f t="shared" ref="AO575" si="1781">AL578</f>
        <v>4676</v>
      </c>
      <c r="AP575" s="10">
        <f>AO578</f>
        <v>4754</v>
      </c>
      <c r="AQ575" s="630">
        <f>AP578</f>
        <v>4780</v>
      </c>
      <c r="AR575" s="653">
        <f t="shared" ref="AR575" si="1782">AO578</f>
        <v>4754</v>
      </c>
      <c r="AS575" s="10">
        <f>AR578</f>
        <v>4754</v>
      </c>
      <c r="AT575" s="630">
        <f>AS578</f>
        <v>4782</v>
      </c>
      <c r="AU575" s="653">
        <f t="shared" ref="AU575" si="1783">AR578</f>
        <v>4754</v>
      </c>
      <c r="AV575" s="10">
        <f>AU578</f>
        <v>4774</v>
      </c>
      <c r="AW575" s="236">
        <f>AV578</f>
        <v>4768</v>
      </c>
      <c r="AX575" s="605">
        <f>AU578</f>
        <v>4774</v>
      </c>
      <c r="AY575" s="56">
        <f>AX578</f>
        <v>4744</v>
      </c>
      <c r="AZ575" s="236">
        <f>AY578</f>
        <v>4729</v>
      </c>
      <c r="BA575" s="605">
        <f>AX578</f>
        <v>4744</v>
      </c>
      <c r="BB575" s="56">
        <f>BA578</f>
        <v>4714</v>
      </c>
      <c r="BC575" s="236">
        <f>BB578</f>
        <v>4699</v>
      </c>
      <c r="BD575" s="605">
        <f>BA578</f>
        <v>4714</v>
      </c>
      <c r="BE575" s="56">
        <f>BD578</f>
        <v>4684</v>
      </c>
      <c r="BF575" s="236">
        <f>BE578</f>
        <v>4669</v>
      </c>
      <c r="BG575" s="605">
        <f>BD578</f>
        <v>4684</v>
      </c>
      <c r="BH575" s="56">
        <f>BG578</f>
        <v>4654</v>
      </c>
      <c r="BI575" s="236">
        <f>BH578</f>
        <v>4639</v>
      </c>
      <c r="BJ575" s="605">
        <f>BG578</f>
        <v>4654</v>
      </c>
    </row>
    <row r="576" spans="1:62">
      <c r="A576" s="25" t="s">
        <v>458</v>
      </c>
      <c r="C576" s="40">
        <f>'Civil OE'!C91</f>
        <v>253</v>
      </c>
      <c r="D576" s="40">
        <f>'Civil OE'!D91</f>
        <v>127</v>
      </c>
      <c r="E576" s="40">
        <f>'Civil OE'!E91</f>
        <v>96</v>
      </c>
      <c r="F576" s="40">
        <f>'Civil OE'!F91</f>
        <v>131</v>
      </c>
      <c r="G576" s="40">
        <f>'Civil OE'!G91</f>
        <v>161</v>
      </c>
      <c r="H576" s="40">
        <f>'Civil OE'!H91</f>
        <v>155</v>
      </c>
      <c r="I576" s="40">
        <f>'Civil OE'!I91</f>
        <v>183</v>
      </c>
      <c r="J576" s="40">
        <f>'Civil OE'!J91</f>
        <v>216</v>
      </c>
      <c r="K576" s="40">
        <f>'Civil OE'!K91</f>
        <v>172</v>
      </c>
      <c r="L576" s="40">
        <f>'Civil OE'!L91</f>
        <v>184</v>
      </c>
      <c r="M576" s="40">
        <f>'Civil OE'!M91</f>
        <v>232</v>
      </c>
      <c r="N576" s="40">
        <f>'Civil OE'!N91</f>
        <v>290</v>
      </c>
      <c r="O576" s="40">
        <f>'Civil OE'!O91</f>
        <v>326</v>
      </c>
      <c r="P576" s="40">
        <f>'Civil OE'!P91</f>
        <v>334</v>
      </c>
      <c r="Q576" s="40">
        <f>'Civil OE'!Q91</f>
        <v>332</v>
      </c>
      <c r="R576" s="40"/>
      <c r="S576" s="630"/>
      <c r="T576" s="653">
        <f>'Civil OE'!T91</f>
        <v>244</v>
      </c>
      <c r="U576" s="40"/>
      <c r="V576" s="630"/>
      <c r="W576" s="653">
        <f>'Civil OE'!W91</f>
        <v>190</v>
      </c>
      <c r="X576" s="40"/>
      <c r="Y576" s="630"/>
      <c r="Z576" s="653">
        <f>'Civil OE'!Z91</f>
        <v>205</v>
      </c>
      <c r="AA576" s="40">
        <f>'Civil OE'!AA91</f>
        <v>107</v>
      </c>
      <c r="AB576" s="630">
        <f>'Civil OE'!AB91</f>
        <v>84</v>
      </c>
      <c r="AC576" s="653">
        <f>'Civil OE'!AC91</f>
        <v>191</v>
      </c>
      <c r="AD576" s="40">
        <f>'Civil OE'!AD91</f>
        <v>68</v>
      </c>
      <c r="AE576" s="630">
        <f>'Civil OE'!AE91</f>
        <v>44</v>
      </c>
      <c r="AF576" s="653">
        <f>'Civil OE'!AF91</f>
        <v>112</v>
      </c>
      <c r="AG576" s="40">
        <f>'Civil OE'!AG91</f>
        <v>28</v>
      </c>
      <c r="AH576" s="630">
        <f>'Civil OE'!AH91</f>
        <v>42</v>
      </c>
      <c r="AI576" s="653">
        <f>'Civil OE'!AI91</f>
        <v>70</v>
      </c>
      <c r="AJ576" s="40">
        <f>'Civil OE'!AJ91</f>
        <v>35</v>
      </c>
      <c r="AK576" s="630">
        <f>'Civil OE'!AK91</f>
        <v>42</v>
      </c>
      <c r="AL576" s="653">
        <f>'Civil OE'!AL91</f>
        <v>77</v>
      </c>
      <c r="AM576" s="40">
        <f>'Civil OE'!AM91</f>
        <v>34</v>
      </c>
      <c r="AN576" s="630">
        <f>'Civil OE'!AN91</f>
        <v>59</v>
      </c>
      <c r="AO576" s="653">
        <f>'Civil OE'!AO91</f>
        <v>93</v>
      </c>
      <c r="AP576" s="10">
        <f>'Civil OE'!AP91</f>
        <v>33</v>
      </c>
      <c r="AQ576" s="630">
        <f>'Civil OE'!AQ91</f>
        <v>44</v>
      </c>
      <c r="AR576" s="653">
        <f>'Civil OE'!AR91</f>
        <v>77</v>
      </c>
      <c r="AS576" s="10">
        <f>'Civil OE'!AS91</f>
        <v>3</v>
      </c>
      <c r="AT576" s="630">
        <f>'Civil OE'!AT91</f>
        <v>2</v>
      </c>
      <c r="AU576" s="653">
        <f>'Civil OE'!AU91</f>
        <v>5</v>
      </c>
      <c r="AV576" s="10">
        <f>'Civil OE'!AV91</f>
        <v>0</v>
      </c>
      <c r="AW576" s="236">
        <f>'Civil OE'!AW91</f>
        <v>0</v>
      </c>
      <c r="AX576" s="605">
        <f>'Civil OE'!AX91</f>
        <v>0</v>
      </c>
      <c r="AY576" s="56">
        <f>'Civil OE'!AY91</f>
        <v>0</v>
      </c>
      <c r="AZ576" s="236">
        <f>'Civil OE'!AZ91</f>
        <v>0</v>
      </c>
      <c r="BA576" s="605">
        <f>'Civil OE'!BA91</f>
        <v>0</v>
      </c>
      <c r="BB576" s="56">
        <f>'Civil OE'!BB91</f>
        <v>0</v>
      </c>
      <c r="BC576" s="236">
        <f>'Civil OE'!BC91</f>
        <v>0</v>
      </c>
      <c r="BD576" s="605">
        <f>'Civil OE'!BD91</f>
        <v>0</v>
      </c>
      <c r="BE576" s="56">
        <f>'Civil OE'!BE91</f>
        <v>0</v>
      </c>
      <c r="BF576" s="236">
        <f>'Civil OE'!BF91</f>
        <v>0</v>
      </c>
      <c r="BG576" s="605">
        <f>'Civil OE'!BG91</f>
        <v>0</v>
      </c>
      <c r="BH576" s="56">
        <f>'Civil OE'!BH91</f>
        <v>0</v>
      </c>
      <c r="BI576" s="236">
        <f>'Civil OE'!BI91</f>
        <v>0</v>
      </c>
      <c r="BJ576" s="605">
        <f>'Civil OE'!BJ91</f>
        <v>0</v>
      </c>
    </row>
    <row r="577" spans="1:62">
      <c r="A577" s="25" t="s">
        <v>459</v>
      </c>
      <c r="C577" s="40">
        <f>C578-C576-C575</f>
        <v>-39</v>
      </c>
      <c r="D577" s="40">
        <f t="shared" ref="D577:T577" si="1784">D578-D576-D575</f>
        <v>3</v>
      </c>
      <c r="E577" s="40">
        <f t="shared" si="1784"/>
        <v>16</v>
      </c>
      <c r="F577" s="40">
        <f t="shared" si="1784"/>
        <v>-29</v>
      </c>
      <c r="G577" s="40">
        <f t="shared" si="1784"/>
        <v>-3</v>
      </c>
      <c r="H577" s="40">
        <f t="shared" si="1784"/>
        <v>-7</v>
      </c>
      <c r="I577" s="40">
        <f t="shared" si="1784"/>
        <v>-15</v>
      </c>
      <c r="J577" s="40">
        <f t="shared" si="1784"/>
        <v>-46</v>
      </c>
      <c r="K577" s="40">
        <f t="shared" si="1784"/>
        <v>10</v>
      </c>
      <c r="L577" s="40">
        <f t="shared" si="1784"/>
        <v>16</v>
      </c>
      <c r="M577" s="40">
        <f t="shared" si="1784"/>
        <v>-38</v>
      </c>
      <c r="N577" s="40">
        <f t="shared" si="1784"/>
        <v>-68</v>
      </c>
      <c r="O577" s="40">
        <f t="shared" si="1784"/>
        <v>-30</v>
      </c>
      <c r="P577" s="40">
        <f t="shared" si="1784"/>
        <v>6</v>
      </c>
      <c r="Q577" s="40">
        <f t="shared" si="1784"/>
        <v>16</v>
      </c>
      <c r="R577" s="40"/>
      <c r="S577" s="630"/>
      <c r="T577" s="653">
        <f t="shared" si="1784"/>
        <v>8</v>
      </c>
      <c r="U577" s="40"/>
      <c r="V577" s="630"/>
      <c r="W577" s="653">
        <f t="shared" ref="W577:AL577" si="1785">W578-W576-W575</f>
        <v>58</v>
      </c>
      <c r="X577" s="40"/>
      <c r="Y577" s="630"/>
      <c r="Z577" s="653">
        <f t="shared" si="1785"/>
        <v>13</v>
      </c>
      <c r="AA577" s="40">
        <f t="shared" si="1785"/>
        <v>139</v>
      </c>
      <c r="AB577" s="630">
        <f t="shared" si="1785"/>
        <v>-84</v>
      </c>
      <c r="AC577" s="653">
        <f t="shared" si="1785"/>
        <v>55</v>
      </c>
      <c r="AD577" s="40">
        <f t="shared" si="1785"/>
        <v>18</v>
      </c>
      <c r="AE577" s="630">
        <f t="shared" si="1785"/>
        <v>-44</v>
      </c>
      <c r="AF577" s="653">
        <f t="shared" si="1785"/>
        <v>-26</v>
      </c>
      <c r="AG577" s="40">
        <f t="shared" ref="AG577:AH577" si="1786">AG578-AG576-AG575</f>
        <v>66</v>
      </c>
      <c r="AH577" s="630">
        <f t="shared" si="1786"/>
        <v>-42</v>
      </c>
      <c r="AI577" s="653">
        <f t="shared" si="1785"/>
        <v>24</v>
      </c>
      <c r="AJ577" s="40">
        <f t="shared" si="1785"/>
        <v>65</v>
      </c>
      <c r="AK577" s="630">
        <f t="shared" ref="AK577" si="1787">AK578-AK576-AK575</f>
        <v>-42</v>
      </c>
      <c r="AL577" s="653">
        <f t="shared" si="1785"/>
        <v>23</v>
      </c>
      <c r="AM577" s="40">
        <f t="shared" ref="AM577:AO577" si="1788">AM578-AM576-AM575</f>
        <v>-8</v>
      </c>
      <c r="AN577" s="630">
        <f t="shared" si="1788"/>
        <v>-7</v>
      </c>
      <c r="AO577" s="653">
        <f t="shared" si="1788"/>
        <v>-15</v>
      </c>
      <c r="AP577" s="40">
        <f t="shared" ref="AP577:AR577" si="1789">AP578-AP576-AP575</f>
        <v>-7</v>
      </c>
      <c r="AQ577" s="630">
        <f t="shared" si="1789"/>
        <v>-70</v>
      </c>
      <c r="AR577" s="653">
        <f t="shared" si="1789"/>
        <v>-77</v>
      </c>
      <c r="AS577" s="40">
        <f t="shared" ref="AS577:AU577" si="1790">AS578-AS576-AS575</f>
        <v>25</v>
      </c>
      <c r="AT577" s="630">
        <f t="shared" si="1790"/>
        <v>-10</v>
      </c>
      <c r="AU577" s="653">
        <f t="shared" si="1790"/>
        <v>15</v>
      </c>
      <c r="AV577" s="40">
        <f t="shared" ref="AV577" si="1791">AV578-AV576-AV575</f>
        <v>-6</v>
      </c>
      <c r="AW577" s="236">
        <f>AX577-AV577</f>
        <v>-24</v>
      </c>
      <c r="AX577" s="580">
        <v>-30</v>
      </c>
      <c r="AY577" s="56">
        <f>BA577/2</f>
        <v>-15</v>
      </c>
      <c r="AZ577" s="236">
        <f>BA577-AY577</f>
        <v>-15</v>
      </c>
      <c r="BA577" s="605">
        <f>AX577</f>
        <v>-30</v>
      </c>
      <c r="BB577" s="56">
        <f>BD577/2</f>
        <v>-15</v>
      </c>
      <c r="BC577" s="236">
        <f>BD577-BB577</f>
        <v>-15</v>
      </c>
      <c r="BD577" s="605">
        <f>BA577</f>
        <v>-30</v>
      </c>
      <c r="BE577" s="56">
        <f>BG577/2</f>
        <v>-15</v>
      </c>
      <c r="BF577" s="236">
        <f>BG577-BE577</f>
        <v>-15</v>
      </c>
      <c r="BG577" s="605">
        <f>BD577</f>
        <v>-30</v>
      </c>
      <c r="BH577" s="56">
        <f>BJ577/2</f>
        <v>-15</v>
      </c>
      <c r="BI577" s="236">
        <f>BJ577-BH577</f>
        <v>-15</v>
      </c>
      <c r="BJ577" s="605">
        <f>BG577</f>
        <v>-30</v>
      </c>
    </row>
    <row r="578" spans="1:62">
      <c r="A578" s="31" t="s">
        <v>537</v>
      </c>
      <c r="B578" s="31">
        <f t="shared" ref="B578:AL578" si="1792">B398</f>
        <v>448</v>
      </c>
      <c r="C578" s="51">
        <f t="shared" si="1792"/>
        <v>662</v>
      </c>
      <c r="D578" s="51">
        <f t="shared" si="1792"/>
        <v>792</v>
      </c>
      <c r="E578" s="51">
        <f t="shared" si="1792"/>
        <v>904</v>
      </c>
      <c r="F578" s="51">
        <f t="shared" si="1792"/>
        <v>1006</v>
      </c>
      <c r="G578" s="51">
        <f t="shared" si="1792"/>
        <v>1164</v>
      </c>
      <c r="H578" s="51">
        <f t="shared" si="1792"/>
        <v>1312</v>
      </c>
      <c r="I578" s="51">
        <f t="shared" si="1792"/>
        <v>1480</v>
      </c>
      <c r="J578" s="51">
        <f t="shared" si="1792"/>
        <v>1650</v>
      </c>
      <c r="K578" s="51">
        <f t="shared" si="1792"/>
        <v>1832</v>
      </c>
      <c r="L578" s="51">
        <f t="shared" si="1792"/>
        <v>2032</v>
      </c>
      <c r="M578" s="51">
        <f t="shared" si="1792"/>
        <v>2226</v>
      </c>
      <c r="N578" s="51">
        <f t="shared" si="1792"/>
        <v>2448</v>
      </c>
      <c r="O578" s="51">
        <f t="shared" si="1792"/>
        <v>2744</v>
      </c>
      <c r="P578" s="51">
        <f t="shared" si="1792"/>
        <v>3084</v>
      </c>
      <c r="Q578" s="51">
        <f t="shared" si="1792"/>
        <v>3432</v>
      </c>
      <c r="R578" s="51"/>
      <c r="S578" s="629"/>
      <c r="T578" s="652">
        <f t="shared" si="1792"/>
        <v>3684</v>
      </c>
      <c r="U578" s="51"/>
      <c r="V578" s="629"/>
      <c r="W578" s="652">
        <f t="shared" si="1792"/>
        <v>3932</v>
      </c>
      <c r="X578" s="51"/>
      <c r="Y578" s="629"/>
      <c r="Z578" s="652">
        <f t="shared" si="1792"/>
        <v>4150</v>
      </c>
      <c r="AA578" s="51">
        <f t="shared" si="1792"/>
        <v>4396</v>
      </c>
      <c r="AB578" s="629">
        <f t="shared" si="1792"/>
        <v>4396</v>
      </c>
      <c r="AC578" s="652">
        <f t="shared" si="1792"/>
        <v>4396</v>
      </c>
      <c r="AD578" s="51">
        <f t="shared" si="1792"/>
        <v>4482</v>
      </c>
      <c r="AE578" s="629">
        <f t="shared" si="1792"/>
        <v>4482</v>
      </c>
      <c r="AF578" s="652">
        <f t="shared" si="1792"/>
        <v>4482</v>
      </c>
      <c r="AG578" s="51">
        <f t="shared" ref="AG578:AH578" si="1793">AG398</f>
        <v>4576</v>
      </c>
      <c r="AH578" s="629">
        <f t="shared" si="1793"/>
        <v>4576</v>
      </c>
      <c r="AI578" s="652">
        <f t="shared" si="1792"/>
        <v>4576</v>
      </c>
      <c r="AJ578" s="51">
        <f t="shared" si="1792"/>
        <v>4676</v>
      </c>
      <c r="AK578" s="629">
        <f t="shared" ref="AK578" si="1794">AK398</f>
        <v>4676</v>
      </c>
      <c r="AL578" s="652">
        <f t="shared" si="1792"/>
        <v>4676</v>
      </c>
      <c r="AM578" s="51">
        <f t="shared" ref="AM578:AO578" si="1795">AM398</f>
        <v>4702</v>
      </c>
      <c r="AN578" s="629">
        <f t="shared" si="1795"/>
        <v>4754</v>
      </c>
      <c r="AO578" s="652">
        <f t="shared" si="1795"/>
        <v>4754</v>
      </c>
      <c r="AP578" s="51">
        <f t="shared" ref="AP578:AR578" si="1796">AP398</f>
        <v>4780</v>
      </c>
      <c r="AQ578" s="629">
        <f t="shared" si="1796"/>
        <v>4754</v>
      </c>
      <c r="AR578" s="652">
        <f t="shared" si="1796"/>
        <v>4754</v>
      </c>
      <c r="AS578" s="51">
        <f t="shared" ref="AS578:AU578" si="1797">AS398</f>
        <v>4782</v>
      </c>
      <c r="AT578" s="629">
        <f t="shared" si="1797"/>
        <v>4774</v>
      </c>
      <c r="AU578" s="652">
        <f t="shared" si="1797"/>
        <v>4774</v>
      </c>
      <c r="AV578" s="51">
        <f t="shared" ref="AV578" si="1798">AV398</f>
        <v>4768</v>
      </c>
      <c r="AW578" s="237">
        <f t="shared" ref="AW578:BJ578" si="1799">AW575+AW576+AW577</f>
        <v>4744</v>
      </c>
      <c r="AX578" s="576">
        <f t="shared" si="1799"/>
        <v>4744</v>
      </c>
      <c r="AY578" s="48">
        <f t="shared" si="1799"/>
        <v>4729</v>
      </c>
      <c r="AZ578" s="237">
        <f t="shared" si="1799"/>
        <v>4714</v>
      </c>
      <c r="BA578" s="576">
        <f t="shared" si="1799"/>
        <v>4714</v>
      </c>
      <c r="BB578" s="48">
        <f t="shared" si="1799"/>
        <v>4699</v>
      </c>
      <c r="BC578" s="237">
        <f t="shared" si="1799"/>
        <v>4684</v>
      </c>
      <c r="BD578" s="576">
        <f t="shared" si="1799"/>
        <v>4684</v>
      </c>
      <c r="BE578" s="48">
        <f t="shared" si="1799"/>
        <v>4669</v>
      </c>
      <c r="BF578" s="237">
        <f t="shared" si="1799"/>
        <v>4654</v>
      </c>
      <c r="BG578" s="576">
        <f t="shared" si="1799"/>
        <v>4654</v>
      </c>
      <c r="BH578" s="48">
        <f t="shared" si="1799"/>
        <v>4639</v>
      </c>
      <c r="BI578" s="237">
        <f t="shared" si="1799"/>
        <v>4624</v>
      </c>
      <c r="BJ578" s="576">
        <f t="shared" si="1799"/>
        <v>4624</v>
      </c>
    </row>
    <row r="579" spans="1:62">
      <c r="A579" s="31" t="s">
        <v>474</v>
      </c>
      <c r="B579" s="31"/>
      <c r="C579" s="51">
        <f>AVERAGE(C575,C578)</f>
        <v>555</v>
      </c>
      <c r="D579" s="51">
        <f t="shared" ref="D579:BJ579" si="1800">AVERAGE(D575,D578)</f>
        <v>727</v>
      </c>
      <c r="E579" s="51">
        <f t="shared" si="1800"/>
        <v>848</v>
      </c>
      <c r="F579" s="51">
        <f t="shared" si="1800"/>
        <v>955</v>
      </c>
      <c r="G579" s="51">
        <f t="shared" si="1800"/>
        <v>1085</v>
      </c>
      <c r="H579" s="51">
        <f t="shared" si="1800"/>
        <v>1238</v>
      </c>
      <c r="I579" s="51">
        <f t="shared" si="1800"/>
        <v>1396</v>
      </c>
      <c r="J579" s="51">
        <f t="shared" si="1800"/>
        <v>1565</v>
      </c>
      <c r="K579" s="51">
        <f t="shared" si="1800"/>
        <v>1741</v>
      </c>
      <c r="L579" s="51">
        <f t="shared" si="1800"/>
        <v>1932</v>
      </c>
      <c r="M579" s="51">
        <f t="shared" si="1800"/>
        <v>2129</v>
      </c>
      <c r="N579" s="51">
        <f t="shared" si="1800"/>
        <v>2337</v>
      </c>
      <c r="O579" s="51">
        <f t="shared" si="1800"/>
        <v>2596</v>
      </c>
      <c r="P579" s="51">
        <f t="shared" si="1800"/>
        <v>2914</v>
      </c>
      <c r="Q579" s="51">
        <f t="shared" si="1800"/>
        <v>3258</v>
      </c>
      <c r="R579" s="51"/>
      <c r="S579" s="629"/>
      <c r="T579" s="652">
        <f t="shared" si="1800"/>
        <v>3558</v>
      </c>
      <c r="U579" s="51"/>
      <c r="V579" s="629"/>
      <c r="W579" s="652">
        <f>AVERAGE(W575,W578)</f>
        <v>3808</v>
      </c>
      <c r="X579" s="51"/>
      <c r="Y579" s="629"/>
      <c r="Z579" s="652">
        <f>AVERAGE(Z575,Z578)</f>
        <v>4041</v>
      </c>
      <c r="AA579" s="51">
        <f t="shared" ref="AA579:AB579" si="1801">AVERAGE(AA575,AA578)</f>
        <v>4273</v>
      </c>
      <c r="AB579" s="629">
        <f t="shared" si="1801"/>
        <v>4396</v>
      </c>
      <c r="AC579" s="652">
        <f>AVERAGE(AC575,AC578)</f>
        <v>4273</v>
      </c>
      <c r="AD579" s="51">
        <f t="shared" ref="AD579:AE579" si="1802">AVERAGE(AD575,AD578)</f>
        <v>4439</v>
      </c>
      <c r="AE579" s="629">
        <f t="shared" si="1802"/>
        <v>4482</v>
      </c>
      <c r="AF579" s="652">
        <f>AVERAGE(AF575,AF578)</f>
        <v>4439</v>
      </c>
      <c r="AG579" s="51">
        <f t="shared" ref="AG579:AH579" si="1803">AVERAGE(AG575,AG578)</f>
        <v>4529</v>
      </c>
      <c r="AH579" s="629">
        <f t="shared" si="1803"/>
        <v>4576</v>
      </c>
      <c r="AI579" s="652">
        <f>AVERAGE(AI575,AI578)</f>
        <v>4529</v>
      </c>
      <c r="AJ579" s="51">
        <f t="shared" ref="AJ579:AK579" si="1804">AVERAGE(AJ575,AJ578)</f>
        <v>4626</v>
      </c>
      <c r="AK579" s="629">
        <f t="shared" si="1804"/>
        <v>4676</v>
      </c>
      <c r="AL579" s="652">
        <f t="shared" si="1800"/>
        <v>4626</v>
      </c>
      <c r="AM579" s="51">
        <f t="shared" ref="AM579:AO579" si="1805">AVERAGE(AM575,AM578)</f>
        <v>4689</v>
      </c>
      <c r="AN579" s="629">
        <f t="shared" si="1805"/>
        <v>4728</v>
      </c>
      <c r="AO579" s="652">
        <f t="shared" si="1805"/>
        <v>4715</v>
      </c>
      <c r="AP579" s="27">
        <f t="shared" ref="AP579:AR579" si="1806">AVERAGE(AP575,AP578)</f>
        <v>4767</v>
      </c>
      <c r="AQ579" s="629">
        <f t="shared" si="1806"/>
        <v>4767</v>
      </c>
      <c r="AR579" s="652">
        <f t="shared" si="1806"/>
        <v>4754</v>
      </c>
      <c r="AS579" s="27">
        <f t="shared" ref="AS579:AU579" si="1807">AVERAGE(AS575,AS578)</f>
        <v>4768</v>
      </c>
      <c r="AT579" s="629">
        <f t="shared" si="1807"/>
        <v>4778</v>
      </c>
      <c r="AU579" s="652">
        <f t="shared" si="1807"/>
        <v>4764</v>
      </c>
      <c r="AV579" s="27">
        <f t="shared" ref="AV579" si="1808">AVERAGE(AV575,AV578)</f>
        <v>4771</v>
      </c>
      <c r="AW579" s="237">
        <f t="shared" si="1800"/>
        <v>4756</v>
      </c>
      <c r="AX579" s="576">
        <f t="shared" si="1800"/>
        <v>4759</v>
      </c>
      <c r="AY579" s="48">
        <f t="shared" si="1800"/>
        <v>4736.5</v>
      </c>
      <c r="AZ579" s="237">
        <f t="shared" si="1800"/>
        <v>4721.5</v>
      </c>
      <c r="BA579" s="576">
        <f t="shared" si="1800"/>
        <v>4729</v>
      </c>
      <c r="BB579" s="48">
        <f t="shared" si="1800"/>
        <v>4706.5</v>
      </c>
      <c r="BC579" s="237">
        <f t="shared" si="1800"/>
        <v>4691.5</v>
      </c>
      <c r="BD579" s="576">
        <f t="shared" si="1800"/>
        <v>4699</v>
      </c>
      <c r="BE579" s="48">
        <f t="shared" si="1800"/>
        <v>4676.5</v>
      </c>
      <c r="BF579" s="237">
        <f t="shared" si="1800"/>
        <v>4661.5</v>
      </c>
      <c r="BG579" s="576">
        <f t="shared" si="1800"/>
        <v>4669</v>
      </c>
      <c r="BH579" s="48">
        <f t="shared" si="1800"/>
        <v>4646.5</v>
      </c>
      <c r="BI579" s="237">
        <f t="shared" si="1800"/>
        <v>4631.5</v>
      </c>
      <c r="BJ579" s="576">
        <f t="shared" si="1800"/>
        <v>4639</v>
      </c>
    </row>
    <row r="580" spans="1:62">
      <c r="A580" s="31"/>
      <c r="B580" s="31"/>
      <c r="C580" s="31"/>
      <c r="D580" s="31"/>
      <c r="E580" s="31"/>
      <c r="F580" s="31"/>
      <c r="G580" s="31"/>
      <c r="H580" s="31"/>
      <c r="I580" s="31"/>
      <c r="J580" s="31"/>
      <c r="K580" s="31"/>
      <c r="L580" s="31"/>
      <c r="M580" s="31"/>
      <c r="N580" s="31"/>
      <c r="O580" s="31"/>
      <c r="P580" s="31"/>
      <c r="Q580" s="31"/>
      <c r="R580" s="31"/>
      <c r="S580" s="793"/>
      <c r="T580" s="824"/>
      <c r="U580" s="31"/>
      <c r="V580" s="793"/>
      <c r="W580" s="824"/>
      <c r="X580" s="31"/>
      <c r="Y580" s="793"/>
      <c r="Z580" s="824"/>
      <c r="AA580" s="31"/>
      <c r="AB580" s="793"/>
      <c r="AC580" s="824"/>
      <c r="AD580" s="31"/>
      <c r="AE580" s="793"/>
      <c r="AF580" s="824"/>
      <c r="AG580" s="31"/>
      <c r="AH580" s="793"/>
      <c r="AI580" s="824"/>
      <c r="AJ580" s="31"/>
      <c r="AK580" s="793"/>
      <c r="AL580" s="824"/>
      <c r="AM580" s="31"/>
      <c r="AN580" s="541"/>
      <c r="AO580" s="578"/>
      <c r="AP580" s="2"/>
      <c r="AQ580" s="541"/>
      <c r="AR580" s="578"/>
      <c r="AS580" s="2"/>
      <c r="AT580" s="541"/>
      <c r="AU580" s="578"/>
      <c r="AV580" s="2"/>
      <c r="AW580" s="541"/>
      <c r="AX580" s="578"/>
      <c r="AY580" s="2"/>
      <c r="AZ580" s="541"/>
      <c r="BA580" s="578"/>
      <c r="BB580" s="2"/>
      <c r="BC580" s="541"/>
      <c r="BD580" s="578"/>
      <c r="BE580" s="2"/>
      <c r="BF580" s="541"/>
      <c r="BG580" s="578"/>
      <c r="BH580" s="2"/>
      <c r="BI580" s="541"/>
      <c r="BJ580" s="578"/>
    </row>
    <row r="581" spans="1:62">
      <c r="A581" s="25" t="s">
        <v>1009</v>
      </c>
      <c r="S581" s="595"/>
      <c r="T581" s="619"/>
      <c r="V581" s="595"/>
      <c r="W581" s="619"/>
      <c r="Y581" s="595"/>
      <c r="Z581" s="619"/>
      <c r="AB581" s="595"/>
      <c r="AC581" s="619">
        <f>Z399</f>
        <v>0</v>
      </c>
      <c r="AD581" s="40">
        <f>AC584</f>
        <v>6</v>
      </c>
      <c r="AE581" s="630">
        <f>AD584</f>
        <v>54</v>
      </c>
      <c r="AF581" s="619">
        <f>AC399</f>
        <v>6</v>
      </c>
      <c r="AG581" s="40">
        <f>AF584</f>
        <v>54</v>
      </c>
      <c r="AH581" s="630">
        <f>AG584</f>
        <v>100</v>
      </c>
      <c r="AI581" s="619">
        <f>AF399</f>
        <v>54</v>
      </c>
      <c r="AJ581" s="40">
        <f>AI584</f>
        <v>100</v>
      </c>
      <c r="AK581" s="630">
        <f>AJ584</f>
        <v>150</v>
      </c>
      <c r="AL581" s="619">
        <f>AI399</f>
        <v>100</v>
      </c>
      <c r="AM581" s="40">
        <f>AL584</f>
        <v>150</v>
      </c>
      <c r="AN581" s="630">
        <f>AM584</f>
        <v>178</v>
      </c>
      <c r="AO581" s="619">
        <f>AL399</f>
        <v>150</v>
      </c>
      <c r="AP581" s="10">
        <f>AO584</f>
        <v>200</v>
      </c>
      <c r="AQ581" s="630">
        <f>AP584</f>
        <v>264</v>
      </c>
      <c r="AR581" s="619">
        <f>AO399</f>
        <v>200</v>
      </c>
      <c r="AS581" s="10">
        <f>AR584</f>
        <v>336</v>
      </c>
      <c r="AT581" s="630">
        <f>AS584</f>
        <v>416</v>
      </c>
      <c r="AU581" s="619">
        <f>AR399</f>
        <v>336</v>
      </c>
      <c r="AV581" s="10">
        <f>AU584</f>
        <v>544</v>
      </c>
      <c r="AW581" s="236">
        <f>AV584</f>
        <v>654</v>
      </c>
      <c r="AX581" s="605">
        <f>AU584</f>
        <v>544</v>
      </c>
      <c r="AY581" s="56">
        <f>AX584</f>
        <v>784</v>
      </c>
      <c r="AZ581" s="236">
        <f>AY584</f>
        <v>908</v>
      </c>
      <c r="BA581" s="605">
        <f>AX584</f>
        <v>784</v>
      </c>
      <c r="BB581" s="56">
        <f>BA584</f>
        <v>1032</v>
      </c>
      <c r="BC581" s="236">
        <f>BB584</f>
        <v>1162</v>
      </c>
      <c r="BD581" s="605">
        <f>BA584</f>
        <v>1032</v>
      </c>
      <c r="BE581" s="56">
        <f>BD584</f>
        <v>1292</v>
      </c>
      <c r="BF581" s="236">
        <f>BE584</f>
        <v>1428</v>
      </c>
      <c r="BG581" s="605">
        <f>BD584</f>
        <v>1292</v>
      </c>
      <c r="BH581" s="56">
        <f>BG584</f>
        <v>1564</v>
      </c>
      <c r="BI581" s="236">
        <f>BH584</f>
        <v>1706</v>
      </c>
      <c r="BJ581" s="605">
        <f>BG584</f>
        <v>1564</v>
      </c>
    </row>
    <row r="582" spans="1:62">
      <c r="A582" s="25" t="s">
        <v>458</v>
      </c>
      <c r="S582" s="595"/>
      <c r="T582" s="619"/>
      <c r="V582" s="595"/>
      <c r="W582" s="619"/>
      <c r="Y582" s="595"/>
      <c r="Z582" s="619"/>
      <c r="AB582" s="595"/>
      <c r="AC582" s="619">
        <f>'Civil OE'!AC92</f>
        <v>24</v>
      </c>
      <c r="AD582" s="40">
        <f>'Civil OE'!AD92</f>
        <v>35</v>
      </c>
      <c r="AE582" s="630">
        <f>'Civil OE'!AE92</f>
        <v>37</v>
      </c>
      <c r="AF582" s="619">
        <f>'Civil OE'!AF92</f>
        <v>72</v>
      </c>
      <c r="AG582" s="40">
        <f>'Civil OE'!AG92</f>
        <v>20</v>
      </c>
      <c r="AH582" s="630">
        <f>'Civil OE'!AH92</f>
        <v>24</v>
      </c>
      <c r="AI582" s="619">
        <f>'Civil OE'!AI92</f>
        <v>44</v>
      </c>
      <c r="AJ582" s="40">
        <f>'Civil OE'!AJ92</f>
        <v>36</v>
      </c>
      <c r="AK582" s="630">
        <f>'Civil OE'!AK92</f>
        <v>52</v>
      </c>
      <c r="AL582" s="619">
        <f>'Civil OE'!AL92</f>
        <v>88</v>
      </c>
      <c r="AM582" s="40">
        <f>'Civil OE'!AM92</f>
        <v>39</v>
      </c>
      <c r="AN582" s="630">
        <f>'Civil OE'!AN92</f>
        <v>64</v>
      </c>
      <c r="AO582" s="550">
        <f>'Civil OE'!AO92</f>
        <v>103</v>
      </c>
      <c r="AP582" s="10">
        <f>'Civil OE'!AP92</f>
        <v>83</v>
      </c>
      <c r="AQ582" s="630">
        <f>'Civil OE'!AQ92</f>
        <v>91</v>
      </c>
      <c r="AR582" s="550">
        <f>'Civil OE'!AR92</f>
        <v>174</v>
      </c>
      <c r="AS582" s="10">
        <f>'Civil OE'!AS92</f>
        <v>112</v>
      </c>
      <c r="AT582" s="630">
        <f>'Civil OE'!AT92</f>
        <v>107</v>
      </c>
      <c r="AU582" s="550">
        <f>'Civil OE'!AU92</f>
        <v>219</v>
      </c>
      <c r="AV582" s="10">
        <f>'Civil OE'!AV92</f>
        <v>122</v>
      </c>
      <c r="AW582" s="236">
        <f>'Civil OE'!AW92</f>
        <v>128</v>
      </c>
      <c r="AX582" s="605">
        <f>'Civil OE'!AX92</f>
        <v>250</v>
      </c>
      <c r="AY582" s="56">
        <f>'Civil OE'!AY92</f>
        <v>129</v>
      </c>
      <c r="AZ582" s="236">
        <f>'Civil OE'!AZ92</f>
        <v>129</v>
      </c>
      <c r="BA582" s="605">
        <f>'Civil OE'!BA92</f>
        <v>258</v>
      </c>
      <c r="BB582" s="56">
        <f>'Civil OE'!BB92</f>
        <v>135</v>
      </c>
      <c r="BC582" s="236">
        <f>'Civil OE'!BC92</f>
        <v>135</v>
      </c>
      <c r="BD582" s="605">
        <f>'Civil OE'!BD92</f>
        <v>270</v>
      </c>
      <c r="BE582" s="56">
        <f>'Civil OE'!BE92</f>
        <v>141</v>
      </c>
      <c r="BF582" s="236">
        <f>'Civil OE'!BF92</f>
        <v>141</v>
      </c>
      <c r="BG582" s="605">
        <f>'Civil OE'!BG92</f>
        <v>282</v>
      </c>
      <c r="BH582" s="56">
        <f>'Civil OE'!BH92</f>
        <v>147</v>
      </c>
      <c r="BI582" s="236">
        <f>'Civil OE'!BI92</f>
        <v>147</v>
      </c>
      <c r="BJ582" s="605">
        <f>'Civil OE'!BJ92</f>
        <v>294</v>
      </c>
    </row>
    <row r="583" spans="1:62">
      <c r="A583" s="25" t="s">
        <v>459</v>
      </c>
      <c r="S583" s="595"/>
      <c r="T583" s="619"/>
      <c r="V583" s="595"/>
      <c r="W583" s="619"/>
      <c r="Y583" s="595"/>
      <c r="Z583" s="619"/>
      <c r="AB583" s="595"/>
      <c r="AC583" s="653">
        <f t="shared" ref="AC583:AE583" si="1809">AC584-AC582-AC581</f>
        <v>-18</v>
      </c>
      <c r="AD583" s="40">
        <f t="shared" si="1809"/>
        <v>13</v>
      </c>
      <c r="AE583" s="630">
        <f t="shared" si="1809"/>
        <v>-37</v>
      </c>
      <c r="AF583" s="653">
        <f t="shared" ref="AF583:AH583" si="1810">AF584-AF582-AF581</f>
        <v>-24</v>
      </c>
      <c r="AG583" s="40">
        <f t="shared" si="1810"/>
        <v>26</v>
      </c>
      <c r="AH583" s="630">
        <f t="shared" si="1810"/>
        <v>-24</v>
      </c>
      <c r="AI583" s="653">
        <f t="shared" ref="AI583:AK583" si="1811">AI584-AI582-AI581</f>
        <v>2</v>
      </c>
      <c r="AJ583" s="40">
        <f t="shared" si="1811"/>
        <v>14</v>
      </c>
      <c r="AK583" s="630">
        <f t="shared" si="1811"/>
        <v>-52</v>
      </c>
      <c r="AL583" s="653">
        <f t="shared" ref="AL583:AN583" si="1812">AL584-AL582-AL581</f>
        <v>-38</v>
      </c>
      <c r="AM583" s="40">
        <f t="shared" si="1812"/>
        <v>-11</v>
      </c>
      <c r="AN583" s="630">
        <f t="shared" si="1812"/>
        <v>-42</v>
      </c>
      <c r="AO583" s="653">
        <f t="shared" ref="AO583:AQ583" si="1813">AO584-AO582-AO581</f>
        <v>-53</v>
      </c>
      <c r="AP583" s="40">
        <f t="shared" si="1813"/>
        <v>-19</v>
      </c>
      <c r="AQ583" s="630">
        <f t="shared" si="1813"/>
        <v>-19</v>
      </c>
      <c r="AR583" s="653">
        <f t="shared" ref="AR583:AT583" si="1814">AR584-AR582-AR581</f>
        <v>-38</v>
      </c>
      <c r="AS583" s="40">
        <f t="shared" si="1814"/>
        <v>-32</v>
      </c>
      <c r="AT583" s="630">
        <f t="shared" si="1814"/>
        <v>21</v>
      </c>
      <c r="AU583" s="653">
        <f t="shared" ref="AU583:AV583" si="1815">AU584-AU582-AU581</f>
        <v>-11</v>
      </c>
      <c r="AV583" s="40">
        <f t="shared" si="1815"/>
        <v>-12</v>
      </c>
      <c r="AW583" s="236">
        <f>AX583-AV583</f>
        <v>2</v>
      </c>
      <c r="AX583" s="580">
        <v>-10</v>
      </c>
      <c r="AY583" s="56">
        <f>BA583/2</f>
        <v>-5</v>
      </c>
      <c r="AZ583" s="236">
        <f>BA583-AY583</f>
        <v>-5</v>
      </c>
      <c r="BA583" s="605">
        <f>AX583</f>
        <v>-10</v>
      </c>
      <c r="BB583" s="56">
        <f>BD583/2</f>
        <v>-5</v>
      </c>
      <c r="BC583" s="236">
        <f>BD583-BB583</f>
        <v>-5</v>
      </c>
      <c r="BD583" s="605">
        <f>BA583</f>
        <v>-10</v>
      </c>
      <c r="BE583" s="56">
        <f>BG583/2</f>
        <v>-5</v>
      </c>
      <c r="BF583" s="236">
        <f>BG583-BE583</f>
        <v>-5</v>
      </c>
      <c r="BG583" s="605">
        <f>BD583</f>
        <v>-10</v>
      </c>
      <c r="BH583" s="56">
        <f>BJ583/2</f>
        <v>-5</v>
      </c>
      <c r="BI583" s="236">
        <f>BJ583-BH583</f>
        <v>-5</v>
      </c>
      <c r="BJ583" s="605">
        <f>BG583</f>
        <v>-10</v>
      </c>
    </row>
    <row r="584" spans="1:62">
      <c r="A584" s="31" t="s">
        <v>1010</v>
      </c>
      <c r="B584" s="31"/>
      <c r="C584" s="31"/>
      <c r="D584" s="31"/>
      <c r="E584" s="31"/>
      <c r="F584" s="31"/>
      <c r="G584" s="31"/>
      <c r="H584" s="31"/>
      <c r="I584" s="31"/>
      <c r="J584" s="31"/>
      <c r="K584" s="31"/>
      <c r="L584" s="31"/>
      <c r="M584" s="31"/>
      <c r="N584" s="31"/>
      <c r="O584" s="31"/>
      <c r="P584" s="31"/>
      <c r="Q584" s="31"/>
      <c r="R584" s="31"/>
      <c r="S584" s="793"/>
      <c r="T584" s="824"/>
      <c r="U584" s="31"/>
      <c r="V584" s="793"/>
      <c r="W584" s="824"/>
      <c r="X584" s="31"/>
      <c r="Y584" s="793"/>
      <c r="Z584" s="824"/>
      <c r="AA584" s="31"/>
      <c r="AB584" s="793"/>
      <c r="AC584" s="824">
        <f t="shared" ref="AC584:AO584" si="1816">AC399</f>
        <v>6</v>
      </c>
      <c r="AD584" s="51">
        <f t="shared" si="1816"/>
        <v>54</v>
      </c>
      <c r="AE584" s="629">
        <f t="shared" si="1816"/>
        <v>54</v>
      </c>
      <c r="AF584" s="824">
        <f t="shared" si="1816"/>
        <v>54</v>
      </c>
      <c r="AG584" s="51">
        <f t="shared" si="1816"/>
        <v>100</v>
      </c>
      <c r="AH584" s="629">
        <f t="shared" si="1816"/>
        <v>100</v>
      </c>
      <c r="AI584" s="824">
        <f t="shared" si="1816"/>
        <v>100</v>
      </c>
      <c r="AJ584" s="51">
        <f t="shared" si="1816"/>
        <v>150</v>
      </c>
      <c r="AK584" s="629">
        <f t="shared" si="1816"/>
        <v>150</v>
      </c>
      <c r="AL584" s="824">
        <f t="shared" si="1816"/>
        <v>150</v>
      </c>
      <c r="AM584" s="51">
        <f t="shared" si="1816"/>
        <v>178</v>
      </c>
      <c r="AN584" s="629">
        <f t="shared" si="1816"/>
        <v>200</v>
      </c>
      <c r="AO584" s="824">
        <f t="shared" si="1816"/>
        <v>200</v>
      </c>
      <c r="AP584" s="51">
        <f t="shared" ref="AP584:AR584" si="1817">AP399</f>
        <v>264</v>
      </c>
      <c r="AQ584" s="629">
        <f t="shared" si="1817"/>
        <v>336</v>
      </c>
      <c r="AR584" s="824">
        <f t="shared" si="1817"/>
        <v>336</v>
      </c>
      <c r="AS584" s="51">
        <f t="shared" ref="AS584:AU584" si="1818">AS399</f>
        <v>416</v>
      </c>
      <c r="AT584" s="629">
        <f t="shared" si="1818"/>
        <v>544</v>
      </c>
      <c r="AU584" s="824">
        <f t="shared" si="1818"/>
        <v>544</v>
      </c>
      <c r="AV584" s="51">
        <f t="shared" ref="AV584" si="1819">AV399</f>
        <v>654</v>
      </c>
      <c r="AW584" s="237">
        <f t="shared" ref="AW584" si="1820">AW581+AW582+AW583</f>
        <v>784</v>
      </c>
      <c r="AX584" s="576">
        <f t="shared" ref="AX584:AZ584" si="1821">AX581+AX582+AX583</f>
        <v>784</v>
      </c>
      <c r="AY584" s="48">
        <f t="shared" si="1821"/>
        <v>908</v>
      </c>
      <c r="AZ584" s="237">
        <f t="shared" si="1821"/>
        <v>1032</v>
      </c>
      <c r="BA584" s="576">
        <f t="shared" ref="BA584:BC584" si="1822">BA581+BA582+BA583</f>
        <v>1032</v>
      </c>
      <c r="BB584" s="48">
        <f t="shared" si="1822"/>
        <v>1162</v>
      </c>
      <c r="BC584" s="237">
        <f t="shared" si="1822"/>
        <v>1292</v>
      </c>
      <c r="BD584" s="576">
        <f t="shared" ref="BD584:BF584" si="1823">BD581+BD582+BD583</f>
        <v>1292</v>
      </c>
      <c r="BE584" s="48">
        <f t="shared" si="1823"/>
        <v>1428</v>
      </c>
      <c r="BF584" s="237">
        <f t="shared" si="1823"/>
        <v>1564</v>
      </c>
      <c r="BG584" s="576">
        <f t="shared" ref="BG584:BI584" si="1824">BG581+BG582+BG583</f>
        <v>1564</v>
      </c>
      <c r="BH584" s="48">
        <f t="shared" si="1824"/>
        <v>1706</v>
      </c>
      <c r="BI584" s="237">
        <f t="shared" si="1824"/>
        <v>1848</v>
      </c>
      <c r="BJ584" s="576">
        <f t="shared" ref="BJ584" si="1825">BJ581+BJ582+BJ583</f>
        <v>1848</v>
      </c>
    </row>
    <row r="585" spans="1:62">
      <c r="A585" s="31" t="s">
        <v>474</v>
      </c>
      <c r="B585" s="31"/>
      <c r="C585" s="31"/>
      <c r="D585" s="31"/>
      <c r="E585" s="31"/>
      <c r="F585" s="31"/>
      <c r="G585" s="31"/>
      <c r="H585" s="31"/>
      <c r="I585" s="31"/>
      <c r="J585" s="31"/>
      <c r="K585" s="31"/>
      <c r="L585" s="31"/>
      <c r="M585" s="31"/>
      <c r="N585" s="31"/>
      <c r="O585" s="31"/>
      <c r="P585" s="31"/>
      <c r="Q585" s="31"/>
      <c r="R585" s="31"/>
      <c r="S585" s="793"/>
      <c r="T585" s="824"/>
      <c r="U585" s="31"/>
      <c r="V585" s="793"/>
      <c r="W585" s="824"/>
      <c r="X585" s="31"/>
      <c r="Y585" s="793"/>
      <c r="Z585" s="824"/>
      <c r="AA585" s="31"/>
      <c r="AB585" s="793"/>
      <c r="AC585" s="652">
        <f>AVERAGE(AC581,AC584)</f>
        <v>3</v>
      </c>
      <c r="AD585" s="51">
        <f t="shared" ref="AD585:AE585" si="1826">AVERAGE(AD581,AD584)</f>
        <v>30</v>
      </c>
      <c r="AE585" s="629">
        <f t="shared" si="1826"/>
        <v>54</v>
      </c>
      <c r="AF585" s="652">
        <f>AVERAGE(AF581,AF584)</f>
        <v>30</v>
      </c>
      <c r="AG585" s="51">
        <f t="shared" ref="AG585:AH585" si="1827">AVERAGE(AG581,AG584)</f>
        <v>77</v>
      </c>
      <c r="AH585" s="629">
        <f t="shared" si="1827"/>
        <v>100</v>
      </c>
      <c r="AI585" s="652">
        <f>AVERAGE(AI581,AI584)</f>
        <v>77</v>
      </c>
      <c r="AJ585" s="51">
        <f t="shared" ref="AJ585:AK585" si="1828">AVERAGE(AJ581,AJ584)</f>
        <v>125</v>
      </c>
      <c r="AK585" s="629">
        <f t="shared" si="1828"/>
        <v>150</v>
      </c>
      <c r="AL585" s="652">
        <f>AVERAGE(AL581,AL584)</f>
        <v>125</v>
      </c>
      <c r="AM585" s="51">
        <f t="shared" ref="AM585:AN585" si="1829">AVERAGE(AM581,AM584)</f>
        <v>164</v>
      </c>
      <c r="AN585" s="629">
        <f t="shared" si="1829"/>
        <v>189</v>
      </c>
      <c r="AO585" s="652">
        <f>AVERAGE(AO581,AO584)</f>
        <v>175</v>
      </c>
      <c r="AP585" s="27">
        <f t="shared" ref="AP585:AQ585" si="1830">AVERAGE(AP581,AP584)</f>
        <v>232</v>
      </c>
      <c r="AQ585" s="629">
        <f t="shared" si="1830"/>
        <v>300</v>
      </c>
      <c r="AR585" s="652">
        <f>AVERAGE(AR581,AR584)</f>
        <v>268</v>
      </c>
      <c r="AS585" s="27">
        <f t="shared" ref="AS585:AT585" si="1831">AVERAGE(AS581,AS584)</f>
        <v>376</v>
      </c>
      <c r="AT585" s="629">
        <f t="shared" si="1831"/>
        <v>480</v>
      </c>
      <c r="AU585" s="652">
        <f>AVERAGE(AU581,AU584)</f>
        <v>440</v>
      </c>
      <c r="AV585" s="27">
        <f t="shared" ref="AV585" si="1832">AVERAGE(AV581,AV584)</f>
        <v>599</v>
      </c>
      <c r="AW585" s="237">
        <f t="shared" ref="AW585" si="1833">AVERAGE(AW581,AW584)</f>
        <v>719</v>
      </c>
      <c r="AX585" s="576">
        <f>AVERAGE(AX581,AX584)</f>
        <v>664</v>
      </c>
      <c r="AY585" s="48">
        <f t="shared" ref="AY585:AZ585" si="1834">AVERAGE(AY581,AY584)</f>
        <v>846</v>
      </c>
      <c r="AZ585" s="237">
        <f t="shared" si="1834"/>
        <v>970</v>
      </c>
      <c r="BA585" s="576">
        <f>AVERAGE(BA581,BA584)</f>
        <v>908</v>
      </c>
      <c r="BB585" s="48">
        <f t="shared" ref="BB585:BC585" si="1835">AVERAGE(BB581,BB584)</f>
        <v>1097</v>
      </c>
      <c r="BC585" s="237">
        <f t="shared" si="1835"/>
        <v>1227</v>
      </c>
      <c r="BD585" s="576">
        <f>AVERAGE(BD581,BD584)</f>
        <v>1162</v>
      </c>
      <c r="BE585" s="48">
        <f t="shared" ref="BE585:BF585" si="1836">AVERAGE(BE581,BE584)</f>
        <v>1360</v>
      </c>
      <c r="BF585" s="237">
        <f t="shared" si="1836"/>
        <v>1496</v>
      </c>
      <c r="BG585" s="576">
        <f>AVERAGE(BG581,BG584)</f>
        <v>1428</v>
      </c>
      <c r="BH585" s="48">
        <f t="shared" ref="BH585:BI585" si="1837">AVERAGE(BH581,BH584)</f>
        <v>1635</v>
      </c>
      <c r="BI585" s="237">
        <f t="shared" si="1837"/>
        <v>1777</v>
      </c>
      <c r="BJ585" s="576">
        <f>AVERAGE(BJ581,BJ584)</f>
        <v>1706</v>
      </c>
    </row>
    <row r="586" spans="1:62">
      <c r="A586" s="1027"/>
      <c r="B586" s="1027"/>
      <c r="C586" s="1027"/>
      <c r="D586" s="1027"/>
      <c r="E586" s="1027"/>
      <c r="F586" s="1027"/>
      <c r="G586" s="1027"/>
      <c r="H586" s="1027"/>
      <c r="I586" s="1027"/>
      <c r="J586" s="1027"/>
      <c r="K586" s="1027"/>
      <c r="L586" s="1027"/>
      <c r="M586" s="1027"/>
      <c r="N586" s="1027"/>
      <c r="O586" s="1027"/>
      <c r="P586" s="1027"/>
      <c r="Q586" s="1027"/>
      <c r="R586" s="1027"/>
      <c r="S586" s="1028"/>
      <c r="T586" s="1029"/>
      <c r="U586" s="1027"/>
      <c r="V586" s="1028"/>
      <c r="W586" s="1029"/>
      <c r="X586" s="1027"/>
      <c r="Y586" s="1028"/>
      <c r="Z586" s="1029"/>
      <c r="AA586" s="1027"/>
      <c r="AB586" s="1028"/>
      <c r="AC586" s="1029"/>
      <c r="AD586" s="1027"/>
      <c r="AE586" s="1028"/>
      <c r="AF586" s="1029"/>
      <c r="AG586" s="1027"/>
      <c r="AH586" s="1028"/>
      <c r="AI586" s="1029"/>
      <c r="AJ586" s="1027"/>
      <c r="AK586" s="1028"/>
      <c r="AL586" s="1029"/>
      <c r="AM586" s="1027"/>
      <c r="AN586" s="1030"/>
      <c r="AO586" s="1031"/>
      <c r="AP586" s="1032"/>
      <c r="AQ586" s="1030"/>
      <c r="AR586" s="1031"/>
      <c r="AS586" s="1032"/>
      <c r="AT586" s="1030"/>
      <c r="AU586" s="1031"/>
      <c r="AV586" s="1032"/>
      <c r="AW586" s="1030"/>
      <c r="AX586" s="1031"/>
      <c r="AY586" s="1032"/>
      <c r="AZ586" s="1030"/>
      <c r="BA586" s="1031"/>
      <c r="BB586" s="1032"/>
      <c r="BC586" s="1030"/>
      <c r="BD586" s="1031"/>
      <c r="BE586" s="1032"/>
      <c r="BF586" s="1030"/>
      <c r="BG586" s="1031"/>
      <c r="BH586" s="1032"/>
      <c r="BI586" s="1030"/>
      <c r="BJ586" s="1031"/>
    </row>
    <row r="588" spans="1:62" ht="11.4">
      <c r="R588" s="38"/>
      <c r="S588" s="38"/>
      <c r="T588" s="38"/>
      <c r="U588" s="38"/>
      <c r="V588" s="38"/>
      <c r="W588" s="38"/>
      <c r="X588" s="38"/>
      <c r="Y588" s="38"/>
      <c r="Z588" s="38"/>
      <c r="AA588" s="38"/>
      <c r="AB588" s="38"/>
      <c r="AC588" s="38"/>
      <c r="AD588" s="38"/>
      <c r="AE588" s="38"/>
      <c r="AF588" s="38"/>
      <c r="AG588" s="38"/>
      <c r="AH588" s="38"/>
      <c r="AI588" s="38"/>
      <c r="AJ588" s="38"/>
      <c r="AK588" s="38"/>
      <c r="AL588" s="38"/>
      <c r="AM588" s="38"/>
      <c r="AN588" s="19"/>
      <c r="AO588" s="19"/>
      <c r="AP588" s="19"/>
      <c r="AQ588" s="19"/>
      <c r="AR588" s="19"/>
      <c r="AS588" s="19"/>
      <c r="AT588" s="19"/>
      <c r="AU588" s="19"/>
      <c r="AV588" s="19"/>
      <c r="AW588" s="19"/>
      <c r="AX588" s="19"/>
      <c r="AY588" s="19"/>
      <c r="AZ588" s="19"/>
      <c r="BA588" s="19"/>
      <c r="BB588" s="19"/>
      <c r="BC588" s="19"/>
      <c r="BD588" s="19"/>
      <c r="BE588" s="19"/>
      <c r="BF588" s="19"/>
      <c r="BG588" s="19"/>
      <c r="BH588" s="19"/>
      <c r="BI588" s="19"/>
      <c r="BJ588" s="19"/>
    </row>
    <row r="589" spans="1:62" ht="11.4">
      <c r="R589" s="38"/>
      <c r="S589" s="38"/>
      <c r="T589" s="38"/>
      <c r="U589" s="38"/>
      <c r="V589" s="38"/>
      <c r="W589" s="38"/>
      <c r="X589" s="38"/>
      <c r="Y589" s="38"/>
      <c r="Z589" s="38"/>
      <c r="AA589" s="38"/>
      <c r="AB589" s="38"/>
      <c r="AC589" s="38"/>
      <c r="AD589" s="38"/>
      <c r="AE589" s="38"/>
      <c r="AF589" s="38"/>
      <c r="AG589" s="38"/>
      <c r="AH589" s="38"/>
      <c r="AI589" s="38"/>
      <c r="AJ589" s="38"/>
      <c r="AK589" s="38"/>
      <c r="AL589" s="38"/>
      <c r="AM589" s="38"/>
      <c r="AN589" s="19"/>
      <c r="AO589" s="19"/>
      <c r="AP589" s="19"/>
      <c r="AQ589" s="19"/>
      <c r="AR589" s="19"/>
      <c r="AS589" s="19"/>
      <c r="AT589" s="19"/>
      <c r="AU589" s="19"/>
      <c r="AV589" s="19"/>
      <c r="AW589" s="19"/>
      <c r="AX589" s="19"/>
      <c r="AY589" s="19"/>
      <c r="AZ589" s="19"/>
      <c r="BA589" s="19"/>
      <c r="BB589" s="19"/>
      <c r="BC589" s="19"/>
      <c r="BD589" s="19"/>
      <c r="BE589" s="19"/>
      <c r="BF589" s="19"/>
      <c r="BG589" s="19"/>
      <c r="BH589" s="19"/>
      <c r="BI589" s="19"/>
      <c r="BJ589" s="19"/>
    </row>
    <row r="590" spans="1:62" ht="11.4">
      <c r="R590" s="38"/>
      <c r="S590" s="38"/>
      <c r="T590" s="38"/>
      <c r="U590" s="38"/>
      <c r="V590" s="38"/>
      <c r="W590" s="38"/>
      <c r="X590" s="38"/>
      <c r="Y590" s="38"/>
      <c r="Z590" s="38"/>
      <c r="AA590" s="38"/>
      <c r="AB590" s="38"/>
      <c r="AC590" s="38"/>
      <c r="AD590" s="38"/>
      <c r="AE590" s="38"/>
      <c r="AF590" s="38"/>
      <c r="AG590" s="38"/>
      <c r="AH590" s="38"/>
      <c r="AI590" s="38"/>
      <c r="AJ590" s="38"/>
      <c r="AK590" s="38"/>
      <c r="AL590" s="38"/>
      <c r="AM590" s="38"/>
      <c r="AN590" s="19"/>
      <c r="AO590" s="19"/>
      <c r="AP590" s="19"/>
      <c r="AQ590" s="19"/>
      <c r="AR590" s="19"/>
      <c r="AS590" s="19"/>
      <c r="AT590" s="19"/>
      <c r="AU590" s="19"/>
      <c r="AV590" s="19"/>
      <c r="AW590" s="19"/>
      <c r="AX590" s="19"/>
      <c r="AY590" s="19"/>
      <c r="AZ590" s="19"/>
      <c r="BA590" s="19"/>
      <c r="BB590" s="19"/>
      <c r="BC590" s="19"/>
      <c r="BD590" s="19"/>
      <c r="BE590" s="19"/>
      <c r="BF590" s="19"/>
      <c r="BG590" s="19"/>
      <c r="BH590" s="19"/>
      <c r="BI590" s="19"/>
      <c r="BJ590" s="19"/>
    </row>
    <row r="591" spans="1:62" ht="11.4">
      <c r="R591" s="38"/>
      <c r="S591" s="38"/>
      <c r="T591" s="38"/>
      <c r="U591" s="38"/>
      <c r="V591" s="38"/>
      <c r="W591" s="38"/>
      <c r="X591" s="38"/>
      <c r="Y591" s="38"/>
      <c r="Z591" s="38"/>
      <c r="AA591" s="38"/>
      <c r="AB591" s="38"/>
      <c r="AC591" s="38"/>
      <c r="AD591" s="38"/>
      <c r="AE591" s="38"/>
      <c r="AF591" s="38"/>
      <c r="AG591" s="38"/>
      <c r="AH591" s="38"/>
      <c r="AI591" s="38"/>
      <c r="AJ591" s="38"/>
      <c r="AK591" s="38"/>
      <c r="AL591" s="38"/>
      <c r="AM591" s="38"/>
      <c r="AN591" s="19"/>
      <c r="AO591" s="19"/>
      <c r="AP591" s="19"/>
      <c r="AQ591" s="19"/>
      <c r="AR591" s="19"/>
      <c r="AS591" s="19"/>
      <c r="AT591" s="19"/>
      <c r="AU591" s="19"/>
      <c r="AV591" s="19"/>
      <c r="AW591" s="19"/>
      <c r="AX591" s="19"/>
      <c r="AY591" s="19"/>
      <c r="AZ591" s="19"/>
      <c r="BA591" s="19"/>
      <c r="BB591" s="19"/>
      <c r="BC591" s="19"/>
      <c r="BD591" s="19"/>
      <c r="BE591" s="19"/>
      <c r="BF591" s="19"/>
      <c r="BG591" s="19"/>
      <c r="BH591" s="19"/>
      <c r="BI591" s="19"/>
      <c r="BJ591" s="19"/>
    </row>
    <row r="592" spans="1:62" ht="11.4">
      <c r="R592" s="38"/>
      <c r="S592" s="38"/>
      <c r="T592" s="38"/>
      <c r="U592" s="38"/>
      <c r="V592" s="38"/>
      <c r="W592" s="38"/>
      <c r="X592" s="38"/>
      <c r="Y592" s="38"/>
      <c r="Z592" s="38"/>
      <c r="AA592" s="38"/>
      <c r="AB592" s="38"/>
      <c r="AC592" s="38"/>
      <c r="AD592" s="38"/>
      <c r="AE592" s="38"/>
      <c r="AF592" s="38"/>
      <c r="AG592" s="38"/>
      <c r="AH592" s="38"/>
      <c r="AI592" s="38"/>
      <c r="AJ592" s="38"/>
      <c r="AK592" s="38"/>
      <c r="AL592" s="38"/>
      <c r="AM592" s="38"/>
      <c r="AN592" s="19"/>
      <c r="AO592" s="19"/>
      <c r="AP592" s="19"/>
      <c r="AQ592" s="19"/>
      <c r="AR592" s="19"/>
      <c r="AS592" s="19"/>
      <c r="AT592" s="19"/>
      <c r="AU592" s="19"/>
      <c r="AV592" s="19"/>
      <c r="AW592" s="19"/>
      <c r="AX592" s="19"/>
      <c r="AY592" s="19"/>
      <c r="AZ592" s="19"/>
      <c r="BA592" s="19"/>
      <c r="BB592" s="19"/>
      <c r="BC592" s="19"/>
      <c r="BD592" s="19"/>
      <c r="BE592" s="19"/>
      <c r="BF592" s="19"/>
      <c r="BG592" s="19"/>
      <c r="BH592" s="19"/>
      <c r="BI592" s="19"/>
      <c r="BJ592" s="19"/>
    </row>
    <row r="593" spans="18:62" ht="11.4">
      <c r="R593" s="38"/>
      <c r="S593" s="38"/>
      <c r="T593" s="38"/>
      <c r="U593" s="38"/>
      <c r="V593" s="38"/>
      <c r="W593" s="38"/>
      <c r="X593" s="38"/>
      <c r="Y593" s="38"/>
      <c r="Z593" s="38"/>
      <c r="AA593" s="38"/>
      <c r="AB593" s="38"/>
      <c r="AC593" s="38"/>
      <c r="AD593" s="38"/>
      <c r="AE593" s="38"/>
      <c r="AF593" s="38"/>
      <c r="AG593" s="38"/>
      <c r="AH593" s="38"/>
      <c r="AI593" s="38"/>
      <c r="AJ593" s="38"/>
      <c r="AK593" s="38"/>
      <c r="AL593" s="38"/>
      <c r="AM593" s="38"/>
      <c r="AN593" s="19"/>
      <c r="AO593" s="19"/>
      <c r="AP593" s="19"/>
      <c r="AQ593" s="19"/>
      <c r="AR593" s="19"/>
      <c r="AS593" s="19"/>
      <c r="AT593" s="19"/>
      <c r="AU593" s="19"/>
      <c r="AV593" s="19"/>
      <c r="AW593" s="19"/>
      <c r="AX593" s="19"/>
      <c r="AY593" s="19"/>
      <c r="AZ593" s="19"/>
      <c r="BA593" s="19"/>
      <c r="BB593" s="19"/>
      <c r="BC593" s="19"/>
      <c r="BD593" s="19"/>
      <c r="BE593" s="19"/>
      <c r="BF593" s="19"/>
      <c r="BG593" s="19"/>
      <c r="BH593" s="19"/>
      <c r="BI593" s="19"/>
      <c r="BJ593" s="19"/>
    </row>
    <row r="594" spans="18:62" ht="11.4">
      <c r="R594" s="38"/>
      <c r="S594" s="38"/>
      <c r="T594" s="38"/>
      <c r="U594" s="38"/>
      <c r="V594" s="38"/>
      <c r="W594" s="38"/>
      <c r="X594" s="38"/>
      <c r="Y594" s="38"/>
      <c r="Z594" s="38"/>
      <c r="AA594" s="38"/>
      <c r="AB594" s="38"/>
      <c r="AC594" s="38"/>
      <c r="AD594" s="38"/>
      <c r="AE594" s="38"/>
      <c r="AF594" s="38"/>
      <c r="AG594" s="38"/>
      <c r="AH594" s="38"/>
      <c r="AI594" s="38"/>
      <c r="AJ594" s="38"/>
      <c r="AK594" s="38"/>
      <c r="AL594" s="38"/>
      <c r="AM594" s="38"/>
      <c r="AN594" s="19"/>
      <c r="AO594" s="19"/>
      <c r="AP594" s="19"/>
      <c r="AQ594" s="19"/>
      <c r="AR594" s="19"/>
      <c r="AS594" s="19"/>
      <c r="AT594" s="19"/>
      <c r="AU594" s="19"/>
      <c r="AV594" s="19"/>
      <c r="AW594" s="19"/>
      <c r="AX594" s="19"/>
      <c r="AY594" s="19"/>
      <c r="AZ594" s="19"/>
      <c r="BA594" s="19"/>
      <c r="BB594" s="19"/>
      <c r="BC594" s="19"/>
      <c r="BD594" s="19"/>
      <c r="BE594" s="19"/>
      <c r="BF594" s="19"/>
      <c r="BG594" s="19"/>
      <c r="BH594" s="19"/>
      <c r="BI594" s="19"/>
      <c r="BJ594" s="19"/>
    </row>
    <row r="595" spans="18:62" ht="11.4">
      <c r="R595" s="38"/>
      <c r="S595" s="38"/>
      <c r="T595" s="38"/>
      <c r="U595" s="38"/>
      <c r="V595" s="38"/>
      <c r="W595" s="38"/>
      <c r="X595" s="38"/>
      <c r="Y595" s="38"/>
      <c r="Z595" s="38"/>
      <c r="AA595" s="38"/>
      <c r="AB595" s="38"/>
      <c r="AC595" s="38"/>
      <c r="AD595" s="38"/>
      <c r="AE595" s="38"/>
      <c r="AF595" s="38"/>
      <c r="AG595" s="38"/>
      <c r="AH595" s="38"/>
      <c r="AI595" s="38"/>
      <c r="AJ595" s="38"/>
      <c r="AK595" s="38"/>
      <c r="AL595" s="38"/>
      <c r="AM595" s="38"/>
      <c r="AN595" s="19"/>
      <c r="AO595" s="19"/>
      <c r="AP595" s="19"/>
      <c r="AQ595" s="19"/>
      <c r="AR595" s="19"/>
      <c r="AS595" s="19"/>
      <c r="AT595" s="19"/>
      <c r="AU595" s="19"/>
      <c r="AV595" s="19"/>
      <c r="AW595" s="19"/>
      <c r="AX595" s="19"/>
      <c r="AY595" s="19"/>
      <c r="AZ595" s="19"/>
      <c r="BA595" s="19"/>
      <c r="BB595" s="19"/>
      <c r="BC595" s="19"/>
      <c r="BD595" s="19"/>
      <c r="BE595" s="19"/>
      <c r="BF595" s="19"/>
      <c r="BG595" s="19"/>
      <c r="BH595" s="19"/>
      <c r="BI595" s="19"/>
      <c r="BJ595" s="19"/>
    </row>
    <row r="596" spans="18:62" ht="11.4">
      <c r="R596" s="38"/>
      <c r="S596" s="38"/>
      <c r="T596" s="38"/>
      <c r="U596" s="38"/>
      <c r="V596" s="38"/>
      <c r="W596" s="38"/>
      <c r="X596" s="38"/>
      <c r="Y596" s="38"/>
      <c r="Z596" s="38"/>
      <c r="AA596" s="38"/>
      <c r="AB596" s="38"/>
      <c r="AC596" s="38"/>
      <c r="AD596" s="38"/>
      <c r="AE596" s="38"/>
      <c r="AF596" s="38"/>
      <c r="AG596" s="38"/>
      <c r="AH596" s="38"/>
      <c r="AI596" s="38"/>
      <c r="AJ596" s="38"/>
      <c r="AK596" s="38"/>
      <c r="AL596" s="38"/>
      <c r="AM596" s="38"/>
      <c r="AN596" s="19"/>
      <c r="AO596" s="19"/>
      <c r="AP596" s="19"/>
      <c r="AQ596" s="19"/>
      <c r="AR596" s="19"/>
      <c r="AS596" s="19"/>
      <c r="AT596" s="19"/>
      <c r="AU596" s="19"/>
      <c r="AV596" s="19"/>
      <c r="AW596" s="19"/>
      <c r="AX596" s="19"/>
      <c r="AY596" s="19"/>
      <c r="AZ596" s="19"/>
      <c r="BA596" s="19"/>
      <c r="BB596" s="19"/>
      <c r="BC596" s="19"/>
      <c r="BD596" s="19"/>
      <c r="BE596" s="19"/>
      <c r="BF596" s="19"/>
      <c r="BG596" s="19"/>
      <c r="BH596" s="19"/>
      <c r="BI596" s="19"/>
      <c r="BJ596" s="19"/>
    </row>
    <row r="597" spans="18:62" ht="11.4">
      <c r="R597" s="38"/>
      <c r="S597" s="38"/>
      <c r="T597" s="38"/>
      <c r="U597" s="38"/>
      <c r="V597" s="38"/>
      <c r="W597" s="38"/>
      <c r="X597" s="38"/>
      <c r="Y597" s="38"/>
      <c r="Z597" s="38"/>
      <c r="AA597" s="38"/>
      <c r="AB597" s="38"/>
      <c r="AC597" s="38"/>
      <c r="AD597" s="38"/>
      <c r="AE597" s="38"/>
      <c r="AF597" s="38"/>
      <c r="AG597" s="38"/>
      <c r="AH597" s="38"/>
      <c r="AI597" s="38"/>
      <c r="AJ597" s="38"/>
      <c r="AK597" s="38"/>
      <c r="AL597" s="38"/>
      <c r="AM597" s="38"/>
      <c r="AN597" s="19"/>
      <c r="AO597" s="19"/>
      <c r="AP597" s="19"/>
      <c r="AQ597" s="19"/>
      <c r="AR597" s="19"/>
      <c r="AS597" s="19"/>
      <c r="AT597" s="19"/>
      <c r="AU597" s="19"/>
      <c r="AV597" s="19"/>
      <c r="AW597" s="19"/>
      <c r="AX597" s="19"/>
      <c r="AY597" s="19"/>
      <c r="AZ597" s="19"/>
      <c r="BA597" s="19"/>
      <c r="BB597" s="19"/>
      <c r="BC597" s="19"/>
      <c r="BD597" s="19"/>
      <c r="BE597" s="19"/>
      <c r="BF597" s="19"/>
      <c r="BG597" s="19"/>
      <c r="BH597" s="19"/>
      <c r="BI597" s="19"/>
      <c r="BJ597" s="19"/>
    </row>
    <row r="598" spans="18:62" ht="11.4">
      <c r="R598" s="38"/>
      <c r="S598" s="38"/>
      <c r="T598" s="38"/>
      <c r="U598" s="38"/>
      <c r="V598" s="38"/>
      <c r="W598" s="38"/>
      <c r="X598" s="38"/>
      <c r="Y598" s="38"/>
      <c r="Z598" s="38"/>
      <c r="AA598" s="38"/>
      <c r="AB598" s="38"/>
      <c r="AC598" s="38"/>
      <c r="AD598" s="38"/>
      <c r="AE598" s="38"/>
      <c r="AF598" s="38"/>
      <c r="AG598" s="38"/>
      <c r="AH598" s="38"/>
      <c r="AI598" s="38"/>
      <c r="AJ598" s="38"/>
      <c r="AK598" s="38"/>
      <c r="AL598" s="38"/>
      <c r="AM598" s="38"/>
      <c r="AN598" s="19"/>
      <c r="AO598" s="19"/>
      <c r="AP598" s="19"/>
      <c r="AQ598" s="19"/>
      <c r="AR598" s="19"/>
      <c r="AS598" s="19"/>
      <c r="AT598" s="19"/>
      <c r="AU598" s="19"/>
      <c r="AV598" s="19"/>
      <c r="AW598" s="19"/>
      <c r="AX598" s="19"/>
      <c r="AY598" s="19"/>
      <c r="AZ598" s="19"/>
      <c r="BA598" s="19"/>
      <c r="BB598" s="19"/>
      <c r="BC598" s="19"/>
      <c r="BD598" s="19"/>
      <c r="BE598" s="19"/>
      <c r="BF598" s="19"/>
      <c r="BG598" s="19"/>
      <c r="BH598" s="19"/>
      <c r="BI598" s="19"/>
      <c r="BJ598" s="19"/>
    </row>
    <row r="599" spans="18:62" ht="11.4">
      <c r="R599" s="38"/>
      <c r="S599" s="38"/>
      <c r="T599" s="38"/>
      <c r="U599" s="38"/>
      <c r="V599" s="38"/>
      <c r="W599" s="38"/>
      <c r="X599" s="38"/>
      <c r="Y599" s="38"/>
      <c r="Z599" s="38"/>
      <c r="AA599" s="38"/>
      <c r="AB599" s="38"/>
      <c r="AC599" s="38"/>
      <c r="AD599" s="38"/>
      <c r="AE599" s="38"/>
      <c r="AF599" s="38"/>
      <c r="AG599" s="38"/>
      <c r="AH599" s="38"/>
      <c r="AI599" s="38"/>
      <c r="AJ599" s="38"/>
      <c r="AK599" s="38"/>
      <c r="AL599" s="38"/>
      <c r="AM599" s="38"/>
      <c r="AN599" s="19"/>
      <c r="AO599" s="19"/>
      <c r="AP599" s="19"/>
      <c r="AQ599" s="19"/>
      <c r="AR599" s="19"/>
      <c r="AS599" s="19"/>
      <c r="AT599" s="19"/>
      <c r="AU599" s="19"/>
      <c r="AV599" s="19"/>
      <c r="AW599" s="19"/>
      <c r="AX599" s="19"/>
      <c r="AY599" s="19"/>
      <c r="AZ599" s="19"/>
      <c r="BA599" s="19"/>
      <c r="BB599" s="19"/>
      <c r="BC599" s="19"/>
      <c r="BD599" s="19"/>
      <c r="BE599" s="19"/>
      <c r="BF599" s="19"/>
      <c r="BG599" s="19"/>
      <c r="BH599" s="19"/>
      <c r="BI599" s="19"/>
      <c r="BJ599" s="19"/>
    </row>
    <row r="600" spans="18:62" ht="11.4">
      <c r="R600" s="38"/>
      <c r="S600" s="38"/>
      <c r="T600" s="38"/>
      <c r="U600" s="38"/>
      <c r="V600" s="38"/>
      <c r="W600" s="38"/>
      <c r="X600" s="38"/>
      <c r="Y600" s="38"/>
      <c r="Z600" s="38"/>
      <c r="AA600" s="38"/>
      <c r="AB600" s="38"/>
      <c r="AC600" s="38"/>
      <c r="AD600" s="38"/>
      <c r="AE600" s="38"/>
      <c r="AF600" s="38"/>
      <c r="AG600" s="38"/>
      <c r="AH600" s="38"/>
      <c r="AI600" s="38"/>
      <c r="AJ600" s="38"/>
      <c r="AK600" s="38"/>
      <c r="AL600" s="38"/>
      <c r="AM600" s="38"/>
      <c r="AN600" s="19"/>
      <c r="AO600" s="19"/>
      <c r="AP600" s="19"/>
      <c r="AQ600" s="19"/>
      <c r="AR600" s="19"/>
      <c r="AS600" s="19"/>
      <c r="AT600" s="19"/>
      <c r="AU600" s="19"/>
      <c r="AV600" s="19"/>
      <c r="AW600" s="19"/>
      <c r="AX600" s="19"/>
      <c r="AY600" s="19"/>
      <c r="AZ600" s="19"/>
      <c r="BA600" s="19"/>
      <c r="BB600" s="19"/>
      <c r="BC600" s="19"/>
      <c r="BD600" s="19"/>
      <c r="BE600" s="19"/>
      <c r="BF600" s="19"/>
      <c r="BG600" s="19"/>
      <c r="BH600" s="19"/>
      <c r="BI600" s="19"/>
      <c r="BJ600" s="19"/>
    </row>
    <row r="601" spans="18:62" ht="11.4">
      <c r="R601" s="38"/>
      <c r="S601" s="38"/>
      <c r="T601" s="38"/>
      <c r="U601" s="38"/>
      <c r="V601" s="38"/>
      <c r="W601" s="38"/>
      <c r="X601" s="38"/>
      <c r="Y601" s="38"/>
      <c r="Z601" s="38"/>
      <c r="AA601" s="38"/>
      <c r="AB601" s="38"/>
      <c r="AC601" s="38"/>
      <c r="AD601" s="38"/>
      <c r="AE601" s="38"/>
      <c r="AF601" s="38"/>
      <c r="AG601" s="38"/>
      <c r="AH601" s="38"/>
      <c r="AI601" s="38"/>
      <c r="AJ601" s="38"/>
      <c r="AK601" s="38"/>
      <c r="AL601" s="38"/>
      <c r="AM601" s="38"/>
      <c r="AN601" s="19"/>
      <c r="AO601" s="19"/>
      <c r="AP601" s="19"/>
      <c r="AQ601" s="19"/>
      <c r="AR601" s="19"/>
      <c r="AS601" s="19"/>
      <c r="AT601" s="19"/>
      <c r="AU601" s="19"/>
      <c r="AV601" s="19"/>
      <c r="AW601" s="19"/>
      <c r="AX601" s="19"/>
      <c r="AY601" s="19"/>
      <c r="AZ601" s="19"/>
      <c r="BA601" s="19"/>
      <c r="BB601" s="19"/>
      <c r="BC601" s="19"/>
      <c r="BD601" s="19"/>
      <c r="BE601" s="19"/>
      <c r="BF601" s="19"/>
      <c r="BG601" s="19"/>
      <c r="BH601" s="19"/>
      <c r="BI601" s="19"/>
      <c r="BJ601" s="19"/>
    </row>
    <row r="602" spans="18:62" ht="11.4">
      <c r="R602" s="38"/>
      <c r="S602" s="38"/>
      <c r="T602" s="38"/>
      <c r="U602" s="38"/>
      <c r="V602" s="38"/>
      <c r="W602" s="38"/>
      <c r="X602" s="38"/>
      <c r="Y602" s="38"/>
      <c r="Z602" s="38"/>
      <c r="AA602" s="38"/>
      <c r="AB602" s="38"/>
      <c r="AC602" s="38"/>
      <c r="AD602" s="38"/>
      <c r="AE602" s="38"/>
      <c r="AF602" s="38"/>
      <c r="AG602" s="38"/>
      <c r="AH602" s="38"/>
      <c r="AI602" s="38"/>
      <c r="AJ602" s="38"/>
      <c r="AK602" s="38"/>
      <c r="AL602" s="38"/>
      <c r="AM602" s="38"/>
      <c r="AN602" s="19"/>
      <c r="AO602" s="19"/>
      <c r="AP602" s="19"/>
      <c r="AQ602" s="19"/>
      <c r="AR602" s="19"/>
      <c r="AS602" s="19"/>
      <c r="AT602" s="19"/>
      <c r="AU602" s="19"/>
      <c r="AV602" s="19"/>
      <c r="AW602" s="19"/>
      <c r="AX602" s="19"/>
      <c r="AY602" s="19"/>
      <c r="AZ602" s="19"/>
      <c r="BA602" s="19"/>
      <c r="BB602" s="19"/>
      <c r="BC602" s="19"/>
      <c r="BD602" s="19"/>
      <c r="BE602" s="19"/>
      <c r="BF602" s="19"/>
      <c r="BG602" s="19"/>
      <c r="BH602" s="19"/>
      <c r="BI602" s="19"/>
      <c r="BJ602" s="19"/>
    </row>
    <row r="603" spans="18:62" ht="11.4">
      <c r="R603" s="38"/>
      <c r="S603" s="38"/>
      <c r="T603" s="38"/>
      <c r="U603" s="38"/>
      <c r="V603" s="38"/>
      <c r="W603" s="38"/>
      <c r="X603" s="38"/>
      <c r="Y603" s="38"/>
      <c r="Z603" s="38"/>
      <c r="AA603" s="38"/>
      <c r="AB603" s="38"/>
      <c r="AC603" s="38"/>
      <c r="AD603" s="38"/>
      <c r="AE603" s="38"/>
      <c r="AF603" s="38"/>
      <c r="AG603" s="38"/>
      <c r="AH603" s="38"/>
      <c r="AI603" s="38"/>
      <c r="AJ603" s="38"/>
      <c r="AK603" s="38"/>
      <c r="AL603" s="38"/>
      <c r="AM603" s="38"/>
      <c r="AN603" s="19"/>
      <c r="AO603" s="19"/>
      <c r="AP603" s="19"/>
      <c r="AQ603" s="19"/>
      <c r="AR603" s="19"/>
      <c r="AS603" s="19"/>
      <c r="AT603" s="19"/>
      <c r="AU603" s="19"/>
      <c r="AV603" s="19"/>
      <c r="AW603" s="19"/>
      <c r="AX603" s="19"/>
      <c r="AY603" s="19"/>
      <c r="AZ603" s="19"/>
      <c r="BA603" s="19"/>
      <c r="BB603" s="19"/>
      <c r="BC603" s="19"/>
      <c r="BD603" s="19"/>
      <c r="BE603" s="19"/>
      <c r="BF603" s="19"/>
      <c r="BG603" s="19"/>
      <c r="BH603" s="19"/>
      <c r="BI603" s="19"/>
      <c r="BJ603" s="19"/>
    </row>
    <row r="604" spans="18:62" ht="11.4">
      <c r="R604" s="38"/>
      <c r="S604" s="38"/>
      <c r="T604" s="38"/>
      <c r="U604" s="38"/>
      <c r="V604" s="38"/>
      <c r="W604" s="38"/>
      <c r="X604" s="38"/>
      <c r="Y604" s="38"/>
      <c r="Z604" s="38"/>
      <c r="AA604" s="38"/>
      <c r="AB604" s="38"/>
      <c r="AC604" s="38"/>
      <c r="AD604" s="38"/>
      <c r="AE604" s="38"/>
      <c r="AF604" s="38"/>
      <c r="AG604" s="38"/>
      <c r="AH604" s="38"/>
      <c r="AI604" s="38"/>
      <c r="AJ604" s="38"/>
      <c r="AK604" s="38"/>
      <c r="AL604" s="38"/>
      <c r="AM604" s="38"/>
      <c r="AN604" s="19"/>
      <c r="AO604" s="19"/>
      <c r="AP604" s="19"/>
      <c r="AQ604" s="19"/>
      <c r="AR604" s="19"/>
      <c r="AS604" s="19"/>
      <c r="AT604" s="19"/>
      <c r="AU604" s="19"/>
      <c r="AV604" s="19"/>
      <c r="AW604" s="19"/>
      <c r="AX604" s="19"/>
      <c r="AY604" s="19"/>
      <c r="AZ604" s="19"/>
      <c r="BA604" s="19"/>
      <c r="BB604" s="19"/>
      <c r="BC604" s="19"/>
      <c r="BD604" s="19"/>
      <c r="BE604" s="19"/>
      <c r="BF604" s="19"/>
      <c r="BG604" s="19"/>
      <c r="BH604" s="19"/>
      <c r="BI604" s="19"/>
      <c r="BJ604" s="19"/>
    </row>
    <row r="605" spans="18:62" ht="11.4">
      <c r="R605" s="38"/>
      <c r="S605" s="38"/>
      <c r="T605" s="38"/>
      <c r="U605" s="38"/>
      <c r="V605" s="38"/>
      <c r="W605" s="38"/>
      <c r="X605" s="38"/>
      <c r="Y605" s="38"/>
      <c r="Z605" s="38"/>
      <c r="AA605" s="38"/>
      <c r="AB605" s="38"/>
      <c r="AC605" s="38"/>
      <c r="AD605" s="38"/>
      <c r="AE605" s="38"/>
      <c r="AF605" s="38"/>
      <c r="AG605" s="38"/>
      <c r="AH605" s="38"/>
      <c r="AI605" s="38"/>
      <c r="AJ605" s="38"/>
      <c r="AK605" s="38"/>
      <c r="AL605" s="38"/>
      <c r="AM605" s="38"/>
      <c r="AN605" s="19"/>
      <c r="AO605" s="19"/>
      <c r="AP605" s="19"/>
      <c r="AQ605" s="19"/>
      <c r="AR605" s="19"/>
      <c r="AS605" s="19"/>
      <c r="AT605" s="19"/>
      <c r="AU605" s="19"/>
      <c r="AV605" s="19"/>
      <c r="AW605" s="19"/>
      <c r="AX605" s="19"/>
      <c r="AY605" s="19"/>
      <c r="AZ605" s="19"/>
      <c r="BA605" s="19"/>
      <c r="BB605" s="19"/>
      <c r="BC605" s="19"/>
      <c r="BD605" s="19"/>
      <c r="BE605" s="19"/>
      <c r="BF605" s="19"/>
      <c r="BG605" s="19"/>
      <c r="BH605" s="19"/>
      <c r="BI605" s="19"/>
      <c r="BJ605" s="19"/>
    </row>
    <row r="606" spans="18:62" ht="11.4">
      <c r="R606" s="38"/>
      <c r="S606" s="38"/>
      <c r="T606" s="38"/>
      <c r="U606" s="38"/>
      <c r="V606" s="38"/>
      <c r="W606" s="38"/>
      <c r="X606" s="38"/>
      <c r="Y606" s="38"/>
      <c r="Z606" s="38"/>
      <c r="AA606" s="38"/>
      <c r="AB606" s="38"/>
      <c r="AC606" s="38"/>
      <c r="AD606" s="38"/>
      <c r="AE606" s="38"/>
      <c r="AF606" s="38"/>
      <c r="AG606" s="38"/>
      <c r="AH606" s="38"/>
      <c r="AI606" s="38"/>
      <c r="AJ606" s="38"/>
      <c r="AK606" s="38"/>
      <c r="AL606" s="38"/>
      <c r="AM606" s="38"/>
      <c r="AN606" s="19"/>
      <c r="AO606" s="19"/>
      <c r="AP606" s="19"/>
      <c r="AQ606" s="19"/>
      <c r="AR606" s="19"/>
      <c r="AS606" s="19"/>
      <c r="AT606" s="19"/>
      <c r="AU606" s="19"/>
      <c r="AV606" s="19"/>
      <c r="AW606" s="19"/>
      <c r="AX606" s="19"/>
      <c r="AY606" s="19"/>
      <c r="AZ606" s="19"/>
      <c r="BA606" s="19"/>
      <c r="BB606" s="19"/>
      <c r="BC606" s="19"/>
      <c r="BD606" s="19"/>
      <c r="BE606" s="19"/>
      <c r="BF606" s="19"/>
      <c r="BG606" s="19"/>
      <c r="BH606" s="19"/>
      <c r="BI606" s="19"/>
      <c r="BJ606" s="19"/>
    </row>
    <row r="607" spans="18:62" ht="11.4">
      <c r="R607" s="38"/>
      <c r="S607" s="38"/>
      <c r="T607" s="38"/>
      <c r="U607" s="38"/>
      <c r="V607" s="38"/>
      <c r="W607" s="38"/>
      <c r="X607" s="38"/>
      <c r="Y607" s="38"/>
      <c r="Z607" s="38"/>
      <c r="AA607" s="38"/>
      <c r="AB607" s="38"/>
      <c r="AC607" s="38"/>
      <c r="AD607" s="38"/>
      <c r="AE607" s="38"/>
      <c r="AF607" s="38"/>
      <c r="AG607" s="38"/>
      <c r="AH607" s="38"/>
      <c r="AI607" s="38"/>
      <c r="AJ607" s="38"/>
      <c r="AK607" s="38"/>
      <c r="AL607" s="38"/>
      <c r="AM607" s="38"/>
      <c r="AN607" s="19"/>
      <c r="AO607" s="19"/>
      <c r="AP607" s="19"/>
      <c r="AQ607" s="19"/>
      <c r="AR607" s="19"/>
      <c r="AS607" s="19"/>
      <c r="AT607" s="19"/>
      <c r="AU607" s="19"/>
      <c r="AV607" s="19"/>
      <c r="AW607" s="19"/>
      <c r="AX607" s="19"/>
      <c r="AY607" s="19"/>
      <c r="AZ607" s="19"/>
      <c r="BA607" s="19"/>
      <c r="BB607" s="19"/>
      <c r="BC607" s="19"/>
      <c r="BD607" s="19"/>
      <c r="BE607" s="19"/>
      <c r="BF607" s="19"/>
      <c r="BG607" s="19"/>
      <c r="BH607" s="19"/>
      <c r="BI607" s="19"/>
      <c r="BJ607" s="19"/>
    </row>
    <row r="608" spans="18:62" ht="11.4">
      <c r="R608" s="38"/>
      <c r="S608" s="38"/>
      <c r="T608" s="38"/>
      <c r="U608" s="38"/>
      <c r="V608" s="38"/>
      <c r="W608" s="38"/>
      <c r="X608" s="38"/>
      <c r="Y608" s="38"/>
      <c r="Z608" s="38"/>
      <c r="AA608" s="38"/>
      <c r="AB608" s="38"/>
      <c r="AC608" s="38"/>
      <c r="AD608" s="38"/>
      <c r="AE608" s="38"/>
      <c r="AF608" s="38"/>
      <c r="AG608" s="38"/>
      <c r="AH608" s="38"/>
      <c r="AI608" s="38"/>
      <c r="AJ608" s="38"/>
      <c r="AK608" s="38"/>
      <c r="AL608" s="38"/>
      <c r="AM608" s="38"/>
      <c r="AN608" s="19"/>
      <c r="AO608" s="19"/>
      <c r="AP608" s="19"/>
      <c r="AQ608" s="19"/>
      <c r="AR608" s="19"/>
      <c r="AS608" s="19"/>
      <c r="AT608" s="19"/>
      <c r="AU608" s="19"/>
      <c r="AV608" s="19"/>
      <c r="AW608" s="19"/>
      <c r="AX608" s="19"/>
      <c r="AY608" s="19"/>
      <c r="AZ608" s="19"/>
      <c r="BA608" s="19"/>
      <c r="BB608" s="19"/>
      <c r="BC608" s="19"/>
      <c r="BD608" s="19"/>
      <c r="BE608" s="19"/>
      <c r="BF608" s="19"/>
      <c r="BG608" s="19"/>
      <c r="BH608" s="19"/>
      <c r="BI608" s="19"/>
      <c r="BJ608" s="19"/>
    </row>
    <row r="609" spans="18:62" ht="11.4">
      <c r="R609" s="38"/>
      <c r="S609" s="38"/>
      <c r="T609" s="38"/>
      <c r="U609" s="38"/>
      <c r="V609" s="38"/>
      <c r="W609" s="38"/>
      <c r="X609" s="38"/>
      <c r="Y609" s="38"/>
      <c r="Z609" s="38"/>
      <c r="AA609" s="38"/>
      <c r="AB609" s="38"/>
      <c r="AC609" s="38"/>
      <c r="AD609" s="38"/>
      <c r="AE609" s="38"/>
      <c r="AF609" s="38"/>
      <c r="AG609" s="38"/>
      <c r="AH609" s="38"/>
      <c r="AI609" s="38"/>
      <c r="AJ609" s="38"/>
      <c r="AK609" s="38"/>
      <c r="AL609" s="38"/>
      <c r="AM609" s="38"/>
      <c r="AN609" s="19"/>
      <c r="AO609" s="19"/>
      <c r="AP609" s="19"/>
      <c r="AQ609" s="19"/>
      <c r="AR609" s="19"/>
      <c r="AS609" s="19"/>
      <c r="AT609" s="19"/>
      <c r="AU609" s="19"/>
      <c r="AV609" s="19"/>
      <c r="AW609" s="19"/>
      <c r="AX609" s="19"/>
      <c r="AY609" s="19"/>
      <c r="AZ609" s="19"/>
      <c r="BA609" s="19"/>
      <c r="BB609" s="19"/>
      <c r="BC609" s="19"/>
      <c r="BD609" s="19"/>
      <c r="BE609" s="19"/>
      <c r="BF609" s="19"/>
      <c r="BG609" s="19"/>
      <c r="BH609" s="19"/>
      <c r="BI609" s="19"/>
      <c r="BJ609" s="19"/>
    </row>
    <row r="610" spans="18:62" ht="11.4">
      <c r="R610" s="38"/>
      <c r="S610" s="38"/>
      <c r="T610" s="38"/>
      <c r="U610" s="38"/>
      <c r="V610" s="38"/>
      <c r="W610" s="38"/>
      <c r="X610" s="38"/>
      <c r="Y610" s="38"/>
      <c r="Z610" s="38"/>
      <c r="AA610" s="38"/>
      <c r="AB610" s="38"/>
      <c r="AC610" s="38"/>
      <c r="AD610" s="38"/>
      <c r="AE610" s="38"/>
      <c r="AF610" s="38"/>
      <c r="AG610" s="38"/>
      <c r="AH610" s="38"/>
      <c r="AI610" s="38"/>
      <c r="AJ610" s="38"/>
      <c r="AK610" s="38"/>
      <c r="AL610" s="38"/>
      <c r="AM610" s="38"/>
      <c r="AN610" s="19"/>
      <c r="AO610" s="19"/>
      <c r="AP610" s="19"/>
      <c r="AQ610" s="19"/>
      <c r="AR610" s="19"/>
      <c r="AS610" s="19"/>
      <c r="AT610" s="19"/>
      <c r="AU610" s="19"/>
      <c r="AV610" s="19"/>
      <c r="AW610" s="19"/>
      <c r="AX610" s="19"/>
      <c r="AY610" s="19"/>
      <c r="AZ610" s="19"/>
      <c r="BA610" s="19"/>
      <c r="BB610" s="19"/>
      <c r="BC610" s="19"/>
      <c r="BD610" s="19"/>
      <c r="BE610" s="19"/>
      <c r="BF610" s="19"/>
      <c r="BG610" s="19"/>
      <c r="BH610" s="19"/>
      <c r="BI610" s="19"/>
      <c r="BJ610" s="19"/>
    </row>
    <row r="611" spans="18:62" ht="11.4">
      <c r="R611" s="38"/>
      <c r="S611" s="38"/>
      <c r="T611" s="38"/>
      <c r="U611" s="38"/>
      <c r="V611" s="38"/>
      <c r="W611" s="38"/>
      <c r="X611" s="38"/>
      <c r="Y611" s="38"/>
      <c r="Z611" s="38"/>
      <c r="AA611" s="38"/>
      <c r="AB611" s="38"/>
      <c r="AC611" s="38"/>
      <c r="AD611" s="38"/>
      <c r="AE611" s="38"/>
      <c r="AF611" s="38"/>
      <c r="AG611" s="38"/>
      <c r="AH611" s="38"/>
      <c r="AI611" s="38"/>
      <c r="AJ611" s="38"/>
      <c r="AK611" s="38"/>
      <c r="AL611" s="38"/>
      <c r="AM611" s="38"/>
      <c r="AN611" s="19"/>
      <c r="AO611" s="19"/>
      <c r="AP611" s="19"/>
      <c r="AQ611" s="19"/>
      <c r="AR611" s="19"/>
      <c r="AS611" s="19"/>
      <c r="AT611" s="19"/>
      <c r="AU611" s="19"/>
      <c r="AV611" s="19"/>
      <c r="AW611" s="19"/>
      <c r="AX611" s="19"/>
      <c r="AY611" s="19"/>
      <c r="AZ611" s="19"/>
      <c r="BA611" s="19"/>
      <c r="BB611" s="19"/>
      <c r="BC611" s="19"/>
      <c r="BD611" s="19"/>
      <c r="BE611" s="19"/>
      <c r="BF611" s="19"/>
      <c r="BG611" s="19"/>
      <c r="BH611" s="19"/>
      <c r="BI611" s="19"/>
      <c r="BJ611" s="19"/>
    </row>
  </sheetData>
  <pageMargins left="0.7" right="0.7" top="0.75" bottom="0.75" header="0.3" footer="0.3"/>
  <pageSetup scale="66" fitToHeight="0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A2C82D-86CF-4CE1-A5D3-6CC74116239C}">
  <sheetPr codeName="Sheet51">
    <tabColor theme="1"/>
  </sheetPr>
  <dimension ref="B2:P44"/>
  <sheetViews>
    <sheetView zoomScaleNormal="100" workbookViewId="0">
      <selection sqref="A1:XFD1048576"/>
    </sheetView>
  </sheetViews>
  <sheetFormatPr defaultColWidth="11.7109375" defaultRowHeight="10.199999999999999"/>
  <cols>
    <col min="1" max="1" width="3.28515625" style="275" customWidth="1"/>
    <col min="2" max="2" width="50.140625" style="275" bestFit="1" customWidth="1"/>
    <col min="3" max="14" width="11.7109375" style="275"/>
    <col min="15" max="15" width="3.28515625" style="275" customWidth="1"/>
    <col min="16" max="16" width="76.28515625" style="275" bestFit="1" customWidth="1"/>
    <col min="17" max="16384" width="11.7109375" style="275"/>
  </cols>
  <sheetData>
    <row r="2" spans="2:16" s="274" customFormat="1">
      <c r="B2" s="272" t="s">
        <v>855</v>
      </c>
      <c r="C2" s="273">
        <v>2019</v>
      </c>
      <c r="D2" s="273">
        <v>2020</v>
      </c>
      <c r="E2" s="273">
        <v>2021</v>
      </c>
      <c r="F2" s="273">
        <v>2022</v>
      </c>
      <c r="G2" s="273">
        <v>2023</v>
      </c>
      <c r="H2" s="273">
        <v>2024</v>
      </c>
      <c r="I2" s="1072">
        <v>2025</v>
      </c>
      <c r="J2" s="1072" t="s">
        <v>808</v>
      </c>
      <c r="K2" s="1072" t="s">
        <v>809</v>
      </c>
      <c r="L2" s="1072" t="s">
        <v>810</v>
      </c>
      <c r="M2" s="1072" t="s">
        <v>811</v>
      </c>
      <c r="N2" s="1072" t="s">
        <v>812</v>
      </c>
      <c r="P2" s="273" t="s">
        <v>856</v>
      </c>
    </row>
    <row r="4" spans="2:16" s="276" customFormat="1">
      <c r="B4" s="276" t="s">
        <v>857</v>
      </c>
      <c r="C4" s="276">
        <v>19.399999999999999</v>
      </c>
      <c r="D4" s="276">
        <v>9.5</v>
      </c>
      <c r="E4" s="276">
        <v>10.3</v>
      </c>
      <c r="F4" s="277">
        <f>SUM(F5:F6)</f>
        <v>13.2</v>
      </c>
      <c r="G4" s="277">
        <f>SUM(G5:G6)</f>
        <v>16.5</v>
      </c>
      <c r="H4" s="277">
        <f>SUM(H5:H6)</f>
        <v>18.8</v>
      </c>
      <c r="I4" s="277">
        <f t="shared" ref="I4:N4" si="0">I5+I6</f>
        <v>20</v>
      </c>
      <c r="J4" s="442">
        <f t="shared" si="0"/>
        <v>20.719055394169395</v>
      </c>
      <c r="K4" s="442">
        <f t="shared" si="0"/>
        <v>21.886018512753186</v>
      </c>
      <c r="L4" s="442">
        <f t="shared" si="0"/>
        <v>23.078123019062154</v>
      </c>
      <c r="M4" s="442">
        <f t="shared" si="0"/>
        <v>24.376199116693936</v>
      </c>
      <c r="N4" s="442">
        <f t="shared" si="0"/>
        <v>26.173011754307378</v>
      </c>
      <c r="P4" s="275" t="s">
        <v>858</v>
      </c>
    </row>
    <row r="5" spans="2:16" s="279" customFormat="1">
      <c r="B5" s="278" t="s">
        <v>765</v>
      </c>
      <c r="C5" s="279">
        <v>15.3</v>
      </c>
      <c r="D5" s="279">
        <v>6.6</v>
      </c>
      <c r="E5" s="279">
        <v>7.4</v>
      </c>
      <c r="F5" s="280">
        <v>10</v>
      </c>
      <c r="G5" s="280">
        <v>13.5</v>
      </c>
      <c r="H5" s="280">
        <v>15.8</v>
      </c>
      <c r="I5" s="280">
        <f>'Civil AM'!AU117/1000</f>
        <v>17</v>
      </c>
      <c r="J5" s="443">
        <f>'Civil AM'!AX117/1000</f>
        <v>17.569055394169396</v>
      </c>
      <c r="K5" s="443">
        <f>'Civil AM'!BA117/1000</f>
        <v>18.673018512753185</v>
      </c>
      <c r="L5" s="443">
        <f>'Civil AM'!BD117/1000</f>
        <v>19.800863019062156</v>
      </c>
      <c r="M5" s="443">
        <f>'Civil AM'!BG117/1000</f>
        <v>21.033393916693935</v>
      </c>
      <c r="N5" s="443">
        <f>'Civil AM'!BJ117/1000</f>
        <v>22.763350450307378</v>
      </c>
    </row>
    <row r="6" spans="2:16" s="279" customFormat="1">
      <c r="B6" s="278" t="s">
        <v>859</v>
      </c>
      <c r="C6" s="279">
        <f>C4-C5</f>
        <v>4.0999999999999979</v>
      </c>
      <c r="D6" s="279">
        <f>D4-D5</f>
        <v>2.9000000000000004</v>
      </c>
      <c r="E6" s="279">
        <f>E4-E5</f>
        <v>2.9000000000000004</v>
      </c>
      <c r="F6" s="280">
        <v>3.2</v>
      </c>
      <c r="G6" s="280">
        <v>3</v>
      </c>
      <c r="H6" s="280">
        <v>3</v>
      </c>
      <c r="I6" s="280">
        <f>'Civil AM'!AU307/1000</f>
        <v>3</v>
      </c>
      <c r="J6" s="443">
        <f>'Civil AM'!AX307/1000</f>
        <v>3.15</v>
      </c>
      <c r="K6" s="443">
        <f>'Civil AM'!BA307/1000</f>
        <v>3.2130000000000001</v>
      </c>
      <c r="L6" s="443">
        <f>'Civil AM'!BD307/1000</f>
        <v>3.2772600000000001</v>
      </c>
      <c r="M6" s="443">
        <f>'Civil AM'!BG307/1000</f>
        <v>3.3428052000000004</v>
      </c>
      <c r="N6" s="443">
        <f>'Civil AM'!BJ307/1000</f>
        <v>3.4096613040000001</v>
      </c>
    </row>
    <row r="7" spans="2:16" s="279" customFormat="1">
      <c r="B7" s="278"/>
      <c r="F7" s="280"/>
      <c r="G7" s="280"/>
      <c r="H7" s="280"/>
      <c r="I7" s="280"/>
      <c r="J7" s="443"/>
      <c r="K7" s="443"/>
      <c r="L7" s="443"/>
      <c r="M7" s="443"/>
      <c r="N7" s="443"/>
    </row>
    <row r="8" spans="2:16" s="276" customFormat="1">
      <c r="B8" s="281" t="s">
        <v>860</v>
      </c>
      <c r="C8" s="282">
        <f>C5/$C$5</f>
        <v>1</v>
      </c>
      <c r="D8" s="282">
        <f t="shared" ref="D8:N8" si="1">D5/$C$5</f>
        <v>0.43137254901960781</v>
      </c>
      <c r="E8" s="282">
        <f t="shared" si="1"/>
        <v>0.48366013071895425</v>
      </c>
      <c r="F8" s="282">
        <f t="shared" si="1"/>
        <v>0.65359477124183007</v>
      </c>
      <c r="G8" s="282">
        <f t="shared" ref="G8:H8" si="2">G5/$C$5</f>
        <v>0.88235294117647056</v>
      </c>
      <c r="H8" s="282">
        <f t="shared" si="2"/>
        <v>1.0326797385620916</v>
      </c>
      <c r="I8" s="1120">
        <f t="shared" si="1"/>
        <v>1.1111111111111112</v>
      </c>
      <c r="J8" s="444">
        <f t="shared" si="1"/>
        <v>1.1483042741287186</v>
      </c>
      <c r="K8" s="444">
        <f t="shared" si="1"/>
        <v>1.2204587263237374</v>
      </c>
      <c r="L8" s="444">
        <f t="shared" si="1"/>
        <v>1.2941740535334743</v>
      </c>
      <c r="M8" s="444">
        <f t="shared" si="1"/>
        <v>1.3747316285420872</v>
      </c>
      <c r="N8" s="444">
        <f t="shared" si="1"/>
        <v>1.4878006830266259</v>
      </c>
      <c r="P8" s="275" t="s">
        <v>1049</v>
      </c>
    </row>
    <row r="9" spans="2:16">
      <c r="J9" s="445"/>
      <c r="K9" s="445"/>
      <c r="L9" s="445"/>
      <c r="M9" s="445"/>
      <c r="N9" s="445"/>
    </row>
    <row r="10" spans="2:16" s="276" customFormat="1">
      <c r="B10" s="276" t="s">
        <v>861</v>
      </c>
      <c r="C10" s="283">
        <v>1.53</v>
      </c>
      <c r="D10" s="283">
        <v>1.52</v>
      </c>
      <c r="E10" s="283">
        <v>1.51</v>
      </c>
      <c r="F10" s="283">
        <v>1.5</v>
      </c>
      <c r="G10" s="283">
        <v>1.5</v>
      </c>
      <c r="H10" s="283">
        <v>1.48</v>
      </c>
      <c r="I10" s="283">
        <f>'Civil OE'!AU68</f>
        <v>1.44</v>
      </c>
      <c r="J10" s="446">
        <f>'Civil OE'!AX68</f>
        <v>1.38</v>
      </c>
      <c r="K10" s="446">
        <f>'Civil OE'!BA68</f>
        <v>1.35</v>
      </c>
      <c r="L10" s="446">
        <f>'Civil OE'!BD68</f>
        <v>1.32</v>
      </c>
      <c r="M10" s="446">
        <f>'Civil OE'!BG68</f>
        <v>1.32</v>
      </c>
      <c r="N10" s="446">
        <f>'Civil OE'!BJ68</f>
        <v>1.32</v>
      </c>
      <c r="P10" s="275" t="s">
        <v>862</v>
      </c>
    </row>
    <row r="11" spans="2:16">
      <c r="J11" s="445"/>
      <c r="K11" s="445"/>
      <c r="L11" s="445"/>
      <c r="M11" s="445"/>
      <c r="N11" s="445"/>
    </row>
    <row r="12" spans="2:16" s="276" customFormat="1">
      <c r="B12" s="284" t="s">
        <v>863</v>
      </c>
      <c r="C12" s="285">
        <f t="shared" ref="C12:H12" si="3">C20*C$10</f>
        <v>5957.82</v>
      </c>
      <c r="D12" s="285">
        <f t="shared" si="3"/>
        <v>2600.7200000000003</v>
      </c>
      <c r="E12" s="285">
        <f t="shared" si="3"/>
        <v>3456.39</v>
      </c>
      <c r="F12" s="285">
        <f t="shared" si="3"/>
        <v>5346</v>
      </c>
      <c r="G12" s="285">
        <f t="shared" si="3"/>
        <v>6972</v>
      </c>
      <c r="H12" s="285">
        <f t="shared" si="3"/>
        <v>8145.92</v>
      </c>
      <c r="I12" s="285">
        <f t="shared" ref="I12:N12" si="4">I20*I$10</f>
        <v>8596.7999999999993</v>
      </c>
      <c r="J12" s="447">
        <f t="shared" si="4"/>
        <v>9973.6886573939937</v>
      </c>
      <c r="K12" s="447">
        <f t="shared" si="4"/>
        <v>10905.018220487796</v>
      </c>
      <c r="L12" s="447">
        <f t="shared" si="4"/>
        <v>11626.570561698845</v>
      </c>
      <c r="M12" s="447">
        <f t="shared" si="4"/>
        <v>12716.682262233753</v>
      </c>
      <c r="N12" s="447">
        <f t="shared" si="4"/>
        <v>14058.978159098055</v>
      </c>
      <c r="P12" s="275" t="s">
        <v>864</v>
      </c>
    </row>
    <row r="13" spans="2:16" s="279" customFormat="1">
      <c r="B13" s="278" t="s">
        <v>765</v>
      </c>
      <c r="C13" s="286">
        <f>C21*C$10</f>
        <v>4590</v>
      </c>
      <c r="D13" s="286">
        <f t="shared" ref="D13:F13" si="5">D21*D$10</f>
        <v>1594.1304</v>
      </c>
      <c r="E13" s="286">
        <f t="shared" si="5"/>
        <v>1993.9248</v>
      </c>
      <c r="F13" s="286">
        <f t="shared" si="5"/>
        <v>3705</v>
      </c>
      <c r="G13" s="286">
        <f t="shared" ref="G13:H13" si="6">G21*G$10</f>
        <v>5148</v>
      </c>
      <c r="H13" s="286">
        <f t="shared" si="6"/>
        <v>6250.04</v>
      </c>
      <c r="I13" s="286">
        <f>'Civil AM'!AU79</f>
        <v>6877.44</v>
      </c>
      <c r="J13" s="448">
        <f>'Civil AM'!AX79</f>
        <v>8078.0942573939928</v>
      </c>
      <c r="K13" s="448">
        <f>'Civil AM'!BA79</f>
        <v>8874.8366180877965</v>
      </c>
      <c r="L13" s="448">
        <f>'Civil AM'!BD79</f>
        <v>9452.2460655284449</v>
      </c>
      <c r="M13" s="448">
        <f>'Civil AM'!BG79</f>
        <v>10387.980726835254</v>
      </c>
      <c r="N13" s="448">
        <f>'Civil AM'!BJ79</f>
        <v>11564.938814686262</v>
      </c>
    </row>
    <row r="14" spans="2:16" s="279" customFormat="1">
      <c r="B14" s="278" t="s">
        <v>859</v>
      </c>
      <c r="C14" s="286">
        <f>C22*C$10</f>
        <v>1367.82</v>
      </c>
      <c r="D14" s="286">
        <f t="shared" ref="D14:F14" si="7">D22*D$10</f>
        <v>1006.5896</v>
      </c>
      <c r="E14" s="286">
        <f t="shared" si="7"/>
        <v>1462.4651999999999</v>
      </c>
      <c r="F14" s="286">
        <f t="shared" si="7"/>
        <v>1641</v>
      </c>
      <c r="G14" s="286">
        <f t="shared" ref="G14:H14" si="8">G22*G$10</f>
        <v>1824</v>
      </c>
      <c r="H14" s="286">
        <f t="shared" si="8"/>
        <v>1895.8799999999999</v>
      </c>
      <c r="I14" s="286">
        <f>'Civil AM'!AU80</f>
        <v>1719.36</v>
      </c>
      <c r="J14" s="448">
        <f>'Civil AM'!AX80</f>
        <v>1895.5944000000002</v>
      </c>
      <c r="K14" s="448">
        <f>'Civil AM'!BA80</f>
        <v>2030.1816024000002</v>
      </c>
      <c r="L14" s="448">
        <f>'Civil AM'!BD80</f>
        <v>2174.3244961704008</v>
      </c>
      <c r="M14" s="448">
        <f>'Civil AM'!BG80</f>
        <v>2328.7015353984989</v>
      </c>
      <c r="N14" s="448">
        <f>'Civil AM'!BJ80</f>
        <v>2494.0393444117926</v>
      </c>
    </row>
    <row r="15" spans="2:16">
      <c r="J15" s="445"/>
      <c r="K15" s="445"/>
      <c r="L15" s="445"/>
      <c r="M15" s="445"/>
      <c r="N15" s="445"/>
    </row>
    <row r="16" spans="2:16" s="276" customFormat="1">
      <c r="B16" s="276" t="s">
        <v>865</v>
      </c>
      <c r="C16" s="287">
        <f t="shared" ref="C16:H16" si="9">C12/C4</f>
        <v>307.10412371134021</v>
      </c>
      <c r="D16" s="287">
        <f t="shared" si="9"/>
        <v>273.76000000000005</v>
      </c>
      <c r="E16" s="287">
        <f t="shared" si="9"/>
        <v>335.57184466019413</v>
      </c>
      <c r="F16" s="287">
        <f t="shared" si="9"/>
        <v>405</v>
      </c>
      <c r="G16" s="287">
        <f t="shared" si="9"/>
        <v>422.54545454545456</v>
      </c>
      <c r="H16" s="287">
        <f t="shared" si="9"/>
        <v>433.29361702127659</v>
      </c>
      <c r="I16" s="287">
        <f>'Civil AM'!AU82</f>
        <v>429.83999999999992</v>
      </c>
      <c r="J16" s="449">
        <f>'Civil AM'!AX82</f>
        <v>481.37757574607934</v>
      </c>
      <c r="K16" s="449">
        <f>'Civil AM'!BA82</f>
        <v>498.26414128880236</v>
      </c>
      <c r="L16" s="449">
        <f>'Civil AM'!BD82</f>
        <v>503.79186175996568</v>
      </c>
      <c r="M16" s="449">
        <f>'Civil AM'!BG82</f>
        <v>521.68437750923965</v>
      </c>
      <c r="N16" s="449">
        <f>'Civil AM'!BJ82</f>
        <v>537.15553605649995</v>
      </c>
      <c r="P16" s="275" t="s">
        <v>866</v>
      </c>
    </row>
    <row r="17" spans="2:16">
      <c r="B17" s="278" t="s">
        <v>765</v>
      </c>
      <c r="C17" s="288">
        <f>C13/C5</f>
        <v>300</v>
      </c>
      <c r="D17" s="288">
        <f t="shared" ref="D17:F17" si="10">D13/D5</f>
        <v>241.53490909090911</v>
      </c>
      <c r="E17" s="288">
        <f t="shared" si="10"/>
        <v>269.44929729729728</v>
      </c>
      <c r="F17" s="288">
        <f t="shared" si="10"/>
        <v>370.5</v>
      </c>
      <c r="G17" s="288">
        <f t="shared" ref="G17:H17" si="11">G13/G5</f>
        <v>381.33333333333331</v>
      </c>
      <c r="H17" s="288">
        <f t="shared" si="11"/>
        <v>395.57215189873415</v>
      </c>
      <c r="I17" s="286">
        <f>'Civil AM'!AU83</f>
        <v>404.55529411764701</v>
      </c>
      <c r="J17" s="448">
        <f>'Civil AM'!AX83</f>
        <v>459.79104033531888</v>
      </c>
      <c r="K17" s="448">
        <f>'Civil AM'!BA83</f>
        <v>475.27595027159185</v>
      </c>
      <c r="L17" s="448">
        <f>'Civil AM'!BD83</f>
        <v>477.3653580871113</v>
      </c>
      <c r="M17" s="448">
        <f>'Civil AM'!BG83</f>
        <v>493.88038696838402</v>
      </c>
      <c r="N17" s="448">
        <f>'Civil AM'!BJ83</f>
        <v>508.05081791156539</v>
      </c>
    </row>
    <row r="18" spans="2:16">
      <c r="B18" s="278" t="s">
        <v>859</v>
      </c>
      <c r="C18" s="288">
        <f>C14/C6</f>
        <v>333.61463414634164</v>
      </c>
      <c r="D18" s="288">
        <f t="shared" ref="D18:F18" si="12">D14/D6</f>
        <v>347.09986206896548</v>
      </c>
      <c r="E18" s="288">
        <f t="shared" si="12"/>
        <v>504.29834482758611</v>
      </c>
      <c r="F18" s="288">
        <f t="shared" si="12"/>
        <v>512.8125</v>
      </c>
      <c r="G18" s="288">
        <f t="shared" ref="G18:H18" si="13">G14/G6</f>
        <v>608</v>
      </c>
      <c r="H18" s="288">
        <f t="shared" si="13"/>
        <v>631.95999999999992</v>
      </c>
      <c r="I18" s="286">
        <f>'Civil AM'!AU84</f>
        <v>573.12</v>
      </c>
      <c r="J18" s="448">
        <f>'Civil AM'!AX84</f>
        <v>601.77600000000007</v>
      </c>
      <c r="K18" s="448">
        <f>'Civil AM'!BA84</f>
        <v>631.86480000000006</v>
      </c>
      <c r="L18" s="448">
        <f>'Civil AM'!BD84</f>
        <v>663.45804000000021</v>
      </c>
      <c r="M18" s="448">
        <f>'Civil AM'!BG84</f>
        <v>696.63094200000012</v>
      </c>
      <c r="N18" s="448">
        <f>'Civil AM'!BJ84</f>
        <v>731.4624891000002</v>
      </c>
    </row>
    <row r="19" spans="2:16">
      <c r="J19" s="445"/>
      <c r="K19" s="445"/>
      <c r="L19" s="445"/>
      <c r="M19" s="445"/>
      <c r="N19" s="445"/>
    </row>
    <row r="20" spans="2:16" s="276" customFormat="1">
      <c r="B20" s="284" t="s">
        <v>867</v>
      </c>
      <c r="C20" s="285">
        <v>3894</v>
      </c>
      <c r="D20" s="285">
        <v>1711</v>
      </c>
      <c r="E20" s="285">
        <v>2289</v>
      </c>
      <c r="F20" s="285">
        <v>3564</v>
      </c>
      <c r="G20" s="285">
        <f>'Civil AM'!AO72</f>
        <v>4648</v>
      </c>
      <c r="H20" s="285">
        <f>'Civil AM'!AR72</f>
        <v>5504</v>
      </c>
      <c r="I20" s="285">
        <f>'Civil AM'!AU72</f>
        <v>5970</v>
      </c>
      <c r="J20" s="447">
        <f>'Civil AM'!AX72</f>
        <v>7227.3106212999955</v>
      </c>
      <c r="K20" s="447">
        <f>'Civil AM'!BA72</f>
        <v>8077.7912744354044</v>
      </c>
      <c r="L20" s="447">
        <f>'Civil AM'!BD72</f>
        <v>8808.0080012870039</v>
      </c>
      <c r="M20" s="447">
        <f>'Civil AM'!BG72</f>
        <v>9633.850198661934</v>
      </c>
      <c r="N20" s="447">
        <f>'Civil AM'!BJ72</f>
        <v>10650.741029619738</v>
      </c>
      <c r="P20" s="275" t="s">
        <v>868</v>
      </c>
    </row>
    <row r="21" spans="2:16" s="279" customFormat="1">
      <c r="B21" s="278" t="s">
        <v>765</v>
      </c>
      <c r="C21" s="286">
        <v>3000</v>
      </c>
      <c r="D21" s="286">
        <f>'Civil AM'!AF73</f>
        <v>1048.77</v>
      </c>
      <c r="E21" s="286">
        <f>'Civil AM'!AI73</f>
        <v>1320.48</v>
      </c>
      <c r="F21" s="286">
        <f>'Civil AM'!AL73</f>
        <v>2470</v>
      </c>
      <c r="G21" s="286">
        <f>'Civil AM'!AO73</f>
        <v>3432</v>
      </c>
      <c r="H21" s="286">
        <f>'Civil AM'!AR73</f>
        <v>4223</v>
      </c>
      <c r="I21" s="286">
        <f>'Civil AM'!AU73</f>
        <v>4776</v>
      </c>
      <c r="J21" s="448">
        <f>'Civil AM'!AX73</f>
        <v>5853.6914908652125</v>
      </c>
      <c r="K21" s="448">
        <f>'Civil AM'!BA73</f>
        <v>6573.9530504354043</v>
      </c>
      <c r="L21" s="448">
        <f>'Civil AM'!BD73</f>
        <v>7160.7924738851852</v>
      </c>
      <c r="M21" s="448">
        <f>'Civil AM'!BG73</f>
        <v>7869.682368814586</v>
      </c>
      <c r="N21" s="448">
        <f>'Civil AM'!BJ73</f>
        <v>8761.3172838532282</v>
      </c>
      <c r="P21" s="279" t="s">
        <v>1038</v>
      </c>
    </row>
    <row r="22" spans="2:16" s="279" customFormat="1">
      <c r="B22" s="278" t="s">
        <v>859</v>
      </c>
      <c r="C22" s="286">
        <f>C20-C21</f>
        <v>894</v>
      </c>
      <c r="D22" s="286">
        <f>'Civil AM'!AF74</f>
        <v>662.23</v>
      </c>
      <c r="E22" s="286">
        <f>'Civil AM'!AI74</f>
        <v>968.52</v>
      </c>
      <c r="F22" s="286">
        <f>'Civil AM'!AL74</f>
        <v>1094</v>
      </c>
      <c r="G22" s="286">
        <f>'Civil AM'!AO74</f>
        <v>1216</v>
      </c>
      <c r="H22" s="286">
        <f>'Civil AM'!AR74</f>
        <v>1281</v>
      </c>
      <c r="I22" s="286">
        <f>'Civil AM'!AU74</f>
        <v>1194</v>
      </c>
      <c r="J22" s="448">
        <f>'Civil AM'!AX74</f>
        <v>1373.6191304347828</v>
      </c>
      <c r="K22" s="448">
        <f>'Civil AM'!BA74</f>
        <v>1503.8382240000001</v>
      </c>
      <c r="L22" s="448">
        <f>'Civil AM'!BD74</f>
        <v>1647.2155274018187</v>
      </c>
      <c r="M22" s="448">
        <f>'Civil AM'!BG74</f>
        <v>1764.1678298473475</v>
      </c>
      <c r="N22" s="448">
        <f>'Civil AM'!BJ74</f>
        <v>1889.4237457665095</v>
      </c>
      <c r="P22" s="279" t="s">
        <v>866</v>
      </c>
    </row>
    <row r="23" spans="2:16" s="279" customFormat="1" ht="4.5" customHeight="1">
      <c r="B23" s="278"/>
      <c r="C23" s="289"/>
      <c r="D23" s="289"/>
      <c r="E23" s="289"/>
      <c r="F23" s="289"/>
      <c r="G23" s="289"/>
      <c r="H23" s="289"/>
      <c r="I23" s="289"/>
      <c r="J23" s="450"/>
      <c r="K23" s="450"/>
      <c r="L23" s="450"/>
      <c r="M23" s="450"/>
      <c r="N23" s="450"/>
    </row>
    <row r="24" spans="2:16" s="276" customFormat="1">
      <c r="B24" s="284" t="s">
        <v>869</v>
      </c>
      <c r="C24" s="285">
        <f>C28-C26-C20</f>
        <v>-756</v>
      </c>
      <c r="D24" s="285">
        <f>D28-D26-D20</f>
        <v>-479</v>
      </c>
      <c r="E24" s="285">
        <f>E28-E26-E20</f>
        <v>-66</v>
      </c>
      <c r="F24" s="285">
        <v>-792</v>
      </c>
      <c r="G24" s="285">
        <f>'Civil AM'!AO86</f>
        <v>-1331</v>
      </c>
      <c r="H24" s="285">
        <f>'Civil AM'!AR86</f>
        <v>-910</v>
      </c>
      <c r="I24" s="285">
        <f>'Civil AM'!AU86</f>
        <v>-501</v>
      </c>
      <c r="J24" s="447">
        <f>'Civil AM'!AX86</f>
        <v>-276.56863832322938</v>
      </c>
      <c r="K24" s="447">
        <f>'Civil AM'!BA86</f>
        <v>-503.82934850948095</v>
      </c>
      <c r="L24" s="447">
        <f>'Civil AM'!BD86</f>
        <v>-881.39088645446623</v>
      </c>
      <c r="M24" s="447">
        <f>'Civil AM'!BG86</f>
        <v>-1016.0804887292741</v>
      </c>
      <c r="N24" s="447">
        <f>'Civil AM'!BJ86</f>
        <v>-1133.9574515359595</v>
      </c>
      <c r="P24" s="275" t="s">
        <v>870</v>
      </c>
    </row>
    <row r="25" spans="2:16" s="279" customFormat="1" ht="4.5" customHeight="1">
      <c r="B25" s="278"/>
      <c r="C25" s="289"/>
      <c r="D25" s="289"/>
      <c r="E25" s="289"/>
      <c r="F25" s="289"/>
      <c r="G25" s="289"/>
      <c r="H25" s="289"/>
      <c r="I25" s="289"/>
      <c r="J25" s="450"/>
      <c r="K25" s="450"/>
      <c r="L25" s="450"/>
      <c r="M25" s="450"/>
      <c r="N25" s="450"/>
    </row>
    <row r="26" spans="2:16" s="276" customFormat="1">
      <c r="B26" s="284" t="s">
        <v>871</v>
      </c>
      <c r="C26" s="285">
        <v>100</v>
      </c>
      <c r="D26" s="285">
        <v>1061</v>
      </c>
      <c r="E26" s="285">
        <v>-214</v>
      </c>
      <c r="F26" s="285">
        <v>-360</v>
      </c>
      <c r="G26" s="285">
        <f>'Civil AM'!AO87</f>
        <v>104</v>
      </c>
      <c r="H26" s="285">
        <f>'Civil AM'!AR87</f>
        <v>-311</v>
      </c>
      <c r="I26" s="285">
        <f>'Civil AM'!AU87</f>
        <v>-279</v>
      </c>
      <c r="J26" s="447">
        <f>'Civil AM'!AX87</f>
        <v>-500</v>
      </c>
      <c r="K26" s="447">
        <f>'Civil AM'!BA87</f>
        <v>-300</v>
      </c>
      <c r="L26" s="447">
        <f>'Civil AM'!BD87</f>
        <v>-100</v>
      </c>
      <c r="M26" s="447">
        <f>'Civil AM'!BG87</f>
        <v>0</v>
      </c>
      <c r="N26" s="447">
        <f>'Civil AM'!BJ87</f>
        <v>0</v>
      </c>
      <c r="P26" s="275"/>
    </row>
    <row r="27" spans="2:16" s="279" customFormat="1" ht="4.5" customHeight="1">
      <c r="B27" s="278"/>
      <c r="C27" s="289"/>
      <c r="D27" s="289"/>
      <c r="E27" s="289"/>
      <c r="F27" s="289"/>
      <c r="G27" s="289"/>
      <c r="H27" s="289"/>
      <c r="I27" s="289"/>
      <c r="J27" s="450"/>
      <c r="K27" s="450"/>
      <c r="L27" s="450"/>
      <c r="M27" s="450"/>
      <c r="N27" s="450"/>
    </row>
    <row r="28" spans="2:16" s="276" customFormat="1">
      <c r="B28" s="290" t="s">
        <v>872</v>
      </c>
      <c r="C28" s="291">
        <v>3238</v>
      </c>
      <c r="D28" s="291">
        <v>2293</v>
      </c>
      <c r="E28" s="291">
        <v>2009</v>
      </c>
      <c r="F28" s="291">
        <f>F20+F24+F26</f>
        <v>2412</v>
      </c>
      <c r="G28" s="291">
        <f>G20+G24+G26</f>
        <v>3421</v>
      </c>
      <c r="H28" s="291">
        <f t="shared" ref="H28:N28" si="14">H20+H24+H26</f>
        <v>4283</v>
      </c>
      <c r="I28" s="291">
        <f t="shared" si="14"/>
        <v>5190</v>
      </c>
      <c r="J28" s="451">
        <f t="shared" si="14"/>
        <v>6450.7419829767659</v>
      </c>
      <c r="K28" s="451">
        <f t="shared" si="14"/>
        <v>7273.9619259259234</v>
      </c>
      <c r="L28" s="451">
        <f t="shared" si="14"/>
        <v>7826.6171148325375</v>
      </c>
      <c r="M28" s="451">
        <f t="shared" si="14"/>
        <v>8617.7697099326597</v>
      </c>
      <c r="N28" s="451">
        <f t="shared" si="14"/>
        <v>9516.7835780837777</v>
      </c>
      <c r="P28" s="275" t="s">
        <v>868</v>
      </c>
    </row>
    <row r="29" spans="2:16">
      <c r="B29" s="292" t="s">
        <v>873</v>
      </c>
      <c r="C29" s="293" t="b">
        <f>C20+C24+C26=C28</f>
        <v>1</v>
      </c>
      <c r="D29" s="293" t="b">
        <f>D20+D24+D26=D28</f>
        <v>1</v>
      </c>
      <c r="E29" s="293" t="b">
        <f>E20+E24+E26=E28</f>
        <v>1</v>
      </c>
      <c r="F29" s="293" t="b">
        <f>F20+F24+F26=F28</f>
        <v>1</v>
      </c>
      <c r="G29" s="293" t="b">
        <f>G20+G24+G26=G28</f>
        <v>1</v>
      </c>
      <c r="H29" s="293" t="b">
        <f t="shared" ref="H29:N29" si="15">H20+H24+H26=H28</f>
        <v>1</v>
      </c>
      <c r="I29" s="293" t="b">
        <f t="shared" si="15"/>
        <v>1</v>
      </c>
      <c r="J29" s="452" t="b">
        <f t="shared" si="15"/>
        <v>1</v>
      </c>
      <c r="K29" s="452" t="b">
        <f t="shared" si="15"/>
        <v>1</v>
      </c>
      <c r="L29" s="452" t="b">
        <f t="shared" si="15"/>
        <v>1</v>
      </c>
      <c r="M29" s="452" t="b">
        <f t="shared" si="15"/>
        <v>1</v>
      </c>
      <c r="N29" s="452" t="b">
        <f t="shared" si="15"/>
        <v>1</v>
      </c>
    </row>
    <row r="30" spans="2:16" s="279" customFormat="1" ht="4.5" customHeight="1">
      <c r="B30" s="278"/>
      <c r="C30" s="289"/>
      <c r="D30" s="289"/>
      <c r="E30" s="289"/>
      <c r="F30" s="289"/>
      <c r="G30" s="289"/>
      <c r="H30" s="289"/>
      <c r="I30" s="289"/>
      <c r="J30" s="450"/>
      <c r="K30" s="450"/>
      <c r="L30" s="450"/>
      <c r="M30" s="450"/>
      <c r="N30" s="450"/>
    </row>
    <row r="31" spans="2:16" s="276" customFormat="1">
      <c r="B31" s="284" t="s">
        <v>944</v>
      </c>
      <c r="C31" s="285">
        <f>C35-C33-C28</f>
        <v>1723</v>
      </c>
      <c r="D31" s="285">
        <f>D35-D33-D28</f>
        <v>1558</v>
      </c>
      <c r="E31" s="285">
        <f>E35-E33-E28</f>
        <v>701</v>
      </c>
      <c r="F31" s="285">
        <f>F35-F33-F28</f>
        <v>932</v>
      </c>
      <c r="G31" s="285">
        <f>G35-G33-G28</f>
        <v>1328</v>
      </c>
      <c r="H31" s="285">
        <f>'Civil AM'!AR94</f>
        <v>1341</v>
      </c>
      <c r="I31" s="285">
        <f>'Civil AM'!AU94</f>
        <v>1696</v>
      </c>
      <c r="J31" s="447">
        <f>'Civil AM'!AX94</f>
        <v>1976.9014855072464</v>
      </c>
      <c r="K31" s="447">
        <f>'Civil AM'!BA94</f>
        <v>2309.9209527777775</v>
      </c>
      <c r="L31" s="447">
        <f>'Civil AM'!BD94</f>
        <v>2465.2573016515148</v>
      </c>
      <c r="M31" s="447">
        <f>'Civil AM'!BG94</f>
        <v>2754.5170238965147</v>
      </c>
      <c r="N31" s="447">
        <f>'Civil AM'!BJ94</f>
        <v>3080.2621070333648</v>
      </c>
      <c r="P31" s="275" t="s">
        <v>862</v>
      </c>
    </row>
    <row r="32" spans="2:16" s="279" customFormat="1" ht="4.5" customHeight="1">
      <c r="B32" s="278"/>
      <c r="C32" s="289"/>
      <c r="D32" s="289"/>
      <c r="E32" s="289"/>
      <c r="F32" s="289"/>
      <c r="G32" s="289"/>
      <c r="H32" s="289"/>
      <c r="I32" s="289"/>
      <c r="J32" s="450"/>
      <c r="K32" s="450"/>
      <c r="L32" s="450"/>
      <c r="M32" s="450"/>
      <c r="N32" s="450"/>
    </row>
    <row r="33" spans="2:16" s="276" customFormat="1">
      <c r="B33" s="284" t="s">
        <v>871</v>
      </c>
      <c r="C33" s="285">
        <f>-C26</f>
        <v>-100</v>
      </c>
      <c r="D33" s="285">
        <f>-D26</f>
        <v>-1061</v>
      </c>
      <c r="E33" s="285">
        <f>-E26</f>
        <v>214</v>
      </c>
      <c r="F33" s="285">
        <f>-F26</f>
        <v>360</v>
      </c>
      <c r="G33" s="285">
        <f>-G26</f>
        <v>-104</v>
      </c>
      <c r="H33" s="285">
        <f t="shared" ref="H33:N33" si="16">-H26</f>
        <v>311</v>
      </c>
      <c r="I33" s="285">
        <f t="shared" si="16"/>
        <v>279</v>
      </c>
      <c r="J33" s="447">
        <f t="shared" si="16"/>
        <v>500</v>
      </c>
      <c r="K33" s="447">
        <f t="shared" si="16"/>
        <v>300</v>
      </c>
      <c r="L33" s="447">
        <f t="shared" si="16"/>
        <v>100</v>
      </c>
      <c r="M33" s="447">
        <f t="shared" si="16"/>
        <v>0</v>
      </c>
      <c r="N33" s="447">
        <f t="shared" si="16"/>
        <v>0</v>
      </c>
      <c r="P33" s="275"/>
    </row>
    <row r="34" spans="2:16" s="279" customFormat="1" ht="4.5" customHeight="1">
      <c r="B34" s="278"/>
      <c r="C34" s="289"/>
      <c r="D34" s="289"/>
      <c r="E34" s="289"/>
      <c r="F34" s="289"/>
      <c r="G34" s="289"/>
      <c r="H34" s="289"/>
      <c r="I34" s="289"/>
      <c r="J34" s="450"/>
      <c r="K34" s="450"/>
      <c r="L34" s="450"/>
      <c r="M34" s="450"/>
      <c r="N34" s="450"/>
    </row>
    <row r="35" spans="2:16">
      <c r="B35" s="294" t="s">
        <v>875</v>
      </c>
      <c r="C35" s="295">
        <v>4861</v>
      </c>
      <c r="D35" s="295">
        <v>2790</v>
      </c>
      <c r="E35" s="295">
        <v>2924</v>
      </c>
      <c r="F35" s="295">
        <v>3704</v>
      </c>
      <c r="G35" s="295">
        <v>4645</v>
      </c>
      <c r="H35" s="295">
        <f>'Civil AM'!AR23</f>
        <v>5935</v>
      </c>
      <c r="I35" s="295">
        <f>'Civil AM'!AU23</f>
        <v>7165</v>
      </c>
      <c r="J35" s="453">
        <f>'Civil AM'!AX23</f>
        <v>8427.6434684840133</v>
      </c>
      <c r="K35" s="453">
        <f>'Civil AM'!BA23</f>
        <v>9583.8828787037</v>
      </c>
      <c r="L35" s="453">
        <f>'Civil AM'!BD23</f>
        <v>10291.874416484052</v>
      </c>
      <c r="M35" s="453">
        <f>'Civil AM'!BG23</f>
        <v>11372.286733829174</v>
      </c>
      <c r="N35" s="453">
        <f>'Civil AM'!BJ23</f>
        <v>12597.045685117144</v>
      </c>
      <c r="P35" s="275" t="s">
        <v>858</v>
      </c>
    </row>
    <row r="36" spans="2:16">
      <c r="B36" s="292" t="s">
        <v>873</v>
      </c>
      <c r="C36" s="293" t="b">
        <f>C28+C31+C33=C35</f>
        <v>1</v>
      </c>
      <c r="D36" s="293" t="b">
        <f>D28+D31+D33=D35</f>
        <v>1</v>
      </c>
      <c r="E36" s="293" t="b">
        <f>E28+E31+E33=E35</f>
        <v>1</v>
      </c>
      <c r="F36" s="293" t="b">
        <f>F28+F31+F33=F35</f>
        <v>1</v>
      </c>
      <c r="G36" s="293" t="b">
        <f>G28+G31+G33=G35</f>
        <v>1</v>
      </c>
      <c r="H36" s="293" t="b">
        <f t="shared" ref="H36:N36" si="17">H28+H31+H33=H35</f>
        <v>1</v>
      </c>
      <c r="I36" s="293" t="b">
        <f>I28+I31+I33=I35</f>
        <v>1</v>
      </c>
      <c r="J36" s="452" t="b">
        <f t="shared" si="17"/>
        <v>0</v>
      </c>
      <c r="K36" s="452" t="b">
        <f t="shared" si="17"/>
        <v>0</v>
      </c>
      <c r="L36" s="452" t="b">
        <f t="shared" si="17"/>
        <v>0</v>
      </c>
      <c r="M36" s="452" t="b">
        <f t="shared" si="17"/>
        <v>1</v>
      </c>
      <c r="N36" s="452" t="b">
        <f t="shared" si="17"/>
        <v>1</v>
      </c>
    </row>
    <row r="37" spans="2:16" s="279" customFormat="1">
      <c r="B37" s="278" t="s">
        <v>765</v>
      </c>
      <c r="C37" s="289">
        <v>3205</v>
      </c>
      <c r="D37" s="289">
        <v>1608</v>
      </c>
      <c r="E37" s="289">
        <v>1958</v>
      </c>
      <c r="F37" s="289">
        <v>2492</v>
      </c>
      <c r="G37" s="289">
        <v>3299</v>
      </c>
      <c r="H37" s="289">
        <f>'Civil AM'!AR19</f>
        <v>4340</v>
      </c>
      <c r="I37" s="289">
        <f>'Civil AM'!AU19</f>
        <v>5621</v>
      </c>
      <c r="J37" s="450">
        <f>'Civil AM'!AX19</f>
        <v>6731.492743846331</v>
      </c>
      <c r="K37" s="450">
        <f>'Civil AM'!BA19</f>
        <v>7748.0571009259238</v>
      </c>
      <c r="L37" s="450">
        <f>'Civil AM'!BD19</f>
        <v>8468.1552649689002</v>
      </c>
      <c r="M37" s="450">
        <f>'Civil AM'!BG19</f>
        <v>9399.4471823140229</v>
      </c>
      <c r="N37" s="450">
        <f>'Civil AM'!BJ19</f>
        <v>10460.173693601992</v>
      </c>
      <c r="P37" s="275" t="s">
        <v>868</v>
      </c>
    </row>
    <row r="38" spans="2:16" s="279" customFormat="1">
      <c r="B38" s="278" t="s">
        <v>859</v>
      </c>
      <c r="C38" s="289">
        <f>C35-C37</f>
        <v>1656</v>
      </c>
      <c r="D38" s="289">
        <f>D35-D37</f>
        <v>1182</v>
      </c>
      <c r="E38" s="289">
        <f>E35-E37</f>
        <v>966</v>
      </c>
      <c r="F38" s="289">
        <f>F35-F37</f>
        <v>1212</v>
      </c>
      <c r="G38" s="289">
        <f>G35-G37</f>
        <v>1346</v>
      </c>
      <c r="H38" s="289">
        <f>'Civil AM'!AR20+'Civil AM'!AR21+'Civil AM'!AR22</f>
        <v>1595</v>
      </c>
      <c r="I38" s="289">
        <f>'Civil AM'!AU20+'Civil AM'!AU21+'Civil AM'!AU22</f>
        <v>1544</v>
      </c>
      <c r="J38" s="450">
        <f>'Civil AM'!AX20+'Civil AM'!AX21+'Civil AM'!AX22</f>
        <v>1696.1507246376814</v>
      </c>
      <c r="K38" s="450">
        <f>'Civil AM'!BA20+'Civil AM'!BA21+'Civil AM'!BA22</f>
        <v>1835.8257777777778</v>
      </c>
      <c r="L38" s="450">
        <f>'Civil AM'!BD20+'Civil AM'!BD21+'Civil AM'!BD22</f>
        <v>1823.7191515151517</v>
      </c>
      <c r="M38" s="450">
        <f>'Civil AM'!BG20+'Civil AM'!BG21+'Civil AM'!BG22</f>
        <v>1972.8395515151519</v>
      </c>
      <c r="N38" s="450">
        <f>'Civil AM'!BJ20+'Civil AM'!BJ21+'Civil AM'!BJ22</f>
        <v>2136.8719915151519</v>
      </c>
      <c r="P38" s="275" t="s">
        <v>868</v>
      </c>
    </row>
    <row r="39" spans="2:16" s="279" customFormat="1">
      <c r="B39" s="278"/>
      <c r="C39" s="289">
        <f>(C28+C31+C33)-C35</f>
        <v>0</v>
      </c>
      <c r="D39" s="289">
        <f>(D28+D31+D33)-D35</f>
        <v>0</v>
      </c>
      <c r="E39" s="289">
        <f>(E28+E31+E33)-E35</f>
        <v>0</v>
      </c>
      <c r="F39" s="289">
        <f>(F28+F31+F33)-F35</f>
        <v>0</v>
      </c>
      <c r="G39" s="289">
        <f>(G28+G31+G33)-G35</f>
        <v>0</v>
      </c>
      <c r="H39" s="289">
        <f t="shared" ref="H39:N39" si="18">(H28+H31+H33)-H35</f>
        <v>0</v>
      </c>
      <c r="I39" s="289">
        <f t="shared" si="18"/>
        <v>0</v>
      </c>
      <c r="J39" s="289">
        <f t="shared" si="18"/>
        <v>500</v>
      </c>
      <c r="K39" s="289">
        <f t="shared" si="18"/>
        <v>300.00000000000182</v>
      </c>
      <c r="L39" s="289">
        <f t="shared" si="18"/>
        <v>100</v>
      </c>
      <c r="M39" s="289">
        <f t="shared" si="18"/>
        <v>0</v>
      </c>
      <c r="N39" s="289">
        <f t="shared" si="18"/>
        <v>0</v>
      </c>
    </row>
    <row r="40" spans="2:16" s="279" customFormat="1">
      <c r="B40" s="278"/>
      <c r="C40" s="289"/>
      <c r="D40" s="289"/>
      <c r="E40" s="289"/>
      <c r="F40" s="289"/>
      <c r="G40" s="289"/>
      <c r="H40" s="289"/>
      <c r="I40" s="289"/>
      <c r="J40" s="289"/>
      <c r="K40" s="289"/>
      <c r="L40" s="289"/>
      <c r="M40" s="289"/>
      <c r="N40" s="289"/>
    </row>
    <row r="41" spans="2:16" s="279" customFormat="1">
      <c r="B41" s="278"/>
      <c r="C41" s="289"/>
      <c r="D41" s="289"/>
      <c r="E41" s="289"/>
      <c r="F41" s="289"/>
      <c r="G41" s="289"/>
      <c r="H41" s="289"/>
      <c r="I41" s="289"/>
      <c r="J41" s="289"/>
      <c r="K41" s="289"/>
      <c r="L41" s="289"/>
      <c r="M41" s="289"/>
      <c r="N41" s="289"/>
    </row>
    <row r="42" spans="2:16" s="279" customFormat="1">
      <c r="B42" s="278"/>
      <c r="C42" s="289"/>
      <c r="D42" s="289"/>
      <c r="E42" s="289"/>
      <c r="F42" s="289"/>
      <c r="G42" s="289"/>
      <c r="H42" s="289"/>
      <c r="I42" s="289"/>
      <c r="J42" s="289"/>
      <c r="K42" s="289"/>
      <c r="L42" s="289"/>
      <c r="M42" s="289"/>
      <c r="N42" s="289"/>
    </row>
    <row r="44" spans="2:16" s="279" customFormat="1">
      <c r="B44" s="278"/>
      <c r="C44" s="289"/>
      <c r="D44" s="289"/>
      <c r="E44" s="289"/>
      <c r="F44" s="289"/>
      <c r="G44" s="289"/>
      <c r="H44" s="289"/>
      <c r="I44" s="289"/>
      <c r="J44" s="289"/>
      <c r="K44" s="289"/>
      <c r="L44" s="289"/>
      <c r="M44" s="289"/>
      <c r="N44" s="289"/>
    </row>
  </sheetData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38">
    <tabColor theme="3" tint="0.39997558519241921"/>
  </sheetPr>
  <dimension ref="A1:BS94"/>
  <sheetViews>
    <sheetView showGridLines="0" workbookViewId="0">
      <pane xSplit="1" ySplit="2" topLeftCell="Z3" activePane="bottomRight" state="frozen"/>
      <selection sqref="A1:XFD1048576"/>
      <selection pane="topRight" sqref="A1:XFD1048576"/>
      <selection pane="bottomLeft" sqref="A1:XFD1048576"/>
      <selection pane="bottomRight" sqref="A1:XFD1048576"/>
    </sheetView>
  </sheetViews>
  <sheetFormatPr defaultColWidth="9.140625" defaultRowHeight="10.199999999999999" outlineLevelCol="1"/>
  <cols>
    <col min="1" max="1" width="40.28515625" style="25" customWidth="1"/>
    <col min="2" max="25" width="9.140625" style="25" hidden="1" customWidth="1" outlineLevel="1"/>
    <col min="26" max="26" width="9.140625" style="25" collapsed="1"/>
    <col min="27" max="28" width="9.140625" style="25" hidden="1" customWidth="1" outlineLevel="1"/>
    <col min="29" max="29" width="9.140625" style="25" collapsed="1"/>
    <col min="30" max="31" width="9.140625" style="25" hidden="1" customWidth="1" outlineLevel="1"/>
    <col min="32" max="32" width="9.140625" style="25" collapsed="1"/>
    <col min="33" max="34" width="9.140625" style="25" hidden="1" customWidth="1" outlineLevel="1"/>
    <col min="35" max="35" width="9.140625" style="25" collapsed="1"/>
    <col min="36" max="37" width="9.140625" style="25" hidden="1" customWidth="1" outlineLevel="1"/>
    <col min="38" max="38" width="9.140625" style="25" collapsed="1"/>
    <col min="39" max="40" width="9.140625" style="25" hidden="1" customWidth="1" outlineLevel="1"/>
    <col min="41" max="41" width="9.140625" style="25" collapsed="1"/>
    <col min="42" max="43" width="9.140625" style="25" hidden="1" customWidth="1" outlineLevel="1"/>
    <col min="44" max="44" width="9.140625" style="25" collapsed="1"/>
    <col min="45" max="46" width="9.140625" style="25" hidden="1" customWidth="1" outlineLevel="1"/>
    <col min="47" max="47" width="9.140625" style="25" collapsed="1"/>
    <col min="48" max="49" width="9.140625" style="25" hidden="1" customWidth="1" outlineLevel="1"/>
    <col min="50" max="50" width="9.140625" style="25" collapsed="1"/>
    <col min="51" max="52" width="9.140625" style="25" hidden="1" customWidth="1" outlineLevel="1"/>
    <col min="53" max="53" width="9.140625" style="25" collapsed="1"/>
    <col min="54" max="55" width="9.140625" style="25" hidden="1" customWidth="1" outlineLevel="1"/>
    <col min="56" max="56" width="9.140625" style="25" collapsed="1"/>
    <col min="57" max="58" width="9.140625" style="25" hidden="1" customWidth="1" outlineLevel="1"/>
    <col min="59" max="59" width="9.140625" style="25" collapsed="1"/>
    <col min="60" max="61" width="9.140625" style="25" hidden="1" customWidth="1" outlineLevel="1"/>
    <col min="62" max="62" width="9.140625" style="25" collapsed="1"/>
    <col min="63" max="64" width="9.140625" style="25" hidden="1" customWidth="1" outlineLevel="1"/>
    <col min="65" max="65" width="9.140625" style="25" collapsed="1"/>
    <col min="66" max="16384" width="9.140625" style="25"/>
  </cols>
  <sheetData>
    <row r="1" spans="1:65">
      <c r="A1" s="305" t="s">
        <v>670</v>
      </c>
      <c r="B1" s="306">
        <v>2000</v>
      </c>
      <c r="C1" s="306">
        <f>B1+1</f>
        <v>2001</v>
      </c>
      <c r="D1" s="306">
        <f t="shared" ref="D1:J1" si="0">C1+1</f>
        <v>2002</v>
      </c>
      <c r="E1" s="306">
        <f t="shared" si="0"/>
        <v>2003</v>
      </c>
      <c r="F1" s="306">
        <f t="shared" si="0"/>
        <v>2004</v>
      </c>
      <c r="G1" s="306">
        <f t="shared" si="0"/>
        <v>2005</v>
      </c>
      <c r="H1" s="306">
        <f t="shared" si="0"/>
        <v>2006</v>
      </c>
      <c r="I1" s="306">
        <f t="shared" si="0"/>
        <v>2007</v>
      </c>
      <c r="J1" s="306">
        <f t="shared" si="0"/>
        <v>2008</v>
      </c>
      <c r="K1" s="306">
        <v>2009</v>
      </c>
      <c r="L1" s="306">
        <f>K1+1</f>
        <v>2010</v>
      </c>
      <c r="M1" s="306">
        <f>L1+1</f>
        <v>2011</v>
      </c>
      <c r="N1" s="306">
        <f>M1+1</f>
        <v>2012</v>
      </c>
      <c r="O1" s="306">
        <f>N1+1</f>
        <v>2013</v>
      </c>
      <c r="P1" s="306">
        <v>2014</v>
      </c>
      <c r="Q1" s="306">
        <f>P1+1</f>
        <v>2015</v>
      </c>
      <c r="R1" s="313" t="s">
        <v>616</v>
      </c>
      <c r="S1" s="314" t="s">
        <v>617</v>
      </c>
      <c r="T1" s="548">
        <f>Q1+1</f>
        <v>2016</v>
      </c>
      <c r="U1" s="313" t="s">
        <v>618</v>
      </c>
      <c r="V1" s="314" t="s">
        <v>683</v>
      </c>
      <c r="W1" s="548">
        <f>T1+1</f>
        <v>2017</v>
      </c>
      <c r="X1" s="313" t="s">
        <v>618</v>
      </c>
      <c r="Y1" s="314" t="s">
        <v>683</v>
      </c>
      <c r="Z1" s="548">
        <v>2017</v>
      </c>
      <c r="AA1" s="313" t="s">
        <v>697</v>
      </c>
      <c r="AB1" s="314" t="s">
        <v>755</v>
      </c>
      <c r="AC1" s="548">
        <f>Z1+1</f>
        <v>2018</v>
      </c>
      <c r="AD1" s="313" t="s">
        <v>757</v>
      </c>
      <c r="AE1" s="314" t="s">
        <v>793</v>
      </c>
      <c r="AF1" s="548">
        <f>AC1+1</f>
        <v>2019</v>
      </c>
      <c r="AG1" s="313" t="s">
        <v>794</v>
      </c>
      <c r="AH1" s="314" t="s">
        <v>798</v>
      </c>
      <c r="AI1" s="548">
        <f>AF1+1</f>
        <v>2020</v>
      </c>
      <c r="AJ1" s="313" t="s">
        <v>801</v>
      </c>
      <c r="AK1" s="314" t="s">
        <v>802</v>
      </c>
      <c r="AL1" s="548">
        <f>AI1+1</f>
        <v>2021</v>
      </c>
      <c r="AM1" s="313" t="s">
        <v>822</v>
      </c>
      <c r="AN1" s="314" t="s">
        <v>823</v>
      </c>
      <c r="AO1" s="548">
        <f>AL1+1</f>
        <v>2022</v>
      </c>
      <c r="AP1" s="313" t="s">
        <v>929</v>
      </c>
      <c r="AQ1" s="314" t="s">
        <v>930</v>
      </c>
      <c r="AR1" s="548">
        <f>AO1+1</f>
        <v>2023</v>
      </c>
      <c r="AS1" s="313" t="s">
        <v>989</v>
      </c>
      <c r="AT1" s="314" t="s">
        <v>990</v>
      </c>
      <c r="AU1" s="548">
        <f>AR1+1</f>
        <v>2024</v>
      </c>
      <c r="AV1" s="313" t="s">
        <v>1035</v>
      </c>
      <c r="AW1" s="314" t="s">
        <v>1036</v>
      </c>
      <c r="AX1" s="548">
        <f>AU1+1</f>
        <v>2025</v>
      </c>
      <c r="AY1" s="313" t="s">
        <v>1044</v>
      </c>
      <c r="AZ1" s="538" t="s">
        <v>844</v>
      </c>
      <c r="BA1" s="572">
        <f>AX1+1</f>
        <v>2026</v>
      </c>
      <c r="BB1" s="537" t="s">
        <v>845</v>
      </c>
      <c r="BC1" s="538" t="s">
        <v>846</v>
      </c>
      <c r="BD1" s="572">
        <f>BA1+1</f>
        <v>2027</v>
      </c>
      <c r="BE1" s="537" t="s">
        <v>847</v>
      </c>
      <c r="BF1" s="538" t="s">
        <v>848</v>
      </c>
      <c r="BG1" s="572">
        <f>BD1+1</f>
        <v>2028</v>
      </c>
      <c r="BH1" s="537" t="s">
        <v>849</v>
      </c>
      <c r="BI1" s="538" t="s">
        <v>850</v>
      </c>
      <c r="BJ1" s="572">
        <f>BG1+1</f>
        <v>2029</v>
      </c>
      <c r="BK1" s="537" t="s">
        <v>851</v>
      </c>
      <c r="BL1" s="538" t="s">
        <v>852</v>
      </c>
      <c r="BM1" s="572">
        <f>BJ1+1</f>
        <v>2030</v>
      </c>
    </row>
    <row r="2" spans="1:65">
      <c r="A2" s="305" t="s">
        <v>0</v>
      </c>
      <c r="B2" s="322"/>
      <c r="C2" s="322"/>
      <c r="D2" s="322"/>
      <c r="E2" s="322"/>
      <c r="F2" s="322"/>
      <c r="G2" s="322"/>
      <c r="H2" s="322"/>
      <c r="I2" s="322"/>
      <c r="J2" s="322"/>
      <c r="K2" s="306"/>
      <c r="L2" s="306"/>
      <c r="M2" s="306"/>
      <c r="N2" s="306"/>
      <c r="O2" s="306"/>
      <c r="P2" s="306"/>
      <c r="Q2" s="306"/>
      <c r="R2" s="306"/>
      <c r="S2" s="547"/>
      <c r="T2" s="548"/>
      <c r="U2" s="306"/>
      <c r="V2" s="547"/>
      <c r="W2" s="548"/>
      <c r="X2" s="309" t="s">
        <v>625</v>
      </c>
      <c r="Y2" s="315" t="s">
        <v>625</v>
      </c>
      <c r="Z2" s="549" t="s">
        <v>625</v>
      </c>
      <c r="AA2" s="309" t="s">
        <v>625</v>
      </c>
      <c r="AB2" s="315" t="s">
        <v>625</v>
      </c>
      <c r="AC2" s="549" t="s">
        <v>625</v>
      </c>
      <c r="AD2" s="309" t="s">
        <v>625</v>
      </c>
      <c r="AE2" s="315" t="s">
        <v>625</v>
      </c>
      <c r="AF2" s="549" t="s">
        <v>625</v>
      </c>
      <c r="AG2" s="309" t="s">
        <v>625</v>
      </c>
      <c r="AH2" s="315" t="s">
        <v>625</v>
      </c>
      <c r="AI2" s="549" t="s">
        <v>625</v>
      </c>
      <c r="AJ2" s="309" t="s">
        <v>625</v>
      </c>
      <c r="AK2" s="315" t="s">
        <v>625</v>
      </c>
      <c r="AL2" s="549" t="s">
        <v>625</v>
      </c>
      <c r="AM2" s="309" t="s">
        <v>625</v>
      </c>
      <c r="AN2" s="315" t="s">
        <v>625</v>
      </c>
      <c r="AO2" s="549" t="s">
        <v>625</v>
      </c>
      <c r="AP2" s="309" t="s">
        <v>625</v>
      </c>
      <c r="AQ2" s="315" t="s">
        <v>625</v>
      </c>
      <c r="AR2" s="549" t="s">
        <v>625</v>
      </c>
      <c r="AS2" s="309" t="s">
        <v>625</v>
      </c>
      <c r="AT2" s="315" t="s">
        <v>625</v>
      </c>
      <c r="AU2" s="549" t="s">
        <v>625</v>
      </c>
      <c r="AV2" s="309" t="s">
        <v>625</v>
      </c>
      <c r="AW2" s="315" t="s">
        <v>625</v>
      </c>
      <c r="AX2" s="549" t="s">
        <v>625</v>
      </c>
      <c r="AY2" s="309" t="s">
        <v>625</v>
      </c>
      <c r="AZ2" s="212" t="s">
        <v>625</v>
      </c>
      <c r="BA2" s="573" t="s">
        <v>625</v>
      </c>
      <c r="BB2" s="195" t="s">
        <v>625</v>
      </c>
      <c r="BC2" s="212" t="s">
        <v>625</v>
      </c>
      <c r="BD2" s="573" t="s">
        <v>625</v>
      </c>
      <c r="BE2" s="195" t="s">
        <v>625</v>
      </c>
      <c r="BF2" s="212" t="s">
        <v>625</v>
      </c>
      <c r="BG2" s="573" t="s">
        <v>625</v>
      </c>
      <c r="BH2" s="195" t="s">
        <v>625</v>
      </c>
      <c r="BI2" s="212" t="s">
        <v>625</v>
      </c>
      <c r="BJ2" s="573" t="s">
        <v>625</v>
      </c>
      <c r="BK2" s="195" t="s">
        <v>625</v>
      </c>
      <c r="BL2" s="212" t="s">
        <v>625</v>
      </c>
      <c r="BM2" s="573" t="s">
        <v>625</v>
      </c>
    </row>
    <row r="3" spans="1:65">
      <c r="S3" s="595"/>
      <c r="T3" s="619"/>
      <c r="V3" s="595"/>
      <c r="W3" s="619"/>
      <c r="Y3" s="595"/>
      <c r="Z3" s="942" t="s">
        <v>713</v>
      </c>
      <c r="AA3" s="78"/>
      <c r="AB3" s="928"/>
      <c r="AC3" s="934"/>
      <c r="AD3" s="78"/>
      <c r="AE3" s="928"/>
      <c r="AF3" s="934"/>
      <c r="AG3" s="78"/>
      <c r="AH3" s="928"/>
      <c r="AI3" s="934"/>
      <c r="AJ3" s="78"/>
      <c r="AK3" s="928"/>
      <c r="AL3" s="934"/>
      <c r="AM3" s="78"/>
      <c r="AN3" s="928"/>
      <c r="AO3" s="934"/>
      <c r="AP3" s="78"/>
      <c r="AQ3" s="540"/>
      <c r="AR3" s="575"/>
      <c r="AS3" s="5"/>
      <c r="AT3" s="540"/>
      <c r="AU3" s="575"/>
      <c r="AV3" s="5"/>
      <c r="AW3" s="540"/>
      <c r="AX3" s="575"/>
      <c r="AY3" s="5"/>
      <c r="AZ3" s="540"/>
      <c r="BA3" s="575"/>
      <c r="BB3" s="5"/>
      <c r="BC3" s="540"/>
      <c r="BD3" s="575"/>
      <c r="BE3" s="5"/>
      <c r="BF3" s="540"/>
      <c r="BG3" s="575"/>
      <c r="BH3" s="5"/>
      <c r="BI3" s="540"/>
      <c r="BJ3" s="575"/>
      <c r="BK3" s="5"/>
      <c r="BL3" s="540"/>
      <c r="BM3" s="575"/>
    </row>
    <row r="4" spans="1:65">
      <c r="A4" s="31" t="s">
        <v>681</v>
      </c>
      <c r="B4" s="51">
        <f>Divisional!B8</f>
        <v>1403</v>
      </c>
      <c r="C4" s="51">
        <f>Divisional!C8</f>
        <v>1400</v>
      </c>
      <c r="D4" s="51">
        <f>Divisional!D8</f>
        <v>1376</v>
      </c>
      <c r="E4" s="51">
        <f>Divisional!E8</f>
        <v>1398</v>
      </c>
      <c r="F4" s="51">
        <f>Divisional!F8</f>
        <v>1374</v>
      </c>
      <c r="G4" s="51">
        <f>Divisional!G8</f>
        <v>1420</v>
      </c>
      <c r="H4" s="51">
        <f>Divisional!H8</f>
        <v>1601</v>
      </c>
      <c r="I4" s="51">
        <f>Divisional!I8</f>
        <v>1673</v>
      </c>
      <c r="J4" s="51">
        <f>Divisional!J8</f>
        <v>1686</v>
      </c>
      <c r="K4" s="51">
        <f>Divisional!K8</f>
        <v>2010</v>
      </c>
      <c r="L4" s="51">
        <f>Divisional!L8</f>
        <v>2123</v>
      </c>
      <c r="M4" s="51">
        <f>Divisional!M8</f>
        <v>2235</v>
      </c>
      <c r="N4" s="51">
        <f>Divisional!N8</f>
        <v>2417</v>
      </c>
      <c r="O4" s="51">
        <f>Divisional!O8</f>
        <v>2591</v>
      </c>
      <c r="P4" s="51">
        <f>Divisional!P8</f>
        <v>2069</v>
      </c>
      <c r="Q4" s="51">
        <f>Divisional!Q8</f>
        <v>2035</v>
      </c>
      <c r="R4" s="51">
        <f>Divisional!R8</f>
        <v>1002</v>
      </c>
      <c r="S4" s="629">
        <f>Divisional!S8</f>
        <v>1207</v>
      </c>
      <c r="T4" s="652">
        <f>Divisional!T8</f>
        <v>2209</v>
      </c>
      <c r="U4" s="51">
        <f>Divisional!U8</f>
        <v>1048</v>
      </c>
      <c r="V4" s="629">
        <f>Divisional!V8</f>
        <v>1227</v>
      </c>
      <c r="W4" s="652">
        <f>Divisional!W8</f>
        <v>2275</v>
      </c>
      <c r="X4" s="51">
        <f>Divisional!X8</f>
        <v>1478</v>
      </c>
      <c r="Y4" s="629">
        <f>Divisional!Y8</f>
        <v>1702</v>
      </c>
      <c r="Z4" s="652">
        <f>Divisional!Z8</f>
        <v>3180</v>
      </c>
      <c r="AA4" s="51">
        <f>Divisional!AA8</f>
        <v>1415</v>
      </c>
      <c r="AB4" s="629">
        <f>Divisional!AB8</f>
        <v>1709</v>
      </c>
      <c r="AC4" s="652">
        <f>Divisional!AC8</f>
        <v>3124</v>
      </c>
      <c r="AD4" s="51">
        <f>Divisional!AD8</f>
        <v>1494</v>
      </c>
      <c r="AE4" s="629">
        <f>Divisional!AE8</f>
        <v>1756</v>
      </c>
      <c r="AF4" s="652">
        <f>Divisional!AF8</f>
        <v>3250</v>
      </c>
      <c r="AG4" s="51">
        <f>Divisional!AG8</f>
        <v>1553</v>
      </c>
      <c r="AH4" s="629">
        <f>Divisional!AH8</f>
        <v>1802</v>
      </c>
      <c r="AI4" s="652">
        <f>Divisional!AI8</f>
        <v>3355</v>
      </c>
      <c r="AJ4" s="51">
        <f>Divisional!AJ8</f>
        <v>1721</v>
      </c>
      <c r="AK4" s="629">
        <f>Divisional!AK8</f>
        <v>1647</v>
      </c>
      <c r="AL4" s="652">
        <f>Divisional!AL8</f>
        <v>3368</v>
      </c>
      <c r="AM4" s="51">
        <f>Divisional!AM8</f>
        <v>1609</v>
      </c>
      <c r="AN4" s="629">
        <f>Divisional!AN8</f>
        <v>2051</v>
      </c>
      <c r="AO4" s="652">
        <f>Divisional!AO8</f>
        <v>3660</v>
      </c>
      <c r="AP4" s="51">
        <f>Divisional!AP8</f>
        <v>1913</v>
      </c>
      <c r="AQ4" s="629">
        <f>Divisional!AQ8</f>
        <v>2164</v>
      </c>
      <c r="AR4" s="652">
        <f>Divisional!AR8</f>
        <v>4077</v>
      </c>
      <c r="AS4" s="51">
        <f>Divisional!AS8</f>
        <v>2219</v>
      </c>
      <c r="AT4" s="629">
        <f>Divisional!AT8</f>
        <v>2303</v>
      </c>
      <c r="AU4" s="652">
        <f>Divisional!AU8</f>
        <v>4522</v>
      </c>
      <c r="AV4" s="51">
        <f>Divisional!AV8</f>
        <v>2223</v>
      </c>
      <c r="AW4" s="629">
        <f t="shared" ref="AW4" si="1">AW33</f>
        <v>2549</v>
      </c>
      <c r="AX4" s="652">
        <f>Divisional!AX8</f>
        <v>4772</v>
      </c>
      <c r="AY4" s="51">
        <f>Divisional!AY8</f>
        <v>2484</v>
      </c>
      <c r="AZ4" s="237">
        <f>AZ33</f>
        <v>2673.957342419525</v>
      </c>
      <c r="BA4" s="576">
        <f t="shared" ref="BA4:BM4" si="2">BA33</f>
        <v>5157.9573424195241</v>
      </c>
      <c r="BB4" s="48">
        <f>BB33</f>
        <v>2638.0080000000003</v>
      </c>
      <c r="BC4" s="237">
        <f>BC33</f>
        <v>2845.6860624195256</v>
      </c>
      <c r="BD4" s="576">
        <f t="shared" si="2"/>
        <v>5483.6940624195249</v>
      </c>
      <c r="BE4" s="48">
        <f>BE33</f>
        <v>2802.2500800000003</v>
      </c>
      <c r="BF4" s="237">
        <f>BF33</f>
        <v>3028.8627616195258</v>
      </c>
      <c r="BG4" s="576">
        <f t="shared" si="2"/>
        <v>5831.1128416195252</v>
      </c>
      <c r="BH4" s="48">
        <f>BH33</f>
        <v>2977.4245420800003</v>
      </c>
      <c r="BI4" s="237">
        <f>BI33</f>
        <v>3224.2717792515264</v>
      </c>
      <c r="BJ4" s="576">
        <f t="shared" si="2"/>
        <v>6201.6963213315266</v>
      </c>
      <c r="BK4" s="48">
        <f>BK33</f>
        <v>3164.2785177984006</v>
      </c>
      <c r="BL4" s="237">
        <f>BL33</f>
        <v>3432.7525485398473</v>
      </c>
      <c r="BM4" s="576">
        <f t="shared" si="2"/>
        <v>6597.0310663382479</v>
      </c>
    </row>
    <row r="5" spans="1:65">
      <c r="A5" s="25" t="s">
        <v>2</v>
      </c>
      <c r="B5" s="51"/>
      <c r="C5" s="51"/>
      <c r="D5" s="51"/>
      <c r="E5" s="51"/>
      <c r="F5" s="51"/>
      <c r="G5" s="51"/>
      <c r="H5" s="51"/>
      <c r="I5" s="51"/>
      <c r="J5" s="51"/>
      <c r="K5" s="51"/>
      <c r="L5" s="51"/>
      <c r="M5" s="51"/>
      <c r="N5" s="51"/>
      <c r="O5" s="51"/>
      <c r="P5" s="40">
        <f t="shared" ref="P5:AC5" si="3">P6-P4</f>
        <v>-1502</v>
      </c>
      <c r="Q5" s="40">
        <f t="shared" si="3"/>
        <v>-1456</v>
      </c>
      <c r="R5" s="40">
        <f>+R6-R4</f>
        <v>-791</v>
      </c>
      <c r="S5" s="630">
        <f>+S6-S4</f>
        <v>-854</v>
      </c>
      <c r="T5" s="653">
        <f t="shared" si="3"/>
        <v>-1645</v>
      </c>
      <c r="U5" s="40">
        <f>+U6-U4</f>
        <v>-818</v>
      </c>
      <c r="V5" s="630">
        <f>+V6-V4</f>
        <v>-882</v>
      </c>
      <c r="W5" s="653">
        <f t="shared" si="3"/>
        <v>-1700</v>
      </c>
      <c r="X5" s="40">
        <f>+X6-X4</f>
        <v>-1186</v>
      </c>
      <c r="Y5" s="630">
        <f>+Y6-Y4</f>
        <v>-1266</v>
      </c>
      <c r="Z5" s="653">
        <f t="shared" si="3"/>
        <v>-2452</v>
      </c>
      <c r="AA5" s="40">
        <f>+AA6-AA4</f>
        <v>-1134</v>
      </c>
      <c r="AB5" s="630">
        <f>+AB6-AB4</f>
        <v>-1300</v>
      </c>
      <c r="AC5" s="653">
        <f t="shared" si="3"/>
        <v>-2434</v>
      </c>
      <c r="AD5" s="40">
        <f>+AD6-AD4</f>
        <v>-1199</v>
      </c>
      <c r="AE5" s="630">
        <f>+AE6-AE4</f>
        <v>-1382</v>
      </c>
      <c r="AF5" s="653">
        <f t="shared" ref="AF5:BM5" si="4">+AF6-AF4</f>
        <v>-2581</v>
      </c>
      <c r="AG5" s="40">
        <f>+AG6-AG4</f>
        <v>-1221</v>
      </c>
      <c r="AH5" s="630">
        <f>+AH6-AH4</f>
        <v>-1450</v>
      </c>
      <c r="AI5" s="653">
        <f t="shared" si="4"/>
        <v>-2671</v>
      </c>
      <c r="AJ5" s="40">
        <f t="shared" ref="AJ5:AP5" si="5">+AJ6-AJ4</f>
        <v>-1326</v>
      </c>
      <c r="AK5" s="630">
        <f t="shared" si="5"/>
        <v>-1321</v>
      </c>
      <c r="AL5" s="653">
        <f t="shared" si="5"/>
        <v>-2647</v>
      </c>
      <c r="AM5" s="40">
        <f t="shared" si="5"/>
        <v>-1283</v>
      </c>
      <c r="AN5" s="630">
        <f t="shared" si="5"/>
        <v>-1651</v>
      </c>
      <c r="AO5" s="653">
        <f t="shared" si="5"/>
        <v>-2934</v>
      </c>
      <c r="AP5" s="40">
        <f t="shared" si="5"/>
        <v>-1534</v>
      </c>
      <c r="AQ5" s="630">
        <f t="shared" ref="AQ5:AS5" si="6">+AQ6-AQ4</f>
        <v>-1739</v>
      </c>
      <c r="AR5" s="653">
        <f t="shared" si="6"/>
        <v>-3273</v>
      </c>
      <c r="AS5" s="40">
        <f t="shared" si="6"/>
        <v>-1743</v>
      </c>
      <c r="AT5" s="630">
        <f t="shared" ref="AT5:AV5" si="7">+AT6-AT4</f>
        <v>-1871</v>
      </c>
      <c r="AU5" s="653">
        <f t="shared" si="7"/>
        <v>-3614</v>
      </c>
      <c r="AV5" s="40">
        <f t="shared" si="7"/>
        <v>-1761</v>
      </c>
      <c r="AW5" s="630">
        <f t="shared" si="4"/>
        <v>-2078</v>
      </c>
      <c r="AX5" s="653">
        <f t="shared" si="4"/>
        <v>-3839</v>
      </c>
      <c r="AY5" s="40">
        <f t="shared" si="4"/>
        <v>-1845</v>
      </c>
      <c r="AZ5" s="236">
        <f t="shared" si="4"/>
        <v>-2049.2577935267418</v>
      </c>
      <c r="BA5" s="605">
        <f t="shared" si="4"/>
        <v>-3894.2577935267409</v>
      </c>
      <c r="BB5" s="56">
        <f t="shared" si="4"/>
        <v>-2018.0761200000002</v>
      </c>
      <c r="BC5" s="236">
        <f t="shared" si="4"/>
        <v>-2176.9498377509371</v>
      </c>
      <c r="BD5" s="605">
        <f t="shared" si="4"/>
        <v>-4195.0259577509369</v>
      </c>
      <c r="BE5" s="56">
        <f t="shared" si="4"/>
        <v>-2129.7100608000001</v>
      </c>
      <c r="BF5" s="236">
        <f t="shared" si="4"/>
        <v>-2301.93569883084</v>
      </c>
      <c r="BG5" s="605">
        <f t="shared" si="4"/>
        <v>-4431.6457596308392</v>
      </c>
      <c r="BH5" s="56">
        <f t="shared" si="4"/>
        <v>-2247.9555292704003</v>
      </c>
      <c r="BI5" s="236">
        <f t="shared" si="4"/>
        <v>-2434.3251933349025</v>
      </c>
      <c r="BJ5" s="605">
        <f t="shared" si="4"/>
        <v>-4682.2807226053028</v>
      </c>
      <c r="BK5" s="56">
        <f t="shared" si="4"/>
        <v>-2373.2088883488004</v>
      </c>
      <c r="BL5" s="236">
        <f t="shared" si="4"/>
        <v>-2574.5644114048855</v>
      </c>
      <c r="BM5" s="605">
        <f t="shared" si="4"/>
        <v>-4947.7732997536859</v>
      </c>
    </row>
    <row r="6" spans="1:65">
      <c r="A6" s="31" t="s">
        <v>270</v>
      </c>
      <c r="B6" s="51"/>
      <c r="C6" s="51"/>
      <c r="D6" s="51"/>
      <c r="E6" s="51"/>
      <c r="F6" s="51"/>
      <c r="G6" s="51"/>
      <c r="H6" s="51"/>
      <c r="I6" s="51"/>
      <c r="J6" s="51"/>
      <c r="K6" s="51"/>
      <c r="L6" s="51"/>
      <c r="M6" s="51"/>
      <c r="N6" s="51"/>
      <c r="O6" s="51"/>
      <c r="P6" s="51">
        <v>567</v>
      </c>
      <c r="Q6" s="51">
        <v>579</v>
      </c>
      <c r="R6" s="51">
        <f>Divisional!R33</f>
        <v>211</v>
      </c>
      <c r="S6" s="629">
        <f>Divisional!S33</f>
        <v>353</v>
      </c>
      <c r="T6" s="652">
        <v>564</v>
      </c>
      <c r="U6" s="51">
        <f>Divisional!U33</f>
        <v>230</v>
      </c>
      <c r="V6" s="629">
        <f>Divisional!V33</f>
        <v>345</v>
      </c>
      <c r="W6" s="652">
        <v>575</v>
      </c>
      <c r="X6" s="51">
        <f>Divisional!X33</f>
        <v>292</v>
      </c>
      <c r="Y6" s="629">
        <f>Divisional!Y33</f>
        <v>436</v>
      </c>
      <c r="Z6" s="652">
        <f>Divisional!Z33</f>
        <v>728</v>
      </c>
      <c r="AA6" s="51">
        <f>Divisional!AA33</f>
        <v>281</v>
      </c>
      <c r="AB6" s="629">
        <f>Divisional!AB33</f>
        <v>409</v>
      </c>
      <c r="AC6" s="652">
        <f>Divisional!AC33</f>
        <v>690</v>
      </c>
      <c r="AD6" s="51">
        <f>Divisional!AD33</f>
        <v>295</v>
      </c>
      <c r="AE6" s="629">
        <f>Divisional!AE33</f>
        <v>374</v>
      </c>
      <c r="AF6" s="652">
        <f>Divisional!AF33</f>
        <v>669</v>
      </c>
      <c r="AG6" s="51">
        <f>Divisional!AG33</f>
        <v>332</v>
      </c>
      <c r="AH6" s="629">
        <f>Divisional!AH33</f>
        <v>352</v>
      </c>
      <c r="AI6" s="652">
        <f>Divisional!AI33</f>
        <v>684</v>
      </c>
      <c r="AJ6" s="51">
        <f>Divisional!AJ33</f>
        <v>395</v>
      </c>
      <c r="AK6" s="629">
        <f>Divisional!AK33</f>
        <v>326</v>
      </c>
      <c r="AL6" s="652">
        <f>Divisional!AL33</f>
        <v>721</v>
      </c>
      <c r="AM6" s="51">
        <f>Divisional!AM33</f>
        <v>326</v>
      </c>
      <c r="AN6" s="629">
        <f>Divisional!AN33</f>
        <v>400</v>
      </c>
      <c r="AO6" s="652">
        <f>Divisional!AO33</f>
        <v>726</v>
      </c>
      <c r="AP6" s="51">
        <f>Divisional!AP33</f>
        <v>379</v>
      </c>
      <c r="AQ6" s="629">
        <f>Divisional!AQ33</f>
        <v>425</v>
      </c>
      <c r="AR6" s="652">
        <f>Divisional!AR33</f>
        <v>804</v>
      </c>
      <c r="AS6" s="51">
        <f>Divisional!AS33</f>
        <v>476</v>
      </c>
      <c r="AT6" s="629">
        <f>Divisional!AT33</f>
        <v>432</v>
      </c>
      <c r="AU6" s="652">
        <f>Divisional!AU33</f>
        <v>908</v>
      </c>
      <c r="AV6" s="51">
        <f>Divisional!AV33</f>
        <v>462</v>
      </c>
      <c r="AW6" s="629">
        <f>AX6-AV6</f>
        <v>471</v>
      </c>
      <c r="AX6" s="652">
        <f>Divisional!AX33</f>
        <v>933</v>
      </c>
      <c r="AY6" s="51">
        <f>Divisional!AY33</f>
        <v>639</v>
      </c>
      <c r="AZ6" s="237">
        <f>BA6-AY6</f>
        <v>624.69954889278347</v>
      </c>
      <c r="BA6" s="576">
        <f t="shared" ref="BA6:BM6" si="8">+BA7*BA4</f>
        <v>1263.6995488927835</v>
      </c>
      <c r="BB6" s="48">
        <f>+BB7*BB4</f>
        <v>619.93187999999998</v>
      </c>
      <c r="BC6" s="237">
        <f>BD6-BB6</f>
        <v>668.73622466858831</v>
      </c>
      <c r="BD6" s="576">
        <f t="shared" si="8"/>
        <v>1288.6681046685883</v>
      </c>
      <c r="BE6" s="48">
        <f>+BE7*BE4</f>
        <v>672.54001920000007</v>
      </c>
      <c r="BF6" s="237">
        <f>BG6-BE6</f>
        <v>726.92706278868593</v>
      </c>
      <c r="BG6" s="576">
        <f t="shared" si="8"/>
        <v>1399.467081988686</v>
      </c>
      <c r="BH6" s="48">
        <f>+BH7*BH4</f>
        <v>729.46901280960003</v>
      </c>
      <c r="BI6" s="237">
        <f>BJ6-BH6</f>
        <v>789.94658591662403</v>
      </c>
      <c r="BJ6" s="576">
        <f t="shared" si="8"/>
        <v>1519.4155987262241</v>
      </c>
      <c r="BK6" s="48">
        <f>+BK7*BK4</f>
        <v>791.06962944960014</v>
      </c>
      <c r="BL6" s="237">
        <f>BM6-BK6</f>
        <v>858.18813713496183</v>
      </c>
      <c r="BM6" s="576">
        <f t="shared" si="8"/>
        <v>1649.257766584562</v>
      </c>
    </row>
    <row r="7" spans="1:65">
      <c r="A7" s="93" t="s">
        <v>44</v>
      </c>
      <c r="B7" s="40"/>
      <c r="C7" s="40"/>
      <c r="D7" s="40"/>
      <c r="E7" s="40"/>
      <c r="F7" s="40"/>
      <c r="G7" s="40"/>
      <c r="H7" s="40"/>
      <c r="I7" s="40"/>
      <c r="J7" s="40"/>
      <c r="K7" s="40"/>
      <c r="L7" s="40"/>
      <c r="M7" s="40"/>
      <c r="N7" s="40"/>
      <c r="O7" s="40"/>
      <c r="P7" s="58">
        <f t="shared" ref="P7:AI7" si="9">P6/P4</f>
        <v>0.27404543257612374</v>
      </c>
      <c r="Q7" s="58">
        <f t="shared" si="9"/>
        <v>0.28452088452088453</v>
      </c>
      <c r="R7" s="58">
        <f>R6/R4</f>
        <v>0.21057884231536927</v>
      </c>
      <c r="S7" s="644">
        <f>S6/S4</f>
        <v>0.29246064623032314</v>
      </c>
      <c r="T7" s="668">
        <f t="shared" si="9"/>
        <v>0.25531914893617019</v>
      </c>
      <c r="U7" s="58">
        <f>U6/U4</f>
        <v>0.21946564885496184</v>
      </c>
      <c r="V7" s="644">
        <f>V6/V4</f>
        <v>0.28117359413202936</v>
      </c>
      <c r="W7" s="668">
        <f t="shared" si="9"/>
        <v>0.25274725274725274</v>
      </c>
      <c r="X7" s="87">
        <f>X6/X4</f>
        <v>0.19756427604871449</v>
      </c>
      <c r="Y7" s="644">
        <f>Y6/Y4</f>
        <v>0.25616921269095183</v>
      </c>
      <c r="Z7" s="668">
        <f t="shared" si="9"/>
        <v>0.2289308176100629</v>
      </c>
      <c r="AA7" s="87">
        <f>AA6/AA4</f>
        <v>0.19858657243816255</v>
      </c>
      <c r="AB7" s="644">
        <f>AB6/AB4</f>
        <v>0.23932124049151551</v>
      </c>
      <c r="AC7" s="668">
        <f t="shared" si="9"/>
        <v>0.22087067861715748</v>
      </c>
      <c r="AD7" s="87">
        <f>AD6/AD4</f>
        <v>0.19745649263721554</v>
      </c>
      <c r="AE7" s="644">
        <f>AE6/AE4</f>
        <v>0.21298405466970388</v>
      </c>
      <c r="AF7" s="668">
        <f t="shared" si="9"/>
        <v>0.20584615384615385</v>
      </c>
      <c r="AG7" s="87">
        <f>AG6/AG4</f>
        <v>0.21377978106889892</v>
      </c>
      <c r="AH7" s="644">
        <f>AH6/AH4</f>
        <v>0.19533851276359601</v>
      </c>
      <c r="AI7" s="668">
        <f t="shared" si="9"/>
        <v>0.20387481371087929</v>
      </c>
      <c r="AJ7" s="87">
        <f t="shared" ref="AJ7:AP7" si="10">AJ6/AJ4</f>
        <v>0.2295177222545032</v>
      </c>
      <c r="AK7" s="644">
        <f t="shared" si="10"/>
        <v>0.19793564055859139</v>
      </c>
      <c r="AL7" s="668">
        <f t="shared" si="10"/>
        <v>0.21407363420427553</v>
      </c>
      <c r="AM7" s="87">
        <f t="shared" si="10"/>
        <v>0.20261031696706028</v>
      </c>
      <c r="AN7" s="644">
        <f t="shared" si="10"/>
        <v>0.19502681618722575</v>
      </c>
      <c r="AO7" s="668">
        <f t="shared" si="10"/>
        <v>0.19836065573770492</v>
      </c>
      <c r="AP7" s="87">
        <f t="shared" si="10"/>
        <v>0.19811813904861475</v>
      </c>
      <c r="AQ7" s="644">
        <f t="shared" ref="AQ7:AS7" si="11">AQ6/AQ4</f>
        <v>0.19639556377079481</v>
      </c>
      <c r="AR7" s="668">
        <f t="shared" si="11"/>
        <v>0.19720382634289918</v>
      </c>
      <c r="AS7" s="87">
        <f t="shared" si="11"/>
        <v>0.21451104100946372</v>
      </c>
      <c r="AT7" s="644">
        <f t="shared" ref="AT7:AV7" si="12">AT6/AT4</f>
        <v>0.18758141554494137</v>
      </c>
      <c r="AU7" s="668">
        <f t="shared" si="12"/>
        <v>0.20079610791685096</v>
      </c>
      <c r="AV7" s="87">
        <f t="shared" si="12"/>
        <v>0.2078272604588394</v>
      </c>
      <c r="AW7" s="644">
        <f t="shared" ref="AW7:AY7" si="13">AW6/AW4</f>
        <v>0.18477834444880345</v>
      </c>
      <c r="AX7" s="668">
        <f t="shared" si="13"/>
        <v>0.19551550712489521</v>
      </c>
      <c r="AY7" s="87">
        <f t="shared" si="13"/>
        <v>0.25724637681159418</v>
      </c>
      <c r="AZ7" s="247">
        <f t="shared" ref="AZ7" si="14">AZ6/AZ4</f>
        <v>0.23362360310786609</v>
      </c>
      <c r="BA7" s="585">
        <v>0.245</v>
      </c>
      <c r="BB7" s="245">
        <f>BD7</f>
        <v>0.23499999999999999</v>
      </c>
      <c r="BC7" s="247">
        <f t="shared" ref="BC7" si="15">BC6/BC4</f>
        <v>0.23499999999999993</v>
      </c>
      <c r="BD7" s="585">
        <v>0.23499999999999999</v>
      </c>
      <c r="BE7" s="245">
        <f>BG7</f>
        <v>0.24</v>
      </c>
      <c r="BF7" s="247">
        <f t="shared" ref="BF7" si="16">BF6/BF4</f>
        <v>0.23999999999999991</v>
      </c>
      <c r="BG7" s="585">
        <v>0.24</v>
      </c>
      <c r="BH7" s="245">
        <f>BJ7</f>
        <v>0.245</v>
      </c>
      <c r="BI7" s="247">
        <f t="shared" ref="BI7" si="17">BI6/BI4</f>
        <v>0.24500000000000002</v>
      </c>
      <c r="BJ7" s="585">
        <v>0.245</v>
      </c>
      <c r="BK7" s="245">
        <f>BM7</f>
        <v>0.25</v>
      </c>
      <c r="BL7" s="247">
        <f t="shared" ref="BL7" si="18">BL6/BL4</f>
        <v>0.25</v>
      </c>
      <c r="BM7" s="585">
        <v>0.25</v>
      </c>
    </row>
    <row r="8" spans="1:65">
      <c r="A8" s="25" t="s">
        <v>6</v>
      </c>
      <c r="B8" s="51"/>
      <c r="C8" s="51"/>
      <c r="D8" s="51"/>
      <c r="E8" s="51"/>
      <c r="F8" s="51"/>
      <c r="G8" s="51"/>
      <c r="H8" s="51"/>
      <c r="I8" s="51"/>
      <c r="J8" s="51"/>
      <c r="K8" s="51"/>
      <c r="L8" s="51"/>
      <c r="M8" s="51"/>
      <c r="N8" s="51"/>
      <c r="O8" s="51"/>
      <c r="P8" s="40">
        <v>-112</v>
      </c>
      <c r="Q8" s="40">
        <v>-124</v>
      </c>
      <c r="R8" s="40">
        <v>-60</v>
      </c>
      <c r="S8" s="630">
        <f>T8-R8</f>
        <v>-74</v>
      </c>
      <c r="T8" s="653">
        <v>-134</v>
      </c>
      <c r="U8" s="40">
        <v>-54</v>
      </c>
      <c r="V8" s="630">
        <f>W8-U8</f>
        <v>-76</v>
      </c>
      <c r="W8" s="653">
        <v>-130</v>
      </c>
      <c r="X8" s="40">
        <v>-83</v>
      </c>
      <c r="Y8" s="630">
        <f>Z8-X8</f>
        <v>-105</v>
      </c>
      <c r="Z8" s="653">
        <v>-188</v>
      </c>
      <c r="AA8" s="40">
        <v>-77</v>
      </c>
      <c r="AB8" s="630">
        <f>AC8-AA8</f>
        <v>-93</v>
      </c>
      <c r="AC8" s="653">
        <v>-170</v>
      </c>
      <c r="AD8" s="40">
        <v>-76</v>
      </c>
      <c r="AE8" s="630">
        <f>AF8-AD8</f>
        <v>-75</v>
      </c>
      <c r="AF8" s="653">
        <v>-151</v>
      </c>
      <c r="AG8" s="40">
        <v>-76</v>
      </c>
      <c r="AH8" s="630">
        <f>AI8-AG8</f>
        <v>-70</v>
      </c>
      <c r="AI8" s="653">
        <v>-146</v>
      </c>
      <c r="AJ8" s="40">
        <v>-79</v>
      </c>
      <c r="AK8" s="630">
        <f>AL8-AJ8</f>
        <v>-82</v>
      </c>
      <c r="AL8" s="653">
        <v>-161</v>
      </c>
      <c r="AM8" s="40">
        <v>-86</v>
      </c>
      <c r="AN8" s="630">
        <f>AO8-AM8</f>
        <v>-88</v>
      </c>
      <c r="AO8" s="653">
        <v>-174</v>
      </c>
      <c r="AP8" s="40">
        <v>-86</v>
      </c>
      <c r="AQ8" s="630">
        <f>AR8-AP8</f>
        <v>-87</v>
      </c>
      <c r="AR8" s="653">
        <v>-173</v>
      </c>
      <c r="AS8" s="40">
        <v>-108</v>
      </c>
      <c r="AT8" s="630">
        <f>AU8-AS8</f>
        <v>-104</v>
      </c>
      <c r="AU8" s="653">
        <v>-212</v>
      </c>
      <c r="AV8" s="40">
        <v>-103</v>
      </c>
      <c r="AW8" s="630">
        <f>AX8-AV8</f>
        <v>-98</v>
      </c>
      <c r="AX8" s="653">
        <v>-201</v>
      </c>
      <c r="AY8" s="40">
        <v>-105</v>
      </c>
      <c r="AZ8" s="236">
        <f>BA8-AY8</f>
        <v>-101.31829369678098</v>
      </c>
      <c r="BA8" s="605">
        <f t="shared" ref="BA8:BM8" si="19">-BA9*BA4</f>
        <v>-206.31829369678098</v>
      </c>
      <c r="BB8" s="56">
        <f>-BB9*BB4</f>
        <v>-105.52032000000001</v>
      </c>
      <c r="BC8" s="236">
        <f>BD8-BB8</f>
        <v>-113.82744249678099</v>
      </c>
      <c r="BD8" s="605">
        <f t="shared" si="19"/>
        <v>-219.347762496781</v>
      </c>
      <c r="BE8" s="56">
        <f>-BE9*BE4</f>
        <v>-112.09000320000001</v>
      </c>
      <c r="BF8" s="236">
        <f>BG8-BE8</f>
        <v>-121.154510464781</v>
      </c>
      <c r="BG8" s="605">
        <f t="shared" si="19"/>
        <v>-233.24451366478101</v>
      </c>
      <c r="BH8" s="56">
        <f>-BH9*BH4</f>
        <v>-119.09698168320001</v>
      </c>
      <c r="BI8" s="236">
        <f>BJ8-BH8</f>
        <v>-128.97087117006106</v>
      </c>
      <c r="BJ8" s="605">
        <f t="shared" si="19"/>
        <v>-248.06785285326106</v>
      </c>
      <c r="BK8" s="56">
        <f>-BK9*BK4</f>
        <v>-126.57114071193602</v>
      </c>
      <c r="BL8" s="236">
        <f>BM8-BK8</f>
        <v>-137.31010194159387</v>
      </c>
      <c r="BM8" s="605">
        <f t="shared" si="19"/>
        <v>-263.88124265352991</v>
      </c>
    </row>
    <row r="9" spans="1:65">
      <c r="A9" s="93" t="s">
        <v>273</v>
      </c>
      <c r="B9" s="51"/>
      <c r="C9" s="51"/>
      <c r="D9" s="51"/>
      <c r="E9" s="51"/>
      <c r="F9" s="51"/>
      <c r="G9" s="51"/>
      <c r="H9" s="51"/>
      <c r="I9" s="51"/>
      <c r="J9" s="51"/>
      <c r="K9" s="51"/>
      <c r="L9" s="51"/>
      <c r="M9" s="51"/>
      <c r="N9" s="51"/>
      <c r="O9" s="51"/>
      <c r="P9" s="58">
        <f t="shared" ref="P9:AI9" si="20">-P8/P4</f>
        <v>5.4132431126147899E-2</v>
      </c>
      <c r="Q9" s="58">
        <f t="shared" si="20"/>
        <v>6.0933660933660934E-2</v>
      </c>
      <c r="R9" s="87">
        <f>-R8/R4</f>
        <v>5.9880239520958084E-2</v>
      </c>
      <c r="S9" s="644">
        <f>-S8/S4</f>
        <v>6.1309030654515324E-2</v>
      </c>
      <c r="T9" s="668">
        <f t="shared" si="20"/>
        <v>6.0660932548664552E-2</v>
      </c>
      <c r="U9" s="87">
        <f>-U8/U4</f>
        <v>5.1526717557251911E-2</v>
      </c>
      <c r="V9" s="644">
        <f>-V8/V4</f>
        <v>6.1939690301548493E-2</v>
      </c>
      <c r="W9" s="668">
        <f t="shared" si="20"/>
        <v>5.7142857142857141E-2</v>
      </c>
      <c r="X9" s="87">
        <f>-X8/X4</f>
        <v>5.615696887686062E-2</v>
      </c>
      <c r="Y9" s="644">
        <f>-Y8/Y4</f>
        <v>6.1692126909518211E-2</v>
      </c>
      <c r="Z9" s="668">
        <f t="shared" si="20"/>
        <v>5.9119496855345913E-2</v>
      </c>
      <c r="AA9" s="87">
        <f>-AA8/AA4</f>
        <v>5.4416961130742049E-2</v>
      </c>
      <c r="AB9" s="644">
        <f>-AB8/AB4</f>
        <v>5.4417788180222353E-2</v>
      </c>
      <c r="AC9" s="668">
        <f t="shared" si="20"/>
        <v>5.441741357234315E-2</v>
      </c>
      <c r="AD9" s="87">
        <f>-AD8/AD4</f>
        <v>5.0870147255689425E-2</v>
      </c>
      <c r="AE9" s="644">
        <f>-AE8/AE4</f>
        <v>4.2710706150341685E-2</v>
      </c>
      <c r="AF9" s="668">
        <f t="shared" si="20"/>
        <v>4.6461538461538464E-2</v>
      </c>
      <c r="AG9" s="87">
        <f>-AG8/AG4</f>
        <v>4.8937540244687702E-2</v>
      </c>
      <c r="AH9" s="644">
        <f>-AH8/AH4</f>
        <v>3.8845726970033294E-2</v>
      </c>
      <c r="AI9" s="668">
        <f t="shared" si="20"/>
        <v>4.351713859910581E-2</v>
      </c>
      <c r="AJ9" s="87">
        <f t="shared" ref="AJ9:AP9" si="21">-AJ8/AJ4</f>
        <v>4.5903544450900641E-2</v>
      </c>
      <c r="AK9" s="644">
        <f t="shared" si="21"/>
        <v>4.9787492410443231E-2</v>
      </c>
      <c r="AL9" s="668">
        <f t="shared" si="21"/>
        <v>4.7802850356294536E-2</v>
      </c>
      <c r="AM9" s="87">
        <f t="shared" si="21"/>
        <v>5.3449347420758235E-2</v>
      </c>
      <c r="AN9" s="644">
        <f t="shared" si="21"/>
        <v>4.2905899561189662E-2</v>
      </c>
      <c r="AO9" s="668">
        <f t="shared" si="21"/>
        <v>4.7540983606557376E-2</v>
      </c>
      <c r="AP9" s="87">
        <f t="shared" si="21"/>
        <v>4.4955567171981181E-2</v>
      </c>
      <c r="AQ9" s="644">
        <f t="shared" ref="AQ9:AS9" si="22">-AQ8/AQ4</f>
        <v>4.0203327171903884E-2</v>
      </c>
      <c r="AR9" s="668">
        <f t="shared" si="22"/>
        <v>4.243316163845965E-2</v>
      </c>
      <c r="AS9" s="87">
        <f t="shared" si="22"/>
        <v>4.8670572329878321E-2</v>
      </c>
      <c r="AT9" s="644">
        <f t="shared" ref="AT9:AV9" si="23">-AT8/AT4</f>
        <v>4.515848892748589E-2</v>
      </c>
      <c r="AU9" s="668">
        <f t="shared" si="23"/>
        <v>4.6881910659000443E-2</v>
      </c>
      <c r="AV9" s="87">
        <f t="shared" si="23"/>
        <v>4.6333783175888439E-2</v>
      </c>
      <c r="AW9" s="644">
        <f>-AW8/AW4</f>
        <v>3.8446449588073757E-2</v>
      </c>
      <c r="AX9" s="668">
        <f t="shared" ref="AX9:AY9" si="24">-AX8/AX4</f>
        <v>4.2120704107292538E-2</v>
      </c>
      <c r="AY9" s="87">
        <f t="shared" si="24"/>
        <v>4.2270531400966184E-2</v>
      </c>
      <c r="AZ9" s="247">
        <f>-AZ8/AZ4</f>
        <v>3.7890766651162554E-2</v>
      </c>
      <c r="BA9" s="585">
        <v>0.04</v>
      </c>
      <c r="BB9" s="245">
        <f>BD9</f>
        <v>0.04</v>
      </c>
      <c r="BC9" s="247">
        <f>-BC8/BC4</f>
        <v>3.9999999999999987E-2</v>
      </c>
      <c r="BD9" s="583">
        <f>+BA9</f>
        <v>0.04</v>
      </c>
      <c r="BE9" s="245">
        <f>BG9</f>
        <v>0.04</v>
      </c>
      <c r="BF9" s="247">
        <f>-BF8/BF4</f>
        <v>3.9999999999999987E-2</v>
      </c>
      <c r="BG9" s="583">
        <f>+BD9</f>
        <v>0.04</v>
      </c>
      <c r="BH9" s="245">
        <f>BJ9</f>
        <v>0.04</v>
      </c>
      <c r="BI9" s="247">
        <f>-BI8/BI4</f>
        <v>0.04</v>
      </c>
      <c r="BJ9" s="583">
        <f>+BG9</f>
        <v>0.04</v>
      </c>
      <c r="BK9" s="245">
        <f>BM9</f>
        <v>0.04</v>
      </c>
      <c r="BL9" s="247">
        <f>-BL8/BL4</f>
        <v>3.9999999999999994E-2</v>
      </c>
      <c r="BM9" s="583">
        <f t="shared" ref="BM9:BM10" si="25">+BJ9</f>
        <v>0.04</v>
      </c>
    </row>
    <row r="10" spans="1:65">
      <c r="A10" s="25" t="s">
        <v>271</v>
      </c>
      <c r="B10" s="51"/>
      <c r="C10" s="51"/>
      <c r="D10" s="51"/>
      <c r="E10" s="51"/>
      <c r="F10" s="51"/>
      <c r="G10" s="51"/>
      <c r="H10" s="51"/>
      <c r="I10" s="51"/>
      <c r="J10" s="51"/>
      <c r="K10" s="51"/>
      <c r="L10" s="51"/>
      <c r="M10" s="51"/>
      <c r="N10" s="51"/>
      <c r="O10" s="51"/>
      <c r="P10" s="40">
        <v>-55</v>
      </c>
      <c r="Q10" s="40">
        <v>-8</v>
      </c>
      <c r="R10" s="40">
        <v>-3</v>
      </c>
      <c r="S10" s="630">
        <f t="shared" ref="S10:S11" si="26">T10-R10</f>
        <v>13</v>
      </c>
      <c r="T10" s="653">
        <v>10</v>
      </c>
      <c r="U10" s="40">
        <v>-1</v>
      </c>
      <c r="V10" s="630">
        <f t="shared" ref="V10:V11" si="27">W10-U10</f>
        <v>1</v>
      </c>
      <c r="W10" s="653">
        <v>0</v>
      </c>
      <c r="X10" s="40">
        <v>0</v>
      </c>
      <c r="Y10" s="630">
        <f t="shared" ref="Y10:Y11" si="28">Z10-X10</f>
        <v>-4</v>
      </c>
      <c r="Z10" s="653">
        <v>-4</v>
      </c>
      <c r="AA10" s="40">
        <v>0</v>
      </c>
      <c r="AB10" s="630">
        <f t="shared" ref="AB10:AB11" si="29">AC10-AA10</f>
        <v>-3</v>
      </c>
      <c r="AC10" s="653">
        <v>-3</v>
      </c>
      <c r="AD10" s="40">
        <v>-1</v>
      </c>
      <c r="AE10" s="630">
        <f t="shared" ref="AE10:AE11" si="30">AF10-AD10</f>
        <v>-6</v>
      </c>
      <c r="AF10" s="653">
        <v>-7</v>
      </c>
      <c r="AG10" s="40">
        <v>0</v>
      </c>
      <c r="AH10" s="630">
        <f t="shared" ref="AH10:AH11" si="31">AI10-AG10</f>
        <v>0</v>
      </c>
      <c r="AI10" s="653">
        <v>0</v>
      </c>
      <c r="AJ10" s="40">
        <v>0</v>
      </c>
      <c r="AK10" s="630">
        <f t="shared" ref="AK10:AK11" si="32">AL10-AJ10</f>
        <v>0</v>
      </c>
      <c r="AL10" s="653">
        <v>0</v>
      </c>
      <c r="AM10" s="40">
        <v>0</v>
      </c>
      <c r="AN10" s="630">
        <f t="shared" ref="AN10:AN11" si="33">AO10-AM10</f>
        <v>0</v>
      </c>
      <c r="AO10" s="653">
        <v>0</v>
      </c>
      <c r="AP10" s="40">
        <v>0</v>
      </c>
      <c r="AQ10" s="630">
        <f t="shared" ref="AQ10:AQ11" si="34">AR10-AP10</f>
        <v>0</v>
      </c>
      <c r="AR10" s="653">
        <v>0</v>
      </c>
      <c r="AS10" s="40">
        <v>0</v>
      </c>
      <c r="AT10" s="630">
        <f t="shared" ref="AT10:AT11" si="35">AU10-AS10</f>
        <v>0</v>
      </c>
      <c r="AU10" s="653">
        <v>0</v>
      </c>
      <c r="AV10" s="40">
        <v>0</v>
      </c>
      <c r="AW10" s="630">
        <f>AX10-AV10</f>
        <v>0</v>
      </c>
      <c r="AX10" s="653">
        <v>0</v>
      </c>
      <c r="AY10" s="40">
        <v>0</v>
      </c>
      <c r="AZ10" s="236">
        <f>BA10-AY10</f>
        <v>0</v>
      </c>
      <c r="BA10" s="580">
        <v>0</v>
      </c>
      <c r="BB10" s="56">
        <f>BD10/2</f>
        <v>0</v>
      </c>
      <c r="BC10" s="236">
        <f>BD10-BB10</f>
        <v>0</v>
      </c>
      <c r="BD10" s="605">
        <f>+BA10</f>
        <v>0</v>
      </c>
      <c r="BE10" s="56">
        <f>BG10/2</f>
        <v>0</v>
      </c>
      <c r="BF10" s="236">
        <f>BG10-BE10</f>
        <v>0</v>
      </c>
      <c r="BG10" s="605">
        <f>+BD10</f>
        <v>0</v>
      </c>
      <c r="BH10" s="56">
        <f>BJ10/2</f>
        <v>0</v>
      </c>
      <c r="BI10" s="236">
        <f>BJ10-BH10</f>
        <v>0</v>
      </c>
      <c r="BJ10" s="605">
        <f>+BG10</f>
        <v>0</v>
      </c>
      <c r="BK10" s="56">
        <f>BM10/2</f>
        <v>0</v>
      </c>
      <c r="BL10" s="236">
        <f>BM10-BK10</f>
        <v>0</v>
      </c>
      <c r="BM10" s="605">
        <f t="shared" si="25"/>
        <v>0</v>
      </c>
    </row>
    <row r="11" spans="1:65">
      <c r="A11" s="25" t="s">
        <v>4</v>
      </c>
      <c r="B11" s="51"/>
      <c r="C11" s="51"/>
      <c r="D11" s="51"/>
      <c r="E11" s="51"/>
      <c r="F11" s="51"/>
      <c r="G11" s="51"/>
      <c r="H11" s="51"/>
      <c r="I11" s="51"/>
      <c r="J11" s="51"/>
      <c r="K11" s="51"/>
      <c r="L11" s="51"/>
      <c r="M11" s="51"/>
      <c r="N11" s="51"/>
      <c r="O11" s="51"/>
      <c r="P11" s="40">
        <v>-50</v>
      </c>
      <c r="Q11" s="40">
        <v>-73</v>
      </c>
      <c r="R11" s="40">
        <v>-29</v>
      </c>
      <c r="S11" s="630">
        <f t="shared" si="26"/>
        <v>-42</v>
      </c>
      <c r="T11" s="653">
        <v>-71</v>
      </c>
      <c r="U11" s="40">
        <v>-30</v>
      </c>
      <c r="V11" s="630">
        <f t="shared" si="27"/>
        <v>-48</v>
      </c>
      <c r="W11" s="653">
        <v>-78</v>
      </c>
      <c r="X11" s="40">
        <v>-32</v>
      </c>
      <c r="Y11" s="630">
        <f t="shared" si="28"/>
        <v>-57</v>
      </c>
      <c r="Z11" s="653">
        <v>-89</v>
      </c>
      <c r="AA11" s="40">
        <v>-44</v>
      </c>
      <c r="AB11" s="630">
        <f t="shared" si="29"/>
        <v>-56</v>
      </c>
      <c r="AC11" s="653">
        <v>-100</v>
      </c>
      <c r="AD11" s="40">
        <v>-48</v>
      </c>
      <c r="AE11" s="630">
        <f t="shared" si="30"/>
        <v>-57</v>
      </c>
      <c r="AF11" s="653">
        <v>-105</v>
      </c>
      <c r="AG11" s="40">
        <v>-49</v>
      </c>
      <c r="AH11" s="630">
        <f t="shared" si="31"/>
        <v>-37</v>
      </c>
      <c r="AI11" s="653">
        <v>-86</v>
      </c>
      <c r="AJ11" s="40">
        <v>-47</v>
      </c>
      <c r="AK11" s="630">
        <f t="shared" si="32"/>
        <v>-58</v>
      </c>
      <c r="AL11" s="653">
        <v>-105</v>
      </c>
      <c r="AM11" s="40">
        <v>-53</v>
      </c>
      <c r="AN11" s="630">
        <f t="shared" si="33"/>
        <v>-69</v>
      </c>
      <c r="AO11" s="653">
        <v>-122</v>
      </c>
      <c r="AP11" s="40">
        <v>-34</v>
      </c>
      <c r="AQ11" s="630">
        <f t="shared" si="34"/>
        <v>-38</v>
      </c>
      <c r="AR11" s="653">
        <v>-72</v>
      </c>
      <c r="AS11" s="40">
        <v>-24</v>
      </c>
      <c r="AT11" s="630">
        <f t="shared" si="35"/>
        <v>-31</v>
      </c>
      <c r="AU11" s="653">
        <v>-55</v>
      </c>
      <c r="AV11" s="40">
        <v>-18</v>
      </c>
      <c r="AW11" s="630">
        <f>AX11-AV11</f>
        <v>-27</v>
      </c>
      <c r="AX11" s="653">
        <v>-45</v>
      </c>
      <c r="AY11" s="40">
        <v>-12</v>
      </c>
      <c r="AZ11" s="236">
        <f>BA11-AY11</f>
        <v>-39.579573424195246</v>
      </c>
      <c r="BA11" s="605">
        <f t="shared" ref="BA11:BM11" si="36">-BA12*BA4</f>
        <v>-51.579573424195246</v>
      </c>
      <c r="BB11" s="56">
        <f>-BB12*BB4</f>
        <v>-26.380080000000003</v>
      </c>
      <c r="BC11" s="236">
        <f>BD11-BB11</f>
        <v>-28.456860624195247</v>
      </c>
      <c r="BD11" s="605">
        <f t="shared" si="36"/>
        <v>-54.83694062419525</v>
      </c>
      <c r="BE11" s="56">
        <f>-BE12*BE4</f>
        <v>-28.022500800000003</v>
      </c>
      <c r="BF11" s="236">
        <f>BG11-BE11</f>
        <v>-30.288627616195249</v>
      </c>
      <c r="BG11" s="605">
        <f t="shared" si="36"/>
        <v>-58.311128416195253</v>
      </c>
      <c r="BH11" s="56">
        <f>-BH12*BH4</f>
        <v>-29.774245420800003</v>
      </c>
      <c r="BI11" s="236">
        <f>BJ11-BH11</f>
        <v>-32.242717792515265</v>
      </c>
      <c r="BJ11" s="605">
        <f t="shared" si="36"/>
        <v>-62.016963213315265</v>
      </c>
      <c r="BK11" s="56">
        <f>-BK12*BK4</f>
        <v>-31.642785177984006</v>
      </c>
      <c r="BL11" s="236">
        <f>BM11-BK11</f>
        <v>-34.327525485398468</v>
      </c>
      <c r="BM11" s="605">
        <f t="shared" si="36"/>
        <v>-65.970310663382477</v>
      </c>
    </row>
    <row r="12" spans="1:65">
      <c r="A12" s="93" t="s">
        <v>273</v>
      </c>
      <c r="B12" s="51"/>
      <c r="C12" s="51"/>
      <c r="D12" s="51"/>
      <c r="E12" s="51"/>
      <c r="F12" s="51"/>
      <c r="G12" s="51"/>
      <c r="H12" s="51"/>
      <c r="I12" s="51"/>
      <c r="J12" s="51"/>
      <c r="K12" s="51"/>
      <c r="L12" s="51"/>
      <c r="M12" s="51"/>
      <c r="N12" s="51"/>
      <c r="O12" s="51"/>
      <c r="P12" s="58">
        <f t="shared" ref="P12:AQ12" si="37">-P11/P4</f>
        <v>2.4166263895601739E-2</v>
      </c>
      <c r="Q12" s="58">
        <f t="shared" si="37"/>
        <v>3.5872235872235869E-2</v>
      </c>
      <c r="R12" s="87">
        <f t="shared" si="37"/>
        <v>2.8942115768463075E-2</v>
      </c>
      <c r="S12" s="644">
        <f t="shared" si="37"/>
        <v>3.4797017398508698E-2</v>
      </c>
      <c r="T12" s="668">
        <f t="shared" si="37"/>
        <v>3.2141240380262559E-2</v>
      </c>
      <c r="U12" s="87">
        <f t="shared" ref="U12:V12" si="38">-U11/U4</f>
        <v>2.8625954198473282E-2</v>
      </c>
      <c r="V12" s="644">
        <f t="shared" si="38"/>
        <v>3.9119804400977995E-2</v>
      </c>
      <c r="W12" s="668">
        <f t="shared" si="37"/>
        <v>3.4285714285714287E-2</v>
      </c>
      <c r="X12" s="87">
        <f t="shared" si="37"/>
        <v>2.165087956698241E-2</v>
      </c>
      <c r="Y12" s="644">
        <f t="shared" si="37"/>
        <v>3.3490011750881316E-2</v>
      </c>
      <c r="Z12" s="668">
        <f t="shared" si="37"/>
        <v>2.7987421383647799E-2</v>
      </c>
      <c r="AA12" s="87">
        <f t="shared" ref="AA12:AB12" si="39">-AA11/AA4</f>
        <v>3.109540636042403E-2</v>
      </c>
      <c r="AB12" s="644">
        <f t="shared" si="39"/>
        <v>3.2767700409596257E-2</v>
      </c>
      <c r="AC12" s="668">
        <f t="shared" si="37"/>
        <v>3.2010243277848911E-2</v>
      </c>
      <c r="AD12" s="87">
        <f t="shared" si="37"/>
        <v>3.2128514056224897E-2</v>
      </c>
      <c r="AE12" s="644">
        <f t="shared" si="37"/>
        <v>3.2460136674259683E-2</v>
      </c>
      <c r="AF12" s="668">
        <f t="shared" si="37"/>
        <v>3.2307692307692308E-2</v>
      </c>
      <c r="AG12" s="87">
        <f t="shared" ref="AG12:AH12" si="40">-AG11/AG4</f>
        <v>3.1551835157759174E-2</v>
      </c>
      <c r="AH12" s="644">
        <f t="shared" si="40"/>
        <v>2.0532741398446172E-2</v>
      </c>
      <c r="AI12" s="668">
        <f t="shared" si="37"/>
        <v>2.5633383010432192E-2</v>
      </c>
      <c r="AJ12" s="87">
        <f t="shared" si="37"/>
        <v>2.7309703660662404E-2</v>
      </c>
      <c r="AK12" s="644">
        <f t="shared" si="37"/>
        <v>3.5215543412264724E-2</v>
      </c>
      <c r="AL12" s="668">
        <f t="shared" si="37"/>
        <v>3.1175771971496437E-2</v>
      </c>
      <c r="AM12" s="87">
        <f t="shared" ref="AM12:AN12" si="41">-AM11/AM4</f>
        <v>3.2939714108141706E-2</v>
      </c>
      <c r="AN12" s="644">
        <f t="shared" si="41"/>
        <v>3.3642125792296439E-2</v>
      </c>
      <c r="AO12" s="668">
        <f t="shared" si="37"/>
        <v>3.3333333333333333E-2</v>
      </c>
      <c r="AP12" s="87">
        <f t="shared" si="37"/>
        <v>1.7773131207527444E-2</v>
      </c>
      <c r="AQ12" s="644">
        <f t="shared" si="37"/>
        <v>1.756007393715342E-2</v>
      </c>
      <c r="AR12" s="668">
        <f t="shared" ref="AR12:AT12" si="42">-AR11/AR4</f>
        <v>1.7660044150110375E-2</v>
      </c>
      <c r="AS12" s="87">
        <f t="shared" si="42"/>
        <v>1.0815682739972961E-2</v>
      </c>
      <c r="AT12" s="644">
        <f t="shared" si="42"/>
        <v>1.3460703430308293E-2</v>
      </c>
      <c r="AU12" s="668">
        <f t="shared" ref="AU12:AV12" si="43">-AU11/AU4</f>
        <v>1.2162759840778416E-2</v>
      </c>
      <c r="AV12" s="87">
        <f t="shared" si="43"/>
        <v>8.0971659919028341E-3</v>
      </c>
      <c r="AW12" s="644">
        <f t="shared" ref="AW12:AY12" si="44">-AW11/AW4</f>
        <v>1.0592389172224402E-2</v>
      </c>
      <c r="AX12" s="668">
        <f t="shared" si="44"/>
        <v>9.4300083822296734E-3</v>
      </c>
      <c r="AY12" s="87">
        <f t="shared" si="44"/>
        <v>4.830917874396135E-3</v>
      </c>
      <c r="AZ12" s="247">
        <f t="shared" ref="AZ12" si="45">-AZ11/AZ4</f>
        <v>1.4801871666502259E-2</v>
      </c>
      <c r="BA12" s="585">
        <v>0.01</v>
      </c>
      <c r="BB12" s="245">
        <f>BD12</f>
        <v>0.01</v>
      </c>
      <c r="BC12" s="247">
        <f t="shared" ref="BC12" si="46">-BC11/BC4</f>
        <v>9.9999999999999967E-3</v>
      </c>
      <c r="BD12" s="583">
        <f>+BA12</f>
        <v>0.01</v>
      </c>
      <c r="BE12" s="245">
        <f>BG12</f>
        <v>0.01</v>
      </c>
      <c r="BF12" s="247">
        <f t="shared" ref="BF12" si="47">-BF11/BF4</f>
        <v>9.9999999999999967E-3</v>
      </c>
      <c r="BG12" s="583">
        <f>+BD12</f>
        <v>0.01</v>
      </c>
      <c r="BH12" s="245">
        <f>BJ12</f>
        <v>0.01</v>
      </c>
      <c r="BI12" s="247">
        <f t="shared" ref="BI12" si="48">-BI11/BI4</f>
        <v>0.01</v>
      </c>
      <c r="BJ12" s="583">
        <f>+BG12</f>
        <v>0.01</v>
      </c>
      <c r="BK12" s="245">
        <f>BM12</f>
        <v>0.01</v>
      </c>
      <c r="BL12" s="247">
        <f t="shared" ref="BL12" si="49">-BL11/BL4</f>
        <v>9.9999999999999985E-3</v>
      </c>
      <c r="BM12" s="583">
        <f t="shared" ref="BM12:BM13" si="50">+BJ12</f>
        <v>0.01</v>
      </c>
    </row>
    <row r="13" spans="1:65">
      <c r="A13" s="25" t="s">
        <v>272</v>
      </c>
      <c r="B13" s="51"/>
      <c r="C13" s="51"/>
      <c r="D13" s="51"/>
      <c r="E13" s="51"/>
      <c r="F13" s="51"/>
      <c r="G13" s="51"/>
      <c r="H13" s="51"/>
      <c r="I13" s="51"/>
      <c r="J13" s="51"/>
      <c r="K13" s="51"/>
      <c r="L13" s="51"/>
      <c r="M13" s="51"/>
      <c r="N13" s="51"/>
      <c r="O13" s="51"/>
      <c r="P13" s="40">
        <v>16</v>
      </c>
      <c r="Q13" s="40">
        <v>19</v>
      </c>
      <c r="R13" s="40">
        <v>9</v>
      </c>
      <c r="S13" s="630">
        <f>T13-R13</f>
        <v>6</v>
      </c>
      <c r="T13" s="653">
        <v>15</v>
      </c>
      <c r="U13" s="40">
        <v>3</v>
      </c>
      <c r="V13" s="630">
        <f>W13-U13</f>
        <v>4</v>
      </c>
      <c r="W13" s="653">
        <v>7</v>
      </c>
      <c r="X13" s="40">
        <v>3</v>
      </c>
      <c r="Y13" s="630">
        <f>Z13-X13</f>
        <v>4</v>
      </c>
      <c r="Z13" s="653">
        <v>7</v>
      </c>
      <c r="AA13" s="40">
        <v>2</v>
      </c>
      <c r="AB13" s="630">
        <f>AC13-AA13</f>
        <v>8</v>
      </c>
      <c r="AC13" s="653">
        <v>10</v>
      </c>
      <c r="AD13" s="40">
        <v>3</v>
      </c>
      <c r="AE13" s="630">
        <f>AF13-AD13</f>
        <v>6</v>
      </c>
      <c r="AF13" s="653">
        <v>9</v>
      </c>
      <c r="AG13" s="40">
        <v>3</v>
      </c>
      <c r="AH13" s="630">
        <f>AI13-AG13</f>
        <v>6</v>
      </c>
      <c r="AI13" s="653">
        <v>9</v>
      </c>
      <c r="AJ13" s="40">
        <v>0</v>
      </c>
      <c r="AK13" s="630">
        <f>AL13-AJ13</f>
        <v>2</v>
      </c>
      <c r="AL13" s="653">
        <v>2</v>
      </c>
      <c r="AM13" s="40">
        <v>2</v>
      </c>
      <c r="AN13" s="630">
        <f>AO13-AM13</f>
        <v>0</v>
      </c>
      <c r="AO13" s="653">
        <v>2</v>
      </c>
      <c r="AP13" s="40">
        <v>2</v>
      </c>
      <c r="AQ13" s="630">
        <f>AR13-AP13</f>
        <v>1</v>
      </c>
      <c r="AR13" s="653">
        <v>3</v>
      </c>
      <c r="AS13" s="40">
        <v>1</v>
      </c>
      <c r="AT13" s="630">
        <f>AU13-AS13</f>
        <v>2</v>
      </c>
      <c r="AU13" s="653">
        <v>3</v>
      </c>
      <c r="AV13" s="40">
        <v>1</v>
      </c>
      <c r="AW13" s="630">
        <f>AX13-AV13</f>
        <v>1</v>
      </c>
      <c r="AX13" s="653">
        <v>2</v>
      </c>
      <c r="AY13" s="40">
        <v>0</v>
      </c>
      <c r="AZ13" s="236">
        <f>BA13-AY13</f>
        <v>2</v>
      </c>
      <c r="BA13" s="580">
        <v>2</v>
      </c>
      <c r="BB13" s="56">
        <f>BD13/2</f>
        <v>1</v>
      </c>
      <c r="BC13" s="236">
        <f>BD13-BB13</f>
        <v>1</v>
      </c>
      <c r="BD13" s="605">
        <f>+BA13</f>
        <v>2</v>
      </c>
      <c r="BE13" s="56">
        <f>BG13/2</f>
        <v>1</v>
      </c>
      <c r="BF13" s="236">
        <f>BG13-BE13</f>
        <v>1</v>
      </c>
      <c r="BG13" s="605">
        <f>+BD13</f>
        <v>2</v>
      </c>
      <c r="BH13" s="56">
        <f>BJ13/2</f>
        <v>1</v>
      </c>
      <c r="BI13" s="236">
        <f>BJ13-BH13</f>
        <v>1</v>
      </c>
      <c r="BJ13" s="605">
        <f>+BG13</f>
        <v>2</v>
      </c>
      <c r="BK13" s="56">
        <f>BM13/2</f>
        <v>1</v>
      </c>
      <c r="BL13" s="236">
        <f>BM13-BK13</f>
        <v>1</v>
      </c>
      <c r="BM13" s="605">
        <f t="shared" si="50"/>
        <v>2</v>
      </c>
    </row>
    <row r="14" spans="1:65">
      <c r="A14" s="37" t="s">
        <v>682</v>
      </c>
      <c r="B14" s="84">
        <f>Divisional!B55</f>
        <v>154</v>
      </c>
      <c r="C14" s="84">
        <f>Divisional!C55</f>
        <v>175</v>
      </c>
      <c r="D14" s="84">
        <f>Divisional!D55</f>
        <v>183</v>
      </c>
      <c r="E14" s="84">
        <f>Divisional!E55</f>
        <v>147</v>
      </c>
      <c r="F14" s="84">
        <f>Divisional!F55</f>
        <v>179</v>
      </c>
      <c r="G14" s="84">
        <f>Divisional!G55</f>
        <v>180</v>
      </c>
      <c r="H14" s="84">
        <f>Divisional!H55</f>
        <v>193</v>
      </c>
      <c r="I14" s="84">
        <f>Divisional!I55</f>
        <v>199</v>
      </c>
      <c r="J14" s="84">
        <f>Divisional!J55</f>
        <v>223</v>
      </c>
      <c r="K14" s="84">
        <f>Divisional!K55</f>
        <v>253</v>
      </c>
      <c r="L14" s="84">
        <f>Divisional!L55</f>
        <v>309</v>
      </c>
      <c r="M14" s="84">
        <f>Divisional!M55</f>
        <v>376</v>
      </c>
      <c r="N14" s="84">
        <f>Divisional!N55</f>
        <v>395</v>
      </c>
      <c r="O14" s="84">
        <f>Divisional!O55</f>
        <v>438</v>
      </c>
      <c r="P14" s="84">
        <f>P6+P8+P10+P11+P13</f>
        <v>366</v>
      </c>
      <c r="Q14" s="84">
        <f>Q6+Q8+Q10+Q11+Q13</f>
        <v>393</v>
      </c>
      <c r="R14" s="84">
        <f t="shared" ref="R14:S14" si="51">+R6+R8+R10+R11+R13</f>
        <v>128</v>
      </c>
      <c r="S14" s="632">
        <f t="shared" si="51"/>
        <v>256</v>
      </c>
      <c r="T14" s="655">
        <f>T6+T8+T10+T11+T13</f>
        <v>384</v>
      </c>
      <c r="U14" s="84">
        <f t="shared" ref="U14:V14" si="52">+U6+U8+U10+U11+U13</f>
        <v>148</v>
      </c>
      <c r="V14" s="632">
        <f t="shared" si="52"/>
        <v>226</v>
      </c>
      <c r="W14" s="655">
        <f>W6+W8+W10+W11+W13</f>
        <v>374</v>
      </c>
      <c r="X14" s="84">
        <f t="shared" ref="X14:Y14" si="53">+X6+X8+X10+X11+X13</f>
        <v>180</v>
      </c>
      <c r="Y14" s="632">
        <f t="shared" si="53"/>
        <v>274</v>
      </c>
      <c r="Z14" s="655">
        <f>Z6+Z8+Z10+Z11+Z13</f>
        <v>454</v>
      </c>
      <c r="AA14" s="84">
        <f t="shared" ref="AA14:AB14" si="54">+AA6+AA8+AA10+AA11+AA13</f>
        <v>162</v>
      </c>
      <c r="AB14" s="632">
        <f t="shared" si="54"/>
        <v>265</v>
      </c>
      <c r="AC14" s="655">
        <f t="shared" ref="AC14:BM14" si="55">+AC6+AC8+AC10+AC11+AC13</f>
        <v>427</v>
      </c>
      <c r="AD14" s="84">
        <f t="shared" ref="AD14:AE14" si="56">+AD6+AD8+AD10+AD11+AD13</f>
        <v>173</v>
      </c>
      <c r="AE14" s="632">
        <f t="shared" si="56"/>
        <v>242</v>
      </c>
      <c r="AF14" s="655">
        <f t="shared" si="55"/>
        <v>415</v>
      </c>
      <c r="AG14" s="84">
        <f t="shared" si="55"/>
        <v>210</v>
      </c>
      <c r="AH14" s="632">
        <f t="shared" si="55"/>
        <v>251</v>
      </c>
      <c r="AI14" s="655">
        <f t="shared" si="55"/>
        <v>461</v>
      </c>
      <c r="AJ14" s="84">
        <f t="shared" ref="AJ14:AK14" si="57">+AJ6+AJ8+AJ10+AJ11+AJ13</f>
        <v>269</v>
      </c>
      <c r="AK14" s="632">
        <f t="shared" si="57"/>
        <v>188</v>
      </c>
      <c r="AL14" s="655">
        <f t="shared" si="55"/>
        <v>457</v>
      </c>
      <c r="AM14" s="84">
        <f t="shared" si="55"/>
        <v>189</v>
      </c>
      <c r="AN14" s="632">
        <f t="shared" si="55"/>
        <v>243</v>
      </c>
      <c r="AO14" s="655">
        <f t="shared" si="55"/>
        <v>432</v>
      </c>
      <c r="AP14" s="84">
        <f t="shared" ref="AP14:AR14" si="58">+AP6+AP8+AP10+AP11+AP13</f>
        <v>261</v>
      </c>
      <c r="AQ14" s="632">
        <f t="shared" si="58"/>
        <v>301</v>
      </c>
      <c r="AR14" s="655">
        <f t="shared" si="58"/>
        <v>562</v>
      </c>
      <c r="AS14" s="84">
        <f t="shared" ref="AS14:AU14" si="59">+AS6+AS8+AS10+AS11+AS13</f>
        <v>345</v>
      </c>
      <c r="AT14" s="632">
        <f t="shared" si="59"/>
        <v>299</v>
      </c>
      <c r="AU14" s="655">
        <f t="shared" si="59"/>
        <v>644</v>
      </c>
      <c r="AV14" s="84">
        <f t="shared" ref="AV14" si="60">+AV6+AV8+AV10+AV11+AV13</f>
        <v>342</v>
      </c>
      <c r="AW14" s="632">
        <f t="shared" si="55"/>
        <v>347</v>
      </c>
      <c r="AX14" s="655">
        <f t="shared" si="55"/>
        <v>689</v>
      </c>
      <c r="AY14" s="84">
        <f t="shared" si="55"/>
        <v>522</v>
      </c>
      <c r="AZ14" s="244">
        <f t="shared" si="55"/>
        <v>485.80168177180724</v>
      </c>
      <c r="BA14" s="581">
        <f t="shared" si="55"/>
        <v>1007.8016817718072</v>
      </c>
      <c r="BB14" s="181">
        <f t="shared" si="55"/>
        <v>489.03147999999999</v>
      </c>
      <c r="BC14" s="244">
        <f t="shared" si="55"/>
        <v>527.45192154761207</v>
      </c>
      <c r="BD14" s="581">
        <f t="shared" si="55"/>
        <v>1016.4834015476119</v>
      </c>
      <c r="BE14" s="181">
        <f t="shared" si="55"/>
        <v>533.42751520000002</v>
      </c>
      <c r="BF14" s="244">
        <f t="shared" si="55"/>
        <v>576.48392470770966</v>
      </c>
      <c r="BG14" s="581">
        <f t="shared" si="55"/>
        <v>1109.9114399077098</v>
      </c>
      <c r="BH14" s="181">
        <f t="shared" si="55"/>
        <v>581.59778570560002</v>
      </c>
      <c r="BI14" s="244">
        <f t="shared" si="55"/>
        <v>629.73299695404774</v>
      </c>
      <c r="BJ14" s="581">
        <f t="shared" si="55"/>
        <v>1211.3307826596479</v>
      </c>
      <c r="BK14" s="181">
        <f t="shared" si="55"/>
        <v>633.85570355968014</v>
      </c>
      <c r="BL14" s="244">
        <f t="shared" si="55"/>
        <v>687.55050970796947</v>
      </c>
      <c r="BM14" s="581">
        <f t="shared" si="55"/>
        <v>1321.4062132676497</v>
      </c>
    </row>
    <row r="15" spans="1:65">
      <c r="A15" s="144" t="s">
        <v>242</v>
      </c>
      <c r="B15" s="132">
        <f>B14/B4</f>
        <v>0.1097647897362794</v>
      </c>
      <c r="C15" s="132">
        <f t="shared" ref="C15:O15" si="61">C14/C4</f>
        <v>0.125</v>
      </c>
      <c r="D15" s="132">
        <f t="shared" si="61"/>
        <v>0.13299418604651161</v>
      </c>
      <c r="E15" s="132">
        <f t="shared" si="61"/>
        <v>0.10515021459227468</v>
      </c>
      <c r="F15" s="132">
        <f t="shared" si="61"/>
        <v>0.13027656477438138</v>
      </c>
      <c r="G15" s="132">
        <f t="shared" si="61"/>
        <v>0.12676056338028169</v>
      </c>
      <c r="H15" s="132">
        <f t="shared" si="61"/>
        <v>0.12054965646470955</v>
      </c>
      <c r="I15" s="132">
        <f t="shared" si="61"/>
        <v>0.11894799760908548</v>
      </c>
      <c r="J15" s="132">
        <f t="shared" si="61"/>
        <v>0.13226571767497033</v>
      </c>
      <c r="K15" s="132">
        <f t="shared" si="61"/>
        <v>0.12587064676616916</v>
      </c>
      <c r="L15" s="132">
        <f t="shared" si="61"/>
        <v>0.14554875176636833</v>
      </c>
      <c r="M15" s="132">
        <f t="shared" si="61"/>
        <v>0.16823266219239374</v>
      </c>
      <c r="N15" s="132">
        <f t="shared" si="61"/>
        <v>0.16342573438146463</v>
      </c>
      <c r="O15" s="132">
        <f t="shared" si="61"/>
        <v>0.1690467001157854</v>
      </c>
      <c r="P15" s="132">
        <f>P14/P4</f>
        <v>0.17689705171580475</v>
      </c>
      <c r="Q15" s="132">
        <f>Q14/Q4</f>
        <v>0.19312039312039311</v>
      </c>
      <c r="R15" s="345">
        <f t="shared" ref="R15:S15" si="62">R14/R4</f>
        <v>0.1277445109780439</v>
      </c>
      <c r="S15" s="646">
        <f t="shared" si="62"/>
        <v>0.21209610604805301</v>
      </c>
      <c r="T15" s="670">
        <f>T14/T4</f>
        <v>0.17383431416930739</v>
      </c>
      <c r="U15" s="345">
        <f t="shared" ref="U15:V15" si="63">U14/U4</f>
        <v>0.14122137404580154</v>
      </c>
      <c r="V15" s="646">
        <f t="shared" si="63"/>
        <v>0.18418907905460472</v>
      </c>
      <c r="W15" s="670">
        <f>W14/W4</f>
        <v>0.16439560439560438</v>
      </c>
      <c r="X15" s="345">
        <f t="shared" ref="X15:BM15" si="64">X14/X4</f>
        <v>0.12178619756427606</v>
      </c>
      <c r="Y15" s="646">
        <f t="shared" si="64"/>
        <v>0.16098707403055229</v>
      </c>
      <c r="Z15" s="670">
        <f t="shared" si="64"/>
        <v>0.14276729559748427</v>
      </c>
      <c r="AA15" s="345">
        <f t="shared" si="64"/>
        <v>0.11448763250883393</v>
      </c>
      <c r="AB15" s="646">
        <f t="shared" si="64"/>
        <v>0.155061439438268</v>
      </c>
      <c r="AC15" s="670">
        <f t="shared" si="64"/>
        <v>0.13668373879641485</v>
      </c>
      <c r="AD15" s="345">
        <f t="shared" si="64"/>
        <v>0.11579651941097724</v>
      </c>
      <c r="AE15" s="646">
        <f t="shared" ref="AE15:AH15" si="65">AE14/AE4</f>
        <v>0.13781321184510251</v>
      </c>
      <c r="AF15" s="670">
        <f>AF14/AF4</f>
        <v>0.12769230769230769</v>
      </c>
      <c r="AG15" s="345">
        <f t="shared" si="65"/>
        <v>0.13522215067611076</v>
      </c>
      <c r="AH15" s="646">
        <f t="shared" si="65"/>
        <v>0.1392896781354051</v>
      </c>
      <c r="AI15" s="670">
        <f t="shared" si="64"/>
        <v>0.13740685543964232</v>
      </c>
      <c r="AJ15" s="345">
        <f t="shared" ref="AJ15:AK15" si="66">AJ14/AJ4</f>
        <v>0.15630447414294016</v>
      </c>
      <c r="AK15" s="646">
        <f t="shared" si="66"/>
        <v>0.11414693381906496</v>
      </c>
      <c r="AL15" s="670">
        <f t="shared" si="64"/>
        <v>0.13568883610451307</v>
      </c>
      <c r="AM15" s="345">
        <f t="shared" si="64"/>
        <v>0.11746426351771287</v>
      </c>
      <c r="AN15" s="646">
        <f t="shared" si="64"/>
        <v>0.11847879083373963</v>
      </c>
      <c r="AO15" s="670">
        <f t="shared" si="64"/>
        <v>0.11803278688524591</v>
      </c>
      <c r="AP15" s="345">
        <f t="shared" ref="AP15:AR15" si="67">AP14/AP4</f>
        <v>0.13643491897543125</v>
      </c>
      <c r="AQ15" s="646">
        <f t="shared" si="67"/>
        <v>0.13909426987060999</v>
      </c>
      <c r="AR15" s="670">
        <f t="shared" si="67"/>
        <v>0.13784645572725043</v>
      </c>
      <c r="AS15" s="345">
        <f t="shared" ref="AS15:AU15" si="68">AS14/AS4</f>
        <v>0.15547543938711131</v>
      </c>
      <c r="AT15" s="646">
        <f t="shared" si="68"/>
        <v>0.12983065566652194</v>
      </c>
      <c r="AU15" s="670">
        <f t="shared" si="68"/>
        <v>0.14241486068111456</v>
      </c>
      <c r="AV15" s="345">
        <f t="shared" ref="AV15" si="69">AV14/AV4</f>
        <v>0.15384615384615385</v>
      </c>
      <c r="AW15" s="646">
        <f t="shared" si="64"/>
        <v>0.13613181639858768</v>
      </c>
      <c r="AX15" s="670">
        <f t="shared" si="64"/>
        <v>0.14438390611902766</v>
      </c>
      <c r="AY15" s="345">
        <f t="shared" si="64"/>
        <v>0.21014492753623187</v>
      </c>
      <c r="AZ15" s="482">
        <f t="shared" si="64"/>
        <v>0.18167891987844148</v>
      </c>
      <c r="BA15" s="582">
        <f t="shared" si="64"/>
        <v>0.19538775039559786</v>
      </c>
      <c r="BB15" s="205">
        <f t="shared" si="64"/>
        <v>0.18537907390728153</v>
      </c>
      <c r="BC15" s="482">
        <f t="shared" si="64"/>
        <v>0.18535140910770376</v>
      </c>
      <c r="BD15" s="582">
        <f t="shared" si="64"/>
        <v>0.18536471764785459</v>
      </c>
      <c r="BE15" s="205">
        <f t="shared" si="64"/>
        <v>0.19035685608759087</v>
      </c>
      <c r="BF15" s="482">
        <f t="shared" si="64"/>
        <v>0.19033015691984179</v>
      </c>
      <c r="BG15" s="582">
        <f t="shared" si="64"/>
        <v>0.19034298770308902</v>
      </c>
      <c r="BH15" s="205">
        <f t="shared" si="64"/>
        <v>0.19533586073664233</v>
      </c>
      <c r="BI15" s="482">
        <f t="shared" si="64"/>
        <v>0.19531014755221168</v>
      </c>
      <c r="BJ15" s="582">
        <f t="shared" si="64"/>
        <v>0.19532249241116836</v>
      </c>
      <c r="BK15" s="205">
        <f t="shared" si="64"/>
        <v>0.20031602780677341</v>
      </c>
      <c r="BL15" s="482">
        <f t="shared" si="64"/>
        <v>0.20029131141434164</v>
      </c>
      <c r="BM15" s="582">
        <f t="shared" si="64"/>
        <v>0.20030316667905435</v>
      </c>
    </row>
    <row r="16" spans="1:65">
      <c r="B16" s="40"/>
      <c r="C16" s="40"/>
      <c r="D16" s="40"/>
      <c r="E16" s="40"/>
      <c r="F16" s="40"/>
      <c r="G16" s="40"/>
      <c r="H16" s="40"/>
      <c r="I16" s="40"/>
      <c r="J16" s="40"/>
      <c r="K16" s="40"/>
      <c r="L16" s="40"/>
      <c r="M16" s="40"/>
      <c r="N16" s="40"/>
      <c r="O16" s="40"/>
      <c r="P16" s="40"/>
      <c r="Q16" s="40"/>
      <c r="R16" s="40"/>
      <c r="S16" s="630"/>
      <c r="T16" s="653"/>
      <c r="U16" s="40"/>
      <c r="V16" s="630"/>
      <c r="W16" s="653"/>
      <c r="X16" s="40"/>
      <c r="Y16" s="630"/>
      <c r="Z16" s="653"/>
      <c r="AA16" s="260"/>
      <c r="AB16" s="929"/>
      <c r="AC16" s="935"/>
      <c r="AD16" s="260"/>
      <c r="AE16" s="929"/>
      <c r="AF16" s="935"/>
      <c r="AG16" s="260"/>
      <c r="AH16" s="929"/>
      <c r="AI16" s="935"/>
      <c r="AJ16" s="260"/>
      <c r="AK16" s="929"/>
      <c r="AL16" s="935"/>
      <c r="AM16" s="260"/>
      <c r="AN16" s="929"/>
      <c r="AO16" s="935"/>
      <c r="AP16" s="260"/>
      <c r="AQ16" s="539"/>
      <c r="AR16" s="550"/>
      <c r="AS16" s="260"/>
      <c r="AT16" s="539"/>
      <c r="AU16" s="550"/>
      <c r="AV16"/>
      <c r="AW16" s="539"/>
      <c r="AX16" s="550"/>
      <c r="AY16"/>
      <c r="AZ16" s="539"/>
      <c r="BA16" s="550"/>
      <c r="BB16"/>
      <c r="BC16" s="539"/>
      <c r="BD16" s="550"/>
      <c r="BE16"/>
      <c r="BF16" s="539"/>
      <c r="BG16" s="550"/>
      <c r="BH16"/>
      <c r="BI16" s="539"/>
      <c r="BJ16" s="550"/>
      <c r="BK16"/>
      <c r="BL16" s="539"/>
      <c r="BM16" s="550"/>
    </row>
    <row r="17" spans="1:65" s="172" customFormat="1">
      <c r="A17" s="256" t="s">
        <v>182</v>
      </c>
      <c r="B17" s="168"/>
      <c r="C17" s="168"/>
      <c r="D17" s="168"/>
      <c r="E17" s="168"/>
      <c r="F17" s="168"/>
      <c r="G17" s="168"/>
      <c r="H17" s="168"/>
      <c r="I17" s="168"/>
      <c r="J17" s="168"/>
      <c r="K17" s="168"/>
      <c r="L17" s="168"/>
      <c r="M17" s="168"/>
      <c r="N17" s="168"/>
      <c r="O17" s="168"/>
      <c r="P17" s="168"/>
      <c r="Q17" s="168"/>
      <c r="R17" s="168"/>
      <c r="S17" s="930"/>
      <c r="T17" s="936"/>
      <c r="U17" s="168"/>
      <c r="V17" s="930"/>
      <c r="W17" s="936"/>
      <c r="X17" s="168"/>
      <c r="Y17" s="930"/>
      <c r="Z17" s="936"/>
      <c r="AA17" s="168"/>
      <c r="AB17" s="930"/>
      <c r="AC17" s="936"/>
      <c r="AD17" s="168"/>
      <c r="AE17" s="930"/>
      <c r="AF17" s="936"/>
      <c r="AG17" s="168"/>
      <c r="AH17" s="930"/>
      <c r="AI17" s="936"/>
      <c r="AJ17" s="168">
        <v>89</v>
      </c>
      <c r="AK17" s="930">
        <f>AL17-AJ17</f>
        <v>288</v>
      </c>
      <c r="AL17" s="936">
        <v>377</v>
      </c>
      <c r="AM17" s="168">
        <v>89</v>
      </c>
      <c r="AN17" s="930">
        <f>AO17-AM17</f>
        <v>337</v>
      </c>
      <c r="AO17" s="936">
        <v>426</v>
      </c>
      <c r="AP17" s="168">
        <v>76</v>
      </c>
      <c r="AQ17" s="930">
        <f>AR17-AP17</f>
        <v>435</v>
      </c>
      <c r="AR17" s="936">
        <v>511</v>
      </c>
      <c r="AS17" s="168">
        <v>234</v>
      </c>
      <c r="AT17" s="930">
        <f>AU17-AS17</f>
        <v>357</v>
      </c>
      <c r="AU17" s="936">
        <v>591</v>
      </c>
      <c r="AV17" s="168">
        <v>327</v>
      </c>
      <c r="AW17" s="930">
        <f>AX17-AV17</f>
        <v>418</v>
      </c>
      <c r="AX17" s="936">
        <v>745</v>
      </c>
      <c r="AY17" s="168">
        <v>615</v>
      </c>
      <c r="AZ17" s="926"/>
      <c r="BA17" s="927"/>
      <c r="BB17" s="256"/>
      <c r="BC17" s="926"/>
      <c r="BD17" s="927"/>
      <c r="BE17" s="256"/>
      <c r="BF17" s="926"/>
      <c r="BG17" s="927"/>
      <c r="BH17" s="256"/>
      <c r="BI17" s="926"/>
      <c r="BJ17" s="927"/>
      <c r="BK17" s="256"/>
      <c r="BL17" s="926"/>
      <c r="BM17" s="927"/>
    </row>
    <row r="18" spans="1:65" s="53" customFormat="1">
      <c r="A18" s="258" t="s">
        <v>700</v>
      </c>
      <c r="B18" s="261"/>
      <c r="C18" s="261"/>
      <c r="D18" s="261"/>
      <c r="E18" s="261"/>
      <c r="F18" s="261"/>
      <c r="G18" s="261"/>
      <c r="H18" s="261"/>
      <c r="I18" s="261"/>
      <c r="J18" s="261"/>
      <c r="K18" s="261"/>
      <c r="L18" s="261"/>
      <c r="M18" s="261"/>
      <c r="N18" s="261"/>
      <c r="O18" s="261"/>
      <c r="P18" s="261"/>
      <c r="Q18" s="261"/>
      <c r="R18" s="261"/>
      <c r="S18" s="734"/>
      <c r="T18" s="738"/>
      <c r="U18" s="261"/>
      <c r="V18" s="734"/>
      <c r="W18" s="738"/>
      <c r="X18" s="261"/>
      <c r="Y18" s="734"/>
      <c r="Z18" s="738"/>
      <c r="AA18" s="261"/>
      <c r="AB18" s="734"/>
      <c r="AC18" s="738"/>
      <c r="AD18" s="261"/>
      <c r="AE18" s="734"/>
      <c r="AF18" s="738"/>
      <c r="AG18" s="261"/>
      <c r="AH18" s="734"/>
      <c r="AI18" s="738"/>
      <c r="AJ18" s="261"/>
      <c r="AK18" s="734"/>
      <c r="AL18" s="738"/>
      <c r="AM18" s="261">
        <f t="shared" ref="AM18:AS18" si="70">AM17/AJ17-1</f>
        <v>0</v>
      </c>
      <c r="AN18" s="734">
        <f t="shared" si="70"/>
        <v>0.17013888888888884</v>
      </c>
      <c r="AO18" s="738">
        <f t="shared" si="70"/>
        <v>0.12997347480106103</v>
      </c>
      <c r="AP18" s="261">
        <f t="shared" si="70"/>
        <v>-0.1460674157303371</v>
      </c>
      <c r="AQ18" s="734">
        <f t="shared" si="70"/>
        <v>0.29080118694362023</v>
      </c>
      <c r="AR18" s="738">
        <f t="shared" si="70"/>
        <v>0.19953051643192499</v>
      </c>
      <c r="AS18" s="261">
        <f t="shared" si="70"/>
        <v>2.0789473684210527</v>
      </c>
      <c r="AT18" s="734">
        <f t="shared" ref="AT18" si="71">AT17/AQ17-1</f>
        <v>-0.17931034482758623</v>
      </c>
      <c r="AU18" s="738">
        <f t="shared" ref="AU18:AY18" si="72">AU17/AR17-1</f>
        <v>0.15655577299412915</v>
      </c>
      <c r="AV18" s="261">
        <f t="shared" si="72"/>
        <v>0.39743589743589736</v>
      </c>
      <c r="AW18" s="734">
        <f t="shared" si="72"/>
        <v>0.17086834733893563</v>
      </c>
      <c r="AX18" s="738">
        <f t="shared" si="72"/>
        <v>0.260575296108291</v>
      </c>
      <c r="AY18" s="261">
        <f t="shared" si="72"/>
        <v>0.88073394495412849</v>
      </c>
      <c r="AZ18" s="819"/>
      <c r="BA18" s="852"/>
      <c r="BB18" s="257"/>
      <c r="BC18" s="819"/>
      <c r="BD18" s="852"/>
      <c r="BE18" s="257"/>
      <c r="BF18" s="819"/>
      <c r="BG18" s="852"/>
      <c r="BH18" s="257"/>
      <c r="BI18" s="819"/>
      <c r="BJ18" s="852"/>
      <c r="BK18" s="257"/>
      <c r="BL18" s="819"/>
      <c r="BM18" s="852"/>
    </row>
    <row r="19" spans="1:65" s="33" customFormat="1">
      <c r="A19" s="259" t="s">
        <v>834</v>
      </c>
      <c r="B19" s="262"/>
      <c r="C19" s="262"/>
      <c r="D19" s="262"/>
      <c r="E19" s="262"/>
      <c r="F19" s="262"/>
      <c r="G19" s="262"/>
      <c r="H19" s="262"/>
      <c r="I19" s="262"/>
      <c r="J19" s="262"/>
      <c r="K19" s="262"/>
      <c r="L19" s="262"/>
      <c r="M19" s="262"/>
      <c r="N19" s="262"/>
      <c r="O19" s="262"/>
      <c r="P19" s="262"/>
      <c r="Q19" s="262"/>
      <c r="R19" s="262"/>
      <c r="S19" s="931"/>
      <c r="T19" s="937"/>
      <c r="U19" s="262"/>
      <c r="V19" s="931"/>
      <c r="W19" s="937"/>
      <c r="X19" s="262"/>
      <c r="Y19" s="931"/>
      <c r="Z19" s="937"/>
      <c r="AA19" s="262"/>
      <c r="AB19" s="931"/>
      <c r="AC19" s="937"/>
      <c r="AD19" s="262"/>
      <c r="AE19" s="931"/>
      <c r="AF19" s="937"/>
      <c r="AG19" s="262"/>
      <c r="AH19" s="931"/>
      <c r="AI19" s="937"/>
      <c r="AJ19" s="262">
        <f t="shared" ref="AJ19:AP19" si="73">AJ17/AJ14</f>
        <v>0.33085501858736061</v>
      </c>
      <c r="AK19" s="931">
        <f t="shared" si="73"/>
        <v>1.5319148936170213</v>
      </c>
      <c r="AL19" s="937">
        <f t="shared" si="73"/>
        <v>0.82494529540481398</v>
      </c>
      <c r="AM19" s="262">
        <f t="shared" si="73"/>
        <v>0.47089947089947087</v>
      </c>
      <c r="AN19" s="931">
        <f t="shared" si="73"/>
        <v>1.3868312757201646</v>
      </c>
      <c r="AO19" s="937">
        <f t="shared" si="73"/>
        <v>0.98611111111111116</v>
      </c>
      <c r="AP19" s="262">
        <f t="shared" si="73"/>
        <v>0.29118773946360155</v>
      </c>
      <c r="AQ19" s="931">
        <f t="shared" ref="AQ19:AS19" si="74">AQ17/AQ14</f>
        <v>1.4451827242524917</v>
      </c>
      <c r="AR19" s="937">
        <f t="shared" si="74"/>
        <v>0.90925266903914592</v>
      </c>
      <c r="AS19" s="262">
        <f t="shared" si="74"/>
        <v>0.67826086956521736</v>
      </c>
      <c r="AT19" s="931">
        <f t="shared" ref="AT19:AV19" si="75">AT17/AT14</f>
        <v>1.193979933110368</v>
      </c>
      <c r="AU19" s="937">
        <f t="shared" si="75"/>
        <v>0.91770186335403725</v>
      </c>
      <c r="AV19" s="262">
        <f t="shared" si="75"/>
        <v>0.95614035087719296</v>
      </c>
      <c r="AW19" s="931">
        <f t="shared" ref="AW19" si="76">AW17/AW14</f>
        <v>1.2046109510086456</v>
      </c>
      <c r="AX19" s="937">
        <f t="shared" ref="AX19:AY19" si="77">AX17/AX14</f>
        <v>1.0812772133526851</v>
      </c>
      <c r="AY19" s="262">
        <f t="shared" si="77"/>
        <v>1.1781609195402298</v>
      </c>
      <c r="AZ19" s="802"/>
      <c r="BA19" s="833"/>
      <c r="BB19" s="169"/>
      <c r="BC19" s="802"/>
      <c r="BD19" s="833"/>
      <c r="BE19" s="169"/>
      <c r="BF19" s="802"/>
      <c r="BG19" s="833"/>
      <c r="BH19" s="169"/>
      <c r="BI19" s="802"/>
      <c r="BJ19" s="833"/>
      <c r="BK19" s="169"/>
      <c r="BL19" s="802"/>
      <c r="BM19" s="833"/>
    </row>
    <row r="20" spans="1:65">
      <c r="B20" s="40"/>
      <c r="C20" s="40"/>
      <c r="D20" s="40"/>
      <c r="E20" s="40"/>
      <c r="F20" s="40"/>
      <c r="G20" s="40"/>
      <c r="H20" s="40"/>
      <c r="I20" s="40"/>
      <c r="J20" s="40"/>
      <c r="K20" s="40"/>
      <c r="L20" s="40"/>
      <c r="M20" s="40"/>
      <c r="N20" s="40"/>
      <c r="O20" s="40"/>
      <c r="P20" s="40"/>
      <c r="Q20" s="40"/>
      <c r="R20" s="40"/>
      <c r="S20" s="630"/>
      <c r="T20" s="653"/>
      <c r="U20" s="40"/>
      <c r="V20" s="630"/>
      <c r="W20" s="653"/>
      <c r="X20" s="40"/>
      <c r="Y20" s="630"/>
      <c r="Z20" s="653"/>
      <c r="AA20" s="260"/>
      <c r="AB20" s="929"/>
      <c r="AC20" s="935"/>
      <c r="AD20" s="260"/>
      <c r="AE20" s="929"/>
      <c r="AF20" s="935"/>
      <c r="AG20" s="260"/>
      <c r="AH20" s="929"/>
      <c r="AI20" s="935"/>
      <c r="AJ20" s="260"/>
      <c r="AK20" s="929"/>
      <c r="AL20" s="935"/>
      <c r="AM20" s="260"/>
      <c r="AN20" s="929"/>
      <c r="AO20" s="935"/>
      <c r="AP20" s="260"/>
      <c r="AQ20" s="539"/>
      <c r="AR20" s="550"/>
      <c r="AS20" s="260"/>
      <c r="AT20" s="539"/>
      <c r="AU20" s="550"/>
      <c r="AV20" s="260"/>
      <c r="AW20" s="539"/>
      <c r="AX20" s="550"/>
      <c r="AY20" s="260"/>
      <c r="AZ20" s="539"/>
      <c r="BA20" s="550"/>
      <c r="BB20"/>
      <c r="BC20" s="539"/>
      <c r="BD20" s="550"/>
      <c r="BE20"/>
      <c r="BF20" s="539"/>
      <c r="BG20" s="550"/>
      <c r="BH20"/>
      <c r="BI20" s="539"/>
      <c r="BJ20" s="550"/>
      <c r="BK20"/>
      <c r="BL20" s="539"/>
      <c r="BM20" s="550"/>
    </row>
    <row r="21" spans="1:65" s="31" customFormat="1">
      <c r="A21" s="2" t="s">
        <v>853</v>
      </c>
      <c r="B21" s="27"/>
      <c r="C21" s="27"/>
      <c r="D21" s="27"/>
      <c r="E21" s="27"/>
      <c r="F21" s="27"/>
      <c r="G21" s="27"/>
      <c r="H21" s="27"/>
      <c r="I21" s="27"/>
      <c r="J21" s="27"/>
      <c r="K21" s="27"/>
      <c r="L21" s="225"/>
      <c r="M21" s="225">
        <v>1.8</v>
      </c>
      <c r="N21" s="225">
        <v>1.6</v>
      </c>
      <c r="O21" s="225">
        <v>1.64</v>
      </c>
      <c r="P21" s="225">
        <v>2.54</v>
      </c>
      <c r="Q21" s="225">
        <v>1.7</v>
      </c>
      <c r="R21" s="225">
        <f>743/1000</f>
        <v>0.74299999999999999</v>
      </c>
      <c r="S21" s="233">
        <f>T21-R21</f>
        <v>0.75700000000000001</v>
      </c>
      <c r="T21" s="944">
        <v>1.5</v>
      </c>
      <c r="U21" s="225">
        <f>928/1000</f>
        <v>0.92800000000000005</v>
      </c>
      <c r="V21" s="233">
        <f>W21-U21</f>
        <v>0.872</v>
      </c>
      <c r="W21" s="944">
        <v>1.8</v>
      </c>
      <c r="X21" s="266"/>
      <c r="Y21" s="941"/>
      <c r="Z21" s="943" t="s">
        <v>667</v>
      </c>
      <c r="AA21" s="266" t="s">
        <v>667</v>
      </c>
      <c r="AB21" s="233"/>
      <c r="AC21" s="938">
        <v>3.9</v>
      </c>
      <c r="AD21" s="225">
        <v>2.2999999999999998</v>
      </c>
      <c r="AE21" s="233">
        <f>AF21-AD21</f>
        <v>3</v>
      </c>
      <c r="AF21" s="938">
        <v>5.3</v>
      </c>
      <c r="AG21" s="225">
        <v>1.2</v>
      </c>
      <c r="AH21" s="233">
        <f>AI21-AG21</f>
        <v>1.2</v>
      </c>
      <c r="AI21" s="938">
        <v>2.4</v>
      </c>
      <c r="AJ21" s="225">
        <v>1.2</v>
      </c>
      <c r="AK21" s="233">
        <f>AL21-AJ21</f>
        <v>1.0999999999999999</v>
      </c>
      <c r="AL21" s="938">
        <v>2.2999999999999998</v>
      </c>
      <c r="AM21" s="225">
        <v>1.4</v>
      </c>
      <c r="AN21" s="233">
        <f>AO21-AM21</f>
        <v>4</v>
      </c>
      <c r="AO21" s="938">
        <v>5.4</v>
      </c>
      <c r="AP21" s="225">
        <v>2.7</v>
      </c>
      <c r="AQ21" s="233">
        <f>AR21-AP21</f>
        <v>2.5</v>
      </c>
      <c r="AR21" s="938">
        <v>5.2</v>
      </c>
      <c r="AS21" s="225">
        <v>1.7</v>
      </c>
      <c r="AT21" s="233">
        <f>AU21-AS21</f>
        <v>11.600000000000001</v>
      </c>
      <c r="AU21" s="938">
        <v>13.3</v>
      </c>
      <c r="AV21" s="225">
        <v>4</v>
      </c>
      <c r="AW21" s="233">
        <f>AX21-AV21</f>
        <v>1.5</v>
      </c>
      <c r="AX21" s="938">
        <v>5.5</v>
      </c>
      <c r="AY21" s="225">
        <v>2.4</v>
      </c>
      <c r="AZ21" s="541"/>
      <c r="BA21" s="578"/>
      <c r="BB21" s="2"/>
      <c r="BC21" s="541"/>
      <c r="BD21" s="578"/>
      <c r="BE21" s="2"/>
      <c r="BF21" s="541"/>
      <c r="BG21" s="578"/>
      <c r="BH21" s="2"/>
      <c r="BI21" s="541"/>
      <c r="BJ21" s="578"/>
      <c r="BK21" s="2"/>
      <c r="BL21" s="541"/>
      <c r="BM21" s="578"/>
    </row>
    <row r="22" spans="1:65" s="31" customFormat="1">
      <c r="A22" s="2" t="s">
        <v>854</v>
      </c>
      <c r="B22" s="27"/>
      <c r="C22" s="27"/>
      <c r="D22" s="27"/>
      <c r="E22" s="27"/>
      <c r="F22" s="27"/>
      <c r="G22" s="27"/>
      <c r="H22" s="27"/>
      <c r="I22" s="27"/>
      <c r="J22" s="27"/>
      <c r="K22" s="27"/>
      <c r="L22" s="225">
        <f>6506/1000</f>
        <v>6.5060000000000002</v>
      </c>
      <c r="M22" s="225">
        <f>6035/1000</f>
        <v>6.0350000000000001</v>
      </c>
      <c r="N22" s="225">
        <f>5157/1000</f>
        <v>5.157</v>
      </c>
      <c r="O22" s="225">
        <f>4071/1000</f>
        <v>4.0709999999999997</v>
      </c>
      <c r="P22" s="225">
        <f>4564/1000</f>
        <v>4.5640000000000001</v>
      </c>
      <c r="Q22" s="225">
        <f>4316/1000</f>
        <v>4.3159999999999998</v>
      </c>
      <c r="R22" s="266" t="s">
        <v>667</v>
      </c>
      <c r="S22" s="233">
        <f>T22</f>
        <v>3.9260000000000002</v>
      </c>
      <c r="T22" s="938">
        <f>3926/1000</f>
        <v>3.9260000000000002</v>
      </c>
      <c r="U22" s="225">
        <v>4.3</v>
      </c>
      <c r="V22" s="233">
        <f>W22</f>
        <v>3.3820000000000001</v>
      </c>
      <c r="W22" s="938">
        <f>3382/1000</f>
        <v>3.3820000000000001</v>
      </c>
      <c r="X22" s="225"/>
      <c r="Y22" s="233"/>
      <c r="Z22" s="938">
        <v>5.8</v>
      </c>
      <c r="AA22" s="266" t="s">
        <v>667</v>
      </c>
      <c r="AB22" s="233">
        <f>AC22</f>
        <v>6.8</v>
      </c>
      <c r="AC22" s="938">
        <v>6.8</v>
      </c>
      <c r="AD22" s="225">
        <v>7.5</v>
      </c>
      <c r="AE22" s="233">
        <f>AF22</f>
        <v>8.6</v>
      </c>
      <c r="AF22" s="938">
        <v>8.6</v>
      </c>
      <c r="AG22" s="266" t="s">
        <v>667</v>
      </c>
      <c r="AH22" s="233">
        <f>AI22</f>
        <v>7.5</v>
      </c>
      <c r="AI22" s="938">
        <v>7.5</v>
      </c>
      <c r="AJ22" s="225">
        <v>6.8</v>
      </c>
      <c r="AK22" s="233">
        <f>AL22</f>
        <v>6.5</v>
      </c>
      <c r="AL22" s="938">
        <v>6.5</v>
      </c>
      <c r="AM22" s="225">
        <v>6.5</v>
      </c>
      <c r="AN22" s="233">
        <f>AO22</f>
        <v>8.5</v>
      </c>
      <c r="AO22" s="938">
        <v>8.5</v>
      </c>
      <c r="AP22" s="225">
        <v>8.9</v>
      </c>
      <c r="AQ22" s="233">
        <f>AR22</f>
        <v>9.1999999999999993</v>
      </c>
      <c r="AR22" s="938">
        <v>9.1999999999999993</v>
      </c>
      <c r="AS22" s="225">
        <v>8.5</v>
      </c>
      <c r="AT22" s="233">
        <f>AU22</f>
        <v>17.399999999999999</v>
      </c>
      <c r="AU22" s="938">
        <v>17.399999999999999</v>
      </c>
      <c r="AV22" s="225">
        <v>18.8</v>
      </c>
      <c r="AW22" s="233">
        <f>AX22</f>
        <v>17.399999999999999</v>
      </c>
      <c r="AX22" s="938">
        <v>17.399999999999999</v>
      </c>
      <c r="AY22" s="225">
        <v>17.5</v>
      </c>
      <c r="AZ22" s="541"/>
      <c r="BA22" s="578"/>
      <c r="BB22" s="2"/>
      <c r="BC22" s="541"/>
      <c r="BD22" s="578"/>
      <c r="BE22" s="2"/>
      <c r="BF22" s="541"/>
      <c r="BG22" s="578"/>
      <c r="BH22" s="2"/>
      <c r="BI22" s="541"/>
      <c r="BJ22" s="578"/>
      <c r="BK22" s="2"/>
      <c r="BL22" s="541"/>
      <c r="BM22" s="578"/>
    </row>
    <row r="23" spans="1:65">
      <c r="A23" t="s">
        <v>832</v>
      </c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263"/>
      <c r="M23" s="263">
        <f t="shared" ref="M23:W23" si="78">(M21*1000)/M4</f>
        <v>0.80536912751677847</v>
      </c>
      <c r="N23" s="263">
        <f t="shared" si="78"/>
        <v>0.66197765825403387</v>
      </c>
      <c r="O23" s="263">
        <f t="shared" si="78"/>
        <v>0.63296024700887688</v>
      </c>
      <c r="P23" s="263">
        <f t="shared" si="78"/>
        <v>1.2276462058965685</v>
      </c>
      <c r="Q23" s="263">
        <f t="shared" si="78"/>
        <v>0.83538083538083541</v>
      </c>
      <c r="R23" s="263">
        <f t="shared" ref="R23" si="79">(R21*1000)/R4</f>
        <v>0.74151696606786432</v>
      </c>
      <c r="S23" s="932">
        <f>(S21*1000)/S4</f>
        <v>0.62717481358740679</v>
      </c>
      <c r="T23" s="939">
        <f t="shared" si="78"/>
        <v>0.67904028972385699</v>
      </c>
      <c r="U23" s="263">
        <f t="shared" si="78"/>
        <v>0.8854961832061069</v>
      </c>
      <c r="V23" s="932">
        <f>(V21*1000)/V4</f>
        <v>0.71067644661776697</v>
      </c>
      <c r="W23" s="939">
        <f t="shared" si="78"/>
        <v>0.79120879120879117</v>
      </c>
      <c r="X23" s="263"/>
      <c r="Y23" s="932"/>
      <c r="Z23" s="939"/>
      <c r="AA23" s="956" t="s">
        <v>667</v>
      </c>
      <c r="AB23" s="932"/>
      <c r="AC23" s="939">
        <v>1.3</v>
      </c>
      <c r="AD23" s="263">
        <v>1.5</v>
      </c>
      <c r="AE23" s="932">
        <f>(AE21*1000)/AE4</f>
        <v>1.7084282460136675</v>
      </c>
      <c r="AF23" s="939">
        <v>1.6</v>
      </c>
      <c r="AG23" s="263">
        <v>0.8</v>
      </c>
      <c r="AH23" s="932">
        <f>(AH21*1000)/AH4</f>
        <v>0.66592674805771368</v>
      </c>
      <c r="AI23" s="939">
        <v>0.7</v>
      </c>
      <c r="AJ23" s="263">
        <v>0.7</v>
      </c>
      <c r="AK23" s="932">
        <f>(AK21*1000)/AK4</f>
        <v>0.66788099574984805</v>
      </c>
      <c r="AL23" s="939">
        <v>0.7</v>
      </c>
      <c r="AM23" s="263">
        <v>0.9</v>
      </c>
      <c r="AN23" s="932">
        <f>(AN21*1000)/AN4</f>
        <v>1.9502681618722575</v>
      </c>
      <c r="AO23" s="939">
        <v>1.5</v>
      </c>
      <c r="AP23" s="263">
        <v>1.4</v>
      </c>
      <c r="AQ23" s="932">
        <f>(AQ21*1000)/AQ4</f>
        <v>1.155268022181146</v>
      </c>
      <c r="AR23" s="939">
        <v>1.3</v>
      </c>
      <c r="AS23" s="263">
        <v>0.8</v>
      </c>
      <c r="AT23" s="932">
        <f>(AT21*1000)/AT4</f>
        <v>5.0369083803734265</v>
      </c>
      <c r="AU23" s="939">
        <v>2.9</v>
      </c>
      <c r="AV23" s="263">
        <v>1.8</v>
      </c>
      <c r="AW23" s="932">
        <f>(AW21*1000)/AW4</f>
        <v>0.58846606512357791</v>
      </c>
      <c r="AX23" s="939">
        <v>1.1000000000000001</v>
      </c>
      <c r="AY23" s="263">
        <v>1</v>
      </c>
      <c r="AZ23" s="805"/>
      <c r="BA23" s="550"/>
      <c r="BB23" s="24"/>
      <c r="BC23" s="805"/>
      <c r="BD23" s="550"/>
      <c r="BE23" s="24"/>
      <c r="BF23" s="805"/>
      <c r="BG23" s="550"/>
      <c r="BH23" s="24"/>
      <c r="BI23" s="805"/>
      <c r="BJ23" s="550"/>
      <c r="BK23" s="24"/>
      <c r="BL23" s="805"/>
      <c r="BM23" s="550"/>
    </row>
    <row r="24" spans="1:65">
      <c r="A24" t="s">
        <v>833</v>
      </c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203">
        <f t="shared" ref="L24:P24" si="80">(L22*1000)/M4</f>
        <v>2.9109619686800894</v>
      </c>
      <c r="M24" s="203">
        <f t="shared" si="80"/>
        <v>2.4968969797269343</v>
      </c>
      <c r="N24" s="203">
        <f t="shared" si="80"/>
        <v>1.9903512157468159</v>
      </c>
      <c r="O24" s="203">
        <f t="shared" si="80"/>
        <v>1.9676172063798933</v>
      </c>
      <c r="P24" s="203">
        <f t="shared" si="80"/>
        <v>2.2427518427518427</v>
      </c>
      <c r="Q24" s="203">
        <f>(Q22*1000)/T4</f>
        <v>1.9538252602987778</v>
      </c>
      <c r="R24" s="203"/>
      <c r="S24" s="234"/>
      <c r="T24" s="561">
        <f>(T22*1000)/W4</f>
        <v>1.7257142857142858</v>
      </c>
      <c r="U24" s="203"/>
      <c r="V24" s="234"/>
      <c r="W24" s="556"/>
      <c r="X24" s="10"/>
      <c r="Y24" s="216"/>
      <c r="Z24" s="561">
        <f t="shared" ref="Z24" si="81">(Z22*1000)/AC4</f>
        <v>1.8565941101152368</v>
      </c>
      <c r="AA24" s="203"/>
      <c r="AB24" s="234"/>
      <c r="AC24" s="561">
        <f>(AC22*1000)/AF4</f>
        <v>2.0923076923076924</v>
      </c>
      <c r="AD24" s="203"/>
      <c r="AE24" s="234"/>
      <c r="AF24" s="561">
        <f>(AF22*1000)/AI4</f>
        <v>2.5633383010432191</v>
      </c>
      <c r="AG24" s="203"/>
      <c r="AH24" s="234"/>
      <c r="AI24" s="561">
        <f>(AI22*1000)/AL4</f>
        <v>2.2268408551068886</v>
      </c>
      <c r="AJ24" s="203"/>
      <c r="AK24" s="234"/>
      <c r="AL24" s="561">
        <f>(AL22*1000)/AO4</f>
        <v>1.7759562841530054</v>
      </c>
      <c r="AM24" s="203"/>
      <c r="AN24" s="234"/>
      <c r="AO24" s="561">
        <f>(AO22*1000)/AR4</f>
        <v>2.0848663232769193</v>
      </c>
      <c r="AP24" s="203"/>
      <c r="AQ24" s="234"/>
      <c r="AR24" s="561">
        <f>(AR22*1000)/AU4</f>
        <v>2.0344980097302079</v>
      </c>
      <c r="AS24" s="203"/>
      <c r="AT24" s="234"/>
      <c r="AU24" s="561">
        <f>(AU22*1000)/AX4</f>
        <v>3.6462699077954737</v>
      </c>
      <c r="AV24"/>
      <c r="AW24" s="234"/>
      <c r="AX24" s="561">
        <f>(AX22*1000)/BA4</f>
        <v>3.3734284417012859</v>
      </c>
      <c r="AY24"/>
      <c r="AZ24" s="539"/>
      <c r="BA24" s="550"/>
      <c r="BB24"/>
      <c r="BC24" s="539"/>
      <c r="BD24" s="550"/>
      <c r="BE24"/>
      <c r="BF24" s="539"/>
      <c r="BG24" s="550"/>
      <c r="BH24"/>
      <c r="BI24" s="539"/>
      <c r="BJ24" s="550"/>
      <c r="BK24"/>
      <c r="BL24" s="539"/>
      <c r="BM24" s="550"/>
    </row>
    <row r="25" spans="1:65">
      <c r="S25" s="595"/>
      <c r="T25" s="619"/>
      <c r="V25" s="595"/>
      <c r="W25" s="619"/>
      <c r="Y25" s="595"/>
      <c r="Z25" s="619"/>
      <c r="AA25" s="139"/>
      <c r="AB25" s="933"/>
      <c r="AC25" s="940"/>
      <c r="AD25" s="139"/>
      <c r="AE25" s="933"/>
      <c r="AF25" s="940"/>
      <c r="AG25" s="139"/>
      <c r="AH25" s="933"/>
      <c r="AI25" s="940"/>
      <c r="AJ25" s="139"/>
      <c r="AK25" s="933"/>
      <c r="AL25" s="940"/>
      <c r="AM25" s="139"/>
      <c r="AN25" s="933"/>
      <c r="AO25" s="940"/>
      <c r="AP25" s="139"/>
      <c r="AQ25" s="539"/>
      <c r="AR25" s="550"/>
      <c r="AS25"/>
      <c r="AT25" s="539"/>
      <c r="AU25" s="550"/>
      <c r="AV25"/>
      <c r="AW25" s="539"/>
      <c r="AX25" s="550"/>
      <c r="AY25"/>
      <c r="AZ25" s="539"/>
      <c r="BA25" s="550"/>
      <c r="BB25"/>
      <c r="BC25" s="539"/>
      <c r="BD25" s="550"/>
      <c r="BE25"/>
      <c r="BF25" s="539"/>
      <c r="BG25" s="550"/>
      <c r="BH25"/>
      <c r="BI25" s="539"/>
      <c r="BJ25" s="550"/>
      <c r="BK25"/>
      <c r="BL25" s="539"/>
      <c r="BM25" s="550"/>
    </row>
    <row r="26" spans="1:65">
      <c r="A26" s="310" t="s">
        <v>900</v>
      </c>
      <c r="B26" s="311"/>
      <c r="C26" s="311"/>
      <c r="D26" s="311"/>
      <c r="E26" s="311"/>
      <c r="F26" s="311"/>
      <c r="G26" s="311"/>
      <c r="H26" s="311"/>
      <c r="I26" s="311"/>
      <c r="J26" s="311"/>
      <c r="K26" s="311"/>
      <c r="L26" s="311"/>
      <c r="M26" s="311"/>
      <c r="N26" s="311"/>
      <c r="O26" s="311"/>
      <c r="P26" s="311"/>
      <c r="Q26" s="311"/>
      <c r="R26" s="307"/>
      <c r="S26" s="316"/>
      <c r="T26" s="566"/>
      <c r="U26" s="307"/>
      <c r="V26" s="316"/>
      <c r="W26" s="566"/>
      <c r="X26" s="307"/>
      <c r="Y26" s="316"/>
      <c r="Z26" s="551"/>
      <c r="AA26" s="525"/>
      <c r="AB26" s="317"/>
      <c r="AC26" s="551"/>
      <c r="AD26" s="525"/>
      <c r="AE26" s="317"/>
      <c r="AF26" s="551"/>
      <c r="AG26" s="525"/>
      <c r="AH26" s="317"/>
      <c r="AI26" s="551"/>
      <c r="AJ26" s="525"/>
      <c r="AK26" s="317"/>
      <c r="AL26" s="551"/>
      <c r="AM26" s="525"/>
      <c r="AN26" s="317"/>
      <c r="AO26" s="551"/>
      <c r="AP26" s="525"/>
      <c r="AQ26" s="317"/>
      <c r="AR26" s="551"/>
      <c r="AS26" s="525"/>
      <c r="AT26" s="317"/>
      <c r="AU26" s="551"/>
      <c r="AV26" s="525"/>
      <c r="AW26" s="317"/>
      <c r="AX26" s="551"/>
      <c r="AY26" s="525"/>
      <c r="AZ26" s="1054"/>
      <c r="BA26" s="1055"/>
      <c r="BB26" s="1053"/>
      <c r="BC26" s="1054"/>
      <c r="BD26" s="1055"/>
      <c r="BE26" s="1053"/>
      <c r="BF26" s="1054"/>
      <c r="BG26" s="1055"/>
      <c r="BH26" s="1053"/>
      <c r="BI26" s="1054"/>
      <c r="BJ26" s="1055"/>
      <c r="BK26" s="1053"/>
      <c r="BL26" s="1054"/>
      <c r="BM26" s="1055"/>
    </row>
    <row r="27" spans="1:65">
      <c r="S27" s="595"/>
      <c r="T27" s="619"/>
      <c r="V27" s="595"/>
      <c r="W27" s="619"/>
      <c r="Y27" s="595"/>
      <c r="Z27" s="619"/>
      <c r="AB27" s="595"/>
      <c r="AC27" s="619"/>
      <c r="AE27" s="595"/>
      <c r="AF27" s="619"/>
      <c r="AH27" s="595"/>
      <c r="AI27" s="619"/>
      <c r="AK27" s="595"/>
      <c r="AL27" s="619"/>
      <c r="AN27" s="595"/>
      <c r="AO27" s="619"/>
      <c r="AQ27" s="539"/>
      <c r="AR27" s="550"/>
      <c r="AS27"/>
      <c r="AT27" s="539"/>
      <c r="AU27" s="550"/>
      <c r="AV27"/>
      <c r="AW27" s="539"/>
      <c r="AX27" s="550"/>
      <c r="AY27"/>
      <c r="AZ27" s="539"/>
      <c r="BA27" s="550"/>
      <c r="BB27"/>
      <c r="BC27" s="539"/>
      <c r="BD27" s="550"/>
      <c r="BE27"/>
      <c r="BF27" s="539"/>
      <c r="BG27" s="550"/>
      <c r="BH27"/>
      <c r="BI27" s="539"/>
      <c r="BJ27" s="550"/>
      <c r="BK27"/>
      <c r="BL27" s="539"/>
      <c r="BM27" s="550"/>
    </row>
    <row r="28" spans="1:65">
      <c r="A28" s="25" t="s">
        <v>381</v>
      </c>
      <c r="B28" s="40"/>
      <c r="C28" s="40">
        <f t="shared" ref="C28:Q28" si="82">B4</f>
        <v>1403</v>
      </c>
      <c r="D28" s="40">
        <f t="shared" si="82"/>
        <v>1400</v>
      </c>
      <c r="E28" s="40">
        <f t="shared" si="82"/>
        <v>1376</v>
      </c>
      <c r="F28" s="40">
        <f t="shared" si="82"/>
        <v>1398</v>
      </c>
      <c r="G28" s="40">
        <f t="shared" si="82"/>
        <v>1374</v>
      </c>
      <c r="H28" s="40">
        <f t="shared" si="82"/>
        <v>1420</v>
      </c>
      <c r="I28" s="40">
        <f t="shared" si="82"/>
        <v>1601</v>
      </c>
      <c r="J28" s="40">
        <f t="shared" si="82"/>
        <v>1673</v>
      </c>
      <c r="K28" s="40">
        <f t="shared" si="82"/>
        <v>1686</v>
      </c>
      <c r="L28" s="40">
        <f t="shared" si="82"/>
        <v>2010</v>
      </c>
      <c r="M28" s="40">
        <f t="shared" si="82"/>
        <v>2123</v>
      </c>
      <c r="N28" s="40">
        <f t="shared" si="82"/>
        <v>2235</v>
      </c>
      <c r="O28" s="40">
        <f t="shared" si="82"/>
        <v>2417</v>
      </c>
      <c r="P28" s="40">
        <f t="shared" si="82"/>
        <v>2591</v>
      </c>
      <c r="Q28" s="40">
        <f t="shared" si="82"/>
        <v>2069</v>
      </c>
      <c r="R28" s="40">
        <v>973</v>
      </c>
      <c r="S28" s="630">
        <f>T28-R28</f>
        <v>1062</v>
      </c>
      <c r="T28" s="653">
        <f>Q4</f>
        <v>2035</v>
      </c>
      <c r="U28" s="40">
        <f>R33</f>
        <v>1002</v>
      </c>
      <c r="V28" s="630">
        <f>S33</f>
        <v>1207</v>
      </c>
      <c r="W28" s="653">
        <f>T4</f>
        <v>2209</v>
      </c>
      <c r="X28" s="40"/>
      <c r="Y28" s="630"/>
      <c r="Z28" s="653"/>
      <c r="AA28" s="40">
        <f>X33</f>
        <v>1478</v>
      </c>
      <c r="AB28" s="630">
        <f>Y33</f>
        <v>1702</v>
      </c>
      <c r="AC28" s="653">
        <f t="shared" ref="AC28" si="83">Z33</f>
        <v>3180</v>
      </c>
      <c r="AD28" s="40">
        <f t="shared" ref="AD28:AK28" si="84">AA33</f>
        <v>1415</v>
      </c>
      <c r="AE28" s="630">
        <f t="shared" si="84"/>
        <v>1709</v>
      </c>
      <c r="AF28" s="653">
        <f t="shared" si="84"/>
        <v>3124</v>
      </c>
      <c r="AG28" s="40">
        <f t="shared" si="84"/>
        <v>1494</v>
      </c>
      <c r="AH28" s="630">
        <f t="shared" si="84"/>
        <v>1755.9999999999998</v>
      </c>
      <c r="AI28" s="653">
        <f t="shared" si="84"/>
        <v>3250</v>
      </c>
      <c r="AJ28" s="40">
        <f t="shared" si="84"/>
        <v>1553</v>
      </c>
      <c r="AK28" s="630">
        <f t="shared" si="84"/>
        <v>1801.9999999999998</v>
      </c>
      <c r="AL28" s="653">
        <v>3355</v>
      </c>
      <c r="AM28" s="40">
        <f t="shared" ref="AM28:BM28" si="85">AJ33</f>
        <v>1721</v>
      </c>
      <c r="AN28" s="630">
        <f t="shared" si="85"/>
        <v>1646.9999999999998</v>
      </c>
      <c r="AO28" s="653">
        <f t="shared" si="85"/>
        <v>3368</v>
      </c>
      <c r="AP28" s="40">
        <f t="shared" si="85"/>
        <v>1609</v>
      </c>
      <c r="AQ28" s="630">
        <f t="shared" ref="AQ28" si="86">AN33</f>
        <v>2051</v>
      </c>
      <c r="AR28" s="653">
        <f t="shared" ref="AR28" si="87">AO33</f>
        <v>3660</v>
      </c>
      <c r="AS28" s="40">
        <f t="shared" si="85"/>
        <v>1913</v>
      </c>
      <c r="AT28" s="630">
        <f t="shared" si="85"/>
        <v>2164</v>
      </c>
      <c r="AU28" s="653">
        <f t="shared" ref="AU28" si="88">AR33</f>
        <v>4077</v>
      </c>
      <c r="AV28" s="40">
        <f t="shared" si="85"/>
        <v>2219</v>
      </c>
      <c r="AW28" s="630">
        <f t="shared" si="85"/>
        <v>2303</v>
      </c>
      <c r="AX28" s="653">
        <f t="shared" si="85"/>
        <v>4522</v>
      </c>
      <c r="AY28" s="40">
        <f t="shared" si="85"/>
        <v>2223</v>
      </c>
      <c r="AZ28" s="236">
        <f t="shared" si="85"/>
        <v>2549</v>
      </c>
      <c r="BA28" s="605">
        <f t="shared" si="85"/>
        <v>4772</v>
      </c>
      <c r="BB28" s="56">
        <f t="shared" si="85"/>
        <v>2484</v>
      </c>
      <c r="BC28" s="236">
        <f t="shared" si="85"/>
        <v>2673.957342419525</v>
      </c>
      <c r="BD28" s="605">
        <f t="shared" si="85"/>
        <v>5157.9573424195241</v>
      </c>
      <c r="BE28" s="56">
        <f t="shared" si="85"/>
        <v>2638.0080000000003</v>
      </c>
      <c r="BF28" s="236">
        <f t="shared" si="85"/>
        <v>2845.6860624195256</v>
      </c>
      <c r="BG28" s="605">
        <f t="shared" si="85"/>
        <v>5483.6940624195249</v>
      </c>
      <c r="BH28" s="56">
        <f t="shared" si="85"/>
        <v>2802.2500800000003</v>
      </c>
      <c r="BI28" s="236">
        <f t="shared" si="85"/>
        <v>3028.8627616195258</v>
      </c>
      <c r="BJ28" s="605">
        <f t="shared" si="85"/>
        <v>5831.1128416195252</v>
      </c>
      <c r="BK28" s="56">
        <f t="shared" si="85"/>
        <v>2977.4245420800003</v>
      </c>
      <c r="BL28" s="236">
        <f t="shared" si="85"/>
        <v>3224.2717792515264</v>
      </c>
      <c r="BM28" s="605">
        <f t="shared" si="85"/>
        <v>6201.6963213315266</v>
      </c>
    </row>
    <row r="29" spans="1:65">
      <c r="A29" s="25" t="s">
        <v>364</v>
      </c>
      <c r="B29" s="40"/>
      <c r="C29" s="40"/>
      <c r="D29" s="40"/>
      <c r="E29" s="40"/>
      <c r="F29" s="40"/>
      <c r="G29" s="40"/>
      <c r="H29" s="40"/>
      <c r="I29" s="40"/>
      <c r="J29" s="40"/>
      <c r="K29" s="40"/>
      <c r="L29" s="40"/>
      <c r="M29" s="40"/>
      <c r="N29" s="40"/>
      <c r="O29" s="40"/>
      <c r="P29" s="40"/>
      <c r="Q29" s="40">
        <v>-45</v>
      </c>
      <c r="R29" s="40">
        <v>28</v>
      </c>
      <c r="S29" s="630">
        <f>T29-R29</f>
        <v>-6</v>
      </c>
      <c r="T29" s="653">
        <v>22</v>
      </c>
      <c r="U29" s="40">
        <v>-17</v>
      </c>
      <c r="V29" s="630">
        <f>W29-U29</f>
        <v>55</v>
      </c>
      <c r="W29" s="653">
        <v>38</v>
      </c>
      <c r="X29" s="40"/>
      <c r="Y29" s="630"/>
      <c r="Z29" s="653"/>
      <c r="AA29" s="40">
        <f>629*0.01</f>
        <v>6.29</v>
      </c>
      <c r="AB29" s="630">
        <f>AC29-AA29</f>
        <v>77.589999999999989</v>
      </c>
      <c r="AC29" s="653">
        <f t="shared" ref="AC29:AC30" si="89">AC44*Z38</f>
        <v>83.88</v>
      </c>
      <c r="AD29" s="40">
        <f>608*0.04</f>
        <v>24.32</v>
      </c>
      <c r="AE29" s="630">
        <f>AF29-AD29</f>
        <v>-53.36</v>
      </c>
      <c r="AF29" s="653">
        <f>AF44*AC38</f>
        <v>-29.04</v>
      </c>
      <c r="AG29" s="40">
        <f>653*0.02</f>
        <v>13.06</v>
      </c>
      <c r="AH29" s="630">
        <f>AI29-AG29</f>
        <v>-27.67</v>
      </c>
      <c r="AI29" s="653">
        <f>AI44*AF38</f>
        <v>-14.61</v>
      </c>
      <c r="AJ29" s="40">
        <v>83</v>
      </c>
      <c r="AK29" s="630">
        <f>AL29-AJ29</f>
        <v>-41</v>
      </c>
      <c r="AL29" s="653">
        <v>42</v>
      </c>
      <c r="AM29" s="40">
        <v>-42</v>
      </c>
      <c r="AN29" s="630">
        <f>AO29-AM29</f>
        <v>178</v>
      </c>
      <c r="AO29" s="653">
        <v>136</v>
      </c>
      <c r="AP29" s="40">
        <v>121</v>
      </c>
      <c r="AQ29" s="630">
        <f>AR29-AP29</f>
        <v>15</v>
      </c>
      <c r="AR29" s="653">
        <v>136</v>
      </c>
      <c r="AS29" s="40">
        <v>42</v>
      </c>
      <c r="AT29" s="630">
        <f>AU29-AS29</f>
        <v>159</v>
      </c>
      <c r="AU29" s="653">
        <v>201</v>
      </c>
      <c r="AV29" s="40">
        <v>138</v>
      </c>
      <c r="AW29" s="630">
        <f>AX29-AV29</f>
        <v>198</v>
      </c>
      <c r="AX29" s="653">
        <v>336</v>
      </c>
      <c r="AY29" s="40">
        <v>171</v>
      </c>
      <c r="AZ29" s="236">
        <f>BA29-AY29</f>
        <v>51.800000000000011</v>
      </c>
      <c r="BA29" s="605">
        <f>BA44*AX38</f>
        <v>222.8</v>
      </c>
      <c r="BB29" s="56">
        <f>BB44*AY38</f>
        <v>56.25</v>
      </c>
      <c r="BC29" s="236">
        <f>BD29-BB29</f>
        <v>65.713966645257528</v>
      </c>
      <c r="BD29" s="605">
        <f>BD44*BA38</f>
        <v>121.96396664525753</v>
      </c>
      <c r="BE29" s="56">
        <f>BE44*BB38</f>
        <v>59.0625</v>
      </c>
      <c r="BF29" s="236">
        <f>BG29-BE29</f>
        <v>68.999664977520411</v>
      </c>
      <c r="BG29" s="605">
        <f>BG44*BD38</f>
        <v>128.06216497752041</v>
      </c>
      <c r="BH29" s="56">
        <f>BH44*BE38</f>
        <v>62.015625</v>
      </c>
      <c r="BI29" s="236">
        <f>BJ29-BH29</f>
        <v>72.44964822639642</v>
      </c>
      <c r="BJ29" s="605">
        <f>BJ44*BG38</f>
        <v>134.46527322639642</v>
      </c>
      <c r="BK29" s="56">
        <f>BK44*BH38</f>
        <v>65.116406249999997</v>
      </c>
      <c r="BL29" s="236">
        <f>BM29-BK29</f>
        <v>76.072130637716256</v>
      </c>
      <c r="BM29" s="605">
        <f>BM44*BJ38</f>
        <v>141.18853688771625</v>
      </c>
    </row>
    <row r="30" spans="1:65">
      <c r="A30" s="25" t="s">
        <v>365</v>
      </c>
      <c r="B30" s="40"/>
      <c r="C30" s="40"/>
      <c r="D30" s="40"/>
      <c r="E30" s="40"/>
      <c r="F30" s="40"/>
      <c r="G30" s="40"/>
      <c r="H30" s="40"/>
      <c r="I30" s="40"/>
      <c r="J30" s="40"/>
      <c r="K30" s="40"/>
      <c r="L30" s="40"/>
      <c r="M30" s="40"/>
      <c r="N30" s="40"/>
      <c r="O30" s="40"/>
      <c r="P30" s="40"/>
      <c r="Q30" s="40">
        <v>-56</v>
      </c>
      <c r="R30" s="40">
        <v>-36</v>
      </c>
      <c r="S30" s="630">
        <f t="shared" ref="S30:S32" si="90">T30-R30</f>
        <v>31</v>
      </c>
      <c r="T30" s="653">
        <v>-5</v>
      </c>
      <c r="U30" s="40">
        <v>-21</v>
      </c>
      <c r="V30" s="630">
        <f t="shared" ref="V30:V32" si="91">W30-U30</f>
        <v>-34</v>
      </c>
      <c r="W30" s="653">
        <v>-55</v>
      </c>
      <c r="X30" s="40"/>
      <c r="Y30" s="630"/>
      <c r="Z30" s="653"/>
      <c r="AA30" s="40">
        <f>849*-0.01</f>
        <v>-8.49</v>
      </c>
      <c r="AB30" s="630">
        <f t="shared" ref="AB30:AB32" si="92">AC30-AA30</f>
        <v>-62.79</v>
      </c>
      <c r="AC30" s="653">
        <f t="shared" si="89"/>
        <v>-71.28</v>
      </c>
      <c r="AD30" s="40">
        <f>807*0.01</f>
        <v>8.07</v>
      </c>
      <c r="AE30" s="630">
        <f t="shared" ref="AE30:AE32" si="93">AF30-AD30</f>
        <v>58.809999999999995</v>
      </c>
      <c r="AF30" s="653">
        <f>AF45*AC39</f>
        <v>66.88</v>
      </c>
      <c r="AG30" s="40">
        <f>841*0.02</f>
        <v>16.82</v>
      </c>
      <c r="AH30" s="630">
        <f t="shared" ref="AH30:AH32" si="94">AI30-AG30</f>
        <v>126.30000000000001</v>
      </c>
      <c r="AI30" s="653">
        <f>AI45*AF39</f>
        <v>143.12</v>
      </c>
      <c r="AJ30" s="40">
        <v>183</v>
      </c>
      <c r="AK30" s="630">
        <f t="shared" ref="AK30:AK32" si="95">AL30-AJ30</f>
        <v>-70</v>
      </c>
      <c r="AL30" s="653">
        <v>113</v>
      </c>
      <c r="AM30" s="40">
        <v>-122</v>
      </c>
      <c r="AN30" s="630">
        <f t="shared" ref="AN30:AN32" si="96">AO30-AM30</f>
        <v>64</v>
      </c>
      <c r="AO30" s="653">
        <v>-58</v>
      </c>
      <c r="AP30" s="40">
        <v>123</v>
      </c>
      <c r="AQ30" s="630">
        <f t="shared" ref="AQ30:AQ32" si="97">AR30-AP30</f>
        <v>169</v>
      </c>
      <c r="AR30" s="653">
        <v>292</v>
      </c>
      <c r="AS30" s="40">
        <v>293</v>
      </c>
      <c r="AT30" s="630">
        <f t="shared" ref="AT30:AT32" si="98">AU30-AS30</f>
        <v>17</v>
      </c>
      <c r="AU30" s="653">
        <v>310</v>
      </c>
      <c r="AV30" s="40">
        <v>-106</v>
      </c>
      <c r="AW30" s="630">
        <f t="shared" ref="AW30" si="99">AX30-AV30</f>
        <v>139</v>
      </c>
      <c r="AX30" s="653">
        <v>33</v>
      </c>
      <c r="AY30" s="40">
        <v>187</v>
      </c>
      <c r="AZ30" s="236">
        <f t="shared" ref="AZ30" si="100">BA30-AY30</f>
        <v>59.832667094849512</v>
      </c>
      <c r="BA30" s="605">
        <f>BA39-AX39</f>
        <v>246.83266709484951</v>
      </c>
      <c r="BB30" s="56">
        <f>BB39-AY39</f>
        <v>97.758000000000266</v>
      </c>
      <c r="BC30" s="236">
        <f t="shared" ref="BC30" si="101">BD30-BB30</f>
        <v>106.01475335474288</v>
      </c>
      <c r="BD30" s="605">
        <f>BD39-BA39</f>
        <v>203.77275335474314</v>
      </c>
      <c r="BE30" s="56">
        <f>BE39-BB39</f>
        <v>105.17957999999999</v>
      </c>
      <c r="BF30" s="236">
        <f t="shared" ref="BF30" si="102">BG30-BE30</f>
        <v>114.17703422247996</v>
      </c>
      <c r="BG30" s="605">
        <f>BG39-BD39</f>
        <v>219.35661422247995</v>
      </c>
      <c r="BH30" s="56">
        <f>BH39-BE39</f>
        <v>113.15883708000001</v>
      </c>
      <c r="BI30" s="236">
        <f t="shared" ref="BI30" si="103">BJ30-BH30</f>
        <v>122.95936940560432</v>
      </c>
      <c r="BJ30" s="605">
        <f>BJ39-BG39</f>
        <v>236.11820648560433</v>
      </c>
      <c r="BK30" s="56">
        <f>BK39-BH39</f>
        <v>121.7375694683999</v>
      </c>
      <c r="BL30" s="236">
        <f t="shared" ref="BL30" si="104">BM30-BK30</f>
        <v>132.40863865060442</v>
      </c>
      <c r="BM30" s="605">
        <f>BM39-BJ39</f>
        <v>254.14620811900431</v>
      </c>
    </row>
    <row r="31" spans="1:65">
      <c r="A31" s="25" t="s">
        <v>244</v>
      </c>
      <c r="B31" s="40"/>
      <c r="C31" s="40"/>
      <c r="D31" s="40"/>
      <c r="E31" s="40"/>
      <c r="F31" s="40"/>
      <c r="G31" s="40"/>
      <c r="H31" s="40"/>
      <c r="I31" s="40"/>
      <c r="J31" s="40"/>
      <c r="K31" s="40"/>
      <c r="L31" s="40"/>
      <c r="M31" s="40"/>
      <c r="N31" s="40"/>
      <c r="O31" s="40"/>
      <c r="P31" s="40"/>
      <c r="Q31" s="40">
        <v>67</v>
      </c>
      <c r="R31" s="40">
        <v>37</v>
      </c>
      <c r="S31" s="630">
        <f t="shared" si="90"/>
        <v>120</v>
      </c>
      <c r="T31" s="653">
        <v>157</v>
      </c>
      <c r="U31" s="40">
        <v>84</v>
      </c>
      <c r="V31" s="630">
        <f t="shared" si="91"/>
        <v>-1</v>
      </c>
      <c r="W31" s="653">
        <v>83</v>
      </c>
      <c r="X31" s="40"/>
      <c r="Y31" s="630"/>
      <c r="Z31" s="653"/>
      <c r="AA31" s="40">
        <f>AA33-SUM(AA28:AA30)</f>
        <v>-60.799999999999955</v>
      </c>
      <c r="AB31" s="630">
        <f t="shared" si="92"/>
        <v>3.7999999999999545</v>
      </c>
      <c r="AC31" s="653">
        <v>-57</v>
      </c>
      <c r="AD31" s="40">
        <f>AD33-SUM(AD28:AD30)</f>
        <v>46.610000000000127</v>
      </c>
      <c r="AE31" s="630">
        <f t="shared" si="93"/>
        <v>36.389999999999873</v>
      </c>
      <c r="AF31" s="653">
        <v>83</v>
      </c>
      <c r="AG31" s="40">
        <f>AG33-SUM(AG28:AG30)</f>
        <v>29.120000000000118</v>
      </c>
      <c r="AH31" s="630">
        <f t="shared" si="94"/>
        <v>-37.879740259740501</v>
      </c>
      <c r="AI31" s="653">
        <v>-8.7597402597403864</v>
      </c>
      <c r="AJ31" s="40">
        <v>-98</v>
      </c>
      <c r="AK31" s="630">
        <f t="shared" si="95"/>
        <v>-44</v>
      </c>
      <c r="AL31" s="653">
        <v>-142</v>
      </c>
      <c r="AM31" s="40">
        <v>52</v>
      </c>
      <c r="AN31" s="630">
        <f t="shared" si="96"/>
        <v>162</v>
      </c>
      <c r="AO31" s="653">
        <v>214</v>
      </c>
      <c r="AP31" s="40">
        <v>60</v>
      </c>
      <c r="AQ31" s="630">
        <f t="shared" si="97"/>
        <v>-71</v>
      </c>
      <c r="AR31" s="653">
        <v>-11</v>
      </c>
      <c r="AS31" s="40">
        <v>-29</v>
      </c>
      <c r="AT31" s="630">
        <f t="shared" si="98"/>
        <v>-37</v>
      </c>
      <c r="AU31" s="653">
        <v>-66</v>
      </c>
      <c r="AV31" s="40">
        <v>-28</v>
      </c>
      <c r="AW31" s="630">
        <f t="shared" ref="AW31:AW32" si="105">AX31-AV31</f>
        <v>-43</v>
      </c>
      <c r="AX31" s="653">
        <v>-71</v>
      </c>
      <c r="AY31" s="40">
        <v>-38</v>
      </c>
      <c r="AZ31" s="236">
        <f t="shared" ref="AZ31:AZ32" si="106">BA31-AY31</f>
        <v>13.324675324675315</v>
      </c>
      <c r="BA31" s="605">
        <v>-24.675324675324685</v>
      </c>
      <c r="BB31" s="56">
        <f>BD31/2</f>
        <v>0</v>
      </c>
      <c r="BC31" s="236">
        <f t="shared" ref="BC31:BC32" si="107">BD31-BB31</f>
        <v>0</v>
      </c>
      <c r="BD31" s="605">
        <v>0</v>
      </c>
      <c r="BE31" s="56">
        <f>BG31/2</f>
        <v>0</v>
      </c>
      <c r="BF31" s="236">
        <f t="shared" ref="BF31:BF32" si="108">BG31-BE31</f>
        <v>0</v>
      </c>
      <c r="BG31" s="605">
        <v>0</v>
      </c>
      <c r="BH31" s="56">
        <f>BJ31/2</f>
        <v>0</v>
      </c>
      <c r="BI31" s="236">
        <f t="shared" ref="BI31:BI32" si="109">BJ31-BH31</f>
        <v>0</v>
      </c>
      <c r="BJ31" s="605">
        <v>0</v>
      </c>
      <c r="BK31" s="56">
        <f>BM31/2</f>
        <v>0</v>
      </c>
      <c r="BL31" s="236">
        <f t="shared" ref="BL31:BL32" si="110">BM31-BK31</f>
        <v>0</v>
      </c>
      <c r="BM31" s="605">
        <v>0</v>
      </c>
    </row>
    <row r="32" spans="1:65">
      <c r="A32" s="25" t="s">
        <v>245</v>
      </c>
      <c r="B32" s="40"/>
      <c r="C32" s="40"/>
      <c r="D32" s="40"/>
      <c r="E32" s="40"/>
      <c r="F32" s="40"/>
      <c r="G32" s="40"/>
      <c r="H32" s="40"/>
      <c r="I32" s="40"/>
      <c r="J32" s="40"/>
      <c r="K32" s="40"/>
      <c r="L32" s="40"/>
      <c r="M32" s="40"/>
      <c r="N32" s="40"/>
      <c r="O32" s="40"/>
      <c r="P32" s="40"/>
      <c r="Q32" s="40"/>
      <c r="R32" s="40">
        <v>0</v>
      </c>
      <c r="S32" s="630">
        <f t="shared" si="90"/>
        <v>0</v>
      </c>
      <c r="T32" s="653"/>
      <c r="U32" s="40">
        <v>0</v>
      </c>
      <c r="V32" s="630">
        <f t="shared" si="91"/>
        <v>0</v>
      </c>
      <c r="W32" s="653"/>
      <c r="X32" s="40"/>
      <c r="Y32" s="630"/>
      <c r="Z32" s="653"/>
      <c r="AA32" s="40">
        <v>0</v>
      </c>
      <c r="AB32" s="630">
        <f t="shared" si="92"/>
        <v>-11.599999999999909</v>
      </c>
      <c r="AC32" s="653">
        <f>AC33-AC31-AC30-AC29-AC28</f>
        <v>-11.599999999999909</v>
      </c>
      <c r="AD32" s="40">
        <v>0</v>
      </c>
      <c r="AE32" s="630">
        <f t="shared" si="93"/>
        <v>5.1599999999998545</v>
      </c>
      <c r="AF32" s="653">
        <f>AF33-AF31-AF30-AF29-AF28</f>
        <v>5.1599999999998545</v>
      </c>
      <c r="AG32" s="40">
        <v>0</v>
      </c>
      <c r="AH32" s="630">
        <f t="shared" si="94"/>
        <v>-14.75025974025948</v>
      </c>
      <c r="AI32" s="653">
        <f>AI33-AI31-AI30-AI29-AI28</f>
        <v>-14.75025974025948</v>
      </c>
      <c r="AJ32" s="40">
        <v>0</v>
      </c>
      <c r="AK32" s="630">
        <f t="shared" si="95"/>
        <v>0</v>
      </c>
      <c r="AL32" s="653">
        <f>AL33-AL31-AL30-AL29-AL28</f>
        <v>0</v>
      </c>
      <c r="AM32" s="40">
        <v>0</v>
      </c>
      <c r="AN32" s="630">
        <f t="shared" si="96"/>
        <v>0</v>
      </c>
      <c r="AO32" s="653">
        <v>0</v>
      </c>
      <c r="AP32" s="40">
        <v>0</v>
      </c>
      <c r="AQ32" s="630">
        <f t="shared" si="97"/>
        <v>0</v>
      </c>
      <c r="AR32" s="653">
        <v>0</v>
      </c>
      <c r="AS32" s="40">
        <v>0</v>
      </c>
      <c r="AT32" s="630">
        <f t="shared" si="98"/>
        <v>0</v>
      </c>
      <c r="AU32" s="653">
        <v>0</v>
      </c>
      <c r="AV32" s="40">
        <v>0</v>
      </c>
      <c r="AW32" s="630">
        <f t="shared" si="105"/>
        <v>-48</v>
      </c>
      <c r="AX32" s="653">
        <v>-48</v>
      </c>
      <c r="AY32" s="40">
        <v>-59</v>
      </c>
      <c r="AZ32" s="236">
        <f t="shared" si="106"/>
        <v>0</v>
      </c>
      <c r="BA32" s="580">
        <v>-59</v>
      </c>
      <c r="BB32" s="56">
        <f>BD32/2</f>
        <v>0</v>
      </c>
      <c r="BC32" s="236">
        <f t="shared" si="107"/>
        <v>0</v>
      </c>
      <c r="BD32" s="580">
        <v>0</v>
      </c>
      <c r="BE32" s="56">
        <f>BG32/2</f>
        <v>0</v>
      </c>
      <c r="BF32" s="236">
        <f t="shared" si="108"/>
        <v>0</v>
      </c>
      <c r="BG32" s="580">
        <v>0</v>
      </c>
      <c r="BH32" s="56">
        <f>BJ32/2</f>
        <v>0</v>
      </c>
      <c r="BI32" s="236">
        <f t="shared" si="109"/>
        <v>0</v>
      </c>
      <c r="BJ32" s="580">
        <v>0</v>
      </c>
      <c r="BK32" s="56">
        <f>BM32/2</f>
        <v>0</v>
      </c>
      <c r="BL32" s="236">
        <f t="shared" si="110"/>
        <v>0</v>
      </c>
      <c r="BM32" s="580">
        <v>0</v>
      </c>
    </row>
    <row r="33" spans="1:71">
      <c r="A33" s="68" t="s">
        <v>380</v>
      </c>
      <c r="B33" s="46">
        <f>B4</f>
        <v>1403</v>
      </c>
      <c r="C33" s="46">
        <f>C4</f>
        <v>1400</v>
      </c>
      <c r="D33" s="46">
        <f>D4</f>
        <v>1376</v>
      </c>
      <c r="E33" s="46">
        <f>E4</f>
        <v>1398</v>
      </c>
      <c r="F33" s="46">
        <f>F4</f>
        <v>1374</v>
      </c>
      <c r="G33" s="46">
        <f t="shared" ref="G33:P33" si="111">G4</f>
        <v>1420</v>
      </c>
      <c r="H33" s="46">
        <f t="shared" si="111"/>
        <v>1601</v>
      </c>
      <c r="I33" s="46">
        <f t="shared" si="111"/>
        <v>1673</v>
      </c>
      <c r="J33" s="46">
        <f t="shared" si="111"/>
        <v>1686</v>
      </c>
      <c r="K33" s="46">
        <f t="shared" si="111"/>
        <v>2010</v>
      </c>
      <c r="L33" s="46">
        <f t="shared" si="111"/>
        <v>2123</v>
      </c>
      <c r="M33" s="46">
        <f t="shared" si="111"/>
        <v>2235</v>
      </c>
      <c r="N33" s="46">
        <f t="shared" si="111"/>
        <v>2417</v>
      </c>
      <c r="O33" s="46">
        <f t="shared" si="111"/>
        <v>2591</v>
      </c>
      <c r="P33" s="46">
        <f t="shared" si="111"/>
        <v>2069</v>
      </c>
      <c r="Q33" s="46">
        <f t="shared" ref="Q33:W33" si="112">SUM(Q28:Q32)</f>
        <v>2035</v>
      </c>
      <c r="R33" s="46">
        <f t="shared" si="112"/>
        <v>1002</v>
      </c>
      <c r="S33" s="643">
        <f t="shared" si="112"/>
        <v>1207</v>
      </c>
      <c r="T33" s="667">
        <f t="shared" si="112"/>
        <v>2209</v>
      </c>
      <c r="U33" s="46">
        <f t="shared" si="112"/>
        <v>1048</v>
      </c>
      <c r="V33" s="643">
        <f t="shared" si="112"/>
        <v>1227</v>
      </c>
      <c r="W33" s="667">
        <f t="shared" si="112"/>
        <v>2275</v>
      </c>
      <c r="X33" s="46">
        <f>X4</f>
        <v>1478</v>
      </c>
      <c r="Y33" s="643">
        <f>Y4</f>
        <v>1702</v>
      </c>
      <c r="Z33" s="667">
        <f>Z4</f>
        <v>3180</v>
      </c>
      <c r="AA33" s="46">
        <f>AA4</f>
        <v>1415</v>
      </c>
      <c r="AB33" s="643">
        <f>SUM(AB28:AB32)</f>
        <v>1709</v>
      </c>
      <c r="AC33" s="667">
        <f>AC4</f>
        <v>3124</v>
      </c>
      <c r="AD33" s="46">
        <f>AD4</f>
        <v>1494</v>
      </c>
      <c r="AE33" s="643">
        <f>SUM(AE28:AE32)</f>
        <v>1755.9999999999998</v>
      </c>
      <c r="AF33" s="667">
        <f>AF4</f>
        <v>3250</v>
      </c>
      <c r="AG33" s="46">
        <f>AG4</f>
        <v>1553</v>
      </c>
      <c r="AH33" s="643">
        <f>SUM(AH28:AH32)</f>
        <v>1801.9999999999998</v>
      </c>
      <c r="AI33" s="667">
        <f>AI4</f>
        <v>3355</v>
      </c>
      <c r="AJ33" s="46">
        <f>SUM(AJ28:AJ32)</f>
        <v>1721</v>
      </c>
      <c r="AK33" s="643">
        <f>SUM(AK28:AK32)</f>
        <v>1646.9999999999998</v>
      </c>
      <c r="AL33" s="667">
        <f>AL4</f>
        <v>3368</v>
      </c>
      <c r="AM33" s="46">
        <f t="shared" ref="AM33:AW33" si="113">SUM(AM28:AM32)</f>
        <v>1609</v>
      </c>
      <c r="AN33" s="643">
        <f t="shared" si="113"/>
        <v>2051</v>
      </c>
      <c r="AO33" s="667">
        <f t="shared" si="113"/>
        <v>3660</v>
      </c>
      <c r="AP33" s="46">
        <f t="shared" si="113"/>
        <v>1913</v>
      </c>
      <c r="AQ33" s="643">
        <f t="shared" ref="AQ33:AS33" si="114">SUM(AQ28:AQ32)</f>
        <v>2164</v>
      </c>
      <c r="AR33" s="667">
        <f t="shared" si="114"/>
        <v>4077</v>
      </c>
      <c r="AS33" s="46">
        <f t="shared" si="114"/>
        <v>2219</v>
      </c>
      <c r="AT33" s="643">
        <f t="shared" ref="AT33" si="115">SUM(AT28:AT32)</f>
        <v>2303</v>
      </c>
      <c r="AU33" s="667">
        <f t="shared" ref="AU33:AV33" si="116">SUM(AU28:AU32)</f>
        <v>4522</v>
      </c>
      <c r="AV33" s="46">
        <f t="shared" si="116"/>
        <v>2223</v>
      </c>
      <c r="AW33" s="643">
        <f t="shared" si="113"/>
        <v>2549</v>
      </c>
      <c r="AX33" s="667">
        <f t="shared" ref="AX33:BM33" si="117">SUM(AX28:AX32)</f>
        <v>4772</v>
      </c>
      <c r="AY33" s="46">
        <f t="shared" si="117"/>
        <v>2484</v>
      </c>
      <c r="AZ33" s="250">
        <f>SUM(AZ28:AZ32)</f>
        <v>2673.957342419525</v>
      </c>
      <c r="BA33" s="615">
        <f t="shared" si="117"/>
        <v>5157.9573424195241</v>
      </c>
      <c r="BB33" s="249">
        <f>SUM(BB28:BB32)</f>
        <v>2638.0080000000003</v>
      </c>
      <c r="BC33" s="250">
        <f>SUM(BC28:BC32)</f>
        <v>2845.6860624195256</v>
      </c>
      <c r="BD33" s="615">
        <f t="shared" si="117"/>
        <v>5483.6940624195249</v>
      </c>
      <c r="BE33" s="249">
        <f>SUM(BE28:BE32)</f>
        <v>2802.2500800000003</v>
      </c>
      <c r="BF33" s="250">
        <f>SUM(BF28:BF32)</f>
        <v>3028.8627616195258</v>
      </c>
      <c r="BG33" s="615">
        <f t="shared" si="117"/>
        <v>5831.1128416195252</v>
      </c>
      <c r="BH33" s="249">
        <f>SUM(BH28:BH32)</f>
        <v>2977.4245420800003</v>
      </c>
      <c r="BI33" s="250">
        <f>SUM(BI28:BI32)</f>
        <v>3224.2717792515264</v>
      </c>
      <c r="BJ33" s="615">
        <f t="shared" si="117"/>
        <v>6201.6963213315266</v>
      </c>
      <c r="BK33" s="249">
        <f>SUM(BK28:BK32)</f>
        <v>3164.2785177984006</v>
      </c>
      <c r="BL33" s="250">
        <f>SUM(BL28:BL32)</f>
        <v>3432.7525485398473</v>
      </c>
      <c r="BM33" s="615">
        <f t="shared" si="117"/>
        <v>6597.0310663382479</v>
      </c>
    </row>
    <row r="34" spans="1:71">
      <c r="A34" s="31" t="s">
        <v>61</v>
      </c>
      <c r="B34" s="40"/>
      <c r="C34" s="112">
        <f t="shared" ref="C34:P34" si="118">C33/C28-1</f>
        <v>-2.1382751247327469E-3</v>
      </c>
      <c r="D34" s="112">
        <f t="shared" si="118"/>
        <v>-1.7142857142857126E-2</v>
      </c>
      <c r="E34" s="112">
        <f t="shared" si="118"/>
        <v>1.5988372093023173E-2</v>
      </c>
      <c r="F34" s="112">
        <f t="shared" si="118"/>
        <v>-1.7167381974248941E-2</v>
      </c>
      <c r="G34" s="112">
        <f t="shared" si="118"/>
        <v>3.3478893740902516E-2</v>
      </c>
      <c r="H34" s="112">
        <f t="shared" si="118"/>
        <v>0.12746478873239431</v>
      </c>
      <c r="I34" s="112">
        <f t="shared" si="118"/>
        <v>4.4971892567145622E-2</v>
      </c>
      <c r="J34" s="112">
        <f t="shared" si="118"/>
        <v>7.7704722056186615E-3</v>
      </c>
      <c r="K34" s="112">
        <f t="shared" si="118"/>
        <v>0.19217081850533813</v>
      </c>
      <c r="L34" s="112">
        <f t="shared" si="118"/>
        <v>5.6218905472636749E-2</v>
      </c>
      <c r="M34" s="112">
        <f t="shared" si="118"/>
        <v>5.27555346208195E-2</v>
      </c>
      <c r="N34" s="112">
        <f t="shared" si="118"/>
        <v>8.1431767337807548E-2</v>
      </c>
      <c r="O34" s="112">
        <f t="shared" si="118"/>
        <v>7.1990070335126166E-2</v>
      </c>
      <c r="P34" s="112">
        <f t="shared" si="118"/>
        <v>-0.20146661520648401</v>
      </c>
      <c r="Q34" s="112">
        <f>Q33/Q28-1</f>
        <v>-1.6433059449009191E-2</v>
      </c>
      <c r="R34" s="951">
        <f t="shared" ref="R34:S34" si="119">R33/R28-1</f>
        <v>2.9804727646454365E-2</v>
      </c>
      <c r="S34" s="865">
        <f t="shared" si="119"/>
        <v>0.13653483992467041</v>
      </c>
      <c r="T34" s="889">
        <f>T33/T28-1</f>
        <v>8.5503685503685478E-2</v>
      </c>
      <c r="U34" s="951">
        <f t="shared" ref="U34:V34" si="120">U33/U28-1</f>
        <v>4.5908183632734634E-2</v>
      </c>
      <c r="V34" s="865">
        <f t="shared" si="120"/>
        <v>1.6570008285004212E-2</v>
      </c>
      <c r="W34" s="889">
        <f>W33/W28-1</f>
        <v>2.987777274784964E-2</v>
      </c>
      <c r="X34" s="112"/>
      <c r="Y34" s="865"/>
      <c r="Z34" s="889"/>
      <c r="AA34" s="951">
        <f t="shared" ref="AA34:AB34" si="121">AA33/AA28-1</f>
        <v>-4.2625169147496589E-2</v>
      </c>
      <c r="AB34" s="865">
        <f t="shared" si="121"/>
        <v>4.1128084606345539E-3</v>
      </c>
      <c r="AC34" s="889">
        <f t="shared" ref="AC34:BM34" si="122">AC33/AC28-1</f>
        <v>-1.7610062893081757E-2</v>
      </c>
      <c r="AD34" s="951">
        <f t="shared" si="122"/>
        <v>5.5830388692579502E-2</v>
      </c>
      <c r="AE34" s="865">
        <f t="shared" si="122"/>
        <v>2.7501462843768198E-2</v>
      </c>
      <c r="AF34" s="889">
        <f>AF33/AF28-1</f>
        <v>4.0332906530089696E-2</v>
      </c>
      <c r="AG34" s="951">
        <f t="shared" ref="AG34:AH34" si="123">AG33/AG28-1</f>
        <v>3.9491298527443153E-2</v>
      </c>
      <c r="AH34" s="865">
        <f t="shared" si="123"/>
        <v>2.6195899772209597E-2</v>
      </c>
      <c r="AI34" s="889">
        <f t="shared" si="122"/>
        <v>3.2307692307692371E-2</v>
      </c>
      <c r="AJ34" s="951">
        <f t="shared" ref="AJ34:AK34" si="124">AJ33/AJ28-1</f>
        <v>0.1081777205408887</v>
      </c>
      <c r="AK34" s="865">
        <f t="shared" si="124"/>
        <v>-8.6015538290788007E-2</v>
      </c>
      <c r="AL34" s="889">
        <f t="shared" si="122"/>
        <v>3.8748137108792768E-3</v>
      </c>
      <c r="AM34" s="951">
        <f t="shared" si="122"/>
        <v>-6.5078442765833855E-2</v>
      </c>
      <c r="AN34" s="865">
        <f t="shared" ref="AN34" si="125">AN33/AN28-1</f>
        <v>0.24529447480267175</v>
      </c>
      <c r="AO34" s="889">
        <f t="shared" si="122"/>
        <v>8.6698337292161476E-2</v>
      </c>
      <c r="AP34" s="951">
        <f t="shared" ref="AP34:AR34" si="126">AP33/AP28-1</f>
        <v>0.18893722809198255</v>
      </c>
      <c r="AQ34" s="865">
        <f t="shared" si="126"/>
        <v>5.5095075572891172E-2</v>
      </c>
      <c r="AR34" s="889">
        <f t="shared" si="126"/>
        <v>0.11393442622950811</v>
      </c>
      <c r="AS34" s="951">
        <f t="shared" ref="AS34:AT34" si="127">AS33/AS28-1</f>
        <v>0.15995818086774705</v>
      </c>
      <c r="AT34" s="865">
        <f t="shared" si="127"/>
        <v>6.4232902033271699E-2</v>
      </c>
      <c r="AU34" s="889">
        <f t="shared" ref="AU34:AV34" si="128">AU33/AU28-1</f>
        <v>0.10914888398332101</v>
      </c>
      <c r="AV34" s="951">
        <f t="shared" si="128"/>
        <v>1.8026137899955774E-3</v>
      </c>
      <c r="AW34" s="865">
        <f t="shared" si="122"/>
        <v>0.10681719496309161</v>
      </c>
      <c r="AX34" s="889">
        <f t="shared" si="122"/>
        <v>5.5285272003538166E-2</v>
      </c>
      <c r="AY34" s="951">
        <f t="shared" si="122"/>
        <v>0.1174089068825912</v>
      </c>
      <c r="AZ34" s="803">
        <f t="shared" si="122"/>
        <v>4.9022103734611688E-2</v>
      </c>
      <c r="BA34" s="834">
        <f t="shared" si="122"/>
        <v>8.0879577204426623E-2</v>
      </c>
      <c r="BB34" s="957">
        <f t="shared" si="122"/>
        <v>6.2000000000000055E-2</v>
      </c>
      <c r="BC34" s="803">
        <f t="shared" si="122"/>
        <v>6.4222684960490772E-2</v>
      </c>
      <c r="BD34" s="834">
        <f t="shared" si="122"/>
        <v>6.315227102037313E-2</v>
      </c>
      <c r="BE34" s="957">
        <f t="shared" si="122"/>
        <v>6.2259887005649661E-2</v>
      </c>
      <c r="BF34" s="803">
        <f t="shared" si="122"/>
        <v>6.436996041800036E-2</v>
      </c>
      <c r="BG34" s="834">
        <f t="shared" si="122"/>
        <v>6.3354879985173973E-2</v>
      </c>
      <c r="BH34" s="957">
        <f t="shared" si="122"/>
        <v>6.2512073183703887E-2</v>
      </c>
      <c r="BI34" s="803">
        <f t="shared" si="122"/>
        <v>6.4515639370704259E-2</v>
      </c>
      <c r="BJ34" s="834">
        <f t="shared" si="122"/>
        <v>6.3552788254578774E-2</v>
      </c>
      <c r="BK34" s="957">
        <f t="shared" si="122"/>
        <v>6.275691392933358E-2</v>
      </c>
      <c r="BL34" s="803">
        <f t="shared" si="122"/>
        <v>6.465980027797702E-2</v>
      </c>
      <c r="BM34" s="834">
        <f t="shared" si="122"/>
        <v>6.3746227567918368E-2</v>
      </c>
    </row>
    <row r="35" spans="1:71">
      <c r="A35" s="25" t="s">
        <v>243</v>
      </c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50">
        <f>Q34-Q36</f>
        <v>-4.8815853069115525E-2</v>
      </c>
      <c r="R35" s="952">
        <f t="shared" ref="R35:S35" si="129">R34-R36</f>
        <v>-8.2219938335045262E-3</v>
      </c>
      <c r="S35" s="647">
        <f t="shared" si="129"/>
        <v>2.3540489642184539E-2</v>
      </c>
      <c r="T35" s="671">
        <f t="shared" ref="T35:BM35" si="130">T34-T36</f>
        <v>8.3538083538083341E-3</v>
      </c>
      <c r="U35" s="952">
        <f t="shared" si="130"/>
        <v>-3.7924151696606678E-2</v>
      </c>
      <c r="V35" s="647">
        <f t="shared" si="130"/>
        <v>1.7398508699254418E-2</v>
      </c>
      <c r="W35" s="671">
        <f>W34-W36</f>
        <v>-7.6957899502037783E-3</v>
      </c>
      <c r="X35" s="50"/>
      <c r="Y35" s="647"/>
      <c r="Z35" s="671"/>
      <c r="AA35" s="952">
        <f t="shared" ref="AA35:AB35" si="131">AA34-AA36</f>
        <v>-1.4884979702300405E-3</v>
      </c>
      <c r="AB35" s="647">
        <f t="shared" si="131"/>
        <v>1.8801410105758263E-3</v>
      </c>
      <c r="AC35" s="671">
        <f>AC34-AC36</f>
        <v>3.1446540880503485E-4</v>
      </c>
      <c r="AD35" s="952">
        <f t="shared" ref="AD35:AE35" si="132">AD34-AD36</f>
        <v>2.2890459363957505E-2</v>
      </c>
      <c r="AE35" s="647">
        <f t="shared" si="132"/>
        <v>6.2083089526038492E-3</v>
      </c>
      <c r="AF35" s="671">
        <f>AF34-AF36</f>
        <v>1.37644046094751E-2</v>
      </c>
      <c r="AG35" s="952">
        <f t="shared" ref="AG35:AH35" si="133">AG34-AG36</f>
        <v>1.9999999999999969E-2</v>
      </c>
      <c r="AH35" s="647">
        <f t="shared" si="133"/>
        <v>4.7767505842676854E-2</v>
      </c>
      <c r="AI35" s="671">
        <f t="shared" si="130"/>
        <v>3.5002997002997104E-2</v>
      </c>
      <c r="AJ35" s="952">
        <f t="shared" ref="AJ35:AK35" si="134">AJ34-AJ36</f>
        <v>0.17128139085640703</v>
      </c>
      <c r="AK35" s="647">
        <f t="shared" si="134"/>
        <v>-6.1598224195338502E-2</v>
      </c>
      <c r="AL35" s="671">
        <f t="shared" si="130"/>
        <v>4.6199701937406849E-2</v>
      </c>
      <c r="AM35" s="952">
        <f t="shared" si="130"/>
        <v>-9.5293434049970982E-2</v>
      </c>
      <c r="AN35" s="647">
        <f t="shared" ref="AN35" si="135">AN34-AN36</f>
        <v>0.14693381906496683</v>
      </c>
      <c r="AO35" s="671">
        <f t="shared" si="130"/>
        <v>2.3159144893111591E-2</v>
      </c>
      <c r="AP35" s="952">
        <f t="shared" ref="AP35:AR35" si="136">AP34-AP36</f>
        <v>0.15164698570540702</v>
      </c>
      <c r="AQ35" s="647">
        <f t="shared" si="136"/>
        <v>8.9712335446123739E-2</v>
      </c>
      <c r="AR35" s="671">
        <f t="shared" si="136"/>
        <v>0.11693989071038242</v>
      </c>
      <c r="AS35" s="952">
        <f t="shared" ref="AS35:AT35" si="137">AS34-AS36</f>
        <v>0.17511761630946163</v>
      </c>
      <c r="AT35" s="647">
        <f t="shared" si="137"/>
        <v>8.1330868761552655E-2</v>
      </c>
      <c r="AU35" s="671">
        <f t="shared" ref="AU35:AV35" si="138">AU34-AU36</f>
        <v>0.12533725778758886</v>
      </c>
      <c r="AV35" s="952">
        <f t="shared" si="138"/>
        <v>1.4420910319964031E-2</v>
      </c>
      <c r="AW35" s="647">
        <f t="shared" si="130"/>
        <v>0.12548849326964828</v>
      </c>
      <c r="AX35" s="671">
        <f t="shared" si="130"/>
        <v>7.0986289252543036E-2</v>
      </c>
      <c r="AY35" s="952">
        <f t="shared" si="130"/>
        <v>0.13450292397660829</v>
      </c>
      <c r="AZ35" s="252">
        <f t="shared" si="130"/>
        <v>4.3794690896371079E-2</v>
      </c>
      <c r="BA35" s="577">
        <f t="shared" si="130"/>
        <v>8.6050433171594415E-2</v>
      </c>
      <c r="BB35" s="251">
        <f t="shared" si="130"/>
        <v>6.2000000000000055E-2</v>
      </c>
      <c r="BC35" s="252">
        <f t="shared" si="130"/>
        <v>6.4222684960490772E-2</v>
      </c>
      <c r="BD35" s="577">
        <f t="shared" si="130"/>
        <v>6.315227102037313E-2</v>
      </c>
      <c r="BE35" s="251">
        <f t="shared" si="130"/>
        <v>6.2259887005649661E-2</v>
      </c>
      <c r="BF35" s="252">
        <f t="shared" si="130"/>
        <v>6.436996041800036E-2</v>
      </c>
      <c r="BG35" s="577">
        <f t="shared" si="130"/>
        <v>6.3354879985173973E-2</v>
      </c>
      <c r="BH35" s="251">
        <f t="shared" si="130"/>
        <v>6.2512073183703887E-2</v>
      </c>
      <c r="BI35" s="252">
        <f t="shared" si="130"/>
        <v>6.4515639370704259E-2</v>
      </c>
      <c r="BJ35" s="577">
        <f t="shared" si="130"/>
        <v>6.3552788254578774E-2</v>
      </c>
      <c r="BK35" s="251">
        <f t="shared" si="130"/>
        <v>6.275691392933358E-2</v>
      </c>
      <c r="BL35" s="252">
        <f t="shared" si="130"/>
        <v>6.465980027797702E-2</v>
      </c>
      <c r="BM35" s="577">
        <f t="shared" si="130"/>
        <v>6.3746227567918368E-2</v>
      </c>
    </row>
    <row r="36" spans="1:71">
      <c r="A36" s="25" t="s">
        <v>244</v>
      </c>
      <c r="B36" s="40"/>
      <c r="C36" s="40"/>
      <c r="D36" s="40"/>
      <c r="E36" s="40"/>
      <c r="F36" s="40"/>
      <c r="G36" s="40"/>
      <c r="H36" s="40"/>
      <c r="I36" s="40"/>
      <c r="J36" s="40"/>
      <c r="K36" s="40"/>
      <c r="L36" s="40"/>
      <c r="M36" s="40"/>
      <c r="N36" s="40"/>
      <c r="O36" s="40"/>
      <c r="P36" s="40"/>
      <c r="Q36" s="50">
        <f>Q31/Q28</f>
        <v>3.2382793620106334E-2</v>
      </c>
      <c r="R36" s="952">
        <f t="shared" ref="R36:S36" si="139">R31/R28</f>
        <v>3.8026721479958892E-2</v>
      </c>
      <c r="S36" s="647">
        <f t="shared" si="139"/>
        <v>0.11299435028248588</v>
      </c>
      <c r="T36" s="671">
        <f t="shared" ref="T36:BM36" si="140">T31/T28</f>
        <v>7.7149877149877144E-2</v>
      </c>
      <c r="U36" s="952">
        <f t="shared" si="140"/>
        <v>8.3832335329341312E-2</v>
      </c>
      <c r="V36" s="647">
        <f t="shared" si="140"/>
        <v>-8.2850041425020708E-4</v>
      </c>
      <c r="W36" s="671">
        <f>W31/W28</f>
        <v>3.7573562698053418E-2</v>
      </c>
      <c r="X36" s="50"/>
      <c r="Y36" s="647"/>
      <c r="Z36" s="671"/>
      <c r="AA36" s="952">
        <f t="shared" ref="AA36:AB36" si="141">AA31/AA28</f>
        <v>-4.1136671177266548E-2</v>
      </c>
      <c r="AB36" s="647">
        <f t="shared" si="141"/>
        <v>2.2326674500587275E-3</v>
      </c>
      <c r="AC36" s="671">
        <f>AC31/AC28</f>
        <v>-1.7924528301886792E-2</v>
      </c>
      <c r="AD36" s="952">
        <f t="shared" ref="AD36:AE36" si="142">AD31/AD28</f>
        <v>3.2939929328621997E-2</v>
      </c>
      <c r="AE36" s="647">
        <f t="shared" si="142"/>
        <v>2.1293153891164349E-2</v>
      </c>
      <c r="AF36" s="671">
        <f>AF31/AF28</f>
        <v>2.6568501920614596E-2</v>
      </c>
      <c r="AG36" s="952">
        <f t="shared" ref="AG36:AH36" si="143">AG31/AG28</f>
        <v>1.9491298527443184E-2</v>
      </c>
      <c r="AH36" s="647">
        <f t="shared" si="143"/>
        <v>-2.1571606070467257E-2</v>
      </c>
      <c r="AI36" s="671">
        <f t="shared" si="140"/>
        <v>-2.6953046953047343E-3</v>
      </c>
      <c r="AJ36" s="952">
        <f t="shared" ref="AJ36:AK36" si="144">AJ31/AJ28</f>
        <v>-6.3103670315518348E-2</v>
      </c>
      <c r="AK36" s="647">
        <f t="shared" si="144"/>
        <v>-2.4417314095449505E-2</v>
      </c>
      <c r="AL36" s="671">
        <f t="shared" si="140"/>
        <v>-4.2324888226527572E-2</v>
      </c>
      <c r="AM36" s="952">
        <f t="shared" si="140"/>
        <v>3.0214991284137131E-2</v>
      </c>
      <c r="AN36" s="647">
        <f t="shared" ref="AN36" si="145">AN31/AN28</f>
        <v>9.836065573770493E-2</v>
      </c>
      <c r="AO36" s="671">
        <f t="shared" si="140"/>
        <v>6.3539192399049885E-2</v>
      </c>
      <c r="AP36" s="952">
        <f t="shared" ref="AP36:AR36" si="146">AP31/AP28</f>
        <v>3.7290242386575516E-2</v>
      </c>
      <c r="AQ36" s="647">
        <f t="shared" si="146"/>
        <v>-3.4617259873232567E-2</v>
      </c>
      <c r="AR36" s="671">
        <f t="shared" si="146"/>
        <v>-3.0054644808743172E-3</v>
      </c>
      <c r="AS36" s="952">
        <f t="shared" ref="AS36:AT36" si="147">AS31/AS28</f>
        <v>-1.5159435441714584E-2</v>
      </c>
      <c r="AT36" s="647">
        <f t="shared" si="147"/>
        <v>-1.7097966728280962E-2</v>
      </c>
      <c r="AU36" s="671">
        <f t="shared" ref="AU36:AV36" si="148">AU31/AU28</f>
        <v>-1.6188373804267846E-2</v>
      </c>
      <c r="AV36" s="952">
        <f t="shared" si="148"/>
        <v>-1.2618296529968454E-2</v>
      </c>
      <c r="AW36" s="647">
        <f t="shared" si="140"/>
        <v>-1.8671298306556665E-2</v>
      </c>
      <c r="AX36" s="671">
        <f t="shared" si="140"/>
        <v>-1.5701017249004866E-2</v>
      </c>
      <c r="AY36" s="952">
        <f t="shared" si="140"/>
        <v>-1.7094017094017096E-2</v>
      </c>
      <c r="AZ36" s="252">
        <f t="shared" si="140"/>
        <v>5.2274128382406105E-3</v>
      </c>
      <c r="BA36" s="577">
        <f t="shared" si="140"/>
        <v>-5.1708559671677879E-3</v>
      </c>
      <c r="BB36" s="251">
        <f t="shared" si="140"/>
        <v>0</v>
      </c>
      <c r="BC36" s="252">
        <f t="shared" si="140"/>
        <v>0</v>
      </c>
      <c r="BD36" s="577">
        <f t="shared" si="140"/>
        <v>0</v>
      </c>
      <c r="BE36" s="251">
        <f t="shared" si="140"/>
        <v>0</v>
      </c>
      <c r="BF36" s="252">
        <f t="shared" si="140"/>
        <v>0</v>
      </c>
      <c r="BG36" s="577">
        <f t="shared" si="140"/>
        <v>0</v>
      </c>
      <c r="BH36" s="251">
        <f t="shared" si="140"/>
        <v>0</v>
      </c>
      <c r="BI36" s="252">
        <f t="shared" si="140"/>
        <v>0</v>
      </c>
      <c r="BJ36" s="577">
        <f t="shared" si="140"/>
        <v>0</v>
      </c>
      <c r="BK36" s="251">
        <f t="shared" si="140"/>
        <v>0</v>
      </c>
      <c r="BL36" s="252">
        <f t="shared" si="140"/>
        <v>0</v>
      </c>
      <c r="BM36" s="577">
        <f t="shared" si="140"/>
        <v>0</v>
      </c>
    </row>
    <row r="37" spans="1:71">
      <c r="A37" s="31"/>
      <c r="B37" s="40"/>
      <c r="C37" s="40"/>
      <c r="D37" s="40"/>
      <c r="E37" s="40"/>
      <c r="F37" s="40"/>
      <c r="G37" s="40"/>
      <c r="H37" s="40"/>
      <c r="I37" s="40"/>
      <c r="J37" s="40"/>
      <c r="K37" s="40"/>
      <c r="L37" s="40"/>
      <c r="M37" s="40"/>
      <c r="N37" s="40"/>
      <c r="O37" s="40"/>
      <c r="P37" s="40"/>
      <c r="Q37" s="51"/>
      <c r="R37" s="51"/>
      <c r="S37" s="629"/>
      <c r="T37" s="652"/>
      <c r="U37" s="51"/>
      <c r="V37" s="629"/>
      <c r="W37" s="652"/>
      <c r="X37" s="51"/>
      <c r="Y37" s="629"/>
      <c r="Z37" s="653"/>
      <c r="AA37" s="40"/>
      <c r="AB37" s="630"/>
      <c r="AC37" s="653"/>
      <c r="AD37" s="40"/>
      <c r="AE37" s="630"/>
      <c r="AF37" s="653"/>
      <c r="AG37" s="40"/>
      <c r="AH37" s="630"/>
      <c r="AI37" s="653"/>
      <c r="AJ37" s="40"/>
      <c r="AK37" s="630"/>
      <c r="AL37" s="653"/>
      <c r="AM37" s="40"/>
      <c r="AN37" s="630"/>
      <c r="AO37" s="653"/>
      <c r="AP37" s="40"/>
      <c r="AQ37" s="539"/>
      <c r="AR37" s="550"/>
      <c r="AS37"/>
      <c r="AT37" s="539"/>
      <c r="AU37" s="550"/>
      <c r="AV37"/>
      <c r="AW37" s="539"/>
      <c r="AX37" s="550"/>
      <c r="AY37"/>
      <c r="AZ37" s="539"/>
      <c r="BA37" s="550"/>
      <c r="BB37"/>
      <c r="BC37" s="539"/>
      <c r="BD37" s="550"/>
      <c r="BE37"/>
      <c r="BF37" s="539"/>
      <c r="BG37" s="550"/>
      <c r="BH37"/>
      <c r="BI37" s="539"/>
      <c r="BJ37" s="550"/>
      <c r="BK37"/>
      <c r="BL37" s="539"/>
      <c r="BM37" s="550"/>
    </row>
    <row r="38" spans="1:71">
      <c r="A38" s="25" t="s">
        <v>364</v>
      </c>
      <c r="B38" s="40"/>
      <c r="C38" s="40"/>
      <c r="D38" s="40"/>
      <c r="E38" s="40"/>
      <c r="F38" s="40">
        <f t="shared" ref="F38:Z38" si="149">F4-F39</f>
        <v>606</v>
      </c>
      <c r="G38" s="40">
        <f t="shared" si="149"/>
        <v>633</v>
      </c>
      <c r="H38" s="40">
        <f t="shared" si="149"/>
        <v>748</v>
      </c>
      <c r="I38" s="40">
        <f t="shared" si="149"/>
        <v>796</v>
      </c>
      <c r="J38" s="40">
        <f t="shared" si="149"/>
        <v>739</v>
      </c>
      <c r="K38" s="40">
        <f t="shared" si="149"/>
        <v>964</v>
      </c>
      <c r="L38" s="40">
        <f t="shared" si="149"/>
        <v>1020</v>
      </c>
      <c r="M38" s="40">
        <f t="shared" si="149"/>
        <v>1102</v>
      </c>
      <c r="N38" s="40">
        <f t="shared" si="149"/>
        <v>1231</v>
      </c>
      <c r="O38" s="40">
        <f t="shared" si="149"/>
        <v>1385</v>
      </c>
      <c r="P38" s="40">
        <f t="shared" si="149"/>
        <v>816</v>
      </c>
      <c r="Q38" s="40">
        <f t="shared" si="149"/>
        <v>801</v>
      </c>
      <c r="R38" s="40">
        <v>412</v>
      </c>
      <c r="S38" s="630">
        <f>T38-R38</f>
        <v>478</v>
      </c>
      <c r="T38" s="653">
        <f t="shared" si="149"/>
        <v>890</v>
      </c>
      <c r="U38" s="40">
        <v>431</v>
      </c>
      <c r="V38" s="630">
        <f>W38-U38</f>
        <v>535</v>
      </c>
      <c r="W38" s="653">
        <f t="shared" si="149"/>
        <v>966</v>
      </c>
      <c r="X38" s="40">
        <v>629</v>
      </c>
      <c r="Y38" s="630">
        <f>Z38-X38</f>
        <v>769</v>
      </c>
      <c r="Z38" s="653">
        <f t="shared" si="149"/>
        <v>1398</v>
      </c>
      <c r="AA38" s="40">
        <v>608</v>
      </c>
      <c r="AB38" s="630">
        <f>AC38-AA38</f>
        <v>844</v>
      </c>
      <c r="AC38" s="653">
        <f>AC4-AC39</f>
        <v>1452</v>
      </c>
      <c r="AD38" s="40">
        <v>653</v>
      </c>
      <c r="AE38" s="630">
        <f>AF38-AD38</f>
        <v>808</v>
      </c>
      <c r="AF38" s="653">
        <f>AF4-AF39</f>
        <v>1461</v>
      </c>
      <c r="AG38" s="40">
        <v>678</v>
      </c>
      <c r="AH38" s="630">
        <f>AI38-AG38</f>
        <v>747</v>
      </c>
      <c r="AI38" s="653">
        <f>AI4-AI39</f>
        <v>1425</v>
      </c>
      <c r="AJ38" s="40">
        <v>719</v>
      </c>
      <c r="AK38" s="630">
        <f>AL38-AJ38</f>
        <v>692</v>
      </c>
      <c r="AL38" s="653">
        <v>1411</v>
      </c>
      <c r="AM38" s="40">
        <v>697</v>
      </c>
      <c r="AN38" s="630">
        <f>AO38-AM38</f>
        <v>937</v>
      </c>
      <c r="AO38" s="653">
        <v>1634</v>
      </c>
      <c r="AP38" s="40">
        <v>841</v>
      </c>
      <c r="AQ38" s="630">
        <f>AR38-AP38</f>
        <v>925</v>
      </c>
      <c r="AR38" s="653">
        <v>1766</v>
      </c>
      <c r="AS38" s="40">
        <v>872</v>
      </c>
      <c r="AT38" s="630">
        <f>AU38-AS38</f>
        <v>1071</v>
      </c>
      <c r="AU38" s="653">
        <v>1943</v>
      </c>
      <c r="AV38" s="40">
        <v>1000</v>
      </c>
      <c r="AW38" s="630">
        <f t="shared" ref="AW38:AW39" si="150">AX38-AV38</f>
        <v>1228</v>
      </c>
      <c r="AX38" s="653">
        <v>2228</v>
      </c>
      <c r="AY38" s="40">
        <v>1125</v>
      </c>
      <c r="AZ38" s="236">
        <f t="shared" ref="AZ38:AZ39" si="151">BA38-AY38</f>
        <v>1314.2793329051506</v>
      </c>
      <c r="BA38" s="605">
        <f>AX38+BA29+(BA$31*AX41)</f>
        <v>2439.2793329051506</v>
      </c>
      <c r="BB38" s="56">
        <f>AY38+BB29+(BB$31*AY41)</f>
        <v>1181.25</v>
      </c>
      <c r="BC38" s="236">
        <f t="shared" ref="BC38:BC39" si="152">BD38-BB38</f>
        <v>1379.9932995504082</v>
      </c>
      <c r="BD38" s="605">
        <f>BA38+BD29+(BD$31*BA41)</f>
        <v>2561.2432995504082</v>
      </c>
      <c r="BE38" s="56">
        <f>BB38+BE29+(BE$31*BB41)</f>
        <v>1240.3125</v>
      </c>
      <c r="BF38" s="236">
        <f t="shared" ref="BF38:BF39" si="153">BG38-BE38</f>
        <v>1448.9929645279285</v>
      </c>
      <c r="BG38" s="605">
        <f>BD38+BG29+(BG$31*BD41)</f>
        <v>2689.3054645279285</v>
      </c>
      <c r="BH38" s="56">
        <f>BE38+BH29+(BH$31*BE41)</f>
        <v>1302.328125</v>
      </c>
      <c r="BI38" s="236">
        <f t="shared" ref="BI38:BI39" si="154">BJ38-BH38</f>
        <v>1521.4426127543247</v>
      </c>
      <c r="BJ38" s="605">
        <f>BG38+BJ29+(BJ$31*BG41)</f>
        <v>2823.7707377543247</v>
      </c>
      <c r="BK38" s="56">
        <f>BH38+BK29+(BK$31*BH41)</f>
        <v>1367.44453125</v>
      </c>
      <c r="BL38" s="236">
        <f t="shared" ref="BL38:BL39" si="155">BM38-BK38</f>
        <v>1597.5147433920408</v>
      </c>
      <c r="BM38" s="605">
        <f t="shared" ref="BM38" si="156">BJ38+BM29+(BM$31*BJ41)</f>
        <v>2964.9592746420408</v>
      </c>
    </row>
    <row r="39" spans="1:71">
      <c r="A39" s="25" t="s">
        <v>365</v>
      </c>
      <c r="B39" s="40"/>
      <c r="C39" s="40"/>
      <c r="D39" s="40"/>
      <c r="E39" s="40"/>
      <c r="F39" s="40">
        <v>768</v>
      </c>
      <c r="G39" s="40">
        <v>787</v>
      </c>
      <c r="H39" s="40">
        <v>853</v>
      </c>
      <c r="I39" s="40">
        <v>877</v>
      </c>
      <c r="J39" s="40">
        <v>947</v>
      </c>
      <c r="K39" s="40">
        <v>1046</v>
      </c>
      <c r="L39" s="40">
        <v>1103</v>
      </c>
      <c r="M39" s="40">
        <v>1133</v>
      </c>
      <c r="N39" s="40">
        <v>1186</v>
      </c>
      <c r="O39" s="40">
        <v>1206</v>
      </c>
      <c r="P39" s="40">
        <v>1253</v>
      </c>
      <c r="Q39" s="40">
        <v>1234</v>
      </c>
      <c r="R39" s="40">
        <v>590</v>
      </c>
      <c r="S39" s="630">
        <f>T39-R39</f>
        <v>729</v>
      </c>
      <c r="T39" s="653">
        <v>1319</v>
      </c>
      <c r="U39" s="40">
        <v>617</v>
      </c>
      <c r="V39" s="630">
        <f>W39-U39</f>
        <v>692</v>
      </c>
      <c r="W39" s="653">
        <v>1309</v>
      </c>
      <c r="X39" s="40">
        <v>849</v>
      </c>
      <c r="Y39" s="630">
        <f>Z39-X39</f>
        <v>933</v>
      </c>
      <c r="Z39" s="653">
        <v>1782</v>
      </c>
      <c r="AA39" s="40">
        <v>807</v>
      </c>
      <c r="AB39" s="630">
        <f>AC39-AA39</f>
        <v>865</v>
      </c>
      <c r="AC39" s="653">
        <v>1672</v>
      </c>
      <c r="AD39" s="40">
        <v>841</v>
      </c>
      <c r="AE39" s="630">
        <f>AF39-AD39</f>
        <v>948</v>
      </c>
      <c r="AF39" s="653">
        <v>1789</v>
      </c>
      <c r="AG39" s="40">
        <v>875</v>
      </c>
      <c r="AH39" s="630">
        <f>AI39-AG39</f>
        <v>1055</v>
      </c>
      <c r="AI39" s="653">
        <v>1930</v>
      </c>
      <c r="AJ39" s="40">
        <v>1002</v>
      </c>
      <c r="AK39" s="630">
        <f>AL39-AJ39</f>
        <v>955</v>
      </c>
      <c r="AL39" s="653">
        <v>1957</v>
      </c>
      <c r="AM39" s="40">
        <v>912</v>
      </c>
      <c r="AN39" s="630">
        <f>AO39-AM39</f>
        <v>1114</v>
      </c>
      <c r="AO39" s="653">
        <v>2026</v>
      </c>
      <c r="AP39" s="40">
        <v>1072</v>
      </c>
      <c r="AQ39" s="630">
        <f>AR39-AP39</f>
        <v>1239</v>
      </c>
      <c r="AR39" s="653">
        <v>2311</v>
      </c>
      <c r="AS39" s="40">
        <v>1347</v>
      </c>
      <c r="AT39" s="630">
        <f>AU39-AS39</f>
        <v>1232</v>
      </c>
      <c r="AU39" s="653">
        <v>2579</v>
      </c>
      <c r="AV39" s="40">
        <v>1223</v>
      </c>
      <c r="AW39" s="630">
        <f t="shared" si="150"/>
        <v>1321</v>
      </c>
      <c r="AX39" s="653">
        <v>2544</v>
      </c>
      <c r="AY39" s="40">
        <v>1359</v>
      </c>
      <c r="AZ39" s="236">
        <f t="shared" si="151"/>
        <v>1431.8326670948495</v>
      </c>
      <c r="BA39" s="605">
        <f>BA40-BA38</f>
        <v>2790.8326670948495</v>
      </c>
      <c r="BB39" s="56">
        <f>BB40-BB38</f>
        <v>1456.7580000000003</v>
      </c>
      <c r="BC39" s="236">
        <f t="shared" si="152"/>
        <v>1537.8474204495924</v>
      </c>
      <c r="BD39" s="605">
        <f>BD40-BD38</f>
        <v>2994.6054204495927</v>
      </c>
      <c r="BE39" s="56">
        <f>BE40-BE38</f>
        <v>1561.9375800000003</v>
      </c>
      <c r="BF39" s="236">
        <f t="shared" si="153"/>
        <v>1652.0244546720724</v>
      </c>
      <c r="BG39" s="605">
        <f>BG40-BG38</f>
        <v>3213.9620346720726</v>
      </c>
      <c r="BH39" s="56">
        <f>BH40-BH38</f>
        <v>1675.0964170800003</v>
      </c>
      <c r="BI39" s="236">
        <f t="shared" si="154"/>
        <v>1774.9838240776767</v>
      </c>
      <c r="BJ39" s="605">
        <f>BJ40-BJ38</f>
        <v>3450.0802411576769</v>
      </c>
      <c r="BK39" s="56">
        <f>BK40-BK38</f>
        <v>1796.8339865484002</v>
      </c>
      <c r="BL39" s="236">
        <f t="shared" si="155"/>
        <v>1907.3924627282811</v>
      </c>
      <c r="BM39" s="605">
        <f>BM40-BM38</f>
        <v>3704.2264492766813</v>
      </c>
      <c r="BS39" s="73"/>
    </row>
    <row r="40" spans="1:71">
      <c r="A40" s="31" t="s">
        <v>1047</v>
      </c>
      <c r="B40" s="40"/>
      <c r="C40" s="40"/>
      <c r="D40" s="40"/>
      <c r="E40" s="40"/>
      <c r="F40" s="51">
        <f t="shared" ref="F40:T40" si="157">SUM(F38:F39)</f>
        <v>1374</v>
      </c>
      <c r="G40" s="51">
        <f t="shared" si="157"/>
        <v>1420</v>
      </c>
      <c r="H40" s="51">
        <f t="shared" si="157"/>
        <v>1601</v>
      </c>
      <c r="I40" s="51">
        <f t="shared" si="157"/>
        <v>1673</v>
      </c>
      <c r="J40" s="51">
        <f t="shared" si="157"/>
        <v>1686</v>
      </c>
      <c r="K40" s="51">
        <f t="shared" si="157"/>
        <v>2010</v>
      </c>
      <c r="L40" s="51">
        <f t="shared" si="157"/>
        <v>2123</v>
      </c>
      <c r="M40" s="51">
        <f t="shared" si="157"/>
        <v>2235</v>
      </c>
      <c r="N40" s="51">
        <f t="shared" si="157"/>
        <v>2417</v>
      </c>
      <c r="O40" s="51">
        <f t="shared" si="157"/>
        <v>2591</v>
      </c>
      <c r="P40" s="51">
        <f t="shared" si="157"/>
        <v>2069</v>
      </c>
      <c r="Q40" s="51">
        <f t="shared" si="157"/>
        <v>2035</v>
      </c>
      <c r="R40" s="51">
        <f t="shared" ref="R40:S40" si="158">SUM(R38:R39)</f>
        <v>1002</v>
      </c>
      <c r="S40" s="629">
        <f t="shared" si="158"/>
        <v>1207</v>
      </c>
      <c r="T40" s="652">
        <f t="shared" si="157"/>
        <v>2209</v>
      </c>
      <c r="U40" s="51">
        <f t="shared" ref="U40:V40" si="159">SUM(U38:U39)</f>
        <v>1048</v>
      </c>
      <c r="V40" s="629">
        <f t="shared" si="159"/>
        <v>1227</v>
      </c>
      <c r="W40" s="652">
        <f>SUM(W38:W39)</f>
        <v>2275</v>
      </c>
      <c r="X40" s="51">
        <f t="shared" ref="X40:Y40" si="160">SUM(X38:X39)</f>
        <v>1478</v>
      </c>
      <c r="Y40" s="629">
        <f t="shared" si="160"/>
        <v>1702</v>
      </c>
      <c r="Z40" s="652">
        <f>Z33</f>
        <v>3180</v>
      </c>
      <c r="AA40" s="51">
        <f t="shared" ref="AA40:AB40" si="161">SUM(AA38:AA39)</f>
        <v>1415</v>
      </c>
      <c r="AB40" s="629">
        <f t="shared" si="161"/>
        <v>1709</v>
      </c>
      <c r="AC40" s="652">
        <f>AC33</f>
        <v>3124</v>
      </c>
      <c r="AD40" s="51">
        <f t="shared" ref="AD40:AE40" si="162">SUM(AD38:AD39)</f>
        <v>1494</v>
      </c>
      <c r="AE40" s="629">
        <f t="shared" si="162"/>
        <v>1756</v>
      </c>
      <c r="AF40" s="652">
        <f t="shared" ref="AF40:AO40" si="163">SUM(AF38:AF39)</f>
        <v>3250</v>
      </c>
      <c r="AG40" s="51">
        <f t="shared" si="163"/>
        <v>1553</v>
      </c>
      <c r="AH40" s="629">
        <f t="shared" si="163"/>
        <v>1802</v>
      </c>
      <c r="AI40" s="652">
        <f t="shared" si="163"/>
        <v>3355</v>
      </c>
      <c r="AJ40" s="51">
        <f t="shared" ref="AJ40:AK40" si="164">SUM(AJ38:AJ39)</f>
        <v>1721</v>
      </c>
      <c r="AK40" s="629">
        <f t="shared" si="164"/>
        <v>1647</v>
      </c>
      <c r="AL40" s="652">
        <f t="shared" si="163"/>
        <v>3368</v>
      </c>
      <c r="AM40" s="51">
        <f t="shared" si="163"/>
        <v>1609</v>
      </c>
      <c r="AN40" s="629">
        <f t="shared" si="163"/>
        <v>2051</v>
      </c>
      <c r="AO40" s="652">
        <f t="shared" si="163"/>
        <v>3660</v>
      </c>
      <c r="AP40" s="51">
        <f t="shared" ref="AP40:AR40" si="165">SUM(AP38:AP39)</f>
        <v>1913</v>
      </c>
      <c r="AQ40" s="629">
        <f t="shared" si="165"/>
        <v>2164</v>
      </c>
      <c r="AR40" s="652">
        <f t="shared" si="165"/>
        <v>4077</v>
      </c>
      <c r="AS40" s="51">
        <f t="shared" ref="AS40:AU40" si="166">SUM(AS38:AS39)</f>
        <v>2219</v>
      </c>
      <c r="AT40" s="629">
        <f t="shared" si="166"/>
        <v>2303</v>
      </c>
      <c r="AU40" s="652">
        <f t="shared" si="166"/>
        <v>4522</v>
      </c>
      <c r="AV40" s="51">
        <f t="shared" ref="AV40" si="167">SUM(AV38:AV39)</f>
        <v>2223</v>
      </c>
      <c r="AW40" s="629">
        <f t="shared" ref="AW40:BM40" si="168">AW54</f>
        <v>2549</v>
      </c>
      <c r="AX40" s="652">
        <f t="shared" ref="AX40:AY40" si="169">SUM(AX38:AX39)</f>
        <v>4772</v>
      </c>
      <c r="AY40" s="51">
        <f t="shared" si="169"/>
        <v>2484</v>
      </c>
      <c r="AZ40" s="237">
        <f t="shared" si="168"/>
        <v>2746.1120000000001</v>
      </c>
      <c r="BA40" s="576">
        <f t="shared" si="168"/>
        <v>5230.1120000000001</v>
      </c>
      <c r="BB40" s="48">
        <f t="shared" si="168"/>
        <v>2638.0080000000003</v>
      </c>
      <c r="BC40" s="237">
        <f t="shared" si="168"/>
        <v>2917.8407200000006</v>
      </c>
      <c r="BD40" s="576">
        <f t="shared" si="168"/>
        <v>5555.8487200000009</v>
      </c>
      <c r="BE40" s="48">
        <f t="shared" si="168"/>
        <v>2802.2500800000003</v>
      </c>
      <c r="BF40" s="237">
        <f t="shared" si="168"/>
        <v>3101.0174192000009</v>
      </c>
      <c r="BG40" s="576">
        <f t="shared" si="168"/>
        <v>5903.2674992000011</v>
      </c>
      <c r="BH40" s="48">
        <f t="shared" si="168"/>
        <v>2977.4245420800003</v>
      </c>
      <c r="BI40" s="237">
        <f t="shared" si="168"/>
        <v>3296.4264368320014</v>
      </c>
      <c r="BJ40" s="576">
        <f t="shared" si="168"/>
        <v>6273.8509789120017</v>
      </c>
      <c r="BK40" s="48">
        <f t="shared" si="168"/>
        <v>3164.2785177984001</v>
      </c>
      <c r="BL40" s="237">
        <f t="shared" si="168"/>
        <v>3504.9072061203219</v>
      </c>
      <c r="BM40" s="576">
        <f t="shared" si="168"/>
        <v>6669.185723918722</v>
      </c>
    </row>
    <row r="41" spans="1:71">
      <c r="A41" s="61" t="s">
        <v>390</v>
      </c>
      <c r="B41" s="40"/>
      <c r="C41" s="40"/>
      <c r="D41" s="40"/>
      <c r="E41" s="40"/>
      <c r="F41" s="50">
        <f>F38/F40</f>
        <v>0.44104803493449779</v>
      </c>
      <c r="G41" s="50">
        <f t="shared" ref="G41:BM41" si="170">G38/G40</f>
        <v>0.44577464788732396</v>
      </c>
      <c r="H41" s="50">
        <f t="shared" si="170"/>
        <v>0.46720799500312304</v>
      </c>
      <c r="I41" s="50">
        <f t="shared" si="170"/>
        <v>0.47579199043634191</v>
      </c>
      <c r="J41" s="50">
        <f t="shared" si="170"/>
        <v>0.43831553973902726</v>
      </c>
      <c r="K41" s="50">
        <f t="shared" si="170"/>
        <v>0.47960199004975124</v>
      </c>
      <c r="L41" s="50">
        <f t="shared" si="170"/>
        <v>0.4804521902967499</v>
      </c>
      <c r="M41" s="50">
        <f t="shared" si="170"/>
        <v>0.4930648769574944</v>
      </c>
      <c r="N41" s="50">
        <f t="shared" si="170"/>
        <v>0.50930906081919736</v>
      </c>
      <c r="O41" s="50">
        <f t="shared" si="170"/>
        <v>0.53454264762639903</v>
      </c>
      <c r="P41" s="50">
        <f t="shared" si="170"/>
        <v>0.39439342677622041</v>
      </c>
      <c r="Q41" s="50">
        <f t="shared" si="170"/>
        <v>0.3936117936117936</v>
      </c>
      <c r="R41" s="952">
        <f t="shared" si="170"/>
        <v>0.41117764471057883</v>
      </c>
      <c r="S41" s="647">
        <f t="shared" si="170"/>
        <v>0.39602319801159902</v>
      </c>
      <c r="T41" s="671">
        <f t="shared" si="170"/>
        <v>0.40289723856948845</v>
      </c>
      <c r="U41" s="952">
        <f t="shared" ref="U41:V41" si="171">U38/U40</f>
        <v>0.4112595419847328</v>
      </c>
      <c r="V41" s="647">
        <f t="shared" si="171"/>
        <v>0.43602281988590058</v>
      </c>
      <c r="W41" s="671">
        <f>W38/W40</f>
        <v>0.42461538461538462</v>
      </c>
      <c r="X41" s="952">
        <f t="shared" ref="X41:Y41" si="172">X38/X40</f>
        <v>0.42557510148849798</v>
      </c>
      <c r="Y41" s="647">
        <f t="shared" si="172"/>
        <v>0.45182138660399529</v>
      </c>
      <c r="Z41" s="671">
        <f t="shared" si="170"/>
        <v>0.43962264150943398</v>
      </c>
      <c r="AA41" s="952">
        <f t="shared" si="170"/>
        <v>0.42968197879858655</v>
      </c>
      <c r="AB41" s="647">
        <f t="shared" si="170"/>
        <v>0.49385605617320072</v>
      </c>
      <c r="AC41" s="671">
        <f t="shared" si="170"/>
        <v>0.46478873239436619</v>
      </c>
      <c r="AD41" s="952">
        <f t="shared" ref="AD41:AE41" si="173">AD38/AD40</f>
        <v>0.43708165997322623</v>
      </c>
      <c r="AE41" s="647">
        <f t="shared" si="173"/>
        <v>0.46013667425968108</v>
      </c>
      <c r="AF41" s="671">
        <f t="shared" si="170"/>
        <v>0.44953846153846155</v>
      </c>
      <c r="AG41" s="952">
        <f t="shared" si="170"/>
        <v>0.43657437218287187</v>
      </c>
      <c r="AH41" s="647">
        <f t="shared" si="170"/>
        <v>0.41453940066592676</v>
      </c>
      <c r="AI41" s="671">
        <f t="shared" si="170"/>
        <v>0.42473919523099851</v>
      </c>
      <c r="AJ41" s="952">
        <f t="shared" ref="AJ41:AK41" si="174">AJ38/AJ40</f>
        <v>0.41778036025566528</v>
      </c>
      <c r="AK41" s="647">
        <f t="shared" si="174"/>
        <v>0.42015786278081357</v>
      </c>
      <c r="AL41" s="671">
        <f t="shared" si="170"/>
        <v>0.41894299287410924</v>
      </c>
      <c r="AM41" s="952">
        <f t="shared" si="170"/>
        <v>0.4331883157240522</v>
      </c>
      <c r="AN41" s="647">
        <f t="shared" ref="AN41" si="175">AN38/AN40</f>
        <v>0.4568503169185763</v>
      </c>
      <c r="AO41" s="671">
        <f t="shared" si="170"/>
        <v>0.44644808743169401</v>
      </c>
      <c r="AP41" s="952">
        <f t="shared" ref="AP41:AR41" si="176">AP38/AP40</f>
        <v>0.43962362780972297</v>
      </c>
      <c r="AQ41" s="647">
        <f t="shared" si="176"/>
        <v>0.42744916820702406</v>
      </c>
      <c r="AR41" s="671">
        <f t="shared" si="176"/>
        <v>0.43316163845965172</v>
      </c>
      <c r="AS41" s="952">
        <f t="shared" ref="AS41:AU41" si="177">AS38/AS40</f>
        <v>0.39296980621901756</v>
      </c>
      <c r="AT41" s="647">
        <f t="shared" si="177"/>
        <v>0.46504559270516715</v>
      </c>
      <c r="AU41" s="671">
        <f t="shared" si="177"/>
        <v>0.42967713401149932</v>
      </c>
      <c r="AV41" s="952">
        <f t="shared" ref="AV41" si="178">AV38/AV40</f>
        <v>0.44984255510571303</v>
      </c>
      <c r="AW41" s="647">
        <f t="shared" si="170"/>
        <v>0.4817575519811691</v>
      </c>
      <c r="AX41" s="671">
        <f t="shared" si="170"/>
        <v>0.46689019279128247</v>
      </c>
      <c r="AY41" s="952">
        <f t="shared" si="170"/>
        <v>0.45289855072463769</v>
      </c>
      <c r="AZ41" s="252">
        <f t="shared" si="170"/>
        <v>0.47859640572021483</v>
      </c>
      <c r="BA41" s="577">
        <f t="shared" si="170"/>
        <v>0.46639141435310572</v>
      </c>
      <c r="BB41" s="251">
        <f t="shared" si="170"/>
        <v>0.44778105297633664</v>
      </c>
      <c r="BC41" s="252">
        <f t="shared" si="170"/>
        <v>0.47295018199293892</v>
      </c>
      <c r="BD41" s="577">
        <f t="shared" si="170"/>
        <v>0.46099946716159107</v>
      </c>
      <c r="BE41" s="251">
        <f t="shared" si="170"/>
        <v>0.4426130661400498</v>
      </c>
      <c r="BF41" s="252">
        <f t="shared" si="170"/>
        <v>0.46726372949615325</v>
      </c>
      <c r="BG41" s="577">
        <f t="shared" si="170"/>
        <v>0.45556218905756479</v>
      </c>
      <c r="BH41" s="251">
        <f t="shared" si="170"/>
        <v>0.43740088341255023</v>
      </c>
      <c r="BI41" s="252">
        <f t="shared" si="170"/>
        <v>0.46154301996694713</v>
      </c>
      <c r="BJ41" s="577">
        <f t="shared" si="170"/>
        <v>0.45008572043641643</v>
      </c>
      <c r="BK41" s="251">
        <f t="shared" si="170"/>
        <v>0.43215049609521178</v>
      </c>
      <c r="BL41" s="252">
        <f t="shared" si="170"/>
        <v>0.45579373416860691</v>
      </c>
      <c r="BM41" s="577">
        <f t="shared" si="170"/>
        <v>0.44457590437290617</v>
      </c>
    </row>
    <row r="42" spans="1:71">
      <c r="A42" s="61" t="s">
        <v>391</v>
      </c>
      <c r="B42" s="40"/>
      <c r="C42" s="40"/>
      <c r="D42" s="40"/>
      <c r="E42" s="40"/>
      <c r="F42" s="50">
        <f>F39/F40</f>
        <v>0.55895196506550215</v>
      </c>
      <c r="G42" s="50">
        <f t="shared" ref="G42:V42" si="179">G39/G40</f>
        <v>0.5542253521126761</v>
      </c>
      <c r="H42" s="50">
        <f t="shared" si="179"/>
        <v>0.53279200499687696</v>
      </c>
      <c r="I42" s="50">
        <f t="shared" si="179"/>
        <v>0.52420800956365809</v>
      </c>
      <c r="J42" s="50">
        <f t="shared" si="179"/>
        <v>0.56168446026097274</v>
      </c>
      <c r="K42" s="50">
        <f t="shared" si="179"/>
        <v>0.52039800995024876</v>
      </c>
      <c r="L42" s="50">
        <f t="shared" si="179"/>
        <v>0.5195478097032501</v>
      </c>
      <c r="M42" s="50">
        <f t="shared" si="179"/>
        <v>0.50693512304250554</v>
      </c>
      <c r="N42" s="50">
        <f t="shared" si="179"/>
        <v>0.49069093918080264</v>
      </c>
      <c r="O42" s="50">
        <f t="shared" si="179"/>
        <v>0.46545735237360092</v>
      </c>
      <c r="P42" s="50">
        <f t="shared" si="179"/>
        <v>0.60560657322377964</v>
      </c>
      <c r="Q42" s="50">
        <f t="shared" si="179"/>
        <v>0.60638820638820634</v>
      </c>
      <c r="R42" s="952">
        <f t="shared" ref="R42:S42" si="180">R39/R40</f>
        <v>0.58882235528942117</v>
      </c>
      <c r="S42" s="647">
        <f t="shared" si="180"/>
        <v>0.60397680198840098</v>
      </c>
      <c r="T42" s="671">
        <f t="shared" si="179"/>
        <v>0.59710276143051155</v>
      </c>
      <c r="U42" s="952">
        <f t="shared" si="179"/>
        <v>0.5887404580152672</v>
      </c>
      <c r="V42" s="647">
        <f t="shared" si="179"/>
        <v>0.56397718011409947</v>
      </c>
      <c r="W42" s="671">
        <f>W39/W40</f>
        <v>0.57538461538461538</v>
      </c>
      <c r="X42" s="952">
        <f t="shared" ref="X42:Y42" si="181">X39/X40</f>
        <v>0.57442489851150202</v>
      </c>
      <c r="Y42" s="647">
        <f t="shared" si="181"/>
        <v>0.54817861339600471</v>
      </c>
      <c r="Z42" s="671">
        <f t="shared" ref="Z42:BM42" si="182">Z39/Z40</f>
        <v>0.56037735849056602</v>
      </c>
      <c r="AA42" s="952">
        <f t="shared" si="182"/>
        <v>0.57031802120141339</v>
      </c>
      <c r="AB42" s="647">
        <f t="shared" si="182"/>
        <v>0.50614394382679928</v>
      </c>
      <c r="AC42" s="671">
        <f t="shared" si="182"/>
        <v>0.53521126760563376</v>
      </c>
      <c r="AD42" s="952">
        <f t="shared" ref="AD42:AE42" si="183">AD39/AD40</f>
        <v>0.56291834002677377</v>
      </c>
      <c r="AE42" s="647">
        <f t="shared" si="183"/>
        <v>0.53986332574031892</v>
      </c>
      <c r="AF42" s="671">
        <f t="shared" si="182"/>
        <v>0.55046153846153845</v>
      </c>
      <c r="AG42" s="952">
        <f t="shared" si="182"/>
        <v>0.56342562781712813</v>
      </c>
      <c r="AH42" s="647">
        <f t="shared" si="182"/>
        <v>0.58546059933407324</v>
      </c>
      <c r="AI42" s="671">
        <f t="shared" si="182"/>
        <v>0.57526080476900154</v>
      </c>
      <c r="AJ42" s="952">
        <f t="shared" ref="AJ42:AK42" si="184">AJ39/AJ40</f>
        <v>0.58221963974433466</v>
      </c>
      <c r="AK42" s="647">
        <f t="shared" si="184"/>
        <v>0.57984213721918643</v>
      </c>
      <c r="AL42" s="671">
        <f t="shared" si="182"/>
        <v>0.5810570071258907</v>
      </c>
      <c r="AM42" s="952">
        <f t="shared" si="182"/>
        <v>0.56681168427594775</v>
      </c>
      <c r="AN42" s="647">
        <f t="shared" ref="AN42" si="185">AN39/AN40</f>
        <v>0.54314968308142375</v>
      </c>
      <c r="AO42" s="671">
        <f t="shared" si="182"/>
        <v>0.55355191256830605</v>
      </c>
      <c r="AP42" s="952">
        <f t="shared" ref="AP42:AR42" si="186">AP39/AP40</f>
        <v>0.56037637219027703</v>
      </c>
      <c r="AQ42" s="647">
        <f t="shared" si="186"/>
        <v>0.57255083179297594</v>
      </c>
      <c r="AR42" s="671">
        <f t="shared" si="186"/>
        <v>0.56683836154034828</v>
      </c>
      <c r="AS42" s="952">
        <f t="shared" ref="AS42:AU42" si="187">AS39/AS40</f>
        <v>0.60703019378098244</v>
      </c>
      <c r="AT42" s="647">
        <f t="shared" si="187"/>
        <v>0.53495440729483279</v>
      </c>
      <c r="AU42" s="671">
        <f t="shared" si="187"/>
        <v>0.57032286598850068</v>
      </c>
      <c r="AV42" s="952">
        <f t="shared" ref="AV42" si="188">AV39/AV40</f>
        <v>0.55015744489428697</v>
      </c>
      <c r="AW42" s="647">
        <f t="shared" si="182"/>
        <v>0.5182424480188309</v>
      </c>
      <c r="AX42" s="671">
        <f t="shared" si="182"/>
        <v>0.53310980720871748</v>
      </c>
      <c r="AY42" s="952">
        <f t="shared" si="182"/>
        <v>0.54710144927536231</v>
      </c>
      <c r="AZ42" s="252">
        <f t="shared" si="182"/>
        <v>0.52140359427978522</v>
      </c>
      <c r="BA42" s="577">
        <f t="shared" si="182"/>
        <v>0.53360858564689428</v>
      </c>
      <c r="BB42" s="251">
        <f t="shared" si="182"/>
        <v>0.55221894702366336</v>
      </c>
      <c r="BC42" s="252">
        <f t="shared" si="182"/>
        <v>0.52704981800706108</v>
      </c>
      <c r="BD42" s="577">
        <f t="shared" si="182"/>
        <v>0.53900053283840887</v>
      </c>
      <c r="BE42" s="251">
        <f t="shared" si="182"/>
        <v>0.5573869338599502</v>
      </c>
      <c r="BF42" s="252">
        <f t="shared" si="182"/>
        <v>0.53273627050384675</v>
      </c>
      <c r="BG42" s="577">
        <f t="shared" si="182"/>
        <v>0.54443781094243526</v>
      </c>
      <c r="BH42" s="251">
        <f t="shared" si="182"/>
        <v>0.56259911658744977</v>
      </c>
      <c r="BI42" s="252">
        <f t="shared" si="182"/>
        <v>0.53845698003305287</v>
      </c>
      <c r="BJ42" s="577">
        <f t="shared" si="182"/>
        <v>0.54991427956358352</v>
      </c>
      <c r="BK42" s="251">
        <f t="shared" si="182"/>
        <v>0.56784950390478828</v>
      </c>
      <c r="BL42" s="252">
        <f t="shared" si="182"/>
        <v>0.54420626583139309</v>
      </c>
      <c r="BM42" s="577">
        <f t="shared" si="182"/>
        <v>0.55542409562709383</v>
      </c>
    </row>
    <row r="43" spans="1:71"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630"/>
      <c r="T43" s="653"/>
      <c r="U43" s="40"/>
      <c r="V43" s="630"/>
      <c r="W43" s="653"/>
      <c r="X43" s="40"/>
      <c r="Y43" s="630"/>
      <c r="Z43" s="653"/>
      <c r="AA43" s="40"/>
      <c r="AB43" s="630"/>
      <c r="AC43" s="653"/>
      <c r="AD43" s="40"/>
      <c r="AE43" s="630"/>
      <c r="AF43" s="653"/>
      <c r="AG43" s="40"/>
      <c r="AH43" s="630"/>
      <c r="AI43" s="653"/>
      <c r="AJ43" s="40"/>
      <c r="AK43" s="630"/>
      <c r="AL43" s="653"/>
      <c r="AM43" s="40"/>
      <c r="AN43" s="630"/>
      <c r="AO43" s="653"/>
      <c r="AP43" s="40"/>
      <c r="AQ43" s="539"/>
      <c r="AR43" s="550"/>
      <c r="AS43"/>
      <c r="AT43" s="539"/>
      <c r="AU43" s="550"/>
      <c r="AV43"/>
      <c r="AW43" s="539"/>
      <c r="AX43" s="550"/>
      <c r="AY43"/>
      <c r="AZ43" s="539"/>
      <c r="BA43" s="550"/>
      <c r="BB43"/>
      <c r="BC43" s="539"/>
      <c r="BD43" s="550"/>
      <c r="BE43"/>
      <c r="BF43" s="539"/>
      <c r="BG43" s="550"/>
      <c r="BH43"/>
      <c r="BI43" s="539"/>
      <c r="BJ43" s="550"/>
      <c r="BK43"/>
      <c r="BL43" s="539"/>
      <c r="BM43" s="550"/>
    </row>
    <row r="44" spans="1:71">
      <c r="A44" s="25" t="s">
        <v>388</v>
      </c>
      <c r="B44" s="40"/>
      <c r="C44" s="40"/>
      <c r="D44" s="40"/>
      <c r="E44" s="40"/>
      <c r="F44" s="40"/>
      <c r="G44" s="40"/>
      <c r="H44" s="40"/>
      <c r="I44" s="40"/>
      <c r="J44" s="40"/>
      <c r="K44" s="40"/>
      <c r="L44" s="40"/>
      <c r="M44" s="40"/>
      <c r="N44" s="40"/>
      <c r="O44" s="40"/>
      <c r="P44" s="40"/>
      <c r="Q44" s="50">
        <f t="shared" ref="Q44:Q45" si="189">Q29/P38</f>
        <v>-5.514705882352941E-2</v>
      </c>
      <c r="R44" s="50">
        <v>0.08</v>
      </c>
      <c r="S44" s="647">
        <f>T44*2-R44</f>
        <v>-2.5068664169787765E-2</v>
      </c>
      <c r="T44" s="671">
        <f>T29/Q38</f>
        <v>2.7465667915106119E-2</v>
      </c>
      <c r="U44" s="50">
        <v>-0.04</v>
      </c>
      <c r="V44" s="647">
        <f>V29/S38</f>
        <v>0.11506276150627615</v>
      </c>
      <c r="W44" s="671">
        <f>W29/T38</f>
        <v>4.2696629213483148E-2</v>
      </c>
      <c r="X44" s="50"/>
      <c r="Y44" s="647"/>
      <c r="Z44" s="671"/>
      <c r="AA44" s="50">
        <v>0.01</v>
      </c>
      <c r="AB44" s="647">
        <f>AB29/Y38</f>
        <v>0.10089726918075421</v>
      </c>
      <c r="AC44" s="671">
        <v>0.06</v>
      </c>
      <c r="AD44" s="50">
        <v>0.04</v>
      </c>
      <c r="AE44" s="647">
        <f>AE29/AB38</f>
        <v>-6.3222748815165875E-2</v>
      </c>
      <c r="AF44" s="671">
        <v>-0.02</v>
      </c>
      <c r="AG44" s="50">
        <v>0.02</v>
      </c>
      <c r="AH44" s="647">
        <f>AH29/AE38</f>
        <v>-3.4245049504950498E-2</v>
      </c>
      <c r="AI44" s="671">
        <v>-0.01</v>
      </c>
      <c r="AJ44" s="50">
        <v>0.12</v>
      </c>
      <c r="AK44" s="647">
        <f>AK29/AH38</f>
        <v>-5.4886211512717539E-2</v>
      </c>
      <c r="AL44" s="671">
        <v>0.03</v>
      </c>
      <c r="AM44" s="50">
        <v>-0.06</v>
      </c>
      <c r="AN44" s="647">
        <f>AN29/AK38</f>
        <v>0.25722543352601157</v>
      </c>
      <c r="AO44" s="671">
        <v>0.1</v>
      </c>
      <c r="AP44" s="50">
        <v>0.17</v>
      </c>
      <c r="AQ44" s="647">
        <f>AQ29/AN38</f>
        <v>1.6008537886872998E-2</v>
      </c>
      <c r="AR44" s="671">
        <v>0.08</v>
      </c>
      <c r="AS44" s="50">
        <v>0.05</v>
      </c>
      <c r="AT44" s="647">
        <f>AT29/AQ38</f>
        <v>0.17189189189189188</v>
      </c>
      <c r="AU44" s="671">
        <v>0.11</v>
      </c>
      <c r="AV44" s="50">
        <v>0.16</v>
      </c>
      <c r="AW44" s="647">
        <f>AW29/AT38</f>
        <v>0.18487394957983194</v>
      </c>
      <c r="AX44" s="671">
        <v>0.18</v>
      </c>
      <c r="AY44" s="50">
        <v>0.18</v>
      </c>
      <c r="AZ44" s="252">
        <f>AZ29/AW38</f>
        <v>4.2182410423452776E-2</v>
      </c>
      <c r="BA44" s="618">
        <v>0.1</v>
      </c>
      <c r="BB44" s="182">
        <f>BD44</f>
        <v>0.05</v>
      </c>
      <c r="BC44" s="252">
        <f>BC29/AZ38</f>
        <v>0.05</v>
      </c>
      <c r="BD44" s="618">
        <v>0.05</v>
      </c>
      <c r="BE44" s="182">
        <f>BG44</f>
        <v>0.05</v>
      </c>
      <c r="BF44" s="252">
        <f>BF29/BC38</f>
        <v>0.05</v>
      </c>
      <c r="BG44" s="577">
        <f>BD44</f>
        <v>0.05</v>
      </c>
      <c r="BH44" s="182">
        <f>BJ44</f>
        <v>0.05</v>
      </c>
      <c r="BI44" s="252">
        <f>BI29/BF38</f>
        <v>4.9999999999999996E-2</v>
      </c>
      <c r="BJ44" s="577">
        <f>BG44</f>
        <v>0.05</v>
      </c>
      <c r="BK44" s="182">
        <f>BM44</f>
        <v>0.05</v>
      </c>
      <c r="BL44" s="252">
        <f>BL29/BI38</f>
        <v>5.000000000000001E-2</v>
      </c>
      <c r="BM44" s="577">
        <f t="shared" ref="BM44" si="190">BJ44</f>
        <v>0.05</v>
      </c>
      <c r="BR44" s="23"/>
    </row>
    <row r="45" spans="1:71">
      <c r="A45" s="25" t="s">
        <v>389</v>
      </c>
      <c r="B45" s="40"/>
      <c r="C45" s="40"/>
      <c r="D45" s="40"/>
      <c r="E45" s="40"/>
      <c r="F45" s="40"/>
      <c r="G45" s="40"/>
      <c r="H45" s="40"/>
      <c r="I45" s="40"/>
      <c r="J45" s="40"/>
      <c r="K45" s="40"/>
      <c r="L45" s="40"/>
      <c r="M45" s="40"/>
      <c r="N45" s="40"/>
      <c r="O45" s="40"/>
      <c r="P45" s="40"/>
      <c r="Q45" s="50">
        <f t="shared" si="189"/>
        <v>-4.4692737430167599E-2</v>
      </c>
      <c r="R45" s="50">
        <v>-0.06</v>
      </c>
      <c r="S45" s="647">
        <f>T45*2-R45</f>
        <v>5.1896272285251212E-2</v>
      </c>
      <c r="T45" s="671">
        <f>T30/Q39</f>
        <v>-4.0518638573743921E-3</v>
      </c>
      <c r="U45" s="50">
        <v>-0.04</v>
      </c>
      <c r="V45" s="647">
        <f>V30/S39</f>
        <v>-4.663923182441701E-2</v>
      </c>
      <c r="W45" s="671">
        <f>W30/T39</f>
        <v>-4.1698256254738442E-2</v>
      </c>
      <c r="X45" s="50"/>
      <c r="Y45" s="647"/>
      <c r="Z45" s="671"/>
      <c r="AA45" s="50">
        <v>-0.01</v>
      </c>
      <c r="AB45" s="647">
        <f>AB30/Y39</f>
        <v>-6.7299035369774912E-2</v>
      </c>
      <c r="AC45" s="671">
        <v>-0.04</v>
      </c>
      <c r="AD45" s="50">
        <v>0.01</v>
      </c>
      <c r="AE45" s="647">
        <f>AE30/AB39</f>
        <v>6.7988439306358381E-2</v>
      </c>
      <c r="AF45" s="671">
        <v>0.04</v>
      </c>
      <c r="AG45" s="50">
        <v>0.02</v>
      </c>
      <c r="AH45" s="647">
        <f>AH30/AE39</f>
        <v>0.13322784810126584</v>
      </c>
      <c r="AI45" s="671">
        <v>0.08</v>
      </c>
      <c r="AJ45" s="50">
        <v>0.21</v>
      </c>
      <c r="AK45" s="647">
        <f>AK30/AH39</f>
        <v>-6.6350710900473939E-2</v>
      </c>
      <c r="AL45" s="671">
        <v>0.06</v>
      </c>
      <c r="AM45" s="50">
        <v>-0.12</v>
      </c>
      <c r="AN45" s="647">
        <f>AN30/AK39</f>
        <v>6.7015706806282729E-2</v>
      </c>
      <c r="AO45" s="671">
        <v>-0.03</v>
      </c>
      <c r="AP45" s="50">
        <v>0.13</v>
      </c>
      <c r="AQ45" s="647">
        <f>AQ30/AN39</f>
        <v>0.15170556552962297</v>
      </c>
      <c r="AR45" s="671">
        <v>0.14000000000000001</v>
      </c>
      <c r="AS45" s="50">
        <v>0.27</v>
      </c>
      <c r="AT45" s="647">
        <f>AT30/AQ39</f>
        <v>1.3720742534301856E-2</v>
      </c>
      <c r="AU45" s="671">
        <v>0.13</v>
      </c>
      <c r="AV45" s="50">
        <v>-0.08</v>
      </c>
      <c r="AW45" s="647">
        <f>AW30/AT39</f>
        <v>0.11282467532467533</v>
      </c>
      <c r="AX45" s="671">
        <v>0.01</v>
      </c>
      <c r="AY45" s="50">
        <v>0.16</v>
      </c>
      <c r="AZ45" s="252">
        <f>AZ30/AW39</f>
        <v>4.5293464871195697E-2</v>
      </c>
      <c r="BA45" s="577">
        <f>BA30/AX39</f>
        <v>9.7025419455522607E-2</v>
      </c>
      <c r="BB45" s="182">
        <f>BB30/AY39</f>
        <v>7.1933774834437275E-2</v>
      </c>
      <c r="BC45" s="252">
        <f>BC30/AZ39</f>
        <v>7.4041300908327515E-2</v>
      </c>
      <c r="BD45" s="577">
        <f>BD30/BA39</f>
        <v>7.3015038041267744E-2</v>
      </c>
      <c r="BE45" s="182">
        <f>BE30/BB39</f>
        <v>7.2201134299588521E-2</v>
      </c>
      <c r="BF45" s="252">
        <f>BF30/BC39</f>
        <v>7.4244709003120801E-2</v>
      </c>
      <c r="BG45" s="577">
        <f>BG30/BD39</f>
        <v>7.3250590119330994E-2</v>
      </c>
      <c r="BH45" s="182">
        <f>BH30/BE39</f>
        <v>7.2447733205830159E-2</v>
      </c>
      <c r="BI45" s="252">
        <f>BI30/BF39</f>
        <v>7.4429509235086844E-2</v>
      </c>
      <c r="BJ45" s="577">
        <f>BJ30/BG39</f>
        <v>7.3466395663163445E-2</v>
      </c>
      <c r="BK45" s="182">
        <f>BK30/BH39</f>
        <v>7.2674962603412871E-2</v>
      </c>
      <c r="BL45" s="252">
        <f>BL30/BI39</f>
        <v>7.4597095959117857E-2</v>
      </c>
      <c r="BM45" s="577">
        <f>BM30/BJ39</f>
        <v>7.3663854274219828E-2</v>
      </c>
    </row>
    <row r="46" spans="1:71" ht="11.4">
      <c r="B46" s="40"/>
      <c r="C46" s="40"/>
      <c r="D46" s="40"/>
      <c r="E46" s="40"/>
      <c r="F46" s="40"/>
      <c r="G46" s="40"/>
      <c r="H46" s="40"/>
      <c r="I46" s="40"/>
      <c r="J46" s="40"/>
      <c r="K46" s="40"/>
      <c r="L46" s="40"/>
      <c r="M46" s="40"/>
      <c r="N46" s="40"/>
      <c r="O46" s="40"/>
      <c r="P46" s="40"/>
      <c r="Q46" s="40"/>
      <c r="R46" s="40"/>
      <c r="S46" s="630"/>
      <c r="T46" s="653"/>
      <c r="U46" s="40"/>
      <c r="V46" s="630"/>
      <c r="W46" s="653"/>
      <c r="X46" s="40"/>
      <c r="Y46" s="630"/>
      <c r="Z46" s="653"/>
      <c r="AA46" s="40"/>
      <c r="AB46" s="630"/>
      <c r="AC46" s="653"/>
      <c r="AD46" s="40"/>
      <c r="AE46" s="630"/>
      <c r="AF46" s="653"/>
      <c r="AG46" s="40"/>
      <c r="AH46" s="630"/>
      <c r="AI46" s="653"/>
      <c r="AJ46" s="40"/>
      <c r="AK46" s="630"/>
      <c r="AL46" s="653"/>
      <c r="AM46" s="40"/>
      <c r="AN46" s="630"/>
      <c r="AO46" s="653"/>
      <c r="AP46" s="40"/>
      <c r="AQ46" s="688"/>
      <c r="AR46" s="685"/>
      <c r="AS46" s="19"/>
      <c r="AT46" s="688"/>
      <c r="AU46" s="685"/>
      <c r="AV46" s="19"/>
      <c r="AW46" s="688"/>
      <c r="AX46" s="685"/>
      <c r="AY46" s="19"/>
      <c r="AZ46" s="688"/>
      <c r="BA46" s="550"/>
      <c r="BB46" s="19"/>
      <c r="BC46" s="688"/>
      <c r="BD46" s="550"/>
      <c r="BE46" s="19"/>
      <c r="BF46" s="688"/>
      <c r="BG46" s="550"/>
      <c r="BH46" s="19"/>
      <c r="BI46" s="688"/>
      <c r="BJ46" s="550"/>
      <c r="BK46" s="19"/>
      <c r="BL46" s="688"/>
      <c r="BM46" s="550"/>
    </row>
    <row r="47" spans="1:71">
      <c r="A47" s="31" t="s">
        <v>1046</v>
      </c>
      <c r="B47" s="40"/>
      <c r="C47" s="40"/>
      <c r="D47" s="40"/>
      <c r="E47" s="40"/>
      <c r="F47" s="40"/>
      <c r="G47" s="40"/>
      <c r="H47" s="50"/>
      <c r="I47" s="50"/>
      <c r="J47" s="50"/>
      <c r="K47" s="50"/>
      <c r="L47" s="50"/>
      <c r="M47" s="50"/>
      <c r="N47" s="50"/>
      <c r="O47" s="112">
        <f>SUM(O48:O52)</f>
        <v>1</v>
      </c>
      <c r="P47" s="112">
        <f>SUM(P48:P52)</f>
        <v>1</v>
      </c>
      <c r="Q47" s="112">
        <f>SUM(Q48:Q52)</f>
        <v>1</v>
      </c>
      <c r="R47" s="112"/>
      <c r="S47" s="865"/>
      <c r="T47" s="889">
        <f>SUM(T48:T52)</f>
        <v>1</v>
      </c>
      <c r="U47" s="112"/>
      <c r="V47" s="865"/>
      <c r="W47" s="889">
        <f>SUM(W48:W52)</f>
        <v>1</v>
      </c>
      <c r="X47" s="112"/>
      <c r="Y47" s="865"/>
      <c r="Z47" s="889"/>
      <c r="AA47" s="951">
        <f>+SUM(AA48:AA52)</f>
        <v>1</v>
      </c>
      <c r="AB47" s="865">
        <f>+SUM(AB48:AB52)</f>
        <v>1</v>
      </c>
      <c r="AC47" s="889">
        <f>SUM(AC48:AC52)</f>
        <v>0.99999999999999989</v>
      </c>
      <c r="AD47" s="951">
        <f>+SUM(AD48:AD52)</f>
        <v>0.99999999999999989</v>
      </c>
      <c r="AE47" s="865">
        <f>+SUM(AE48:AE52)</f>
        <v>1</v>
      </c>
      <c r="AF47" s="889">
        <f>SUM(AF48:AF52)</f>
        <v>0.99999999999999989</v>
      </c>
      <c r="AG47" s="951">
        <f t="shared" ref="AG47:AP47" si="191">+SUM(AG48:AG52)</f>
        <v>1</v>
      </c>
      <c r="AH47" s="865">
        <f t="shared" si="191"/>
        <v>1</v>
      </c>
      <c r="AI47" s="889">
        <f t="shared" si="191"/>
        <v>1</v>
      </c>
      <c r="AJ47" s="951">
        <f t="shared" si="191"/>
        <v>1</v>
      </c>
      <c r="AK47" s="865">
        <f t="shared" si="191"/>
        <v>0.99999999999999989</v>
      </c>
      <c r="AL47" s="889">
        <f t="shared" si="191"/>
        <v>1</v>
      </c>
      <c r="AM47" s="951">
        <f t="shared" si="191"/>
        <v>1</v>
      </c>
      <c r="AN47" s="865">
        <f t="shared" si="191"/>
        <v>1</v>
      </c>
      <c r="AO47" s="889">
        <f t="shared" si="191"/>
        <v>1</v>
      </c>
      <c r="AP47" s="951">
        <f t="shared" si="191"/>
        <v>1</v>
      </c>
      <c r="AQ47" s="865">
        <f t="shared" ref="AQ47:AS47" si="192">+SUM(AQ48:AQ52)</f>
        <v>1</v>
      </c>
      <c r="AR47" s="889">
        <f t="shared" si="192"/>
        <v>1</v>
      </c>
      <c r="AS47" s="951">
        <f t="shared" si="192"/>
        <v>1.0000000000000002</v>
      </c>
      <c r="AT47" s="865">
        <f t="shared" ref="AT47:AV47" si="193">+SUM(AT48:AT52)</f>
        <v>1</v>
      </c>
      <c r="AU47" s="889">
        <f t="shared" si="193"/>
        <v>1.0000000000000002</v>
      </c>
      <c r="AV47" s="951">
        <f t="shared" si="193"/>
        <v>1</v>
      </c>
      <c r="AW47" s="865">
        <f t="shared" ref="AW47:BM47" si="194">SUM(AW48:AW52)</f>
        <v>1</v>
      </c>
      <c r="AX47" s="889">
        <f t="shared" si="194"/>
        <v>1</v>
      </c>
      <c r="AY47" s="951">
        <f t="shared" si="194"/>
        <v>1</v>
      </c>
      <c r="AZ47" s="803">
        <f t="shared" si="194"/>
        <v>1</v>
      </c>
      <c r="BA47" s="834">
        <f t="shared" si="194"/>
        <v>1</v>
      </c>
      <c r="BB47" s="264">
        <f t="shared" si="194"/>
        <v>1</v>
      </c>
      <c r="BC47" s="803">
        <f t="shared" si="194"/>
        <v>0.99999999999999967</v>
      </c>
      <c r="BD47" s="834">
        <f t="shared" si="194"/>
        <v>0.99999999999999989</v>
      </c>
      <c r="BE47" s="264">
        <f t="shared" si="194"/>
        <v>0.99999999999999989</v>
      </c>
      <c r="BF47" s="803">
        <f t="shared" si="194"/>
        <v>0.99999999999999989</v>
      </c>
      <c r="BG47" s="834">
        <f t="shared" si="194"/>
        <v>1</v>
      </c>
      <c r="BH47" s="264">
        <f t="shared" si="194"/>
        <v>1</v>
      </c>
      <c r="BI47" s="803">
        <f t="shared" si="194"/>
        <v>0.99999999999999978</v>
      </c>
      <c r="BJ47" s="834">
        <f t="shared" si="194"/>
        <v>0.99999999999999989</v>
      </c>
      <c r="BK47" s="264">
        <f t="shared" si="194"/>
        <v>1</v>
      </c>
      <c r="BL47" s="803">
        <f t="shared" si="194"/>
        <v>0.99999999999999978</v>
      </c>
      <c r="BM47" s="834">
        <f t="shared" si="194"/>
        <v>0.99999999999999978</v>
      </c>
    </row>
    <row r="48" spans="1:71">
      <c r="A48" s="25" t="s">
        <v>374</v>
      </c>
      <c r="B48" s="40"/>
      <c r="C48" s="40"/>
      <c r="D48" s="40"/>
      <c r="E48" s="40"/>
      <c r="F48" s="40"/>
      <c r="G48" s="40"/>
      <c r="H48" s="50"/>
      <c r="I48" s="50"/>
      <c r="J48" s="50"/>
      <c r="K48" s="50"/>
      <c r="L48" s="50"/>
      <c r="M48" s="50"/>
      <c r="N48" s="50"/>
      <c r="O48" s="50">
        <v>0.48</v>
      </c>
      <c r="P48" s="50">
        <v>0.51</v>
      </c>
      <c r="Q48" s="50">
        <v>0.43</v>
      </c>
      <c r="R48" s="50"/>
      <c r="S48" s="647"/>
      <c r="T48" s="671">
        <v>0.45</v>
      </c>
      <c r="U48" s="50"/>
      <c r="V48" s="647"/>
      <c r="W48" s="671">
        <v>0.53</v>
      </c>
      <c r="X48" s="50"/>
      <c r="Y48" s="647"/>
      <c r="Z48" s="653"/>
      <c r="AA48" s="952">
        <v>0.37</v>
      </c>
      <c r="AB48" s="647">
        <f>AB55/AB$40</f>
        <v>0.36999999999999994</v>
      </c>
      <c r="AC48" s="671">
        <v>0.37</v>
      </c>
      <c r="AD48" s="952">
        <v>0.37</v>
      </c>
      <c r="AE48" s="647">
        <f>AE55/AE$40</f>
        <v>0.35149202733485196</v>
      </c>
      <c r="AF48" s="671">
        <v>0.36</v>
      </c>
      <c r="AG48" s="952">
        <v>0.34</v>
      </c>
      <c r="AH48" s="647">
        <f>AH55/AH$40</f>
        <v>0.32138179800221983</v>
      </c>
      <c r="AI48" s="671">
        <v>0.33</v>
      </c>
      <c r="AJ48" s="952">
        <v>0.33</v>
      </c>
      <c r="AK48" s="647">
        <f>AK55/AK$40</f>
        <v>0.30955069823922277</v>
      </c>
      <c r="AL48" s="671">
        <v>0.32</v>
      </c>
      <c r="AM48" s="952">
        <v>0.33</v>
      </c>
      <c r="AN48" s="647">
        <f>AN55/AN$40</f>
        <v>0.32999999999999996</v>
      </c>
      <c r="AO48" s="671">
        <v>0.33</v>
      </c>
      <c r="AP48" s="952">
        <v>0.32</v>
      </c>
      <c r="AQ48" s="647">
        <f>AQ55/AQ$40</f>
        <v>0.30115988909426983</v>
      </c>
      <c r="AR48" s="671">
        <v>0.31</v>
      </c>
      <c r="AS48" s="952">
        <v>0.26</v>
      </c>
      <c r="AT48" s="647">
        <f>AT55/AT$40</f>
        <v>0.29927051671732524</v>
      </c>
      <c r="AU48" s="671">
        <v>0.28000000000000003</v>
      </c>
      <c r="AV48" s="952">
        <v>0.32</v>
      </c>
      <c r="AW48" s="647">
        <f t="shared" ref="AW48:BM48" si="195">AW55/AW54</f>
        <v>0.30127893291486857</v>
      </c>
      <c r="AX48" s="671">
        <v>0.31</v>
      </c>
      <c r="AY48" s="952">
        <v>0.32</v>
      </c>
      <c r="AZ48" s="252">
        <f t="shared" si="195"/>
        <v>0.30310926866784749</v>
      </c>
      <c r="BA48" s="577">
        <f t="shared" si="195"/>
        <v>0.31113138686131386</v>
      </c>
      <c r="BB48" s="182">
        <f t="shared" si="195"/>
        <v>0.31939736346516007</v>
      </c>
      <c r="BC48" s="252">
        <f t="shared" si="195"/>
        <v>0.30238604662423102</v>
      </c>
      <c r="BD48" s="577">
        <f t="shared" si="195"/>
        <v>0.31046329857591942</v>
      </c>
      <c r="BE48" s="182">
        <f t="shared" si="195"/>
        <v>0.31871786689359288</v>
      </c>
      <c r="BF48" s="252">
        <f t="shared" si="195"/>
        <v>0.30159559034056516</v>
      </c>
      <c r="BG48" s="577">
        <f t="shared" si="195"/>
        <v>0.30972344510015487</v>
      </c>
      <c r="BH48" s="182">
        <f t="shared" si="195"/>
        <v>0.31796432947336234</v>
      </c>
      <c r="BI48" s="252">
        <f t="shared" si="195"/>
        <v>0.30074032864047318</v>
      </c>
      <c r="BJ48" s="577">
        <f t="shared" si="195"/>
        <v>0.30891444099427728</v>
      </c>
      <c r="BK48" s="182">
        <f t="shared" si="195"/>
        <v>0.31713949335376912</v>
      </c>
      <c r="BL48" s="252">
        <f t="shared" si="195"/>
        <v>0.29982262306805418</v>
      </c>
      <c r="BM48" s="577">
        <f t="shared" si="195"/>
        <v>0.308038828600323</v>
      </c>
    </row>
    <row r="49" spans="1:66">
      <c r="A49" s="25" t="s">
        <v>376</v>
      </c>
      <c r="B49" s="40"/>
      <c r="C49" s="40"/>
      <c r="D49" s="40"/>
      <c r="E49" s="40"/>
      <c r="F49" s="40"/>
      <c r="G49" s="40"/>
      <c r="H49" s="50"/>
      <c r="I49" s="50"/>
      <c r="J49" s="50"/>
      <c r="K49" s="50"/>
      <c r="L49" s="50"/>
      <c r="M49" s="50"/>
      <c r="N49" s="50"/>
      <c r="O49" s="50">
        <v>0.38</v>
      </c>
      <c r="P49" s="50">
        <v>0.39</v>
      </c>
      <c r="Q49" s="50">
        <v>0.36</v>
      </c>
      <c r="R49" s="50"/>
      <c r="S49" s="647"/>
      <c r="T49" s="671">
        <v>0.33</v>
      </c>
      <c r="U49" s="50"/>
      <c r="V49" s="647"/>
      <c r="W49" s="671">
        <v>0.3</v>
      </c>
      <c r="X49" s="50"/>
      <c r="Y49" s="647"/>
      <c r="Z49" s="653"/>
      <c r="AA49" s="952">
        <v>0.19</v>
      </c>
      <c r="AB49" s="647">
        <f>AB56/AB$40</f>
        <v>0.24483908718548855</v>
      </c>
      <c r="AC49" s="671">
        <v>0.22</v>
      </c>
      <c r="AD49" s="952">
        <v>0.22</v>
      </c>
      <c r="AE49" s="647">
        <f>AE56/AE$40</f>
        <v>0.23850797266514806</v>
      </c>
      <c r="AF49" s="671">
        <v>0.23</v>
      </c>
      <c r="AG49" s="952">
        <v>0.22</v>
      </c>
      <c r="AH49" s="647">
        <f>AH56/AH$40</f>
        <v>0.25723640399556041</v>
      </c>
      <c r="AI49" s="671">
        <v>0.24</v>
      </c>
      <c r="AJ49" s="952">
        <v>0.24</v>
      </c>
      <c r="AK49" s="647">
        <f>AK56/AK$40</f>
        <v>0.24</v>
      </c>
      <c r="AL49" s="671">
        <v>0.24</v>
      </c>
      <c r="AM49" s="952">
        <v>0.21</v>
      </c>
      <c r="AN49" s="647">
        <f>AN56/AN$40</f>
        <v>0.26353486104339346</v>
      </c>
      <c r="AO49" s="671">
        <v>0.24</v>
      </c>
      <c r="AP49" s="952">
        <v>0.26</v>
      </c>
      <c r="AQ49" s="647">
        <f>AQ56/AQ$40</f>
        <v>0.41072088724584105</v>
      </c>
      <c r="AR49" s="671">
        <v>0.34</v>
      </c>
      <c r="AS49" s="952">
        <v>0.3</v>
      </c>
      <c r="AT49" s="647">
        <f>AT56/AT$40</f>
        <v>0.31963525835866263</v>
      </c>
      <c r="AU49" s="671">
        <v>0.31</v>
      </c>
      <c r="AV49" s="952">
        <v>0.3</v>
      </c>
      <c r="AW49" s="647">
        <f t="shared" ref="AW49:BM49" si="196">AW56/AW54</f>
        <v>0.3</v>
      </c>
      <c r="AX49" s="671">
        <v>0.3</v>
      </c>
      <c r="AY49" s="952">
        <v>0.3</v>
      </c>
      <c r="AZ49" s="252">
        <f t="shared" si="196"/>
        <v>0.30208527547310526</v>
      </c>
      <c r="BA49" s="577">
        <f t="shared" si="196"/>
        <v>0.3010948905109489</v>
      </c>
      <c r="BB49" s="182">
        <f t="shared" si="196"/>
        <v>0.29943502824858753</v>
      </c>
      <c r="BC49" s="252">
        <f t="shared" si="196"/>
        <v>0.30136449668849635</v>
      </c>
      <c r="BD49" s="577">
        <f t="shared" si="196"/>
        <v>0.3004483534605672</v>
      </c>
      <c r="BE49" s="182">
        <f t="shared" si="196"/>
        <v>0.29879800021274328</v>
      </c>
      <c r="BF49" s="252">
        <f t="shared" si="196"/>
        <v>0.30057671080108328</v>
      </c>
      <c r="BG49" s="577">
        <f t="shared" si="196"/>
        <v>0.29973236622595634</v>
      </c>
      <c r="BH49" s="182">
        <f t="shared" si="196"/>
        <v>0.29809155888127709</v>
      </c>
      <c r="BI49" s="252">
        <f t="shared" si="196"/>
        <v>0.2997243384292011</v>
      </c>
      <c r="BJ49" s="577">
        <f t="shared" si="196"/>
        <v>0.29894945902671993</v>
      </c>
      <c r="BK49" s="182">
        <f t="shared" si="196"/>
        <v>0.29731827501915853</v>
      </c>
      <c r="BL49" s="252">
        <f t="shared" si="196"/>
        <v>0.29880973313895115</v>
      </c>
      <c r="BM49" s="577">
        <f t="shared" si="196"/>
        <v>0.29810209219386097</v>
      </c>
    </row>
    <row r="50" spans="1:66">
      <c r="A50" s="25" t="s">
        <v>835</v>
      </c>
      <c r="B50" s="40"/>
      <c r="C50" s="40"/>
      <c r="D50" s="40"/>
      <c r="E50" s="40"/>
      <c r="F50" s="40"/>
      <c r="G50" s="40"/>
      <c r="H50" s="50"/>
      <c r="I50" s="50"/>
      <c r="J50" s="50"/>
      <c r="K50" s="50"/>
      <c r="L50" s="50"/>
      <c r="M50" s="50"/>
      <c r="N50" s="50"/>
      <c r="O50" s="50"/>
      <c r="P50" s="50"/>
      <c r="Q50" s="50"/>
      <c r="R50" s="50"/>
      <c r="S50" s="647"/>
      <c r="T50" s="671"/>
      <c r="U50" s="50"/>
      <c r="V50" s="647"/>
      <c r="W50" s="671"/>
      <c r="X50" s="50"/>
      <c r="Y50" s="647"/>
      <c r="Z50" s="653"/>
      <c r="AA50" s="952">
        <v>0.08</v>
      </c>
      <c r="AB50" s="647">
        <f>AB57/AB$40</f>
        <v>8.0000000000000016E-2</v>
      </c>
      <c r="AC50" s="671">
        <v>0.08</v>
      </c>
      <c r="AD50" s="952">
        <v>0.08</v>
      </c>
      <c r="AE50" s="647">
        <f>AE57/AE$40</f>
        <v>0.11701594533029613</v>
      </c>
      <c r="AF50" s="671">
        <v>0.1</v>
      </c>
      <c r="AG50" s="952">
        <v>0.11</v>
      </c>
      <c r="AH50" s="647">
        <f>AH57/AH$40</f>
        <v>0.11</v>
      </c>
      <c r="AI50" s="671">
        <v>0.11</v>
      </c>
      <c r="AJ50" s="952">
        <v>0.11</v>
      </c>
      <c r="AK50" s="647">
        <f>AK57/AK$40</f>
        <v>0.11000000000000001</v>
      </c>
      <c r="AL50" s="671">
        <v>0.11</v>
      </c>
      <c r="AM50" s="952">
        <v>0.1</v>
      </c>
      <c r="AN50" s="647">
        <f>AN57/AN$40</f>
        <v>8.215504631886883E-2</v>
      </c>
      <c r="AO50" s="671">
        <v>0.09</v>
      </c>
      <c r="AP50" s="952">
        <v>0.09</v>
      </c>
      <c r="AQ50" s="647">
        <f>AQ57/AQ$40</f>
        <v>7.1159889094269888E-2</v>
      </c>
      <c r="AR50" s="671">
        <v>0.08</v>
      </c>
      <c r="AS50" s="952">
        <v>7.0000000000000007E-2</v>
      </c>
      <c r="AT50" s="647">
        <f>AT57/AT$40</f>
        <v>7.0000000000000007E-2</v>
      </c>
      <c r="AU50" s="671">
        <v>7.0000000000000007E-2</v>
      </c>
      <c r="AV50" s="952">
        <v>7.0000000000000007E-2</v>
      </c>
      <c r="AW50" s="647">
        <f t="shared" ref="AW50:BM50" si="197">AW57/AW54</f>
        <v>7.0000000000000007E-2</v>
      </c>
      <c r="AX50" s="671">
        <v>7.0000000000000007E-2</v>
      </c>
      <c r="AY50" s="952">
        <v>0.06</v>
      </c>
      <c r="AZ50" s="252">
        <f t="shared" si="197"/>
        <v>6.7367973338305215E-2</v>
      </c>
      <c r="BA50" s="577">
        <f t="shared" si="197"/>
        <v>6.3868613138686137E-2</v>
      </c>
      <c r="BB50" s="182">
        <f t="shared" si="197"/>
        <v>5.875706214689265E-2</v>
      </c>
      <c r="BC50" s="252">
        <f t="shared" si="197"/>
        <v>6.5939171621403656E-2</v>
      </c>
      <c r="BD50" s="577">
        <f t="shared" si="197"/>
        <v>6.2528988370295288E-2</v>
      </c>
      <c r="BE50" s="182">
        <f t="shared" si="197"/>
        <v>5.7525795128177848E-2</v>
      </c>
      <c r="BF50" s="252">
        <f t="shared" si="197"/>
        <v>6.4525919384103542E-2</v>
      </c>
      <c r="BG50" s="577">
        <f t="shared" si="197"/>
        <v>6.1202997161989084E-2</v>
      </c>
      <c r="BH50" s="182">
        <f t="shared" si="197"/>
        <v>5.6306962003773067E-2</v>
      </c>
      <c r="BI50" s="252">
        <f t="shared" si="197"/>
        <v>6.31289197522613E-2</v>
      </c>
      <c r="BJ50" s="577">
        <f t="shared" si="197"/>
        <v>5.9891376416652119E-2</v>
      </c>
      <c r="BK50" s="182">
        <f t="shared" si="197"/>
        <v>5.5101255721228648E-2</v>
      </c>
      <c r="BL50" s="252">
        <f t="shared" si="197"/>
        <v>6.1748805566685903E-2</v>
      </c>
      <c r="BM50" s="577">
        <f t="shared" si="197"/>
        <v>5.8594792461827465E-2</v>
      </c>
    </row>
    <row r="51" spans="1:66">
      <c r="A51" s="25" t="s">
        <v>836</v>
      </c>
      <c r="B51" s="40"/>
      <c r="C51" s="40"/>
      <c r="D51" s="40"/>
      <c r="E51" s="40"/>
      <c r="F51" s="40"/>
      <c r="G51" s="40"/>
      <c r="H51" s="50"/>
      <c r="I51" s="50"/>
      <c r="J51" s="50"/>
      <c r="K51" s="50"/>
      <c r="L51" s="50"/>
      <c r="M51" s="50"/>
      <c r="N51" s="50"/>
      <c r="O51" s="50"/>
      <c r="P51" s="50"/>
      <c r="Q51" s="50"/>
      <c r="R51" s="50"/>
      <c r="S51" s="647"/>
      <c r="T51" s="671"/>
      <c r="U51" s="50"/>
      <c r="V51" s="647"/>
      <c r="W51" s="671"/>
      <c r="X51" s="50"/>
      <c r="Y51" s="647"/>
      <c r="Z51" s="653"/>
      <c r="AA51" s="952">
        <v>0.22</v>
      </c>
      <c r="AB51" s="647">
        <f>AB58/AB$40</f>
        <v>0.18344060854300764</v>
      </c>
      <c r="AC51" s="671">
        <v>0.2</v>
      </c>
      <c r="AD51" s="952">
        <v>0.21</v>
      </c>
      <c r="AE51" s="647">
        <f>AE58/AE$40</f>
        <v>0.17298405466970387</v>
      </c>
      <c r="AF51" s="671">
        <v>0.19</v>
      </c>
      <c r="AG51" s="952">
        <v>0.19</v>
      </c>
      <c r="AH51" s="647">
        <f>AH58/AH$40</f>
        <v>0.17138179800221975</v>
      </c>
      <c r="AI51" s="671">
        <v>0.18</v>
      </c>
      <c r="AJ51" s="952">
        <v>0.17</v>
      </c>
      <c r="AK51" s="647">
        <f>AK58/AK$40</f>
        <v>0.21089860352155432</v>
      </c>
      <c r="AL51" s="671">
        <v>0.19</v>
      </c>
      <c r="AM51" s="952">
        <v>0.22</v>
      </c>
      <c r="AN51" s="647">
        <f>AN58/AN$40</f>
        <v>0.20215504631886885</v>
      </c>
      <c r="AO51" s="671">
        <v>0.21</v>
      </c>
      <c r="AP51" s="952">
        <v>0.21</v>
      </c>
      <c r="AQ51" s="647">
        <f>AQ58/AQ$40</f>
        <v>0.22884011090573017</v>
      </c>
      <c r="AR51" s="671">
        <v>0.22</v>
      </c>
      <c r="AS51" s="952">
        <v>0.34</v>
      </c>
      <c r="AT51" s="647">
        <f>AT58/AT$40</f>
        <v>0.2614589665653495</v>
      </c>
      <c r="AU51" s="671">
        <v>0.3</v>
      </c>
      <c r="AV51" s="952">
        <v>0.27</v>
      </c>
      <c r="AW51" s="647">
        <f t="shared" ref="AW51:BM51" si="198">AW58/AW54</f>
        <v>0.28872106708513146</v>
      </c>
      <c r="AX51" s="671">
        <v>0.28000000000000003</v>
      </c>
      <c r="AY51" s="952">
        <v>0.28000000000000003</v>
      </c>
      <c r="AZ51" s="252">
        <f t="shared" si="198"/>
        <v>0.29411036403467883</v>
      </c>
      <c r="BA51" s="577">
        <f t="shared" si="198"/>
        <v>0.28740875912408759</v>
      </c>
      <c r="BB51" s="182">
        <f t="shared" si="198"/>
        <v>0.28474576271186441</v>
      </c>
      <c r="BC51" s="252">
        <f t="shared" si="198"/>
        <v>0.29894462505136327</v>
      </c>
      <c r="BD51" s="577">
        <f t="shared" si="198"/>
        <v>0.29220277257657223</v>
      </c>
      <c r="BE51" s="182">
        <f t="shared" si="198"/>
        <v>0.28950111690245722</v>
      </c>
      <c r="BF51" s="252">
        <f t="shared" si="198"/>
        <v>0.30378888495345213</v>
      </c>
      <c r="BG51" s="577">
        <f t="shared" si="198"/>
        <v>0.29700655649394259</v>
      </c>
      <c r="BH51" s="182">
        <f t="shared" si="198"/>
        <v>0.29426602684880365</v>
      </c>
      <c r="BI51" s="252">
        <f t="shared" si="198"/>
        <v>0.30864301491823398</v>
      </c>
      <c r="BJ51" s="577">
        <f t="shared" si="198"/>
        <v>0.30182002896224036</v>
      </c>
      <c r="BK51" s="182">
        <f t="shared" si="198"/>
        <v>0.29904045302483923</v>
      </c>
      <c r="BL51" s="252">
        <f t="shared" si="198"/>
        <v>0.31350687730472221</v>
      </c>
      <c r="BM51" s="577">
        <f t="shared" si="198"/>
        <v>0.30664310150462443</v>
      </c>
    </row>
    <row r="52" spans="1:66">
      <c r="A52" s="25" t="s">
        <v>16</v>
      </c>
      <c r="B52" s="40"/>
      <c r="C52" s="40"/>
      <c r="D52" s="40"/>
      <c r="E52" s="40"/>
      <c r="F52" s="40"/>
      <c r="G52" s="40"/>
      <c r="H52" s="50"/>
      <c r="I52" s="50"/>
      <c r="J52" s="50"/>
      <c r="K52" s="50"/>
      <c r="L52" s="50"/>
      <c r="M52" s="50"/>
      <c r="N52" s="50"/>
      <c r="O52" s="50">
        <v>0.14000000000000001</v>
      </c>
      <c r="P52" s="50">
        <v>0.1</v>
      </c>
      <c r="Q52" s="50">
        <v>0.21</v>
      </c>
      <c r="R52" s="50"/>
      <c r="S52" s="647"/>
      <c r="T52" s="671">
        <v>0.22</v>
      </c>
      <c r="U52" s="50"/>
      <c r="V52" s="647"/>
      <c r="W52" s="671">
        <v>0.17</v>
      </c>
      <c r="X52" s="50"/>
      <c r="Y52" s="647"/>
      <c r="Z52" s="653"/>
      <c r="AA52" s="952">
        <v>0.14000000000000001</v>
      </c>
      <c r="AB52" s="647">
        <f>AB59/AB$40</f>
        <v>0.12172030427150379</v>
      </c>
      <c r="AC52" s="671">
        <v>0.13</v>
      </c>
      <c r="AD52" s="952">
        <v>0.12</v>
      </c>
      <c r="AE52" s="647">
        <f>AE59/AE$40</f>
        <v>0.12</v>
      </c>
      <c r="AF52" s="671">
        <v>0.12</v>
      </c>
      <c r="AG52" s="952">
        <v>0.14000000000000001</v>
      </c>
      <c r="AH52" s="647">
        <f>AH59/AH$40</f>
        <v>0.14000000000000001</v>
      </c>
      <c r="AI52" s="671">
        <v>0.14000000000000001</v>
      </c>
      <c r="AJ52" s="952">
        <v>0.15</v>
      </c>
      <c r="AK52" s="647">
        <f>AK59/AK$40</f>
        <v>0.12955069823922286</v>
      </c>
      <c r="AL52" s="671">
        <v>0.14000000000000001</v>
      </c>
      <c r="AM52" s="952">
        <v>0.14000000000000001</v>
      </c>
      <c r="AN52" s="647">
        <f>AN59/AN$40</f>
        <v>0.12215504631886884</v>
      </c>
      <c r="AO52" s="671">
        <v>0.13</v>
      </c>
      <c r="AP52" s="952">
        <v>0.12</v>
      </c>
      <c r="AQ52" s="647">
        <f>AQ59/AQ$40</f>
        <v>-1.1880776340110897E-2</v>
      </c>
      <c r="AR52" s="671">
        <v>0.05</v>
      </c>
      <c r="AS52" s="952">
        <v>0.03</v>
      </c>
      <c r="AT52" s="647">
        <f>AT59/AT$40</f>
        <v>4.9635258358662615E-2</v>
      </c>
      <c r="AU52" s="671">
        <v>0.04</v>
      </c>
      <c r="AV52" s="952">
        <v>0.04</v>
      </c>
      <c r="AW52" s="647">
        <f t="shared" ref="AW52:BM52" si="199">AW59/AW54</f>
        <v>0.04</v>
      </c>
      <c r="AX52" s="671">
        <v>0.04</v>
      </c>
      <c r="AY52" s="952">
        <v>0.04</v>
      </c>
      <c r="AZ52" s="252">
        <f t="shared" si="199"/>
        <v>3.3327118486063199E-2</v>
      </c>
      <c r="BA52" s="577">
        <f t="shared" si="199"/>
        <v>3.6496350364963501E-2</v>
      </c>
      <c r="BB52" s="182">
        <f t="shared" si="199"/>
        <v>3.7664783427495289E-2</v>
      </c>
      <c r="BC52" s="252">
        <f t="shared" si="199"/>
        <v>3.1365660014505511E-2</v>
      </c>
      <c r="BD52" s="577">
        <f t="shared" si="199"/>
        <v>3.4356587016645762E-2</v>
      </c>
      <c r="BE52" s="182">
        <f t="shared" si="199"/>
        <v>3.545722086302875E-2</v>
      </c>
      <c r="BF52" s="252">
        <f t="shared" si="199"/>
        <v>2.9512894520795786E-2</v>
      </c>
      <c r="BG52" s="577">
        <f t="shared" si="199"/>
        <v>3.2334635017957032E-2</v>
      </c>
      <c r="BH52" s="182">
        <f t="shared" si="199"/>
        <v>3.3371122792783876E-2</v>
      </c>
      <c r="BI52" s="252">
        <f t="shared" si="199"/>
        <v>2.7763398259830242E-2</v>
      </c>
      <c r="BJ52" s="577">
        <f t="shared" si="199"/>
        <v>3.0424694600110189E-2</v>
      </c>
      <c r="BK52" s="182">
        <f t="shared" si="199"/>
        <v>3.1400522881004603E-2</v>
      </c>
      <c r="BL52" s="252">
        <f t="shared" si="199"/>
        <v>2.611196092158628E-2</v>
      </c>
      <c r="BM52" s="577">
        <f t="shared" si="199"/>
        <v>2.8621185239364053E-2</v>
      </c>
    </row>
    <row r="53" spans="1:66">
      <c r="B53" s="40"/>
      <c r="C53" s="40"/>
      <c r="D53" s="40"/>
      <c r="E53" s="40"/>
      <c r="F53" s="40"/>
      <c r="G53" s="40"/>
      <c r="H53" s="40"/>
      <c r="I53" s="40"/>
      <c r="J53" s="40"/>
      <c r="K53" s="40"/>
      <c r="L53" s="40"/>
      <c r="M53" s="40"/>
      <c r="N53" s="40"/>
      <c r="O53" s="40"/>
      <c r="P53" s="40"/>
      <c r="Q53" s="40"/>
      <c r="R53" s="40"/>
      <c r="S53" s="630"/>
      <c r="T53" s="653"/>
      <c r="U53" s="40"/>
      <c r="V53" s="630"/>
      <c r="W53" s="653"/>
      <c r="X53" s="40"/>
      <c r="Y53" s="630"/>
      <c r="Z53" s="653"/>
      <c r="AA53" s="40"/>
      <c r="AB53" s="630"/>
      <c r="AC53" s="653"/>
      <c r="AD53" s="40"/>
      <c r="AE53" s="630"/>
      <c r="AF53" s="653"/>
      <c r="AG53" s="40"/>
      <c r="AH53" s="630"/>
      <c r="AI53" s="653"/>
      <c r="AJ53" s="40"/>
      <c r="AK53" s="630"/>
      <c r="AL53" s="653"/>
      <c r="AM53" s="40"/>
      <c r="AN53" s="630"/>
      <c r="AO53" s="653"/>
      <c r="AP53" s="40"/>
      <c r="AQ53" s="630"/>
      <c r="AR53" s="653"/>
      <c r="AS53" s="40"/>
      <c r="AT53" s="539"/>
      <c r="AU53" s="550"/>
      <c r="AV53" s="40"/>
      <c r="AW53" s="539"/>
      <c r="AX53" s="550"/>
      <c r="AY53" s="40"/>
      <c r="AZ53" s="539"/>
      <c r="BA53" s="550"/>
      <c r="BB53"/>
      <c r="BC53" s="539"/>
      <c r="BD53" s="550"/>
      <c r="BE53"/>
      <c r="BF53" s="539"/>
      <c r="BG53" s="550"/>
      <c r="BH53"/>
      <c r="BI53" s="539"/>
      <c r="BJ53" s="550"/>
      <c r="BK53"/>
      <c r="BL53" s="539"/>
      <c r="BM53" s="550"/>
    </row>
    <row r="54" spans="1:66">
      <c r="A54" s="31" t="s">
        <v>1045</v>
      </c>
      <c r="B54" s="40"/>
      <c r="C54" s="40"/>
      <c r="D54" s="40"/>
      <c r="E54" s="40"/>
      <c r="F54" s="40"/>
      <c r="G54" s="40"/>
      <c r="H54" s="40"/>
      <c r="I54" s="40"/>
      <c r="J54" s="40"/>
      <c r="K54" s="40"/>
      <c r="L54" s="40"/>
      <c r="M54" s="40"/>
      <c r="N54" s="40"/>
      <c r="O54" s="51">
        <f>SUM(O55:O59)</f>
        <v>2591</v>
      </c>
      <c r="P54" s="51">
        <f>SUM(P55:P59)</f>
        <v>2069</v>
      </c>
      <c r="Q54" s="51">
        <f>SUM(Q55:Q59)</f>
        <v>2035</v>
      </c>
      <c r="R54" s="51"/>
      <c r="S54" s="629"/>
      <c r="T54" s="652">
        <f>SUM(T55:T59)</f>
        <v>2209</v>
      </c>
      <c r="U54" s="51"/>
      <c r="V54" s="629"/>
      <c r="W54" s="652">
        <f>SUM(W55:W59)</f>
        <v>2275</v>
      </c>
      <c r="X54" s="51"/>
      <c r="Y54" s="629"/>
      <c r="Z54" s="653"/>
      <c r="AA54" s="51">
        <f t="shared" ref="AA54:AP54" si="200">SUM(AA55:AA59)</f>
        <v>1415</v>
      </c>
      <c r="AB54" s="629">
        <f t="shared" si="200"/>
        <v>1708.9999999999998</v>
      </c>
      <c r="AC54" s="652">
        <f t="shared" si="200"/>
        <v>3124</v>
      </c>
      <c r="AD54" s="51">
        <f t="shared" si="200"/>
        <v>1494</v>
      </c>
      <c r="AE54" s="629">
        <f t="shared" si="200"/>
        <v>1756</v>
      </c>
      <c r="AF54" s="652">
        <f t="shared" si="200"/>
        <v>3250</v>
      </c>
      <c r="AG54" s="51">
        <f t="shared" si="200"/>
        <v>1553</v>
      </c>
      <c r="AH54" s="629">
        <f t="shared" si="200"/>
        <v>1802</v>
      </c>
      <c r="AI54" s="652">
        <f t="shared" si="200"/>
        <v>3355</v>
      </c>
      <c r="AJ54" s="51">
        <f t="shared" si="200"/>
        <v>1721</v>
      </c>
      <c r="AK54" s="629">
        <f t="shared" si="200"/>
        <v>1647</v>
      </c>
      <c r="AL54" s="652">
        <f t="shared" si="200"/>
        <v>3368</v>
      </c>
      <c r="AM54" s="51">
        <f t="shared" si="200"/>
        <v>1609</v>
      </c>
      <c r="AN54" s="629">
        <f t="shared" si="200"/>
        <v>2051</v>
      </c>
      <c r="AO54" s="652">
        <f t="shared" si="200"/>
        <v>3660</v>
      </c>
      <c r="AP54" s="51">
        <f t="shared" si="200"/>
        <v>1913</v>
      </c>
      <c r="AQ54" s="629">
        <f t="shared" ref="AQ54:AS54" si="201">SUM(AQ55:AQ59)</f>
        <v>2164</v>
      </c>
      <c r="AR54" s="652">
        <f t="shared" si="201"/>
        <v>4077</v>
      </c>
      <c r="AS54" s="51">
        <f t="shared" si="201"/>
        <v>2219</v>
      </c>
      <c r="AT54" s="629">
        <f t="shared" ref="AT54:AV54" si="202">SUM(AT55:AT59)</f>
        <v>2303</v>
      </c>
      <c r="AU54" s="652">
        <f t="shared" si="202"/>
        <v>4522</v>
      </c>
      <c r="AV54" s="51">
        <f t="shared" si="202"/>
        <v>2223</v>
      </c>
      <c r="AW54" s="629">
        <f>AX54-AV54</f>
        <v>2549</v>
      </c>
      <c r="AX54" s="652">
        <f t="shared" ref="AX54:AY54" si="203">SUM(AX55:AX59)</f>
        <v>4772</v>
      </c>
      <c r="AY54" s="51">
        <f t="shared" si="203"/>
        <v>2484</v>
      </c>
      <c r="AZ54" s="237">
        <f>BA54-AY54</f>
        <v>2746.1120000000001</v>
      </c>
      <c r="BA54" s="576">
        <f>SUM(BA55:BA59)</f>
        <v>5230.1120000000001</v>
      </c>
      <c r="BB54" s="48">
        <f>SUM(BB55:BB59)</f>
        <v>2638.0080000000003</v>
      </c>
      <c r="BC54" s="237">
        <f>BD54-BB54</f>
        <v>2917.8407200000006</v>
      </c>
      <c r="BD54" s="576">
        <f>SUM(BD55:BD59)</f>
        <v>5555.8487200000009</v>
      </c>
      <c r="BE54" s="48">
        <f>SUM(BE55:BE59)</f>
        <v>2802.2500800000003</v>
      </c>
      <c r="BF54" s="237">
        <f>BG54-BE54</f>
        <v>3101.0174192000009</v>
      </c>
      <c r="BG54" s="576">
        <f>SUM(BG55:BG59)</f>
        <v>5903.2674992000011</v>
      </c>
      <c r="BH54" s="48">
        <f>SUM(BH55:BH59)</f>
        <v>2977.4245420800003</v>
      </c>
      <c r="BI54" s="237">
        <f>BJ54-BH54</f>
        <v>3296.4264368320014</v>
      </c>
      <c r="BJ54" s="576">
        <f>SUM(BJ55:BJ59)</f>
        <v>6273.8509789120017</v>
      </c>
      <c r="BK54" s="48">
        <f>SUM(BK55:BK59)</f>
        <v>3164.2785177984001</v>
      </c>
      <c r="BL54" s="237">
        <f>BM54-BK54</f>
        <v>3504.9072061203219</v>
      </c>
      <c r="BM54" s="576">
        <f>SUM(BM55:BM59)</f>
        <v>6669.185723918722</v>
      </c>
    </row>
    <row r="55" spans="1:66">
      <c r="A55" s="25" t="str">
        <f>A48</f>
        <v>Transport</v>
      </c>
      <c r="B55" s="40"/>
      <c r="C55" s="40"/>
      <c r="D55" s="40"/>
      <c r="E55" s="40"/>
      <c r="F55" s="40"/>
      <c r="G55" s="40"/>
      <c r="H55" s="40"/>
      <c r="I55" s="40"/>
      <c r="J55" s="40"/>
      <c r="K55" s="40"/>
      <c r="L55" s="40"/>
      <c r="M55" s="40"/>
      <c r="N55" s="40"/>
      <c r="O55" s="40">
        <f t="shared" ref="O55:W56" si="204">O48*O$40</f>
        <v>1243.68</v>
      </c>
      <c r="P55" s="40">
        <f t="shared" si="204"/>
        <v>1055.19</v>
      </c>
      <c r="Q55" s="40">
        <f t="shared" si="204"/>
        <v>875.05</v>
      </c>
      <c r="R55" s="40"/>
      <c r="S55" s="630"/>
      <c r="T55" s="653">
        <f t="shared" si="204"/>
        <v>994.05000000000007</v>
      </c>
      <c r="U55" s="40"/>
      <c r="V55" s="630"/>
      <c r="W55" s="653">
        <f t="shared" si="204"/>
        <v>1205.75</v>
      </c>
      <c r="X55" s="40"/>
      <c r="Y55" s="630"/>
      <c r="Z55" s="653"/>
      <c r="AA55" s="40">
        <f>AA48*AA$40</f>
        <v>523.54999999999995</v>
      </c>
      <c r="AB55" s="630">
        <f>AC55-AA55</f>
        <v>632.32999999999993</v>
      </c>
      <c r="AC55" s="653">
        <f>AC48*AC$40</f>
        <v>1155.8799999999999</v>
      </c>
      <c r="AD55" s="40">
        <f>AD48*AD$40</f>
        <v>552.78</v>
      </c>
      <c r="AE55" s="630">
        <f>AF55-AD55</f>
        <v>617.22</v>
      </c>
      <c r="AF55" s="653">
        <f>AF48*AF$40</f>
        <v>1170</v>
      </c>
      <c r="AG55" s="40">
        <f>AG48*AG$40</f>
        <v>528.02</v>
      </c>
      <c r="AH55" s="630">
        <f>AI55-AG55</f>
        <v>579.13000000000011</v>
      </c>
      <c r="AI55" s="653">
        <f>AI48*AI$40</f>
        <v>1107.1500000000001</v>
      </c>
      <c r="AJ55" s="40">
        <f>AJ48*AJ$40</f>
        <v>567.93000000000006</v>
      </c>
      <c r="AK55" s="630">
        <f>AL55-AJ55</f>
        <v>509.82999999999993</v>
      </c>
      <c r="AL55" s="653">
        <f>AL48*AL$40</f>
        <v>1077.76</v>
      </c>
      <c r="AM55" s="40">
        <f>AM48*AM$40</f>
        <v>530.97</v>
      </c>
      <c r="AN55" s="630">
        <f>AO55-AM55</f>
        <v>676.82999999999993</v>
      </c>
      <c r="AO55" s="653">
        <f>AO48*AO$40</f>
        <v>1207.8</v>
      </c>
      <c r="AP55" s="40">
        <f>AP48*AP$40</f>
        <v>612.16</v>
      </c>
      <c r="AQ55" s="630">
        <f>AR55-AP55</f>
        <v>651.70999999999992</v>
      </c>
      <c r="AR55" s="653">
        <f>AR48*AR$40</f>
        <v>1263.8699999999999</v>
      </c>
      <c r="AS55" s="40">
        <f>AS48*AS$40</f>
        <v>576.94000000000005</v>
      </c>
      <c r="AT55" s="630">
        <f>AU55-AS55</f>
        <v>689.22</v>
      </c>
      <c r="AU55" s="653">
        <f>AU48*AU$40</f>
        <v>1266.1600000000001</v>
      </c>
      <c r="AV55" s="40">
        <f>AV48*AV$40</f>
        <v>711.36</v>
      </c>
      <c r="AW55" s="630">
        <f>AX55-AV55</f>
        <v>767.95999999999992</v>
      </c>
      <c r="AX55" s="653">
        <f>AX48*AX$40</f>
        <v>1479.32</v>
      </c>
      <c r="AY55" s="40">
        <f>AY48*AY$40</f>
        <v>794.88</v>
      </c>
      <c r="AZ55" s="236">
        <f>BA55-AY55</f>
        <v>832.37199999999996</v>
      </c>
      <c r="BA55" s="605">
        <f>AX55*(1+BA62)</f>
        <v>1627.252</v>
      </c>
      <c r="BB55" s="56">
        <f>AY55*(1+BB62)</f>
        <v>842.57280000000003</v>
      </c>
      <c r="BC55" s="236">
        <f>BD55-BB55</f>
        <v>882.31432000000007</v>
      </c>
      <c r="BD55" s="605">
        <f>BA55*(1+BD62)</f>
        <v>1724.8871200000001</v>
      </c>
      <c r="BE55" s="56">
        <f>BB55*(1+BE62)</f>
        <v>893.1271680000001</v>
      </c>
      <c r="BF55" s="236">
        <f>BG55-BE55</f>
        <v>935.25317920000009</v>
      </c>
      <c r="BG55" s="605">
        <f>BD55*(1+BG62)</f>
        <v>1828.3803472000002</v>
      </c>
      <c r="BH55" s="56">
        <f>BE55*(1+BH62)</f>
        <v>946.71479808000015</v>
      </c>
      <c r="BI55" s="236">
        <f>BJ55-BH55</f>
        <v>991.36836995200008</v>
      </c>
      <c r="BJ55" s="605">
        <f>BG55*(1+BJ62)</f>
        <v>1938.0831680320002</v>
      </c>
      <c r="BK55" s="56">
        <f>BH55*(1+BK62)</f>
        <v>1003.5176859648002</v>
      </c>
      <c r="BL55" s="236">
        <f>BM55-BK55</f>
        <v>1050.8504721491202</v>
      </c>
      <c r="BM55" s="605">
        <f>BJ55*(1+BM62)</f>
        <v>2054.3681581139203</v>
      </c>
    </row>
    <row r="56" spans="1:66">
      <c r="A56" s="25" t="str">
        <f>A49</f>
        <v>Combat</v>
      </c>
      <c r="B56" s="40"/>
      <c r="C56" s="40"/>
      <c r="D56" s="40"/>
      <c r="E56" s="40"/>
      <c r="F56" s="40"/>
      <c r="G56" s="40"/>
      <c r="H56" s="40"/>
      <c r="I56" s="40"/>
      <c r="J56" s="40"/>
      <c r="K56" s="40"/>
      <c r="L56" s="40"/>
      <c r="M56" s="40"/>
      <c r="N56" s="40"/>
      <c r="O56" s="40">
        <f t="shared" si="204"/>
        <v>984.58</v>
      </c>
      <c r="P56" s="40">
        <f t="shared" si="204"/>
        <v>806.91000000000008</v>
      </c>
      <c r="Q56" s="40">
        <f t="shared" si="204"/>
        <v>732.6</v>
      </c>
      <c r="R56" s="40"/>
      <c r="S56" s="630"/>
      <c r="T56" s="653">
        <f t="shared" si="204"/>
        <v>728.97</v>
      </c>
      <c r="U56" s="40"/>
      <c r="V56" s="630"/>
      <c r="W56" s="653">
        <f t="shared" si="204"/>
        <v>682.5</v>
      </c>
      <c r="X56" s="40"/>
      <c r="Y56" s="630"/>
      <c r="Z56" s="653"/>
      <c r="AA56" s="40">
        <f t="shared" ref="AA56" si="205">AA49*AA$40</f>
        <v>268.85000000000002</v>
      </c>
      <c r="AB56" s="630">
        <f>AC56-AA56</f>
        <v>418.42999999999995</v>
      </c>
      <c r="AC56" s="653">
        <f t="shared" ref="AC56:AJ59" si="206">AC49*AC$40</f>
        <v>687.28</v>
      </c>
      <c r="AD56" s="40">
        <f t="shared" si="206"/>
        <v>328.68</v>
      </c>
      <c r="AE56" s="630">
        <f>AF56-AD56</f>
        <v>418.82</v>
      </c>
      <c r="AF56" s="653">
        <f t="shared" si="206"/>
        <v>747.5</v>
      </c>
      <c r="AG56" s="40">
        <f t="shared" ref="AG56" si="207">AG49*AG$40</f>
        <v>341.66</v>
      </c>
      <c r="AH56" s="630">
        <f>AI56-AG56</f>
        <v>463.53999999999991</v>
      </c>
      <c r="AI56" s="653">
        <f t="shared" si="206"/>
        <v>805.19999999999993</v>
      </c>
      <c r="AJ56" s="40">
        <f t="shared" si="206"/>
        <v>413.03999999999996</v>
      </c>
      <c r="AK56" s="630">
        <f>AL56-AJ56</f>
        <v>395.28</v>
      </c>
      <c r="AL56" s="653">
        <f t="shared" ref="AL56:AO59" si="208">AL49*AL$40</f>
        <v>808.31999999999994</v>
      </c>
      <c r="AM56" s="40">
        <f t="shared" si="208"/>
        <v>337.89</v>
      </c>
      <c r="AN56" s="630">
        <f>AO56-AM56</f>
        <v>540.51</v>
      </c>
      <c r="AO56" s="653">
        <f t="shared" si="208"/>
        <v>878.4</v>
      </c>
      <c r="AP56" s="40">
        <f t="shared" ref="AP56" si="209">AP49*AP$40</f>
        <v>497.38</v>
      </c>
      <c r="AQ56" s="630">
        <f>AR56-AP56</f>
        <v>888.80000000000007</v>
      </c>
      <c r="AR56" s="653">
        <f t="shared" ref="AR56:AS59" si="210">AR49*AR$40</f>
        <v>1386.18</v>
      </c>
      <c r="AS56" s="40">
        <f t="shared" si="210"/>
        <v>665.69999999999993</v>
      </c>
      <c r="AT56" s="630">
        <f>AU56-AS56</f>
        <v>736.12</v>
      </c>
      <c r="AU56" s="653">
        <f t="shared" ref="AU56:AV59" si="211">AU49*AU$40</f>
        <v>1401.82</v>
      </c>
      <c r="AV56" s="40">
        <f t="shared" si="211"/>
        <v>666.9</v>
      </c>
      <c r="AW56" s="630">
        <f t="shared" ref="AW56:AW59" si="212">AX56-AV56</f>
        <v>764.69999999999993</v>
      </c>
      <c r="AX56" s="653">
        <f t="shared" ref="AX56:AY56" si="213">AX49*AX$40</f>
        <v>1431.6</v>
      </c>
      <c r="AY56" s="40">
        <f t="shared" si="213"/>
        <v>745.19999999999993</v>
      </c>
      <c r="AZ56" s="236">
        <f t="shared" ref="AZ56:AZ59" si="214">BA56-AY56</f>
        <v>829.56000000000006</v>
      </c>
      <c r="BA56" s="605">
        <f t="shared" ref="BA56:BA59" si="215">AX56*(1+BA63)</f>
        <v>1574.76</v>
      </c>
      <c r="BB56" s="56">
        <f t="shared" ref="BB56:BB59" si="216">AY56*(1+BB63)</f>
        <v>789.91199999999992</v>
      </c>
      <c r="BC56" s="236">
        <f t="shared" ref="BC56:BC59" si="217">BD56-BB56</f>
        <v>879.33360000000005</v>
      </c>
      <c r="BD56" s="605">
        <f t="shared" ref="BD56:BD59" si="218">BA56*(1+BD63)</f>
        <v>1669.2456</v>
      </c>
      <c r="BE56" s="56">
        <f t="shared" ref="BE56:BE59" si="219">BB56*(1+BE63)</f>
        <v>837.30671999999993</v>
      </c>
      <c r="BF56" s="236">
        <f t="shared" ref="BF56:BF59" si="220">BG56-BE56</f>
        <v>932.09361600000022</v>
      </c>
      <c r="BG56" s="605">
        <f t="shared" ref="BG56:BG59" si="221">BD56*(1+BG63)</f>
        <v>1769.4003360000002</v>
      </c>
      <c r="BH56" s="56">
        <f t="shared" ref="BH56:BH59" si="222">BE56*(1+BH63)</f>
        <v>887.54512319999992</v>
      </c>
      <c r="BI56" s="236">
        <f t="shared" ref="BI56:BI59" si="223">BJ56-BH56</f>
        <v>988.01923296000029</v>
      </c>
      <c r="BJ56" s="605">
        <f t="shared" ref="BJ56:BJ59" si="224">BG56*(1+BJ63)</f>
        <v>1875.5643561600002</v>
      </c>
      <c r="BK56" s="56">
        <f t="shared" ref="BK56:BK59" si="225">BH56*(1+BK63)</f>
        <v>940.79783059199997</v>
      </c>
      <c r="BL56" s="236">
        <f t="shared" ref="BL56:BL59" si="226">BM56-BK56</f>
        <v>1047.3003869376003</v>
      </c>
      <c r="BM56" s="605">
        <f t="shared" ref="BM56:BM59" si="227">BJ56*(1+BM63)</f>
        <v>1988.0982175296003</v>
      </c>
    </row>
    <row r="57" spans="1:66">
      <c r="A57" s="25" t="str">
        <f>A50</f>
        <v xml:space="preserve">Naval </v>
      </c>
      <c r="B57" s="40"/>
      <c r="C57" s="40"/>
      <c r="D57" s="40"/>
      <c r="E57" s="40"/>
      <c r="F57" s="40"/>
      <c r="G57" s="40"/>
      <c r="H57" s="40"/>
      <c r="I57" s="40"/>
      <c r="J57" s="40"/>
      <c r="K57" s="40"/>
      <c r="L57" s="40"/>
      <c r="M57" s="40"/>
      <c r="N57" s="40"/>
      <c r="O57" s="40"/>
      <c r="P57" s="40"/>
      <c r="Q57" s="40"/>
      <c r="R57" s="40"/>
      <c r="S57" s="630"/>
      <c r="T57" s="653"/>
      <c r="U57" s="40"/>
      <c r="V57" s="630"/>
      <c r="W57" s="653"/>
      <c r="X57" s="40"/>
      <c r="Y57" s="630"/>
      <c r="Z57" s="653"/>
      <c r="AA57" s="40">
        <f t="shared" ref="AA57" si="228">AA50*AA$40</f>
        <v>113.2</v>
      </c>
      <c r="AB57" s="630">
        <f>AC57-AA57</f>
        <v>136.72000000000003</v>
      </c>
      <c r="AC57" s="653">
        <f t="shared" si="206"/>
        <v>249.92000000000002</v>
      </c>
      <c r="AD57" s="40">
        <f t="shared" si="206"/>
        <v>119.52</v>
      </c>
      <c r="AE57" s="630">
        <f>AF57-AD57</f>
        <v>205.48000000000002</v>
      </c>
      <c r="AF57" s="653">
        <f t="shared" si="206"/>
        <v>325</v>
      </c>
      <c r="AG57" s="40">
        <f t="shared" ref="AG57" si="229">AG50*AG$40</f>
        <v>170.83</v>
      </c>
      <c r="AH57" s="630">
        <f>AI57-AG57</f>
        <v>198.22</v>
      </c>
      <c r="AI57" s="653">
        <f t="shared" si="206"/>
        <v>369.05</v>
      </c>
      <c r="AJ57" s="40">
        <f t="shared" si="206"/>
        <v>189.31</v>
      </c>
      <c r="AK57" s="630">
        <f>AL57-AJ57</f>
        <v>181.17000000000002</v>
      </c>
      <c r="AL57" s="653">
        <f t="shared" si="208"/>
        <v>370.48</v>
      </c>
      <c r="AM57" s="40">
        <f t="shared" si="208"/>
        <v>160.9</v>
      </c>
      <c r="AN57" s="630">
        <f>AO57-AM57</f>
        <v>168.49999999999997</v>
      </c>
      <c r="AO57" s="653">
        <f t="shared" si="208"/>
        <v>329.4</v>
      </c>
      <c r="AP57" s="40">
        <f t="shared" ref="AP57" si="230">AP50*AP$40</f>
        <v>172.17</v>
      </c>
      <c r="AQ57" s="630">
        <f>AR57-AP57</f>
        <v>153.99000000000004</v>
      </c>
      <c r="AR57" s="653">
        <f t="shared" ref="AR57" si="231">AR50*AR$40</f>
        <v>326.16000000000003</v>
      </c>
      <c r="AS57" s="40">
        <f t="shared" si="210"/>
        <v>155.33000000000001</v>
      </c>
      <c r="AT57" s="630">
        <f>AU57-AS57</f>
        <v>161.21</v>
      </c>
      <c r="AU57" s="653">
        <f t="shared" si="211"/>
        <v>316.54000000000002</v>
      </c>
      <c r="AV57" s="40">
        <f t="shared" si="211"/>
        <v>155.61000000000001</v>
      </c>
      <c r="AW57" s="630">
        <f t="shared" si="212"/>
        <v>178.43</v>
      </c>
      <c r="AX57" s="653">
        <f t="shared" ref="AX57:AY57" si="232">AX50*AX$40</f>
        <v>334.04</v>
      </c>
      <c r="AY57" s="40">
        <f t="shared" si="232"/>
        <v>149.04</v>
      </c>
      <c r="AZ57" s="236">
        <f t="shared" si="214"/>
        <v>185.00000000000003</v>
      </c>
      <c r="BA57" s="605">
        <f t="shared" si="215"/>
        <v>334.04</v>
      </c>
      <c r="BB57" s="56">
        <f t="shared" si="216"/>
        <v>155.0016</v>
      </c>
      <c r="BC57" s="236">
        <f t="shared" si="217"/>
        <v>192.40000000000003</v>
      </c>
      <c r="BD57" s="605">
        <f t="shared" si="218"/>
        <v>347.40160000000003</v>
      </c>
      <c r="BE57" s="56">
        <f t="shared" si="219"/>
        <v>161.20166399999999</v>
      </c>
      <c r="BF57" s="236">
        <f t="shared" si="220"/>
        <v>200.09600000000006</v>
      </c>
      <c r="BG57" s="605">
        <f t="shared" si="221"/>
        <v>361.29766400000005</v>
      </c>
      <c r="BH57" s="56">
        <f t="shared" si="222"/>
        <v>167.64973055999999</v>
      </c>
      <c r="BI57" s="236">
        <f t="shared" si="223"/>
        <v>208.09984000000006</v>
      </c>
      <c r="BJ57" s="605">
        <f t="shared" si="224"/>
        <v>375.74957056000005</v>
      </c>
      <c r="BK57" s="56">
        <f t="shared" si="225"/>
        <v>174.3557197824</v>
      </c>
      <c r="BL57" s="236">
        <f t="shared" si="226"/>
        <v>216.42383360000008</v>
      </c>
      <c r="BM57" s="605">
        <f t="shared" si="227"/>
        <v>390.77955338240008</v>
      </c>
    </row>
    <row r="58" spans="1:66">
      <c r="A58" s="25" t="str">
        <f>A51</f>
        <v>Submarines</v>
      </c>
      <c r="B58" s="40"/>
      <c r="C58" s="40"/>
      <c r="D58" s="40"/>
      <c r="E58" s="40"/>
      <c r="F58" s="40"/>
      <c r="G58" s="40"/>
      <c r="H58" s="40"/>
      <c r="I58" s="40"/>
      <c r="J58" s="40"/>
      <c r="K58" s="40"/>
      <c r="L58" s="40"/>
      <c r="M58" s="40"/>
      <c r="N58" s="40"/>
      <c r="O58" s="40"/>
      <c r="P58" s="40"/>
      <c r="Q58" s="40"/>
      <c r="R58" s="40"/>
      <c r="S58" s="630"/>
      <c r="T58" s="653"/>
      <c r="U58" s="40"/>
      <c r="V58" s="630"/>
      <c r="W58" s="653"/>
      <c r="X58" s="40"/>
      <c r="Y58" s="630"/>
      <c r="Z58" s="653"/>
      <c r="AA58" s="40">
        <f t="shared" ref="AA58" si="233">AA51*AA$40</f>
        <v>311.3</v>
      </c>
      <c r="AB58" s="630">
        <f>AC58-AA58</f>
        <v>313.50000000000006</v>
      </c>
      <c r="AC58" s="653">
        <f t="shared" si="206"/>
        <v>624.80000000000007</v>
      </c>
      <c r="AD58" s="40">
        <f t="shared" si="206"/>
        <v>313.74</v>
      </c>
      <c r="AE58" s="630">
        <f>AF58-AD58</f>
        <v>303.76</v>
      </c>
      <c r="AF58" s="653">
        <f t="shared" si="206"/>
        <v>617.5</v>
      </c>
      <c r="AG58" s="40">
        <f t="shared" ref="AG58" si="234">AG51*AG$40</f>
        <v>295.07</v>
      </c>
      <c r="AH58" s="630">
        <f>AI58-AG58</f>
        <v>308.83</v>
      </c>
      <c r="AI58" s="653">
        <f t="shared" si="206"/>
        <v>603.9</v>
      </c>
      <c r="AJ58" s="40">
        <f t="shared" si="206"/>
        <v>292.57</v>
      </c>
      <c r="AK58" s="630">
        <f>AL58-AJ58</f>
        <v>347.34999999999997</v>
      </c>
      <c r="AL58" s="653">
        <f t="shared" si="208"/>
        <v>639.91999999999996</v>
      </c>
      <c r="AM58" s="40">
        <f t="shared" si="208"/>
        <v>353.98</v>
      </c>
      <c r="AN58" s="630">
        <f>AO58-AM58</f>
        <v>414.62</v>
      </c>
      <c r="AO58" s="653">
        <f t="shared" si="208"/>
        <v>768.6</v>
      </c>
      <c r="AP58" s="40">
        <f t="shared" ref="AP58" si="235">AP51*AP$40</f>
        <v>401.72999999999996</v>
      </c>
      <c r="AQ58" s="630">
        <f>AR58-AP58</f>
        <v>495.21000000000009</v>
      </c>
      <c r="AR58" s="653">
        <f t="shared" ref="AR58" si="236">AR51*AR$40</f>
        <v>896.94</v>
      </c>
      <c r="AS58" s="40">
        <f t="shared" si="210"/>
        <v>754.46</v>
      </c>
      <c r="AT58" s="630">
        <f>AU58-AS58</f>
        <v>602.13999999999987</v>
      </c>
      <c r="AU58" s="653">
        <f t="shared" si="211"/>
        <v>1356.6</v>
      </c>
      <c r="AV58" s="40">
        <f t="shared" si="211"/>
        <v>600.21</v>
      </c>
      <c r="AW58" s="630">
        <f t="shared" si="212"/>
        <v>735.95</v>
      </c>
      <c r="AX58" s="653">
        <f t="shared" ref="AX58:AY58" si="237">AX51*AX$40</f>
        <v>1336.16</v>
      </c>
      <c r="AY58" s="40">
        <f t="shared" si="237"/>
        <v>695.5200000000001</v>
      </c>
      <c r="AZ58" s="236">
        <f t="shared" si="214"/>
        <v>807.66</v>
      </c>
      <c r="BA58" s="605">
        <f t="shared" si="215"/>
        <v>1503.18</v>
      </c>
      <c r="BB58" s="56">
        <f t="shared" si="216"/>
        <v>751.16160000000013</v>
      </c>
      <c r="BC58" s="236">
        <f t="shared" si="217"/>
        <v>872.27279999999996</v>
      </c>
      <c r="BD58" s="605">
        <f t="shared" si="218"/>
        <v>1623.4344000000001</v>
      </c>
      <c r="BE58" s="56">
        <f t="shared" si="219"/>
        <v>811.25452800000016</v>
      </c>
      <c r="BF58" s="236">
        <f t="shared" si="220"/>
        <v>942.0546240000001</v>
      </c>
      <c r="BG58" s="605">
        <f t="shared" si="221"/>
        <v>1753.3091520000003</v>
      </c>
      <c r="BH58" s="56">
        <f t="shared" si="222"/>
        <v>876.15489024000021</v>
      </c>
      <c r="BI58" s="236">
        <f t="shared" si="223"/>
        <v>1017.4189939200003</v>
      </c>
      <c r="BJ58" s="605">
        <f t="shared" si="224"/>
        <v>1893.5738841600005</v>
      </c>
      <c r="BK58" s="56">
        <f t="shared" si="225"/>
        <v>946.24728145920028</v>
      </c>
      <c r="BL58" s="236">
        <f t="shared" si="226"/>
        <v>1098.8125134336005</v>
      </c>
      <c r="BM58" s="605">
        <f t="shared" si="227"/>
        <v>2045.0597948928007</v>
      </c>
    </row>
    <row r="59" spans="1:66">
      <c r="A59" s="25" t="str">
        <f>A52</f>
        <v>Other</v>
      </c>
      <c r="B59" s="40"/>
      <c r="C59" s="40"/>
      <c r="D59" s="40"/>
      <c r="E59" s="40"/>
      <c r="F59" s="40"/>
      <c r="G59" s="40"/>
      <c r="H59" s="40"/>
      <c r="I59" s="40"/>
      <c r="J59" s="40"/>
      <c r="K59" s="40"/>
      <c r="L59" s="40"/>
      <c r="M59" s="40"/>
      <c r="N59" s="40"/>
      <c r="O59" s="40">
        <f>O52*O$40</f>
        <v>362.74</v>
      </c>
      <c r="P59" s="40">
        <f>P52*P$40</f>
        <v>206.9</v>
      </c>
      <c r="Q59" s="40">
        <f>Q52*Q$40</f>
        <v>427.34999999999997</v>
      </c>
      <c r="R59" s="40"/>
      <c r="S59" s="630"/>
      <c r="T59" s="653">
        <f>T52*T$40</f>
        <v>485.98</v>
      </c>
      <c r="U59" s="40"/>
      <c r="V59" s="630"/>
      <c r="W59" s="653">
        <f>W52*W$40</f>
        <v>386.75</v>
      </c>
      <c r="X59" s="40"/>
      <c r="Y59" s="630"/>
      <c r="Z59" s="653"/>
      <c r="AA59" s="40">
        <f t="shared" ref="AA59" si="238">AA52*AA$40</f>
        <v>198.10000000000002</v>
      </c>
      <c r="AB59" s="630">
        <f>AC59-AA59</f>
        <v>208.01999999999998</v>
      </c>
      <c r="AC59" s="653">
        <f t="shared" si="206"/>
        <v>406.12</v>
      </c>
      <c r="AD59" s="40">
        <f t="shared" si="206"/>
        <v>179.28</v>
      </c>
      <c r="AE59" s="630">
        <f>AF59-AD59</f>
        <v>210.72</v>
      </c>
      <c r="AF59" s="653">
        <f t="shared" si="206"/>
        <v>390</v>
      </c>
      <c r="AG59" s="40">
        <f t="shared" ref="AG59" si="239">AG52*AG$40</f>
        <v>217.42000000000002</v>
      </c>
      <c r="AH59" s="630">
        <f>AI59-AG59</f>
        <v>252.28000000000003</v>
      </c>
      <c r="AI59" s="653">
        <f t="shared" si="206"/>
        <v>469.70000000000005</v>
      </c>
      <c r="AJ59" s="40">
        <f t="shared" si="206"/>
        <v>258.14999999999998</v>
      </c>
      <c r="AK59" s="630">
        <f>AL59-AJ59</f>
        <v>213.37000000000006</v>
      </c>
      <c r="AL59" s="653">
        <f t="shared" si="208"/>
        <v>471.52000000000004</v>
      </c>
      <c r="AM59" s="40">
        <f t="shared" si="208"/>
        <v>225.26000000000002</v>
      </c>
      <c r="AN59" s="630">
        <f>AO59-AM59</f>
        <v>250.54</v>
      </c>
      <c r="AO59" s="653">
        <f t="shared" si="208"/>
        <v>475.8</v>
      </c>
      <c r="AP59" s="40">
        <f t="shared" ref="AP59" si="240">AP52*AP$40</f>
        <v>229.56</v>
      </c>
      <c r="AQ59" s="630">
        <f>AR59-AP59</f>
        <v>-25.70999999999998</v>
      </c>
      <c r="AR59" s="653">
        <f t="shared" ref="AR59" si="241">AR52*AR$40</f>
        <v>203.85000000000002</v>
      </c>
      <c r="AS59" s="40">
        <f t="shared" si="210"/>
        <v>66.569999999999993</v>
      </c>
      <c r="AT59" s="630">
        <f>AU59-AS59</f>
        <v>114.31</v>
      </c>
      <c r="AU59" s="653">
        <f t="shared" si="211"/>
        <v>180.88</v>
      </c>
      <c r="AV59" s="40">
        <f t="shared" si="211"/>
        <v>88.92</v>
      </c>
      <c r="AW59" s="630">
        <f t="shared" si="212"/>
        <v>101.96</v>
      </c>
      <c r="AX59" s="653">
        <f t="shared" ref="AX59:AY59" si="242">AX52*AX$40</f>
        <v>190.88</v>
      </c>
      <c r="AY59" s="40">
        <f t="shared" si="242"/>
        <v>99.36</v>
      </c>
      <c r="AZ59" s="236">
        <f t="shared" si="214"/>
        <v>91.52</v>
      </c>
      <c r="BA59" s="605">
        <f t="shared" si="215"/>
        <v>190.88</v>
      </c>
      <c r="BB59" s="56">
        <f t="shared" si="216"/>
        <v>99.36</v>
      </c>
      <c r="BC59" s="236">
        <f t="shared" si="217"/>
        <v>91.52</v>
      </c>
      <c r="BD59" s="605">
        <f t="shared" si="218"/>
        <v>190.88</v>
      </c>
      <c r="BE59" s="56">
        <f t="shared" si="219"/>
        <v>99.36</v>
      </c>
      <c r="BF59" s="236">
        <f t="shared" si="220"/>
        <v>91.52</v>
      </c>
      <c r="BG59" s="605">
        <f t="shared" si="221"/>
        <v>190.88</v>
      </c>
      <c r="BH59" s="56">
        <f t="shared" si="222"/>
        <v>99.36</v>
      </c>
      <c r="BI59" s="236">
        <f t="shared" si="223"/>
        <v>91.52</v>
      </c>
      <c r="BJ59" s="605">
        <f t="shared" si="224"/>
        <v>190.88</v>
      </c>
      <c r="BK59" s="56">
        <f t="shared" si="225"/>
        <v>99.36</v>
      </c>
      <c r="BL59" s="236">
        <f t="shared" si="226"/>
        <v>91.52</v>
      </c>
      <c r="BM59" s="605">
        <f t="shared" si="227"/>
        <v>190.88</v>
      </c>
    </row>
    <row r="60" spans="1:66">
      <c r="B60" s="40"/>
      <c r="C60" s="40"/>
      <c r="D60" s="40"/>
      <c r="E60" s="40"/>
      <c r="F60" s="40"/>
      <c r="G60" s="40"/>
      <c r="H60" s="40"/>
      <c r="I60" s="40"/>
      <c r="J60" s="40"/>
      <c r="K60" s="40"/>
      <c r="L60" s="40"/>
      <c r="M60" s="40"/>
      <c r="N60" s="40"/>
      <c r="O60" s="40"/>
      <c r="P60" s="40"/>
      <c r="Q60" s="40"/>
      <c r="R60" s="40"/>
      <c r="S60" s="630"/>
      <c r="T60" s="653"/>
      <c r="U60" s="40"/>
      <c r="V60" s="630"/>
      <c r="W60" s="653"/>
      <c r="X60" s="40"/>
      <c r="Y60" s="630"/>
      <c r="Z60" s="653"/>
      <c r="AA60" s="40"/>
      <c r="AB60" s="630"/>
      <c r="AC60" s="653"/>
      <c r="AD60" s="40"/>
      <c r="AE60" s="630"/>
      <c r="AF60" s="653"/>
      <c r="AG60" s="40"/>
      <c r="AH60" s="630"/>
      <c r="AI60" s="653"/>
      <c r="AJ60" s="40"/>
      <c r="AK60" s="630"/>
      <c r="AL60" s="653"/>
      <c r="AM60" s="40"/>
      <c r="AN60" s="630"/>
      <c r="AO60" s="653"/>
      <c r="AP60" s="40"/>
      <c r="AQ60" s="539"/>
      <c r="AR60" s="550"/>
      <c r="AS60" s="40"/>
      <c r="AT60" s="539"/>
      <c r="AU60" s="550"/>
      <c r="AV60" s="40"/>
      <c r="AW60" s="539"/>
      <c r="AX60" s="550"/>
      <c r="AY60" s="40"/>
      <c r="AZ60" s="539"/>
      <c r="BA60" s="550"/>
      <c r="BB60"/>
      <c r="BC60" s="539"/>
      <c r="BD60" s="550"/>
      <c r="BE60"/>
      <c r="BF60" s="539"/>
      <c r="BG60" s="550"/>
      <c r="BH60"/>
      <c r="BI60" s="539"/>
      <c r="BJ60" s="550"/>
      <c r="BK60"/>
      <c r="BL60" s="539"/>
      <c r="BM60" s="550"/>
    </row>
    <row r="61" spans="1:66" s="63" customFormat="1">
      <c r="A61" s="63" t="s">
        <v>1048</v>
      </c>
      <c r="B61" s="112"/>
      <c r="C61" s="112"/>
      <c r="D61" s="112"/>
      <c r="E61" s="112"/>
      <c r="F61" s="112"/>
      <c r="G61" s="112"/>
      <c r="H61" s="112"/>
      <c r="I61" s="112"/>
      <c r="J61" s="112"/>
      <c r="K61" s="112"/>
      <c r="L61" s="112"/>
      <c r="M61" s="112"/>
      <c r="N61" s="112"/>
      <c r="O61" s="112"/>
      <c r="P61" s="112"/>
      <c r="Q61" s="112"/>
      <c r="R61" s="112"/>
      <c r="S61" s="865"/>
      <c r="T61" s="889"/>
      <c r="U61" s="112"/>
      <c r="V61" s="865"/>
      <c r="W61" s="889"/>
      <c r="X61" s="112"/>
      <c r="Y61" s="865"/>
      <c r="Z61" s="889"/>
      <c r="AA61" s="112"/>
      <c r="AB61" s="865"/>
      <c r="AC61" s="889"/>
      <c r="AD61" s="112"/>
      <c r="AE61" s="865"/>
      <c r="AF61" s="889">
        <f>AF54/AC54-1</f>
        <v>4.0332906530089696E-2</v>
      </c>
      <c r="AG61" s="112">
        <f t="shared" ref="AG61:AS61" si="243">AG54/AD54-1</f>
        <v>3.9491298527443153E-2</v>
      </c>
      <c r="AH61" s="865">
        <f t="shared" si="243"/>
        <v>2.6195899772209597E-2</v>
      </c>
      <c r="AI61" s="889">
        <f t="shared" si="243"/>
        <v>3.2307692307692371E-2</v>
      </c>
      <c r="AJ61" s="112">
        <f t="shared" si="243"/>
        <v>0.1081777205408887</v>
      </c>
      <c r="AK61" s="865">
        <f t="shared" si="243"/>
        <v>-8.6015538290788007E-2</v>
      </c>
      <c r="AL61" s="889">
        <f t="shared" si="243"/>
        <v>3.8748137108792768E-3</v>
      </c>
      <c r="AM61" s="112">
        <f t="shared" si="243"/>
        <v>-6.5078442765833855E-2</v>
      </c>
      <c r="AN61" s="865">
        <f t="shared" si="243"/>
        <v>0.24529447480267152</v>
      </c>
      <c r="AO61" s="889">
        <f t="shared" si="243"/>
        <v>8.6698337292161476E-2</v>
      </c>
      <c r="AP61" s="112">
        <f t="shared" si="243"/>
        <v>0.18893722809198255</v>
      </c>
      <c r="AQ61" s="546">
        <f t="shared" si="243"/>
        <v>5.5095075572891172E-2</v>
      </c>
      <c r="AR61" s="587">
        <f t="shared" si="243"/>
        <v>0.11393442622950811</v>
      </c>
      <c r="AS61" s="112">
        <f t="shared" si="243"/>
        <v>0.15995818086774705</v>
      </c>
      <c r="AT61" s="546">
        <f t="shared" ref="AT61:AT66" si="244">AT54/AQ54-1</f>
        <v>6.4232902033271699E-2</v>
      </c>
      <c r="AU61" s="587">
        <f t="shared" ref="AU61:AY66" si="245">AU54/AR54-1</f>
        <v>0.10914888398332101</v>
      </c>
      <c r="AV61" s="112">
        <f t="shared" si="245"/>
        <v>1.8026137899955774E-3</v>
      </c>
      <c r="AW61" s="546">
        <f t="shared" ref="AW61" si="246">AW54/AT54-1</f>
        <v>0.10681719496309161</v>
      </c>
      <c r="AX61" s="587">
        <f t="shared" si="245"/>
        <v>5.5285272003538166E-2</v>
      </c>
      <c r="AY61" s="112">
        <f t="shared" si="245"/>
        <v>0.1174089068825912</v>
      </c>
      <c r="AZ61" s="803">
        <f t="shared" ref="AZ61" si="247">AZ54/AW54-1</f>
        <v>7.7329148685759241E-2</v>
      </c>
      <c r="BA61" s="834">
        <f>BA54/AX54-1</f>
        <v>9.6000000000000085E-2</v>
      </c>
      <c r="BB61" s="264">
        <f t="shared" ref="BB61" si="248">BB54/AY54-1</f>
        <v>6.2000000000000055E-2</v>
      </c>
      <c r="BC61" s="803">
        <f t="shared" ref="BC61" si="249">BC54/AZ54-1</f>
        <v>6.2535220704763805E-2</v>
      </c>
      <c r="BD61" s="834">
        <f>BD54/BA54-1</f>
        <v>6.2281021897810263E-2</v>
      </c>
      <c r="BE61" s="264">
        <f t="shared" ref="BE61" si="250">BE54/BB54-1</f>
        <v>6.2259887005649661E-2</v>
      </c>
      <c r="BF61" s="803">
        <f t="shared" ref="BF61" si="251">BF54/BC54-1</f>
        <v>6.2778169467728961E-2</v>
      </c>
      <c r="BG61" s="834">
        <f>BG54/BD54-1</f>
        <v>6.253208046312686E-2</v>
      </c>
      <c r="BH61" s="264">
        <f t="shared" ref="BH61" si="252">BH54/BE54-1</f>
        <v>6.2512073183703887E-2</v>
      </c>
      <c r="BI61" s="803">
        <f t="shared" ref="BI61" si="253">BI54/BF54-1</f>
        <v>6.3014485640139339E-2</v>
      </c>
      <c r="BJ61" s="834">
        <f>BJ54/BG54-1</f>
        <v>6.277599308556181E-2</v>
      </c>
      <c r="BK61" s="264">
        <f t="shared" ref="BK61" si="254">BK54/BH54-1</f>
        <v>6.275691392933358E-2</v>
      </c>
      <c r="BL61" s="803">
        <f t="shared" ref="BL61" si="255">BL54/BI54-1</f>
        <v>6.3244478007729699E-2</v>
      </c>
      <c r="BM61" s="834">
        <f>BM54/BJ54-1</f>
        <v>6.3013091374905184E-2</v>
      </c>
      <c r="BN61" s="433"/>
    </row>
    <row r="62" spans="1:66" s="33" customFormat="1">
      <c r="A62" s="33" t="str">
        <f>A55</f>
        <v>Transport</v>
      </c>
      <c r="B62" s="103"/>
      <c r="C62" s="103"/>
      <c r="D62" s="103"/>
      <c r="E62" s="103"/>
      <c r="F62" s="103"/>
      <c r="G62" s="103"/>
      <c r="H62" s="103"/>
      <c r="I62" s="103"/>
      <c r="J62" s="103"/>
      <c r="K62" s="103"/>
      <c r="L62" s="103"/>
      <c r="M62" s="103"/>
      <c r="N62" s="103"/>
      <c r="O62" s="103"/>
      <c r="P62" s="103"/>
      <c r="Q62" s="103"/>
      <c r="R62" s="103"/>
      <c r="S62" s="637"/>
      <c r="T62" s="660"/>
      <c r="U62" s="103"/>
      <c r="V62" s="637"/>
      <c r="W62" s="660"/>
      <c r="X62" s="103"/>
      <c r="Y62" s="637"/>
      <c r="Z62" s="660"/>
      <c r="AA62" s="103"/>
      <c r="AB62" s="637"/>
      <c r="AC62" s="660"/>
      <c r="AD62" s="103"/>
      <c r="AE62" s="637"/>
      <c r="AF62" s="660">
        <f>AF55/AC55-1</f>
        <v>1.221580094819541E-2</v>
      </c>
      <c r="AG62" s="103">
        <f t="shared" ref="AG62:AS66" si="256">AG55/AD55-1</f>
        <v>-4.4791779731538806E-2</v>
      </c>
      <c r="AH62" s="637">
        <f t="shared" si="256"/>
        <v>-6.1712193383234415E-2</v>
      </c>
      <c r="AI62" s="660">
        <f t="shared" si="256"/>
        <v>-5.371794871794866E-2</v>
      </c>
      <c r="AJ62" s="103">
        <f t="shared" si="256"/>
        <v>7.5584258172039176E-2</v>
      </c>
      <c r="AK62" s="637">
        <f t="shared" si="256"/>
        <v>-0.11966225199868796</v>
      </c>
      <c r="AL62" s="660">
        <f t="shared" si="256"/>
        <v>-2.6545635189450523E-2</v>
      </c>
      <c r="AM62" s="103">
        <f t="shared" si="256"/>
        <v>-6.5078442765833855E-2</v>
      </c>
      <c r="AN62" s="637">
        <f t="shared" si="256"/>
        <v>0.32756016711452851</v>
      </c>
      <c r="AO62" s="660">
        <f t="shared" si="256"/>
        <v>0.12065766033254155</v>
      </c>
      <c r="AP62" s="103">
        <f t="shared" si="256"/>
        <v>0.1529088272407102</v>
      </c>
      <c r="AQ62" s="802">
        <f t="shared" si="256"/>
        <v>-3.7114194110781207E-2</v>
      </c>
      <c r="AR62" s="833">
        <f t="shared" si="256"/>
        <v>4.6423248882265122E-2</v>
      </c>
      <c r="AS62" s="103">
        <f t="shared" si="256"/>
        <v>-5.7533978044955414E-2</v>
      </c>
      <c r="AT62" s="802">
        <f t="shared" si="244"/>
        <v>5.7556275030305137E-2</v>
      </c>
      <c r="AU62" s="833">
        <f t="shared" si="245"/>
        <v>1.8118952107417652E-3</v>
      </c>
      <c r="AV62" s="103">
        <f t="shared" si="245"/>
        <v>0.23298783235691745</v>
      </c>
      <c r="AW62" s="802">
        <f>AW55/AT55-1</f>
        <v>0.11424508865093852</v>
      </c>
      <c r="AX62" s="833">
        <f t="shared" si="245"/>
        <v>0.16835155114677436</v>
      </c>
      <c r="AY62" s="103">
        <f t="shared" si="245"/>
        <v>0.11740890688259098</v>
      </c>
      <c r="AZ62" s="752">
        <f>AZ55/AW55-1</f>
        <v>8.3874160112505924E-2</v>
      </c>
      <c r="BA62" s="610">
        <v>0.1</v>
      </c>
      <c r="BB62" s="324">
        <f>BD62</f>
        <v>0.06</v>
      </c>
      <c r="BC62" s="752">
        <f>BC55/AZ55-1</f>
        <v>6.0000000000000053E-2</v>
      </c>
      <c r="BD62" s="610">
        <v>0.06</v>
      </c>
      <c r="BE62" s="324">
        <f>BG62</f>
        <v>0.06</v>
      </c>
      <c r="BF62" s="752">
        <f>BF55/BC55-1</f>
        <v>6.0000000000000053E-2</v>
      </c>
      <c r="BG62" s="765">
        <f>BD62</f>
        <v>0.06</v>
      </c>
      <c r="BH62" s="324">
        <f>BJ62</f>
        <v>0.06</v>
      </c>
      <c r="BI62" s="752">
        <f>BI55/BF55-1</f>
        <v>6.0000000000000053E-2</v>
      </c>
      <c r="BJ62" s="765">
        <f>BG62</f>
        <v>0.06</v>
      </c>
      <c r="BK62" s="324">
        <f>BM62</f>
        <v>0.06</v>
      </c>
      <c r="BL62" s="752">
        <f>BL55/BI55-1</f>
        <v>6.0000000000000053E-2</v>
      </c>
      <c r="BM62" s="765">
        <f>BJ62</f>
        <v>0.06</v>
      </c>
      <c r="BN62" s="464" t="s">
        <v>1003</v>
      </c>
    </row>
    <row r="63" spans="1:66" s="33" customFormat="1">
      <c r="A63" s="33" t="str">
        <f t="shared" ref="A63:A66" si="257">A56</f>
        <v>Combat</v>
      </c>
      <c r="B63" s="103"/>
      <c r="C63" s="103"/>
      <c r="D63" s="103"/>
      <c r="E63" s="103"/>
      <c r="F63" s="103"/>
      <c r="G63" s="103"/>
      <c r="H63" s="103"/>
      <c r="I63" s="103"/>
      <c r="J63" s="103"/>
      <c r="K63" s="103"/>
      <c r="L63" s="103"/>
      <c r="M63" s="103"/>
      <c r="N63" s="103"/>
      <c r="O63" s="103"/>
      <c r="P63" s="103"/>
      <c r="Q63" s="103"/>
      <c r="R63" s="103"/>
      <c r="S63" s="637"/>
      <c r="T63" s="660"/>
      <c r="U63" s="103"/>
      <c r="V63" s="637"/>
      <c r="W63" s="660"/>
      <c r="X63" s="103"/>
      <c r="Y63" s="637"/>
      <c r="Z63" s="660"/>
      <c r="AA63" s="103"/>
      <c r="AB63" s="637"/>
      <c r="AC63" s="660"/>
      <c r="AD63" s="103"/>
      <c r="AE63" s="637"/>
      <c r="AF63" s="660">
        <f t="shared" ref="AF63:AF66" si="258">AF56/AC56-1</f>
        <v>8.7620765917820975E-2</v>
      </c>
      <c r="AG63" s="103">
        <f t="shared" si="256"/>
        <v>3.9491298527443153E-2</v>
      </c>
      <c r="AH63" s="637">
        <f t="shared" si="256"/>
        <v>0.10677618069815176</v>
      </c>
      <c r="AI63" s="660">
        <f t="shared" si="256"/>
        <v>7.7190635451504841E-2</v>
      </c>
      <c r="AJ63" s="103">
        <f t="shared" si="256"/>
        <v>0.20892114968096909</v>
      </c>
      <c r="AK63" s="637">
        <f t="shared" si="256"/>
        <v>-0.14725805755706078</v>
      </c>
      <c r="AL63" s="660">
        <f t="shared" si="256"/>
        <v>3.8748137108792768E-3</v>
      </c>
      <c r="AM63" s="103">
        <f t="shared" si="256"/>
        <v>-0.18194363742010455</v>
      </c>
      <c r="AN63" s="637">
        <f t="shared" si="256"/>
        <v>0.36741044323011551</v>
      </c>
      <c r="AO63" s="660">
        <f t="shared" si="256"/>
        <v>8.6698337292161476E-2</v>
      </c>
      <c r="AP63" s="103">
        <f t="shared" si="256"/>
        <v>0.47201752049483559</v>
      </c>
      <c r="AQ63" s="802">
        <f t="shared" si="256"/>
        <v>0.64437290706924966</v>
      </c>
      <c r="AR63" s="833">
        <f t="shared" si="256"/>
        <v>0.57807377049180331</v>
      </c>
      <c r="AS63" s="103">
        <f t="shared" si="256"/>
        <v>0.33841328561663109</v>
      </c>
      <c r="AT63" s="802">
        <f t="shared" si="244"/>
        <v>-0.17178217821782182</v>
      </c>
      <c r="AU63" s="833">
        <f t="shared" si="245"/>
        <v>1.1282805984792699E-2</v>
      </c>
      <c r="AV63" s="103">
        <f t="shared" si="245"/>
        <v>1.8026137899955774E-3</v>
      </c>
      <c r="AW63" s="802">
        <f>AW56/AT56-1</f>
        <v>3.8825191544856752E-2</v>
      </c>
      <c r="AX63" s="833">
        <f t="shared" si="245"/>
        <v>2.1243811616327379E-2</v>
      </c>
      <c r="AY63" s="103">
        <f t="shared" si="245"/>
        <v>0.11740890688259098</v>
      </c>
      <c r="AZ63" s="752">
        <f>AZ56/AW56-1</f>
        <v>8.481757551981195E-2</v>
      </c>
      <c r="BA63" s="610">
        <v>0.1</v>
      </c>
      <c r="BB63" s="324">
        <f t="shared" ref="BB63:BB66" si="259">BD63</f>
        <v>0.06</v>
      </c>
      <c r="BC63" s="752">
        <f>BC56/AZ56-1</f>
        <v>6.0000000000000053E-2</v>
      </c>
      <c r="BD63" s="610">
        <v>0.06</v>
      </c>
      <c r="BE63" s="324">
        <f t="shared" ref="BE63:BE66" si="260">BG63</f>
        <v>0.06</v>
      </c>
      <c r="BF63" s="752">
        <f>BF56/BC56-1</f>
        <v>6.0000000000000275E-2</v>
      </c>
      <c r="BG63" s="765">
        <f>BD63</f>
        <v>0.06</v>
      </c>
      <c r="BH63" s="324">
        <f t="shared" ref="BH63:BH66" si="261">BJ63</f>
        <v>0.06</v>
      </c>
      <c r="BI63" s="752">
        <f>BI56/BF56-1</f>
        <v>6.0000000000000053E-2</v>
      </c>
      <c r="BJ63" s="765">
        <f>BG63</f>
        <v>0.06</v>
      </c>
      <c r="BK63" s="324">
        <f t="shared" ref="BK63:BK66" si="262">BM63</f>
        <v>0.06</v>
      </c>
      <c r="BL63" s="752">
        <f>BL56/BI56-1</f>
        <v>5.9999999999999831E-2</v>
      </c>
      <c r="BM63" s="765">
        <f>BJ63</f>
        <v>0.06</v>
      </c>
      <c r="BN63" s="464" t="s">
        <v>1003</v>
      </c>
    </row>
    <row r="64" spans="1:66" s="33" customFormat="1">
      <c r="A64" s="33" t="str">
        <f t="shared" si="257"/>
        <v xml:space="preserve">Naval </v>
      </c>
      <c r="B64" s="103"/>
      <c r="C64" s="103"/>
      <c r="D64" s="103"/>
      <c r="E64" s="103"/>
      <c r="F64" s="103"/>
      <c r="G64" s="103"/>
      <c r="H64" s="103"/>
      <c r="I64" s="103"/>
      <c r="J64" s="103"/>
      <c r="K64" s="103"/>
      <c r="L64" s="103"/>
      <c r="M64" s="103"/>
      <c r="N64" s="103"/>
      <c r="O64" s="103"/>
      <c r="P64" s="103"/>
      <c r="Q64" s="103"/>
      <c r="R64" s="103"/>
      <c r="S64" s="637"/>
      <c r="T64" s="660"/>
      <c r="U64" s="103"/>
      <c r="V64" s="637"/>
      <c r="W64" s="660"/>
      <c r="X64" s="103"/>
      <c r="Y64" s="637"/>
      <c r="Z64" s="660"/>
      <c r="AA64" s="103"/>
      <c r="AB64" s="637"/>
      <c r="AC64" s="660"/>
      <c r="AD64" s="103"/>
      <c r="AE64" s="637"/>
      <c r="AF64" s="660">
        <f t="shared" si="258"/>
        <v>0.30041613316261184</v>
      </c>
      <c r="AG64" s="103">
        <f t="shared" si="256"/>
        <v>0.42930053547523439</v>
      </c>
      <c r="AH64" s="637">
        <f t="shared" si="256"/>
        <v>-3.5331905781584627E-2</v>
      </c>
      <c r="AI64" s="660">
        <f t="shared" si="256"/>
        <v>0.13553846153846161</v>
      </c>
      <c r="AJ64" s="103">
        <f t="shared" si="256"/>
        <v>0.10817772054088848</v>
      </c>
      <c r="AK64" s="637">
        <f t="shared" si="256"/>
        <v>-8.6015538290787896E-2</v>
      </c>
      <c r="AL64" s="660">
        <f t="shared" si="256"/>
        <v>3.8748137108792768E-3</v>
      </c>
      <c r="AM64" s="103">
        <f t="shared" si="256"/>
        <v>-0.1500713116053034</v>
      </c>
      <c r="AN64" s="637">
        <f t="shared" si="256"/>
        <v>-6.9934315835955441E-2</v>
      </c>
      <c r="AO64" s="660">
        <f t="shared" si="256"/>
        <v>-0.11088317857914065</v>
      </c>
      <c r="AP64" s="103">
        <f t="shared" si="256"/>
        <v>7.0043505282784135E-2</v>
      </c>
      <c r="AQ64" s="802">
        <f t="shared" si="256"/>
        <v>-8.6112759643916514E-2</v>
      </c>
      <c r="AR64" s="833">
        <f t="shared" si="256"/>
        <v>-9.8360655737703695E-3</v>
      </c>
      <c r="AS64" s="103">
        <f t="shared" si="256"/>
        <v>-9.7810303769529927E-2</v>
      </c>
      <c r="AT64" s="802">
        <f t="shared" si="244"/>
        <v>4.688616143905433E-2</v>
      </c>
      <c r="AU64" s="833">
        <f t="shared" si="245"/>
        <v>-2.9494726514594061E-2</v>
      </c>
      <c r="AV64" s="103">
        <f t="shared" si="245"/>
        <v>1.8026137899955774E-3</v>
      </c>
      <c r="AW64" s="802">
        <f t="shared" ref="AW64:AW66" si="263">AW57/AT57-1</f>
        <v>0.10681719496309161</v>
      </c>
      <c r="AX64" s="833">
        <f t="shared" si="245"/>
        <v>5.5285272003538166E-2</v>
      </c>
      <c r="AY64" s="103">
        <f t="shared" si="245"/>
        <v>-4.2220936957779176E-2</v>
      </c>
      <c r="AZ64" s="752">
        <f t="shared" ref="AZ64:AZ66" si="264">AZ57/AW57-1</f>
        <v>3.6821162360589632E-2</v>
      </c>
      <c r="BA64" s="610">
        <v>0</v>
      </c>
      <c r="BB64" s="324">
        <f t="shared" si="259"/>
        <v>0.04</v>
      </c>
      <c r="BC64" s="752">
        <f t="shared" ref="BC64:BC66" si="265">BC57/AZ57-1</f>
        <v>4.0000000000000036E-2</v>
      </c>
      <c r="BD64" s="610">
        <v>0.04</v>
      </c>
      <c r="BE64" s="324">
        <f t="shared" si="260"/>
        <v>0.04</v>
      </c>
      <c r="BF64" s="752">
        <f t="shared" ref="BF64:BF66" si="266">BF57/BC57-1</f>
        <v>4.0000000000000036E-2</v>
      </c>
      <c r="BG64" s="765">
        <f>BD64</f>
        <v>0.04</v>
      </c>
      <c r="BH64" s="324">
        <f t="shared" si="261"/>
        <v>0.04</v>
      </c>
      <c r="BI64" s="752">
        <f t="shared" ref="BI64:BI66" si="267">BI57/BF57-1</f>
        <v>4.0000000000000036E-2</v>
      </c>
      <c r="BJ64" s="765">
        <f>BG64</f>
        <v>0.04</v>
      </c>
      <c r="BK64" s="324">
        <f t="shared" si="262"/>
        <v>0.04</v>
      </c>
      <c r="BL64" s="752">
        <f t="shared" ref="BL64:BL66" si="268">BL57/BI57-1</f>
        <v>4.0000000000000036E-2</v>
      </c>
      <c r="BM64" s="765">
        <f>BJ64</f>
        <v>0.04</v>
      </c>
      <c r="BN64" s="464"/>
    </row>
    <row r="65" spans="1:66" s="33" customFormat="1">
      <c r="A65" s="33" t="str">
        <f t="shared" si="257"/>
        <v>Submarines</v>
      </c>
      <c r="B65" s="103"/>
      <c r="C65" s="103"/>
      <c r="D65" s="103"/>
      <c r="E65" s="103"/>
      <c r="F65" s="103"/>
      <c r="G65" s="103"/>
      <c r="H65" s="103"/>
      <c r="I65" s="103"/>
      <c r="J65" s="103"/>
      <c r="K65" s="103"/>
      <c r="L65" s="103"/>
      <c r="M65" s="103"/>
      <c r="N65" s="103"/>
      <c r="O65" s="103"/>
      <c r="P65" s="103"/>
      <c r="Q65" s="103"/>
      <c r="R65" s="103"/>
      <c r="S65" s="637"/>
      <c r="T65" s="660"/>
      <c r="U65" s="103"/>
      <c r="V65" s="637"/>
      <c r="W65" s="660"/>
      <c r="X65" s="103"/>
      <c r="Y65" s="637"/>
      <c r="Z65" s="660"/>
      <c r="AA65" s="103"/>
      <c r="AB65" s="637"/>
      <c r="AC65" s="660"/>
      <c r="AD65" s="103"/>
      <c r="AE65" s="637"/>
      <c r="AF65" s="660">
        <f t="shared" si="258"/>
        <v>-1.1683738796414933E-2</v>
      </c>
      <c r="AG65" s="103">
        <f t="shared" si="256"/>
        <v>-5.9507872760884872E-2</v>
      </c>
      <c r="AH65" s="637">
        <f t="shared" si="256"/>
        <v>1.6690808533052381E-2</v>
      </c>
      <c r="AI65" s="660">
        <f t="shared" si="256"/>
        <v>-2.202429149797569E-2</v>
      </c>
      <c r="AJ65" s="103">
        <f t="shared" si="256"/>
        <v>-8.4725658318365316E-3</v>
      </c>
      <c r="AK65" s="637">
        <f t="shared" si="256"/>
        <v>0.12472881520577661</v>
      </c>
      <c r="AL65" s="660">
        <f t="shared" si="256"/>
        <v>5.9645636694817039E-2</v>
      </c>
      <c r="AM65" s="103">
        <f t="shared" si="256"/>
        <v>0.20989848583245041</v>
      </c>
      <c r="AN65" s="637">
        <f t="shared" si="256"/>
        <v>0.19366633079026929</v>
      </c>
      <c r="AO65" s="660">
        <f t="shared" si="256"/>
        <v>0.20108763595449441</v>
      </c>
      <c r="AP65" s="103">
        <f t="shared" si="256"/>
        <v>0.13489462681507414</v>
      </c>
      <c r="AQ65" s="802">
        <f t="shared" si="256"/>
        <v>0.194370749119676</v>
      </c>
      <c r="AR65" s="833">
        <f t="shared" si="256"/>
        <v>0.16697892271662762</v>
      </c>
      <c r="AS65" s="103">
        <f t="shared" si="256"/>
        <v>0.87802753092873354</v>
      </c>
      <c r="AT65" s="802">
        <f t="shared" si="244"/>
        <v>0.21592859594919278</v>
      </c>
      <c r="AU65" s="833">
        <f t="shared" si="245"/>
        <v>0.51247575088634667</v>
      </c>
      <c r="AV65" s="103">
        <f t="shared" si="245"/>
        <v>-0.20445086551970948</v>
      </c>
      <c r="AW65" s="802">
        <f t="shared" si="263"/>
        <v>0.22222406749260992</v>
      </c>
      <c r="AX65" s="833">
        <f t="shared" si="245"/>
        <v>-1.5067079463364164E-2</v>
      </c>
      <c r="AY65" s="103">
        <f t="shared" si="245"/>
        <v>0.15879442195231674</v>
      </c>
      <c r="AZ65" s="752">
        <f t="shared" si="264"/>
        <v>9.7438684693253563E-2</v>
      </c>
      <c r="BA65" s="610">
        <v>0.125</v>
      </c>
      <c r="BB65" s="324">
        <f t="shared" si="259"/>
        <v>0.08</v>
      </c>
      <c r="BC65" s="752">
        <f t="shared" si="265"/>
        <v>8.0000000000000071E-2</v>
      </c>
      <c r="BD65" s="610">
        <v>0.08</v>
      </c>
      <c r="BE65" s="324">
        <f t="shared" si="260"/>
        <v>0.08</v>
      </c>
      <c r="BF65" s="752">
        <f t="shared" si="266"/>
        <v>8.0000000000000071E-2</v>
      </c>
      <c r="BG65" s="765">
        <f>BD65</f>
        <v>0.08</v>
      </c>
      <c r="BH65" s="324">
        <f t="shared" si="261"/>
        <v>0.08</v>
      </c>
      <c r="BI65" s="752">
        <f t="shared" si="267"/>
        <v>8.0000000000000071E-2</v>
      </c>
      <c r="BJ65" s="765">
        <f>BG65</f>
        <v>0.08</v>
      </c>
      <c r="BK65" s="324">
        <f t="shared" si="262"/>
        <v>0.08</v>
      </c>
      <c r="BL65" s="752">
        <f t="shared" si="268"/>
        <v>8.0000000000000293E-2</v>
      </c>
      <c r="BM65" s="765">
        <f>BJ65</f>
        <v>0.08</v>
      </c>
      <c r="BN65" s="464" t="s">
        <v>1004</v>
      </c>
    </row>
    <row r="66" spans="1:66" s="33" customFormat="1">
      <c r="A66" s="33" t="str">
        <f t="shared" si="257"/>
        <v>Other</v>
      </c>
      <c r="B66" s="103"/>
      <c r="C66" s="103"/>
      <c r="D66" s="103"/>
      <c r="E66" s="103"/>
      <c r="F66" s="103"/>
      <c r="G66" s="103"/>
      <c r="H66" s="103"/>
      <c r="I66" s="103"/>
      <c r="J66" s="103"/>
      <c r="K66" s="103"/>
      <c r="L66" s="103"/>
      <c r="M66" s="103"/>
      <c r="N66" s="103"/>
      <c r="O66" s="103"/>
      <c r="P66" s="103"/>
      <c r="Q66" s="103"/>
      <c r="R66" s="103"/>
      <c r="S66" s="637"/>
      <c r="T66" s="660"/>
      <c r="U66" s="103"/>
      <c r="V66" s="637"/>
      <c r="W66" s="660"/>
      <c r="X66" s="103"/>
      <c r="Y66" s="637"/>
      <c r="Z66" s="660"/>
      <c r="AA66" s="103"/>
      <c r="AB66" s="637"/>
      <c r="AC66" s="660"/>
      <c r="AD66" s="103"/>
      <c r="AE66" s="637"/>
      <c r="AF66" s="660">
        <f t="shared" si="258"/>
        <v>-3.9692701664532648E-2</v>
      </c>
      <c r="AG66" s="103">
        <f t="shared" si="256"/>
        <v>0.21273984828201709</v>
      </c>
      <c r="AH66" s="637">
        <f t="shared" si="256"/>
        <v>0.19722854973424475</v>
      </c>
      <c r="AI66" s="660">
        <f t="shared" si="256"/>
        <v>0.20435897435897443</v>
      </c>
      <c r="AJ66" s="103">
        <f t="shared" si="256"/>
        <v>0.18733327200809469</v>
      </c>
      <c r="AK66" s="637">
        <f t="shared" si="256"/>
        <v>-0.15423339146979531</v>
      </c>
      <c r="AL66" s="660">
        <f t="shared" si="256"/>
        <v>3.8748137108792768E-3</v>
      </c>
      <c r="AM66" s="103">
        <f t="shared" si="256"/>
        <v>-0.12740654658144479</v>
      </c>
      <c r="AN66" s="637">
        <f t="shared" si="256"/>
        <v>0.17420443361297244</v>
      </c>
      <c r="AO66" s="660">
        <f t="shared" si="256"/>
        <v>9.0770274855784816E-3</v>
      </c>
      <c r="AP66" s="103">
        <f t="shared" si="256"/>
        <v>1.9089052650270721E-2</v>
      </c>
      <c r="AQ66" s="802">
        <f t="shared" si="256"/>
        <v>-1.1026183443761475</v>
      </c>
      <c r="AR66" s="833">
        <f t="shared" si="256"/>
        <v>-0.57156368221941989</v>
      </c>
      <c r="AS66" s="103">
        <f t="shared" si="256"/>
        <v>-0.71001045478306324</v>
      </c>
      <c r="AT66" s="802">
        <f t="shared" si="244"/>
        <v>-5.4461299105406491</v>
      </c>
      <c r="AU66" s="833">
        <f t="shared" si="245"/>
        <v>-0.11268089281334326</v>
      </c>
      <c r="AV66" s="103">
        <f t="shared" si="245"/>
        <v>0.33573681838666092</v>
      </c>
      <c r="AW66" s="802">
        <f t="shared" si="263"/>
        <v>-0.10803954159741058</v>
      </c>
      <c r="AX66" s="833">
        <f t="shared" si="245"/>
        <v>5.5285272003538166E-2</v>
      </c>
      <c r="AY66" s="103">
        <f t="shared" si="245"/>
        <v>0.11740890688259098</v>
      </c>
      <c r="AZ66" s="752">
        <f t="shared" si="264"/>
        <v>-0.10239309533150254</v>
      </c>
      <c r="BA66" s="610">
        <v>0</v>
      </c>
      <c r="BB66" s="324">
        <f t="shared" si="259"/>
        <v>0</v>
      </c>
      <c r="BC66" s="752">
        <f t="shared" si="265"/>
        <v>0</v>
      </c>
      <c r="BD66" s="765">
        <f>BA66</f>
        <v>0</v>
      </c>
      <c r="BE66" s="324">
        <f t="shared" si="260"/>
        <v>0</v>
      </c>
      <c r="BF66" s="752">
        <f t="shared" si="266"/>
        <v>0</v>
      </c>
      <c r="BG66" s="765">
        <f>BD66</f>
        <v>0</v>
      </c>
      <c r="BH66" s="324">
        <f t="shared" si="261"/>
        <v>0</v>
      </c>
      <c r="BI66" s="752">
        <f t="shared" si="267"/>
        <v>0</v>
      </c>
      <c r="BJ66" s="765">
        <f>BG66</f>
        <v>0</v>
      </c>
      <c r="BK66" s="324">
        <f t="shared" si="262"/>
        <v>0</v>
      </c>
      <c r="BL66" s="752">
        <f t="shared" si="268"/>
        <v>0</v>
      </c>
      <c r="BM66" s="765">
        <f>BJ66</f>
        <v>0</v>
      </c>
      <c r="BN66" s="464"/>
    </row>
    <row r="67" spans="1:66">
      <c r="B67" s="40"/>
      <c r="C67" s="40"/>
      <c r="D67" s="40"/>
      <c r="E67" s="40"/>
      <c r="F67" s="40"/>
      <c r="G67" s="40"/>
      <c r="H67" s="40"/>
      <c r="I67" s="40"/>
      <c r="J67" s="40"/>
      <c r="K67" s="40"/>
      <c r="L67" s="40"/>
      <c r="M67" s="40"/>
      <c r="N67" s="40"/>
      <c r="O67" s="40"/>
      <c r="P67" s="40"/>
      <c r="Q67" s="40"/>
      <c r="R67" s="40"/>
      <c r="S67" s="630"/>
      <c r="T67" s="653"/>
      <c r="U67" s="40"/>
      <c r="V67" s="630"/>
      <c r="W67" s="653"/>
      <c r="X67" s="40"/>
      <c r="Y67" s="630"/>
      <c r="Z67" s="653"/>
      <c r="AA67" s="40"/>
      <c r="AB67" s="630"/>
      <c r="AC67" s="653"/>
      <c r="AD67" s="40"/>
      <c r="AE67" s="630"/>
      <c r="AF67" s="653"/>
      <c r="AG67" s="40"/>
      <c r="AH67" s="630"/>
      <c r="AI67" s="653"/>
      <c r="AJ67" s="40"/>
      <c r="AK67" s="630"/>
      <c r="AL67" s="653"/>
      <c r="AM67" s="40"/>
      <c r="AN67" s="630"/>
      <c r="AO67" s="653"/>
      <c r="AP67" s="40"/>
      <c r="AQ67" s="539"/>
      <c r="AR67" s="550"/>
      <c r="AS67"/>
      <c r="AT67" s="539"/>
      <c r="AU67" s="550"/>
      <c r="AV67"/>
      <c r="AW67" s="539"/>
      <c r="AX67" s="550"/>
      <c r="AY67"/>
      <c r="AZ67" s="539"/>
      <c r="BA67" s="550"/>
      <c r="BB67"/>
      <c r="BC67" s="539"/>
      <c r="BD67" s="550"/>
      <c r="BE67"/>
      <c r="BF67" s="539"/>
      <c r="BG67" s="550"/>
      <c r="BH67"/>
      <c r="BI67" s="539"/>
      <c r="BJ67" s="550"/>
      <c r="BK67"/>
      <c r="BL67" s="539"/>
      <c r="BM67" s="550"/>
    </row>
    <row r="68" spans="1:66">
      <c r="B68" s="40"/>
      <c r="C68" s="40"/>
      <c r="D68" s="40"/>
      <c r="E68" s="40"/>
      <c r="F68" s="40"/>
      <c r="G68" s="40"/>
      <c r="H68" s="40"/>
      <c r="I68" s="40"/>
      <c r="J68" s="40"/>
      <c r="K68" s="40"/>
      <c r="L68" s="40"/>
      <c r="M68" s="40"/>
      <c r="N68" s="40"/>
      <c r="O68" s="40"/>
      <c r="P68" s="40"/>
      <c r="Q68" s="40"/>
      <c r="R68" s="40"/>
      <c r="S68" s="630"/>
      <c r="T68" s="653"/>
      <c r="U68" s="40"/>
      <c r="V68" s="630"/>
      <c r="W68" s="653"/>
      <c r="X68" s="40"/>
      <c r="Y68" s="630"/>
      <c r="Z68" s="653"/>
      <c r="AA68" s="40"/>
      <c r="AB68" s="630"/>
      <c r="AC68" s="653"/>
      <c r="AD68" s="40"/>
      <c r="AE68" s="630"/>
      <c r="AF68" s="653"/>
      <c r="AG68" s="40"/>
      <c r="AH68" s="630"/>
      <c r="AI68" s="653"/>
      <c r="AJ68" s="40"/>
      <c r="AK68" s="630"/>
      <c r="AL68" s="653"/>
      <c r="AM68" s="40"/>
      <c r="AN68" s="630"/>
      <c r="AO68" s="653"/>
      <c r="AP68" s="40"/>
      <c r="AQ68" s="539"/>
      <c r="AR68" s="550"/>
      <c r="AS68"/>
      <c r="AT68" s="539"/>
      <c r="AU68" s="550"/>
      <c r="AV68"/>
      <c r="AW68" s="539"/>
      <c r="AX68" s="550"/>
      <c r="AY68"/>
      <c r="AZ68" s="539"/>
      <c r="BA68" s="550"/>
      <c r="BB68"/>
      <c r="BC68" s="539"/>
      <c r="BD68" s="550"/>
      <c r="BE68"/>
      <c r="BF68" s="539"/>
      <c r="BG68" s="550"/>
      <c r="BH68"/>
      <c r="BI68" s="539"/>
      <c r="BJ68" s="550"/>
      <c r="BK68"/>
      <c r="BL68" s="539"/>
      <c r="BM68" s="550"/>
    </row>
    <row r="69" spans="1:66">
      <c r="A69" s="25" t="s">
        <v>374</v>
      </c>
      <c r="B69" s="40"/>
      <c r="C69" s="40"/>
      <c r="D69" s="40"/>
      <c r="E69" s="40"/>
      <c r="F69" s="40">
        <v>121</v>
      </c>
      <c r="G69" s="40">
        <v>120</v>
      </c>
      <c r="H69" s="40">
        <v>117</v>
      </c>
      <c r="I69" s="40">
        <v>134</v>
      </c>
      <c r="J69" s="40">
        <v>133</v>
      </c>
      <c r="K69" s="40">
        <v>218</v>
      </c>
      <c r="L69" s="40">
        <v>265</v>
      </c>
      <c r="M69" s="40">
        <v>289</v>
      </c>
      <c r="N69" s="40">
        <v>305</v>
      </c>
      <c r="O69" s="40">
        <v>296</v>
      </c>
      <c r="P69" s="40">
        <v>239</v>
      </c>
      <c r="Q69" s="40">
        <v>266</v>
      </c>
      <c r="R69" s="40"/>
      <c r="S69" s="630"/>
      <c r="T69" s="653">
        <v>286</v>
      </c>
      <c r="U69" s="40"/>
      <c r="V69" s="630"/>
      <c r="W69" s="653">
        <v>323</v>
      </c>
      <c r="X69" s="40"/>
      <c r="Y69" s="630"/>
      <c r="Z69" s="653">
        <v>323</v>
      </c>
      <c r="AA69" s="10"/>
      <c r="AB69" s="216"/>
      <c r="AC69" s="556">
        <v>311</v>
      </c>
      <c r="AD69" s="10"/>
      <c r="AE69" s="216"/>
      <c r="AF69" s="556">
        <v>262</v>
      </c>
      <c r="AG69" s="10"/>
      <c r="AH69" s="216"/>
      <c r="AI69" s="556">
        <v>211</v>
      </c>
      <c r="AJ69" s="10"/>
      <c r="AK69" s="216"/>
      <c r="AL69" s="556"/>
      <c r="AM69" s="10"/>
      <c r="AN69" s="216"/>
      <c r="AO69" s="556"/>
      <c r="AP69" s="10"/>
      <c r="AQ69" s="539"/>
      <c r="AR69" s="550"/>
      <c r="AS69"/>
      <c r="AT69" s="539"/>
      <c r="AU69" s="550"/>
      <c r="AV69"/>
      <c r="AW69" s="539"/>
      <c r="AX69" s="550"/>
      <c r="AY69"/>
      <c r="AZ69" s="539"/>
      <c r="BA69" s="550"/>
      <c r="BB69"/>
      <c r="BC69" s="539"/>
      <c r="BD69" s="550"/>
      <c r="BE69"/>
      <c r="BF69" s="539"/>
      <c r="BG69" s="550"/>
      <c r="BH69"/>
      <c r="BI69" s="539"/>
      <c r="BJ69" s="550"/>
      <c r="BK69"/>
      <c r="BL69" s="539"/>
      <c r="BM69" s="550"/>
    </row>
    <row r="70" spans="1:66">
      <c r="A70" s="25" t="s">
        <v>375</v>
      </c>
      <c r="B70" s="40"/>
      <c r="C70" s="40"/>
      <c r="D70" s="40"/>
      <c r="E70" s="40"/>
      <c r="F70" s="40">
        <v>242</v>
      </c>
      <c r="G70" s="40">
        <v>332</v>
      </c>
      <c r="H70" s="40">
        <v>285</v>
      </c>
      <c r="I70" s="40">
        <v>271</v>
      </c>
      <c r="J70" s="40">
        <v>264</v>
      </c>
      <c r="K70" s="40">
        <v>323</v>
      </c>
      <c r="L70" s="40">
        <v>343</v>
      </c>
      <c r="M70" s="40">
        <v>412</v>
      </c>
      <c r="N70" s="40">
        <v>438</v>
      </c>
      <c r="O70" s="40">
        <v>479</v>
      </c>
      <c r="P70" s="40">
        <v>418</v>
      </c>
      <c r="Q70" s="40">
        <v>307</v>
      </c>
      <c r="R70" s="40"/>
      <c r="S70" s="630"/>
      <c r="T70" s="653">
        <v>278</v>
      </c>
      <c r="U70" s="40"/>
      <c r="V70" s="630"/>
      <c r="W70" s="653">
        <v>226</v>
      </c>
      <c r="X70" s="40"/>
      <c r="Y70" s="630"/>
      <c r="Z70" s="653">
        <v>226</v>
      </c>
      <c r="AA70" s="10"/>
      <c r="AB70" s="216"/>
      <c r="AC70" s="556">
        <v>213</v>
      </c>
      <c r="AD70" s="10"/>
      <c r="AE70" s="216"/>
      <c r="AF70" s="556">
        <v>200</v>
      </c>
      <c r="AG70" s="10"/>
      <c r="AH70" s="216"/>
      <c r="AI70" s="556">
        <v>133</v>
      </c>
      <c r="AJ70" s="10"/>
      <c r="AK70" s="216"/>
      <c r="AL70" s="556"/>
      <c r="AM70" s="10"/>
      <c r="AN70" s="216"/>
      <c r="AO70" s="556"/>
      <c r="AP70" s="10"/>
      <c r="AQ70" s="539"/>
      <c r="AR70" s="550"/>
      <c r="AS70"/>
      <c r="AT70" s="539"/>
      <c r="AU70" s="550"/>
      <c r="AV70"/>
      <c r="AW70" s="539"/>
      <c r="AX70" s="550"/>
      <c r="AY70"/>
      <c r="AZ70" s="539"/>
      <c r="BA70" s="550"/>
      <c r="BB70"/>
      <c r="BC70" s="539"/>
      <c r="BD70" s="550"/>
      <c r="BE70"/>
      <c r="BF70" s="539"/>
      <c r="BG70" s="550"/>
      <c r="BH70"/>
      <c r="BI70" s="539"/>
      <c r="BJ70" s="550"/>
      <c r="BK70"/>
      <c r="BL70" s="539"/>
      <c r="BM70" s="550"/>
    </row>
    <row r="71" spans="1:66">
      <c r="A71" s="25" t="s">
        <v>376</v>
      </c>
      <c r="B71" s="40"/>
      <c r="C71" s="40"/>
      <c r="D71" s="40"/>
      <c r="E71" s="40"/>
      <c r="F71" s="40">
        <v>94</v>
      </c>
      <c r="G71" s="40">
        <v>80</v>
      </c>
      <c r="H71" s="40">
        <v>71</v>
      </c>
      <c r="I71" s="40">
        <v>64</v>
      </c>
      <c r="J71" s="40">
        <v>93</v>
      </c>
      <c r="K71" s="40">
        <v>103</v>
      </c>
      <c r="L71" s="40">
        <v>102</v>
      </c>
      <c r="M71" s="40">
        <v>103</v>
      </c>
      <c r="N71" s="40">
        <v>113</v>
      </c>
      <c r="O71" s="40">
        <v>108</v>
      </c>
      <c r="P71" s="40">
        <v>81</v>
      </c>
      <c r="Q71" s="40">
        <v>69</v>
      </c>
      <c r="R71" s="40"/>
      <c r="S71" s="630"/>
      <c r="T71" s="653">
        <v>74</v>
      </c>
      <c r="U71" s="40"/>
      <c r="V71" s="630"/>
      <c r="W71" s="653">
        <v>38</v>
      </c>
      <c r="X71" s="40"/>
      <c r="Y71" s="630"/>
      <c r="Z71" s="653">
        <v>38</v>
      </c>
      <c r="AA71" s="10"/>
      <c r="AB71" s="216"/>
      <c r="AC71" s="556">
        <v>23</v>
      </c>
      <c r="AD71" s="10"/>
      <c r="AE71" s="216"/>
      <c r="AF71" s="556">
        <v>27</v>
      </c>
      <c r="AG71" s="10"/>
      <c r="AH71" s="216"/>
      <c r="AI71" s="556">
        <v>44</v>
      </c>
      <c r="AJ71" s="10"/>
      <c r="AK71" s="216"/>
      <c r="AL71" s="556"/>
      <c r="AM71" s="10"/>
      <c r="AN71" s="216"/>
      <c r="AO71" s="556"/>
      <c r="AP71" s="10"/>
      <c r="AQ71" s="539"/>
      <c r="AR71" s="550"/>
      <c r="AS71"/>
      <c r="AT71" s="539"/>
      <c r="AU71" s="550"/>
      <c r="AV71"/>
      <c r="AW71" s="539"/>
      <c r="AX71" s="550"/>
      <c r="AY71"/>
      <c r="AZ71" s="539"/>
      <c r="BA71" s="550"/>
      <c r="BB71"/>
      <c r="BC71" s="539"/>
      <c r="BD71" s="550"/>
      <c r="BE71"/>
      <c r="BF71" s="539"/>
      <c r="BG71" s="550"/>
      <c r="BH71"/>
      <c r="BI71" s="539"/>
      <c r="BJ71" s="550"/>
      <c r="BK71"/>
      <c r="BL71" s="539"/>
      <c r="BM71" s="550"/>
    </row>
    <row r="72" spans="1:66">
      <c r="A72" s="25" t="s">
        <v>377</v>
      </c>
      <c r="B72" s="40"/>
      <c r="C72" s="40"/>
      <c r="D72" s="40"/>
      <c r="E72" s="40"/>
      <c r="F72" s="40">
        <v>52</v>
      </c>
      <c r="G72" s="40">
        <v>33</v>
      </c>
      <c r="H72" s="40">
        <v>41</v>
      </c>
      <c r="I72" s="40">
        <v>26</v>
      </c>
      <c r="J72" s="40">
        <v>27</v>
      </c>
      <c r="K72" s="40">
        <v>18</v>
      </c>
      <c r="L72" s="40">
        <v>0</v>
      </c>
      <c r="M72" s="40">
        <v>10</v>
      </c>
      <c r="N72" s="40">
        <v>8</v>
      </c>
      <c r="O72" s="40">
        <v>10</v>
      </c>
      <c r="P72" s="40">
        <v>6</v>
      </c>
      <c r="Q72" s="40">
        <v>7</v>
      </c>
      <c r="R72" s="40"/>
      <c r="S72" s="630"/>
      <c r="T72" s="653">
        <v>23</v>
      </c>
      <c r="U72" s="40"/>
      <c r="V72" s="630"/>
      <c r="W72" s="653">
        <v>18</v>
      </c>
      <c r="X72" s="40"/>
      <c r="Y72" s="630"/>
      <c r="Z72" s="653">
        <v>18</v>
      </c>
      <c r="AA72" s="10"/>
      <c r="AB72" s="216"/>
      <c r="AC72" s="556">
        <v>13</v>
      </c>
      <c r="AD72" s="10"/>
      <c r="AE72" s="216"/>
      <c r="AF72" s="556">
        <v>10</v>
      </c>
      <c r="AG72" s="10"/>
      <c r="AH72" s="216"/>
      <c r="AI72" s="556">
        <v>9</v>
      </c>
      <c r="AJ72" s="10"/>
      <c r="AK72" s="216"/>
      <c r="AL72" s="556"/>
      <c r="AM72" s="10"/>
      <c r="AN72" s="216"/>
      <c r="AO72" s="556"/>
      <c r="AP72" s="10"/>
      <c r="AQ72" s="539"/>
      <c r="AR72" s="550"/>
      <c r="AS72"/>
      <c r="AT72" s="539"/>
      <c r="AU72" s="550"/>
      <c r="AV72"/>
      <c r="AW72" s="539"/>
      <c r="AX72" s="550"/>
      <c r="AY72"/>
      <c r="AZ72" s="539"/>
      <c r="BA72" s="550"/>
      <c r="BB72"/>
      <c r="BC72" s="539"/>
      <c r="BD72" s="550"/>
      <c r="BE72"/>
      <c r="BF72" s="539"/>
      <c r="BG72" s="550"/>
      <c r="BH72"/>
      <c r="BI72" s="539"/>
      <c r="BJ72" s="550"/>
      <c r="BK72"/>
      <c r="BL72" s="539"/>
      <c r="BM72" s="550"/>
    </row>
    <row r="73" spans="1:66">
      <c r="A73" s="31" t="s">
        <v>396</v>
      </c>
      <c r="B73" s="51"/>
      <c r="C73" s="51"/>
      <c r="D73" s="51"/>
      <c r="E73" s="51"/>
      <c r="F73" s="51">
        <f>SUM(F69:F72)</f>
        <v>509</v>
      </c>
      <c r="G73" s="51">
        <f>SUM(G69:G72)</f>
        <v>565</v>
      </c>
      <c r="H73" s="51">
        <f>SUM(H69:H72)</f>
        <v>514</v>
      </c>
      <c r="I73" s="51">
        <f t="shared" ref="I73:T73" si="269">SUM(I69:I72)</f>
        <v>495</v>
      </c>
      <c r="J73" s="51">
        <f t="shared" si="269"/>
        <v>517</v>
      </c>
      <c r="K73" s="51">
        <f t="shared" si="269"/>
        <v>662</v>
      </c>
      <c r="L73" s="51">
        <f t="shared" si="269"/>
        <v>710</v>
      </c>
      <c r="M73" s="51">
        <f t="shared" si="269"/>
        <v>814</v>
      </c>
      <c r="N73" s="51">
        <f t="shared" si="269"/>
        <v>864</v>
      </c>
      <c r="O73" s="51">
        <f t="shared" si="269"/>
        <v>893</v>
      </c>
      <c r="P73" s="51">
        <f t="shared" si="269"/>
        <v>744</v>
      </c>
      <c r="Q73" s="51">
        <f t="shared" si="269"/>
        <v>649</v>
      </c>
      <c r="R73" s="51"/>
      <c r="S73" s="629"/>
      <c r="T73" s="652">
        <f t="shared" si="269"/>
        <v>661</v>
      </c>
      <c r="U73" s="51"/>
      <c r="V73" s="629"/>
      <c r="W73" s="652">
        <f>SUM(W69:W72)</f>
        <v>605</v>
      </c>
      <c r="X73" s="51"/>
      <c r="Y73" s="629"/>
      <c r="Z73" s="652">
        <f>SUM(Z69:Z72)</f>
        <v>605</v>
      </c>
      <c r="AA73" s="27"/>
      <c r="AB73" s="218"/>
      <c r="AC73" s="553">
        <f>SUM(AC69:AC72)</f>
        <v>560</v>
      </c>
      <c r="AD73" s="27"/>
      <c r="AE73" s="218"/>
      <c r="AF73" s="553">
        <f>SUM(AF69:AF72)</f>
        <v>499</v>
      </c>
      <c r="AG73" s="27"/>
      <c r="AH73" s="218"/>
      <c r="AI73" s="553">
        <f>SUM(AI69:AI72)</f>
        <v>397</v>
      </c>
      <c r="AJ73" s="27"/>
      <c r="AK73" s="218"/>
      <c r="AL73" s="553"/>
      <c r="AM73" s="27"/>
      <c r="AN73" s="218"/>
      <c r="AO73" s="553"/>
      <c r="AP73" s="27"/>
      <c r="AQ73" s="539"/>
      <c r="AR73" s="550"/>
      <c r="AS73"/>
      <c r="AT73" s="539"/>
      <c r="AU73" s="550"/>
      <c r="AV73"/>
      <c r="AW73" s="539"/>
      <c r="AX73" s="550"/>
      <c r="AY73"/>
      <c r="AZ73" s="539"/>
      <c r="BA73" s="550"/>
      <c r="BB73"/>
      <c r="BC73" s="539"/>
      <c r="BD73" s="550"/>
      <c r="BE73"/>
      <c r="BF73" s="539"/>
      <c r="BG73" s="550"/>
      <c r="BH73"/>
      <c r="BI73" s="539"/>
      <c r="BJ73" s="550"/>
      <c r="BK73"/>
      <c r="BL73" s="539"/>
      <c r="BM73" s="550"/>
    </row>
    <row r="74" spans="1:66">
      <c r="A74" s="25" t="s">
        <v>61</v>
      </c>
      <c r="B74" s="40"/>
      <c r="C74" s="40"/>
      <c r="D74" s="40"/>
      <c r="E74" s="40"/>
      <c r="F74" s="40"/>
      <c r="G74" s="50">
        <f t="shared" ref="G74:Q74" si="270">G73/F73-1</f>
        <v>0.11001964636542239</v>
      </c>
      <c r="H74" s="50">
        <f t="shared" si="270"/>
        <v>-9.0265486725663702E-2</v>
      </c>
      <c r="I74" s="50">
        <f t="shared" si="270"/>
        <v>-3.6964980544747061E-2</v>
      </c>
      <c r="J74" s="50">
        <f t="shared" si="270"/>
        <v>4.4444444444444509E-2</v>
      </c>
      <c r="K74" s="50">
        <f t="shared" si="270"/>
        <v>0.28046421663442933</v>
      </c>
      <c r="L74" s="50">
        <f t="shared" si="270"/>
        <v>7.2507552870090697E-2</v>
      </c>
      <c r="M74" s="50">
        <f t="shared" si="270"/>
        <v>0.14647887323943665</v>
      </c>
      <c r="N74" s="50">
        <f t="shared" si="270"/>
        <v>6.1425061425061322E-2</v>
      </c>
      <c r="O74" s="50">
        <f t="shared" si="270"/>
        <v>3.3564814814814881E-2</v>
      </c>
      <c r="P74" s="50">
        <f t="shared" si="270"/>
        <v>-0.16685330347144456</v>
      </c>
      <c r="Q74" s="50">
        <f t="shared" si="270"/>
        <v>-0.12768817204301075</v>
      </c>
      <c r="R74" s="50"/>
      <c r="S74" s="647"/>
      <c r="T74" s="671">
        <f>T73/Q73-1</f>
        <v>1.8489984591679498E-2</v>
      </c>
      <c r="U74" s="50"/>
      <c r="V74" s="647"/>
      <c r="W74" s="671">
        <f>W73/T73-1</f>
        <v>-8.4720121028744377E-2</v>
      </c>
      <c r="X74" s="50"/>
      <c r="Y74" s="647"/>
      <c r="Z74" s="653"/>
      <c r="AA74" s="186"/>
      <c r="AB74" s="217"/>
      <c r="AC74" s="554">
        <f>AC73/Z73-1</f>
        <v>-7.4380165289256173E-2</v>
      </c>
      <c r="AD74" s="186"/>
      <c r="AE74" s="217"/>
      <c r="AF74" s="554">
        <f>AF73/AC73-1</f>
        <v>-0.10892857142857137</v>
      </c>
      <c r="AG74" s="186"/>
      <c r="AH74" s="217"/>
      <c r="AI74" s="554">
        <f>AI73/AF73-1</f>
        <v>-0.20440881763527052</v>
      </c>
      <c r="AJ74" s="186"/>
      <c r="AK74" s="217"/>
      <c r="AL74" s="554"/>
      <c r="AM74" s="186"/>
      <c r="AN74" s="217"/>
      <c r="AO74" s="554"/>
      <c r="AP74" s="186"/>
      <c r="AQ74" s="539"/>
      <c r="AR74" s="550"/>
      <c r="AS74"/>
      <c r="AT74" s="539"/>
      <c r="AU74" s="550"/>
      <c r="AV74"/>
      <c r="AW74" s="539"/>
      <c r="AX74" s="550"/>
      <c r="AY74"/>
      <c r="AZ74" s="539"/>
      <c r="BA74" s="550"/>
      <c r="BB74"/>
      <c r="BC74" s="539"/>
      <c r="BD74" s="550"/>
      <c r="BE74"/>
      <c r="BF74" s="539"/>
      <c r="BG74" s="550"/>
      <c r="BH74"/>
      <c r="BI74" s="539"/>
      <c r="BJ74" s="550"/>
      <c r="BK74"/>
      <c r="BL74" s="539"/>
      <c r="BM74" s="550"/>
    </row>
    <row r="75" spans="1:66">
      <c r="B75" s="40"/>
      <c r="C75" s="40"/>
      <c r="D75" s="40"/>
      <c r="E75" s="40"/>
      <c r="F75" s="40"/>
      <c r="G75" s="40"/>
      <c r="H75" s="50"/>
      <c r="I75" s="50"/>
      <c r="J75" s="50"/>
      <c r="K75" s="50"/>
      <c r="L75" s="50"/>
      <c r="M75" s="50"/>
      <c r="N75" s="50"/>
      <c r="O75" s="50"/>
      <c r="P75" s="50"/>
      <c r="Q75" s="50"/>
      <c r="R75" s="50"/>
      <c r="S75" s="647"/>
      <c r="T75" s="671"/>
      <c r="U75" s="50"/>
      <c r="V75" s="647"/>
      <c r="W75" s="671"/>
      <c r="X75" s="50"/>
      <c r="Y75" s="647"/>
      <c r="Z75" s="653"/>
      <c r="AA75" s="40"/>
      <c r="AB75" s="630"/>
      <c r="AC75" s="653"/>
      <c r="AD75" s="40"/>
      <c r="AE75" s="630"/>
      <c r="AF75" s="653"/>
      <c r="AG75" s="40"/>
      <c r="AH75" s="630"/>
      <c r="AI75" s="653"/>
      <c r="AJ75" s="40"/>
      <c r="AK75" s="630"/>
      <c r="AL75" s="653"/>
      <c r="AM75" s="40"/>
      <c r="AN75" s="630"/>
      <c r="AO75" s="653"/>
      <c r="AP75" s="40"/>
      <c r="AQ75" s="539"/>
      <c r="AR75" s="550"/>
      <c r="AS75"/>
      <c r="AT75" s="539"/>
      <c r="AU75" s="550"/>
      <c r="AV75"/>
      <c r="AW75" s="539"/>
      <c r="AX75" s="550"/>
      <c r="AY75"/>
      <c r="AZ75" s="539"/>
      <c r="BA75" s="550"/>
      <c r="BB75"/>
      <c r="BC75" s="539"/>
      <c r="BD75" s="550"/>
      <c r="BE75"/>
      <c r="BF75" s="539"/>
      <c r="BG75" s="550"/>
      <c r="BH75"/>
      <c r="BI75" s="539"/>
      <c r="BJ75" s="550"/>
      <c r="BK75"/>
      <c r="BL75" s="539"/>
      <c r="BM75" s="550"/>
    </row>
    <row r="76" spans="1:66">
      <c r="B76" s="40"/>
      <c r="C76" s="40"/>
      <c r="D76" s="40"/>
      <c r="E76" s="40"/>
      <c r="F76" s="40"/>
      <c r="G76" s="40"/>
      <c r="H76" s="40"/>
      <c r="I76" s="40"/>
      <c r="J76" s="40"/>
      <c r="K76" s="40"/>
      <c r="L76" s="40"/>
      <c r="M76" s="40"/>
      <c r="N76" s="40"/>
      <c r="O76" s="40"/>
      <c r="P76" s="40"/>
      <c r="Q76" s="40"/>
      <c r="R76" s="40"/>
      <c r="S76" s="630"/>
      <c r="T76" s="653"/>
      <c r="U76" s="40"/>
      <c r="V76" s="630"/>
      <c r="W76" s="653"/>
      <c r="X76" s="40"/>
      <c r="Y76" s="630"/>
      <c r="Z76" s="653"/>
      <c r="AA76" s="40"/>
      <c r="AB76" s="630"/>
      <c r="AC76" s="653"/>
      <c r="AD76" s="40"/>
      <c r="AE76" s="630"/>
      <c r="AF76" s="653"/>
      <c r="AG76" s="40"/>
      <c r="AH76" s="630"/>
      <c r="AI76" s="653"/>
      <c r="AJ76" s="40"/>
      <c r="AK76" s="630"/>
      <c r="AL76" s="653"/>
      <c r="AM76" s="40"/>
      <c r="AN76" s="630"/>
      <c r="AO76" s="653"/>
      <c r="AP76" s="40"/>
      <c r="AQ76" s="539"/>
      <c r="AR76" s="550"/>
      <c r="AS76"/>
      <c r="AT76" s="539"/>
      <c r="AU76" s="550"/>
      <c r="AV76"/>
      <c r="AW76" s="539"/>
      <c r="AX76" s="550"/>
      <c r="AY76"/>
      <c r="AZ76" s="539"/>
      <c r="BA76" s="550"/>
      <c r="BB76"/>
      <c r="BC76" s="539"/>
      <c r="BD76" s="550"/>
      <c r="BE76"/>
      <c r="BF76" s="539"/>
      <c r="BG76" s="550"/>
      <c r="BH76"/>
      <c r="BI76" s="539"/>
      <c r="BJ76" s="550"/>
      <c r="BK76"/>
      <c r="BL76" s="539"/>
      <c r="BM76" s="550"/>
    </row>
    <row r="77" spans="1:66">
      <c r="A77" s="310" t="s">
        <v>282</v>
      </c>
      <c r="B77" s="318"/>
      <c r="C77" s="318"/>
      <c r="D77" s="318"/>
      <c r="E77" s="318"/>
      <c r="F77" s="318"/>
      <c r="G77" s="318"/>
      <c r="H77" s="318"/>
      <c r="I77" s="318"/>
      <c r="J77" s="318"/>
      <c r="K77" s="318"/>
      <c r="L77" s="318"/>
      <c r="M77" s="318"/>
      <c r="N77" s="318"/>
      <c r="O77" s="318"/>
      <c r="P77" s="318"/>
      <c r="Q77" s="318"/>
      <c r="R77" s="529"/>
      <c r="S77" s="319"/>
      <c r="T77" s="678"/>
      <c r="U77" s="529"/>
      <c r="V77" s="319"/>
      <c r="W77" s="678"/>
      <c r="X77" s="529"/>
      <c r="Y77" s="319"/>
      <c r="Z77" s="664"/>
      <c r="AA77" s="527"/>
      <c r="AB77" s="320"/>
      <c r="AC77" s="664"/>
      <c r="AD77" s="527"/>
      <c r="AE77" s="320"/>
      <c r="AF77" s="664"/>
      <c r="AG77" s="527"/>
      <c r="AH77" s="320"/>
      <c r="AI77" s="664"/>
      <c r="AJ77" s="527"/>
      <c r="AK77" s="320"/>
      <c r="AL77" s="664"/>
      <c r="AM77" s="527"/>
      <c r="AN77" s="320"/>
      <c r="AO77" s="664"/>
      <c r="AP77" s="527"/>
      <c r="AQ77" s="320"/>
      <c r="AR77" s="664"/>
      <c r="AS77" s="527"/>
      <c r="AT77" s="320"/>
      <c r="AU77" s="664"/>
      <c r="AV77" s="527"/>
      <c r="AW77" s="320"/>
      <c r="AX77" s="664"/>
      <c r="AY77" s="527"/>
      <c r="AZ77" s="215"/>
      <c r="BA77" s="574"/>
      <c r="BB77" s="179"/>
      <c r="BC77" s="215"/>
      <c r="BD77" s="574"/>
      <c r="BE77" s="179"/>
      <c r="BF77" s="215"/>
      <c r="BG77" s="574"/>
      <c r="BH77" s="179"/>
      <c r="BI77" s="215"/>
      <c r="BJ77" s="574"/>
      <c r="BK77" s="179"/>
      <c r="BL77" s="215"/>
      <c r="BM77" s="574"/>
    </row>
    <row r="78" spans="1:66">
      <c r="A78" s="31"/>
      <c r="B78" s="40"/>
      <c r="C78" s="40"/>
      <c r="D78" s="40"/>
      <c r="E78" s="40"/>
      <c r="F78" s="40"/>
      <c r="G78" s="40"/>
      <c r="H78" s="40"/>
      <c r="I78" s="40"/>
      <c r="J78" s="40"/>
      <c r="K78" s="40"/>
      <c r="L78" s="40"/>
      <c r="M78" s="40"/>
      <c r="N78" s="40"/>
      <c r="O78" s="40"/>
      <c r="P78" s="40"/>
      <c r="Q78" s="51"/>
      <c r="R78" s="51"/>
      <c r="S78" s="629"/>
      <c r="T78" s="652"/>
      <c r="U78" s="51"/>
      <c r="V78" s="629"/>
      <c r="W78" s="652"/>
      <c r="X78" s="51"/>
      <c r="Y78" s="629"/>
      <c r="Z78" s="653"/>
      <c r="AA78" s="40"/>
      <c r="AB78" s="630"/>
      <c r="AC78" s="653"/>
      <c r="AD78" s="40"/>
      <c r="AE78" s="630"/>
      <c r="AF78" s="653"/>
      <c r="AG78" s="40"/>
      <c r="AH78" s="630"/>
      <c r="AI78" s="653"/>
      <c r="AJ78" s="40"/>
      <c r="AK78" s="630"/>
      <c r="AL78" s="653"/>
      <c r="AM78" s="40"/>
      <c r="AN78" s="630"/>
      <c r="AO78" s="653"/>
      <c r="AP78" s="40"/>
      <c r="AQ78" s="539"/>
      <c r="AR78" s="550"/>
      <c r="AS78"/>
      <c r="AT78" s="539"/>
      <c r="AU78" s="550"/>
      <c r="AV78"/>
      <c r="AW78" s="539"/>
      <c r="AX78" s="550"/>
      <c r="AY78"/>
      <c r="AZ78" s="539"/>
      <c r="BA78" s="550"/>
      <c r="BB78"/>
      <c r="BC78" s="539"/>
      <c r="BD78" s="550"/>
      <c r="BE78"/>
      <c r="BF78" s="539"/>
      <c r="BG78" s="550"/>
      <c r="BH78"/>
      <c r="BI78" s="539"/>
      <c r="BJ78" s="550"/>
      <c r="BK78"/>
      <c r="BL78" s="539"/>
      <c r="BM78" s="550"/>
    </row>
    <row r="79" spans="1:66">
      <c r="A79" s="25" t="s">
        <v>382</v>
      </c>
      <c r="B79" s="40"/>
      <c r="C79" s="40">
        <f t="shared" ref="C79:Q79" si="271">B14</f>
        <v>154</v>
      </c>
      <c r="D79" s="40">
        <f t="shared" si="271"/>
        <v>175</v>
      </c>
      <c r="E79" s="40">
        <f t="shared" si="271"/>
        <v>183</v>
      </c>
      <c r="F79" s="40">
        <f t="shared" si="271"/>
        <v>147</v>
      </c>
      <c r="G79" s="40">
        <f t="shared" si="271"/>
        <v>179</v>
      </c>
      <c r="H79" s="40">
        <f t="shared" si="271"/>
        <v>180</v>
      </c>
      <c r="I79" s="40">
        <f t="shared" si="271"/>
        <v>193</v>
      </c>
      <c r="J79" s="40">
        <f t="shared" si="271"/>
        <v>199</v>
      </c>
      <c r="K79" s="40">
        <f t="shared" si="271"/>
        <v>223</v>
      </c>
      <c r="L79" s="40">
        <f t="shared" si="271"/>
        <v>253</v>
      </c>
      <c r="M79" s="40">
        <f t="shared" si="271"/>
        <v>309</v>
      </c>
      <c r="N79" s="40">
        <f t="shared" si="271"/>
        <v>376</v>
      </c>
      <c r="O79" s="40">
        <f t="shared" si="271"/>
        <v>395</v>
      </c>
      <c r="P79" s="40">
        <f t="shared" si="271"/>
        <v>438</v>
      </c>
      <c r="Q79" s="40">
        <f t="shared" si="271"/>
        <v>366</v>
      </c>
      <c r="R79" s="40">
        <v>184</v>
      </c>
      <c r="S79" s="630">
        <f>T79-R79</f>
        <v>209</v>
      </c>
      <c r="T79" s="653">
        <f>Q14</f>
        <v>393</v>
      </c>
      <c r="U79" s="40">
        <f>R88</f>
        <v>128</v>
      </c>
      <c r="V79" s="630">
        <f>S88</f>
        <v>256</v>
      </c>
      <c r="W79" s="653">
        <f>T14</f>
        <v>384</v>
      </c>
      <c r="X79" s="40"/>
      <c r="Y79" s="630"/>
      <c r="Z79" s="653"/>
      <c r="AA79" s="40">
        <f>X88</f>
        <v>180</v>
      </c>
      <c r="AB79" s="630">
        <f>Y88</f>
        <v>274</v>
      </c>
      <c r="AC79" s="653">
        <f t="shared" ref="AC79" si="272">Z88</f>
        <v>454</v>
      </c>
      <c r="AD79" s="40">
        <f t="shared" ref="AD79:AK79" si="273">AA88</f>
        <v>162</v>
      </c>
      <c r="AE79" s="630">
        <f t="shared" si="273"/>
        <v>265</v>
      </c>
      <c r="AF79" s="653">
        <f t="shared" si="273"/>
        <v>427</v>
      </c>
      <c r="AG79" s="40">
        <f t="shared" si="273"/>
        <v>173</v>
      </c>
      <c r="AH79" s="630">
        <f t="shared" si="273"/>
        <v>242</v>
      </c>
      <c r="AI79" s="653">
        <f t="shared" si="273"/>
        <v>415</v>
      </c>
      <c r="AJ79" s="40">
        <f t="shared" si="273"/>
        <v>210</v>
      </c>
      <c r="AK79" s="630">
        <f t="shared" si="273"/>
        <v>251</v>
      </c>
      <c r="AL79" s="653">
        <v>461</v>
      </c>
      <c r="AM79" s="40">
        <f t="shared" ref="AM79:BM79" si="274">AJ88</f>
        <v>269</v>
      </c>
      <c r="AN79" s="630">
        <f t="shared" si="274"/>
        <v>188</v>
      </c>
      <c r="AO79" s="653">
        <f t="shared" si="274"/>
        <v>457</v>
      </c>
      <c r="AP79" s="40">
        <f t="shared" si="274"/>
        <v>189</v>
      </c>
      <c r="AQ79" s="630">
        <f t="shared" si="274"/>
        <v>243</v>
      </c>
      <c r="AR79" s="653">
        <f t="shared" si="274"/>
        <v>432</v>
      </c>
      <c r="AS79" s="40">
        <f t="shared" si="274"/>
        <v>261</v>
      </c>
      <c r="AT79" s="630">
        <f t="shared" ref="AT79" si="275">AQ88</f>
        <v>301</v>
      </c>
      <c r="AU79" s="653">
        <f t="shared" ref="AU79" si="276">AR88</f>
        <v>562</v>
      </c>
      <c r="AV79" s="40">
        <f t="shared" si="274"/>
        <v>345</v>
      </c>
      <c r="AW79" s="630">
        <f t="shared" si="274"/>
        <v>299</v>
      </c>
      <c r="AX79" s="653">
        <f t="shared" si="274"/>
        <v>644</v>
      </c>
      <c r="AY79" s="40">
        <f t="shared" si="274"/>
        <v>342</v>
      </c>
      <c r="AZ79" s="236">
        <f t="shared" si="274"/>
        <v>347</v>
      </c>
      <c r="BA79" s="605">
        <f t="shared" si="274"/>
        <v>689</v>
      </c>
      <c r="BB79" s="56">
        <f t="shared" si="274"/>
        <v>522</v>
      </c>
      <c r="BC79" s="236">
        <f t="shared" si="274"/>
        <v>485.80168177180724</v>
      </c>
      <c r="BD79" s="605">
        <f t="shared" si="274"/>
        <v>1007.8016817718072</v>
      </c>
      <c r="BE79" s="56">
        <f t="shared" si="274"/>
        <v>489.03147999999999</v>
      </c>
      <c r="BF79" s="236">
        <f t="shared" si="274"/>
        <v>527.45192154761207</v>
      </c>
      <c r="BG79" s="605">
        <f t="shared" si="274"/>
        <v>1016.4834015476119</v>
      </c>
      <c r="BH79" s="56">
        <f t="shared" si="274"/>
        <v>533.42751520000002</v>
      </c>
      <c r="BI79" s="236">
        <f t="shared" si="274"/>
        <v>576.48392470770966</v>
      </c>
      <c r="BJ79" s="605">
        <f t="shared" si="274"/>
        <v>1109.9114399077098</v>
      </c>
      <c r="BK79" s="56">
        <f t="shared" si="274"/>
        <v>581.59778570560002</v>
      </c>
      <c r="BL79" s="236">
        <f t="shared" si="274"/>
        <v>629.73299695404774</v>
      </c>
      <c r="BM79" s="605">
        <f t="shared" si="274"/>
        <v>1211.3307826596479</v>
      </c>
    </row>
    <row r="80" spans="1:66">
      <c r="A80" s="25" t="s">
        <v>383</v>
      </c>
      <c r="B80" s="40"/>
      <c r="C80" s="40"/>
      <c r="D80" s="40"/>
      <c r="E80" s="40"/>
      <c r="F80" s="40"/>
      <c r="G80" s="40"/>
      <c r="H80" s="40"/>
      <c r="I80" s="40"/>
      <c r="J80" s="40"/>
      <c r="K80" s="40"/>
      <c r="L80" s="40"/>
      <c r="M80" s="40"/>
      <c r="N80" s="40"/>
      <c r="O80" s="40"/>
      <c r="P80" s="40"/>
      <c r="Q80" s="40">
        <v>-28</v>
      </c>
      <c r="R80" s="40">
        <f>R92*(R29+R30)</f>
        <v>-1.8823529411764706</v>
      </c>
      <c r="S80" s="630">
        <f>T80-R80</f>
        <v>5.882352941176471</v>
      </c>
      <c r="T80" s="653">
        <v>4</v>
      </c>
      <c r="U80" s="40">
        <f>U92*(U29+U30)</f>
        <v>-8.9411764705882355</v>
      </c>
      <c r="V80" s="630">
        <f>W80-U80</f>
        <v>4.9411764705882355</v>
      </c>
      <c r="W80" s="653">
        <v>-4</v>
      </c>
      <c r="X80" s="40"/>
      <c r="Y80" s="630"/>
      <c r="Z80" s="653"/>
      <c r="AA80" s="40">
        <f>AA92*(AA29+AA30)</f>
        <v>-0.4859154929577465</v>
      </c>
      <c r="AB80" s="630">
        <f>AC80-AA80</f>
        <v>3.2688860435339295</v>
      </c>
      <c r="AC80" s="653">
        <f>AC92*(AC29+AC30)</f>
        <v>2.782970550576183</v>
      </c>
      <c r="AD80" s="40">
        <f>AD92*(AD29+AD30)</f>
        <v>7.154001280409731</v>
      </c>
      <c r="AE80" s="630">
        <f>AF80-AD80</f>
        <v>1.2037451984635075</v>
      </c>
      <c r="AF80" s="653">
        <f>AF92*(AF29+AF30)</f>
        <v>8.3577464788732385</v>
      </c>
      <c r="AG80" s="40">
        <f>AG92*(AG29+AG30)</f>
        <v>6.5996158770806659</v>
      </c>
      <c r="AH80" s="630">
        <f>AI80-AG80</f>
        <v>21.784475032010238</v>
      </c>
      <c r="AI80" s="653">
        <f>AI92*(AI29+AI30)</f>
        <v>28.384090909090904</v>
      </c>
      <c r="AJ80" s="40">
        <f>AJ92*(AJ29+AJ30)</f>
        <v>58.75160051216389</v>
      </c>
      <c r="AK80" s="630">
        <f>AL80-AJ80</f>
        <v>-24.516645326504481</v>
      </c>
      <c r="AL80" s="653">
        <f>AL92*(AL29+AL30)</f>
        <v>34.234955185659409</v>
      </c>
      <c r="AM80" s="40">
        <f>AM92*(AM29+AM30)</f>
        <v>-36.222791293213824</v>
      </c>
      <c r="AN80" s="630">
        <f>AO80-AM80</f>
        <v>53.450704225352112</v>
      </c>
      <c r="AO80" s="653">
        <f>AO92*(AO29+AO30)</f>
        <v>17.227912932138285</v>
      </c>
      <c r="AP80" s="40">
        <f>AP92*(AP29+AP30)</f>
        <v>53.892445582586426</v>
      </c>
      <c r="AQ80" s="630">
        <f>AR80-AP80</f>
        <v>40.640204865556974</v>
      </c>
      <c r="AR80" s="653">
        <f>AR92*(AR29+AR30)</f>
        <v>94.5326504481434</v>
      </c>
      <c r="AS80" s="40">
        <f>AS92*(AS29+AS30)</f>
        <v>73.991677336747756</v>
      </c>
      <c r="AT80" s="630">
        <f>AU80-AS80</f>
        <v>38.873239436619713</v>
      </c>
      <c r="AU80" s="653">
        <f>AU92*(AU29+AU30)</f>
        <v>112.86491677336747</v>
      </c>
      <c r="AV80" s="40">
        <f>AV92*(AV29+AV30)</f>
        <v>7.0678617157490393</v>
      </c>
      <c r="AW80" s="630">
        <f>AX80-AV80</f>
        <v>74.433418693982077</v>
      </c>
      <c r="AX80" s="653">
        <f>AX92*(AX29+AX30)</f>
        <v>81.501280409731109</v>
      </c>
      <c r="AY80" s="40">
        <f>AY92*(AY29+AY30)</f>
        <v>79.071702944942373</v>
      </c>
      <c r="AZ80" s="236">
        <f>BA80-AY80</f>
        <v>24.65638293708264</v>
      </c>
      <c r="BA80" s="605">
        <f>BA92*(BA29+BA30)</f>
        <v>103.72808588202501</v>
      </c>
      <c r="BB80" s="56">
        <f>BB92*(BB29+BB30)</f>
        <v>34.015851472471248</v>
      </c>
      <c r="BC80" s="236">
        <f>BD80-BB80</f>
        <v>37.929838924455915</v>
      </c>
      <c r="BD80" s="605">
        <f>BD92*(BD29+BD30)</f>
        <v>71.945690396927162</v>
      </c>
      <c r="BE80" s="56">
        <f>BE92*(BE29+BE30)</f>
        <v>36.276259667093463</v>
      </c>
      <c r="BF80" s="236">
        <f>BG80-BE80</f>
        <v>40.458361859155012</v>
      </c>
      <c r="BG80" s="605">
        <f>BG92*(BG29+BG30)</f>
        <v>76.734621526248475</v>
      </c>
      <c r="BH80" s="56">
        <f>BH92*(BH29+BH30)</f>
        <v>38.690902316005122</v>
      </c>
      <c r="BI80" s="236">
        <f>BJ80-BH80</f>
        <v>43.160122332292104</v>
      </c>
      <c r="BJ80" s="605">
        <f>BJ92*(BJ29+BJ30)</f>
        <v>81.851024648297226</v>
      </c>
      <c r="BK80" s="56">
        <f>BK92*(BK29+BK30)</f>
        <v>41.270564419236855</v>
      </c>
      <c r="BL80" s="236">
        <f>BM80-BK80</f>
        <v>46.047288991338426</v>
      </c>
      <c r="BM80" s="605">
        <f>BM92*(BM29+BM30)</f>
        <v>87.317853410575282</v>
      </c>
    </row>
    <row r="81" spans="1:65">
      <c r="A81" s="25" t="s">
        <v>384</v>
      </c>
      <c r="B81" s="40"/>
      <c r="C81" s="40"/>
      <c r="D81" s="40"/>
      <c r="E81" s="40"/>
      <c r="F81" s="40"/>
      <c r="G81" s="40"/>
      <c r="H81" s="40"/>
      <c r="I81" s="40"/>
      <c r="J81" s="40"/>
      <c r="K81" s="40"/>
      <c r="L81" s="40"/>
      <c r="M81" s="40"/>
      <c r="N81" s="40"/>
      <c r="O81" s="40"/>
      <c r="P81" s="40"/>
      <c r="Q81" s="40">
        <v>-28</v>
      </c>
      <c r="R81" s="40">
        <f>+R88-R79-R80-SUM(R82:R87)</f>
        <v>25.882352941176471</v>
      </c>
      <c r="S81" s="630">
        <f>+S88-S79-S80-SUM(S82:S87)</f>
        <v>-82.882352941176464</v>
      </c>
      <c r="T81" s="653">
        <v>-22</v>
      </c>
      <c r="U81" s="40">
        <f>+U88-U79-U80-SUM(U82:U87)</f>
        <v>14.441176470588236</v>
      </c>
      <c r="V81" s="630">
        <f>+V88-V79-V80-SUM(V82:V87)</f>
        <v>-27.441176470588232</v>
      </c>
      <c r="W81" s="653">
        <v>-10</v>
      </c>
      <c r="X81" s="40"/>
      <c r="Y81" s="630"/>
      <c r="Z81" s="653"/>
      <c r="AA81" s="40">
        <f>+AA88-AA79-AA80-SUM(AA82:AA87)</f>
        <v>-6.0140845070422522</v>
      </c>
      <c r="AB81" s="630">
        <f>+AB88-AB79-AB80-SUM(AB82:AB87)</f>
        <v>-31.764183960250925</v>
      </c>
      <c r="AC81" s="653">
        <f t="shared" ref="AC81" si="277">+AC88-AC79-AC80-SUM(AC82:AC87)</f>
        <v>-37.778268467293181</v>
      </c>
      <c r="AD81" s="40">
        <f t="shared" ref="AD81:AK81" si="278">+AD88-AD79-AD80-SUM(AD82:AD87)</f>
        <v>-0.15400128040973105</v>
      </c>
      <c r="AE81" s="630">
        <f t="shared" si="278"/>
        <v>-8.2037451984635084</v>
      </c>
      <c r="AF81" s="653">
        <f t="shared" si="278"/>
        <v>-7.3577464788732385</v>
      </c>
      <c r="AG81" s="40">
        <f t="shared" si="278"/>
        <v>28.247606345141531</v>
      </c>
      <c r="AH81" s="630">
        <f t="shared" si="278"/>
        <v>-30.937252809788042</v>
      </c>
      <c r="AI81" s="653">
        <f t="shared" si="278"/>
        <v>-2.6896464646465112</v>
      </c>
      <c r="AJ81" s="40">
        <f t="shared" si="278"/>
        <v>9.7483994878361102</v>
      </c>
      <c r="AK81" s="630">
        <f t="shared" si="278"/>
        <v>12.016645326504481</v>
      </c>
      <c r="AL81" s="653">
        <f>63-AL80</f>
        <v>28.765044814340591</v>
      </c>
      <c r="AM81" s="40">
        <f>+AM88-AM79-AM80-SUM(AM82:AM87)</f>
        <v>-29.402208706786162</v>
      </c>
      <c r="AN81" s="630">
        <f>+AN88-AN79-AN80-SUM(AN82:AN87)</f>
        <v>19.924295774647902</v>
      </c>
      <c r="AO81" s="653">
        <f>5-AO80</f>
        <v>-12.227912932138285</v>
      </c>
      <c r="AP81" s="40">
        <f t="shared" ref="AP81:AU81" si="279">+AP88-AP79-AP80-SUM(AP82:AP87)</f>
        <v>-4.1146678048086862</v>
      </c>
      <c r="AQ81" s="630">
        <f t="shared" si="279"/>
        <v>-17.862427087779238</v>
      </c>
      <c r="AR81" s="653">
        <f t="shared" si="279"/>
        <v>-21.977094892587921</v>
      </c>
      <c r="AS81" s="40">
        <f t="shared" si="279"/>
        <v>22.008322663252244</v>
      </c>
      <c r="AT81" s="630">
        <f t="shared" si="279"/>
        <v>-25.367357083678545</v>
      </c>
      <c r="AU81" s="653">
        <f t="shared" si="279"/>
        <v>-3.3590344204263012</v>
      </c>
      <c r="AV81" s="40">
        <f t="shared" ref="AV81" si="280">+AV88-AV79-AV80-SUM(AV82:AV87)</f>
        <v>-22.067861715749039</v>
      </c>
      <c r="AW81" s="630">
        <f>AX81-AV81</f>
        <v>-29.645183399864401</v>
      </c>
      <c r="AX81" s="653">
        <f t="shared" ref="AX81:AY81" si="281">+AX88-AX79-AX80-SUM(AX82:AX87)</f>
        <v>-51.71304511561344</v>
      </c>
      <c r="AY81" s="40">
        <f t="shared" si="281"/>
        <v>97.928297055057627</v>
      </c>
      <c r="AZ81" s="236">
        <f>BA81-AY81</f>
        <v>131.86669536746552</v>
      </c>
      <c r="BA81" s="605">
        <f t="shared" ref="BA81:BM81" si="282">+BA88-BA79-BA80-SUM(BA82:BA87)</f>
        <v>229.79499242252314</v>
      </c>
      <c r="BB81" s="56">
        <f t="shared" ref="BB81" si="283">+BB88-BB79-BB80-SUM(BB82:BB87)</f>
        <v>-52.083971472471234</v>
      </c>
      <c r="BC81" s="236">
        <f>BD81-BB81</f>
        <v>5.1068368513488025</v>
      </c>
      <c r="BD81" s="605">
        <f t="shared" si="282"/>
        <v>-46.977134621122431</v>
      </c>
      <c r="BE81" s="56">
        <f t="shared" ref="BE81" si="284">+BE88-BE79-BE80-SUM(BE82:BE87)</f>
        <v>16.331879532906566</v>
      </c>
      <c r="BF81" s="236">
        <f>BG81-BE81</f>
        <v>17.732476260942814</v>
      </c>
      <c r="BG81" s="605">
        <f t="shared" si="282"/>
        <v>34.06435579384938</v>
      </c>
      <c r="BH81" s="56">
        <f t="shared" ref="BH81" si="285">+BH88-BH79-BH80-SUM(BH82:BH87)</f>
        <v>18.238091293594881</v>
      </c>
      <c r="BI81" s="236">
        <f>BJ81-BH81</f>
        <v>19.859400795646028</v>
      </c>
      <c r="BJ81" s="605">
        <f t="shared" si="282"/>
        <v>38.097492089240909</v>
      </c>
      <c r="BK81" s="56">
        <f t="shared" ref="BK81" si="286">+BK88-BK79-BK80-SUM(BK82:BK87)</f>
        <v>20.330052220763278</v>
      </c>
      <c r="BL81" s="236">
        <f>BM81-BK81</f>
        <v>22.194262226999356</v>
      </c>
      <c r="BM81" s="605">
        <f t="shared" si="282"/>
        <v>42.524314447762634</v>
      </c>
    </row>
    <row r="82" spans="1:65">
      <c r="A82" s="25" t="s">
        <v>403</v>
      </c>
      <c r="B82" s="40"/>
      <c r="C82" s="40"/>
      <c r="D82" s="40"/>
      <c r="E82" s="40"/>
      <c r="F82" s="40"/>
      <c r="G82" s="40"/>
      <c r="H82" s="40"/>
      <c r="I82" s="40"/>
      <c r="J82" s="40"/>
      <c r="K82" s="40"/>
      <c r="L82" s="40"/>
      <c r="M82" s="40"/>
      <c r="N82" s="40"/>
      <c r="O82" s="40"/>
      <c r="P82" s="40"/>
      <c r="Q82" s="40">
        <v>47</v>
      </c>
      <c r="R82" s="40"/>
      <c r="S82" s="630"/>
      <c r="T82" s="653">
        <f>-26-5</f>
        <v>-31</v>
      </c>
      <c r="U82" s="40"/>
      <c r="V82" s="630"/>
      <c r="W82" s="653">
        <f>31-26</f>
        <v>5</v>
      </c>
      <c r="X82" s="40"/>
      <c r="Y82" s="630"/>
      <c r="Z82" s="653"/>
      <c r="AA82" s="40"/>
      <c r="AB82" s="630"/>
      <c r="AC82" s="653"/>
      <c r="AD82" s="40"/>
      <c r="AE82" s="630"/>
      <c r="AF82" s="653"/>
      <c r="AG82" s="40"/>
      <c r="AH82" s="630"/>
      <c r="AI82" s="653"/>
      <c r="AJ82" s="40"/>
      <c r="AK82" s="630"/>
      <c r="AL82" s="653"/>
      <c r="AM82" s="40"/>
      <c r="AN82" s="630"/>
      <c r="AO82" s="653"/>
      <c r="AP82" s="40"/>
      <c r="AQ82" s="630"/>
      <c r="AR82" s="653"/>
      <c r="AS82" s="40"/>
      <c r="AT82" s="630"/>
      <c r="AU82" s="653"/>
      <c r="AV82" s="40"/>
      <c r="AW82" s="630"/>
      <c r="AX82" s="653"/>
      <c r="AY82" s="40"/>
      <c r="AZ82" s="236"/>
      <c r="BA82" s="605"/>
      <c r="BB82" s="56"/>
      <c r="BC82" s="236"/>
      <c r="BD82" s="605"/>
      <c r="BE82" s="56"/>
      <c r="BF82" s="236"/>
      <c r="BG82" s="605"/>
      <c r="BH82" s="56"/>
      <c r="BI82" s="236"/>
      <c r="BJ82" s="605"/>
      <c r="BK82" s="56"/>
      <c r="BL82" s="236"/>
      <c r="BM82" s="605"/>
    </row>
    <row r="83" spans="1:65">
      <c r="A83" s="25" t="s">
        <v>6</v>
      </c>
      <c r="B83" s="40"/>
      <c r="C83" s="40"/>
      <c r="D83" s="40"/>
      <c r="E83" s="40"/>
      <c r="F83" s="40"/>
      <c r="G83" s="40"/>
      <c r="H83" s="40"/>
      <c r="I83" s="40"/>
      <c r="J83" s="40"/>
      <c r="K83" s="40"/>
      <c r="L83" s="40"/>
      <c r="M83" s="40"/>
      <c r="N83" s="40"/>
      <c r="O83" s="40"/>
      <c r="P83" s="40"/>
      <c r="Q83" s="40">
        <v>-7</v>
      </c>
      <c r="R83" s="40">
        <f>R8-O8</f>
        <v>-60</v>
      </c>
      <c r="S83" s="630">
        <f t="shared" ref="S83:S85" si="287">T83-R83</f>
        <v>57</v>
      </c>
      <c r="T83" s="653">
        <v>-3</v>
      </c>
      <c r="U83" s="40">
        <f>U8-R8</f>
        <v>6</v>
      </c>
      <c r="V83" s="630">
        <f t="shared" ref="V83:V85" si="288">W83-U83</f>
        <v>-8</v>
      </c>
      <c r="W83" s="653">
        <v>-2</v>
      </c>
      <c r="X83" s="40"/>
      <c r="Y83" s="630"/>
      <c r="Z83" s="653"/>
      <c r="AA83" s="40">
        <f>AA8-X8</f>
        <v>6</v>
      </c>
      <c r="AB83" s="630">
        <f t="shared" ref="AB83:AB85" si="289">AC83-AA83</f>
        <v>12</v>
      </c>
      <c r="AC83" s="653">
        <f>AC8-Z8</f>
        <v>18</v>
      </c>
      <c r="AD83" s="40">
        <f>AD8-AA8</f>
        <v>1</v>
      </c>
      <c r="AE83" s="630">
        <f t="shared" ref="AE83:AE85" si="290">AF83-AD83</f>
        <v>-20</v>
      </c>
      <c r="AF83" s="653">
        <f>-170+151</f>
        <v>-19</v>
      </c>
      <c r="AG83" s="40">
        <f>AG8-AD8</f>
        <v>0</v>
      </c>
      <c r="AH83" s="630">
        <f t="shared" ref="AH83:AH85" si="291">AI83-AG83</f>
        <v>7</v>
      </c>
      <c r="AI83" s="653">
        <f>-151+158</f>
        <v>7</v>
      </c>
      <c r="AJ83" s="40">
        <f>AJ8-AG8</f>
        <v>-3</v>
      </c>
      <c r="AK83" s="630">
        <f t="shared" ref="AK83:AK85" si="292">AL83-AJ83</f>
        <v>-16</v>
      </c>
      <c r="AL83" s="653">
        <v>-19</v>
      </c>
      <c r="AM83" s="40">
        <f>AM8-AJ8</f>
        <v>-7</v>
      </c>
      <c r="AN83" s="630">
        <f t="shared" ref="AN83:AN85" si="293">AO83-AM83</f>
        <v>-6</v>
      </c>
      <c r="AO83" s="653">
        <f>AO8-AL8</f>
        <v>-13</v>
      </c>
      <c r="AP83" s="40">
        <f>AP8-AM8</f>
        <v>0</v>
      </c>
      <c r="AQ83" s="630">
        <f t="shared" ref="AQ83:AQ85" si="294">AR83-AP83</f>
        <v>1</v>
      </c>
      <c r="AR83" s="653">
        <f>AR8-AO8</f>
        <v>1</v>
      </c>
      <c r="AS83" s="40">
        <f>AS8-AP8</f>
        <v>-22</v>
      </c>
      <c r="AT83" s="630">
        <f t="shared" ref="AT83:AT85" si="295">AU83-AS83</f>
        <v>-17</v>
      </c>
      <c r="AU83" s="653">
        <f>AU8-AR8</f>
        <v>-39</v>
      </c>
      <c r="AV83" s="40">
        <f>AV8-AS8</f>
        <v>5</v>
      </c>
      <c r="AW83" s="630">
        <f t="shared" ref="AW83:AW85" si="296">AX83-AV83</f>
        <v>6</v>
      </c>
      <c r="AX83" s="653">
        <f>AX8-AU8</f>
        <v>11</v>
      </c>
      <c r="AY83" s="40">
        <f>AY8-AV8</f>
        <v>-2</v>
      </c>
      <c r="AZ83" s="236">
        <f t="shared" ref="AZ83:AZ85" si="297">BA83-AY83</f>
        <v>-3.3182936967809837</v>
      </c>
      <c r="BA83" s="605">
        <f>BA8-AX8</f>
        <v>-5.3182936967809837</v>
      </c>
      <c r="BB83" s="56">
        <f>BB8-AY8</f>
        <v>-0.52032000000001233</v>
      </c>
      <c r="BC83" s="236">
        <f t="shared" ref="BC83:BC85" si="298">BD83-BB83</f>
        <v>-12.509148800000006</v>
      </c>
      <c r="BD83" s="605">
        <f>BD8-BA8</f>
        <v>-13.029468800000018</v>
      </c>
      <c r="BE83" s="56">
        <f>BE8-BB8</f>
        <v>-6.5696832000000001</v>
      </c>
      <c r="BF83" s="236">
        <f t="shared" ref="BF83:BF85" si="299">BG83-BE83</f>
        <v>-7.3270679680000086</v>
      </c>
      <c r="BG83" s="605">
        <f>BG8-BD8</f>
        <v>-13.896751168000009</v>
      </c>
      <c r="BH83" s="56">
        <f>BH8-BE8</f>
        <v>-7.0069784832000011</v>
      </c>
      <c r="BI83" s="236">
        <f t="shared" ref="BI83:BI85" si="300">BJ83-BH83</f>
        <v>-7.8163607052800472</v>
      </c>
      <c r="BJ83" s="605">
        <f>BJ8-BG8</f>
        <v>-14.823339188480048</v>
      </c>
      <c r="BK83" s="56">
        <f>BK8-BH8</f>
        <v>-7.4741590287360111</v>
      </c>
      <c r="BL83" s="236">
        <f t="shared" ref="BL83:BL85" si="301">BM83-BK83</f>
        <v>-8.33923077153284</v>
      </c>
      <c r="BM83" s="605">
        <f>BM8-BJ8</f>
        <v>-15.813389800268851</v>
      </c>
    </row>
    <row r="84" spans="1:65">
      <c r="A84" s="25" t="s">
        <v>290</v>
      </c>
      <c r="B84" s="40"/>
      <c r="C84" s="40"/>
      <c r="D84" s="40"/>
      <c r="E84" s="40"/>
      <c r="F84" s="40"/>
      <c r="G84" s="40"/>
      <c r="H84" s="40"/>
      <c r="I84" s="40"/>
      <c r="J84" s="40"/>
      <c r="K84" s="40"/>
      <c r="L84" s="40"/>
      <c r="M84" s="40"/>
      <c r="N84" s="40"/>
      <c r="O84" s="40"/>
      <c r="P84" s="40"/>
      <c r="Q84" s="40">
        <v>-20</v>
      </c>
      <c r="R84" s="40">
        <f>R11-O11</f>
        <v>-29</v>
      </c>
      <c r="S84" s="630">
        <f t="shared" si="287"/>
        <v>34</v>
      </c>
      <c r="T84" s="653">
        <v>5</v>
      </c>
      <c r="U84" s="40">
        <f>U11-R11</f>
        <v>-1</v>
      </c>
      <c r="V84" s="630">
        <f t="shared" si="288"/>
        <v>-5</v>
      </c>
      <c r="W84" s="653">
        <v>-6</v>
      </c>
      <c r="X84" s="40"/>
      <c r="Y84" s="630"/>
      <c r="Z84" s="653"/>
      <c r="AA84" s="40">
        <f>AA11-X11</f>
        <v>-12</v>
      </c>
      <c r="AB84" s="630">
        <f t="shared" si="289"/>
        <v>11.995297916716996</v>
      </c>
      <c r="AC84" s="653">
        <f>AC9-Z9</f>
        <v>-4.7020832830027628E-3</v>
      </c>
      <c r="AD84" s="40">
        <f>AD11-AA11</f>
        <v>-4</v>
      </c>
      <c r="AE84" s="630">
        <f t="shared" si="290"/>
        <v>-1</v>
      </c>
      <c r="AF84" s="653">
        <v>-5</v>
      </c>
      <c r="AG84" s="40">
        <f>AG11-AD11</f>
        <v>-1</v>
      </c>
      <c r="AH84" s="630">
        <f t="shared" si="291"/>
        <v>10</v>
      </c>
      <c r="AI84" s="653">
        <f>-96+105</f>
        <v>9</v>
      </c>
      <c r="AJ84" s="40">
        <f>AJ11-AG11</f>
        <v>2</v>
      </c>
      <c r="AK84" s="630">
        <f t="shared" si="292"/>
        <v>-26</v>
      </c>
      <c r="AL84" s="653">
        <v>-24</v>
      </c>
      <c r="AM84" s="40">
        <f>AM11-AJ11</f>
        <v>-6</v>
      </c>
      <c r="AN84" s="630">
        <f t="shared" si="293"/>
        <v>-11</v>
      </c>
      <c r="AO84" s="653">
        <f>AO11-AL11</f>
        <v>-17</v>
      </c>
      <c r="AP84" s="40">
        <f>AP11-AM11</f>
        <v>19</v>
      </c>
      <c r="AQ84" s="630">
        <f t="shared" si="294"/>
        <v>31</v>
      </c>
      <c r="AR84" s="653">
        <f>AR11-AO11</f>
        <v>50</v>
      </c>
      <c r="AS84" s="40">
        <f>AS11-AP11</f>
        <v>10</v>
      </c>
      <c r="AT84" s="630">
        <f t="shared" si="295"/>
        <v>7</v>
      </c>
      <c r="AU84" s="653">
        <f>AU11-AR11</f>
        <v>17</v>
      </c>
      <c r="AV84" s="40">
        <f>AV11-AS11</f>
        <v>6</v>
      </c>
      <c r="AW84" s="630">
        <f t="shared" si="296"/>
        <v>4</v>
      </c>
      <c r="AX84" s="653">
        <f>AX11-AU11</f>
        <v>10</v>
      </c>
      <c r="AY84" s="40">
        <f>AY11-AV11</f>
        <v>6</v>
      </c>
      <c r="AZ84" s="236">
        <f t="shared" si="297"/>
        <v>-12.579573424195246</v>
      </c>
      <c r="BA84" s="605">
        <f>BA11-AX11</f>
        <v>-6.5795734241952459</v>
      </c>
      <c r="BB84" s="56">
        <f>BB11-AY11</f>
        <v>-14.380080000000003</v>
      </c>
      <c r="BC84" s="236">
        <f t="shared" si="298"/>
        <v>11.122712799999999</v>
      </c>
      <c r="BD84" s="605">
        <f>BD11-BA11</f>
        <v>-3.2573672000000045</v>
      </c>
      <c r="BE84" s="56">
        <f>BE11-BB11</f>
        <v>-1.6424208</v>
      </c>
      <c r="BF84" s="236">
        <f t="shared" si="299"/>
        <v>-1.8317669920000021</v>
      </c>
      <c r="BG84" s="605">
        <f>BG11-BD11</f>
        <v>-3.4741877920000022</v>
      </c>
      <c r="BH84" s="56">
        <f>BH11-BE11</f>
        <v>-1.7517446208000003</v>
      </c>
      <c r="BI84" s="236">
        <f t="shared" si="300"/>
        <v>-1.9540901763200118</v>
      </c>
      <c r="BJ84" s="605">
        <f>BJ11-BG11</f>
        <v>-3.7058347971200121</v>
      </c>
      <c r="BK84" s="56">
        <f>BK11-BH11</f>
        <v>-1.8685397571840028</v>
      </c>
      <c r="BL84" s="236">
        <f t="shared" si="301"/>
        <v>-2.08480769288321</v>
      </c>
      <c r="BM84" s="605">
        <f>BM11-BJ11</f>
        <v>-3.9533474500672128</v>
      </c>
    </row>
    <row r="85" spans="1:65">
      <c r="A85" s="25" t="s">
        <v>385</v>
      </c>
      <c r="B85" s="40"/>
      <c r="C85" s="40"/>
      <c r="D85" s="40"/>
      <c r="E85" s="40"/>
      <c r="F85" s="40"/>
      <c r="G85" s="40"/>
      <c r="H85" s="40"/>
      <c r="I85" s="40"/>
      <c r="J85" s="40"/>
      <c r="K85" s="40"/>
      <c r="L85" s="40"/>
      <c r="M85" s="40"/>
      <c r="N85" s="40"/>
      <c r="O85" s="40"/>
      <c r="P85" s="40"/>
      <c r="Q85" s="40">
        <v>48</v>
      </c>
      <c r="R85" s="40">
        <f>R10-O10</f>
        <v>-3</v>
      </c>
      <c r="S85" s="630">
        <f t="shared" si="287"/>
        <v>21</v>
      </c>
      <c r="T85" s="653">
        <v>18</v>
      </c>
      <c r="U85" s="40">
        <f>U10-R10</f>
        <v>2</v>
      </c>
      <c r="V85" s="630">
        <f t="shared" si="288"/>
        <v>-2</v>
      </c>
      <c r="W85" s="653"/>
      <c r="X85" s="40"/>
      <c r="Y85" s="630"/>
      <c r="Z85" s="653"/>
      <c r="AA85" s="40">
        <f>AA10-X10</f>
        <v>0</v>
      </c>
      <c r="AB85" s="630">
        <f t="shared" si="289"/>
        <v>1</v>
      </c>
      <c r="AC85" s="653">
        <f>AC10-Z10</f>
        <v>1</v>
      </c>
      <c r="AD85" s="40">
        <f>AD10-AA10</f>
        <v>-1</v>
      </c>
      <c r="AE85" s="630">
        <f t="shared" si="290"/>
        <v>-3</v>
      </c>
      <c r="AF85" s="653">
        <v>-4</v>
      </c>
      <c r="AG85" s="40">
        <f>AG10-AD10</f>
        <v>1</v>
      </c>
      <c r="AH85" s="630">
        <f t="shared" si="291"/>
        <v>-1</v>
      </c>
      <c r="AI85" s="653">
        <v>0</v>
      </c>
      <c r="AJ85" s="40">
        <f>AJ10-AG10</f>
        <v>0</v>
      </c>
      <c r="AK85" s="630">
        <f t="shared" si="292"/>
        <v>0</v>
      </c>
      <c r="AL85" s="653">
        <v>0</v>
      </c>
      <c r="AM85" s="40">
        <f>AM10-AJ10</f>
        <v>0</v>
      </c>
      <c r="AN85" s="630">
        <f t="shared" si="293"/>
        <v>0</v>
      </c>
      <c r="AO85" s="653">
        <f>AO10-AL10</f>
        <v>0</v>
      </c>
      <c r="AP85" s="40">
        <f>AP10-AM10</f>
        <v>0</v>
      </c>
      <c r="AQ85" s="630">
        <f t="shared" si="294"/>
        <v>0</v>
      </c>
      <c r="AR85" s="653">
        <f>AR10-AO10</f>
        <v>0</v>
      </c>
      <c r="AS85" s="40">
        <f>AS10-AP10</f>
        <v>0</v>
      </c>
      <c r="AT85" s="630">
        <f t="shared" si="295"/>
        <v>0</v>
      </c>
      <c r="AU85" s="653">
        <f>AU10-AR10</f>
        <v>0</v>
      </c>
      <c r="AV85" s="40">
        <f>AV10-AS10</f>
        <v>0</v>
      </c>
      <c r="AW85" s="630">
        <f t="shared" si="296"/>
        <v>0</v>
      </c>
      <c r="AX85" s="653">
        <f>AX10-AU10</f>
        <v>0</v>
      </c>
      <c r="AY85" s="40">
        <f>AY10-AV10</f>
        <v>0</v>
      </c>
      <c r="AZ85" s="236">
        <f t="shared" si="297"/>
        <v>0</v>
      </c>
      <c r="BA85" s="605">
        <f>BA10-AX10</f>
        <v>0</v>
      </c>
      <c r="BB85" s="56">
        <f>BB10-AY10</f>
        <v>0</v>
      </c>
      <c r="BC85" s="236">
        <f t="shared" si="298"/>
        <v>0</v>
      </c>
      <c r="BD85" s="605">
        <f>BD10-BA10</f>
        <v>0</v>
      </c>
      <c r="BE85" s="56">
        <f>BE10-BB10</f>
        <v>0</v>
      </c>
      <c r="BF85" s="236">
        <f t="shared" si="299"/>
        <v>0</v>
      </c>
      <c r="BG85" s="605">
        <f>BG10-BD10</f>
        <v>0</v>
      </c>
      <c r="BH85" s="56">
        <f>BH10-BE10</f>
        <v>0</v>
      </c>
      <c r="BI85" s="236">
        <f t="shared" si="300"/>
        <v>0</v>
      </c>
      <c r="BJ85" s="605">
        <f>BJ10-BG10</f>
        <v>0</v>
      </c>
      <c r="BK85" s="56">
        <f>BK10-BH10</f>
        <v>0</v>
      </c>
      <c r="BL85" s="236">
        <f t="shared" si="301"/>
        <v>0</v>
      </c>
      <c r="BM85" s="605">
        <f>BM10-BJ10</f>
        <v>0</v>
      </c>
    </row>
    <row r="86" spans="1:65">
      <c r="A86" s="25" t="s">
        <v>16</v>
      </c>
      <c r="B86" s="40"/>
      <c r="C86" s="40"/>
      <c r="D86" s="40"/>
      <c r="E86" s="40"/>
      <c r="F86" s="40"/>
      <c r="G86" s="40"/>
      <c r="H86" s="40"/>
      <c r="I86" s="40"/>
      <c r="J86" s="40"/>
      <c r="K86" s="40"/>
      <c r="L86" s="40"/>
      <c r="M86" s="40"/>
      <c r="N86" s="40"/>
      <c r="O86" s="40"/>
      <c r="P86" s="40"/>
      <c r="Q86" s="40">
        <v>3</v>
      </c>
      <c r="R86" s="40"/>
      <c r="S86" s="630"/>
      <c r="T86" s="653">
        <v>-4</v>
      </c>
      <c r="U86" s="40"/>
      <c r="V86" s="630"/>
      <c r="W86" s="653">
        <v>-8</v>
      </c>
      <c r="X86" s="40"/>
      <c r="Y86" s="630"/>
      <c r="Z86" s="653"/>
      <c r="AA86" s="40"/>
      <c r="AB86" s="630"/>
      <c r="AC86" s="653"/>
      <c r="AD86" s="40"/>
      <c r="AE86" s="630"/>
      <c r="AF86" s="653">
        <v>-1</v>
      </c>
      <c r="AG86" s="40"/>
      <c r="AH86" s="630"/>
      <c r="AI86" s="653">
        <v>0</v>
      </c>
      <c r="AJ86" s="40"/>
      <c r="AK86" s="630"/>
      <c r="AL86" s="653">
        <f>AL88-SUM(AL87,AL79:AL85)</f>
        <v>-7</v>
      </c>
      <c r="AM86" s="40"/>
      <c r="AN86" s="630"/>
      <c r="AO86" s="653"/>
      <c r="AP86" s="40"/>
      <c r="AQ86" s="630"/>
      <c r="AR86" s="653"/>
      <c r="AS86" s="40"/>
      <c r="AT86" s="236"/>
      <c r="AU86" s="605"/>
      <c r="AV86" s="40"/>
      <c r="AW86" s="236"/>
      <c r="AX86" s="605"/>
      <c r="AY86" s="40"/>
      <c r="AZ86" s="236"/>
      <c r="BA86" s="605"/>
      <c r="BB86" s="56"/>
      <c r="BC86" s="236"/>
      <c r="BD86" s="605"/>
      <c r="BE86" s="56"/>
      <c r="BF86" s="236"/>
      <c r="BG86" s="605"/>
      <c r="BH86" s="56"/>
      <c r="BI86" s="236"/>
      <c r="BJ86" s="605"/>
      <c r="BK86" s="56"/>
      <c r="BL86" s="236"/>
      <c r="BM86" s="605"/>
    </row>
    <row r="87" spans="1:65">
      <c r="A87" s="25" t="s">
        <v>244</v>
      </c>
      <c r="B87" s="40"/>
      <c r="C87" s="40"/>
      <c r="D87" s="40"/>
      <c r="E87" s="40"/>
      <c r="F87" s="40"/>
      <c r="G87" s="40"/>
      <c r="H87" s="40"/>
      <c r="I87" s="40"/>
      <c r="J87" s="40"/>
      <c r="K87" s="40"/>
      <c r="L87" s="40"/>
      <c r="M87" s="40"/>
      <c r="N87" s="40"/>
      <c r="O87" s="40"/>
      <c r="P87" s="40"/>
      <c r="Q87" s="40">
        <v>12</v>
      </c>
      <c r="R87" s="40">
        <f>T87/2</f>
        <v>12</v>
      </c>
      <c r="S87" s="630">
        <f>T87-R87</f>
        <v>12</v>
      </c>
      <c r="T87" s="653">
        <v>24</v>
      </c>
      <c r="U87" s="40">
        <f>W87/2</f>
        <v>7.5</v>
      </c>
      <c r="V87" s="630">
        <f>W87-U87</f>
        <v>7.5</v>
      </c>
      <c r="W87" s="653">
        <v>15</v>
      </c>
      <c r="X87" s="40"/>
      <c r="Y87" s="630"/>
      <c r="Z87" s="653"/>
      <c r="AA87" s="40">
        <f>AC87/2</f>
        <v>-5.5</v>
      </c>
      <c r="AB87" s="630">
        <f>AC87-AA87</f>
        <v>-5.5</v>
      </c>
      <c r="AC87" s="653">
        <v>-11</v>
      </c>
      <c r="AD87" s="40">
        <f>AF87/2</f>
        <v>8</v>
      </c>
      <c r="AE87" s="630">
        <f>AF87-AD87</f>
        <v>8</v>
      </c>
      <c r="AF87" s="653">
        <v>16</v>
      </c>
      <c r="AG87" s="40">
        <f>AI87/2</f>
        <v>2.152777777777803</v>
      </c>
      <c r="AH87" s="630">
        <f>AI87-AG87</f>
        <v>2.152777777777803</v>
      </c>
      <c r="AI87" s="653">
        <v>4.305555555555606</v>
      </c>
      <c r="AJ87" s="40">
        <f>AL87/2</f>
        <v>-8.5</v>
      </c>
      <c r="AK87" s="630">
        <f>AL87-AJ87</f>
        <v>-8.5</v>
      </c>
      <c r="AL87" s="653">
        <v>-17</v>
      </c>
      <c r="AM87" s="40">
        <f>AO87/2</f>
        <v>-1.3750000000000129</v>
      </c>
      <c r="AN87" s="630">
        <f>AO87-AM87</f>
        <v>-1.3750000000000129</v>
      </c>
      <c r="AO87" s="653">
        <v>-2.7500000000000258</v>
      </c>
      <c r="AP87" s="40">
        <f>AR87/2</f>
        <v>3.222222222222261</v>
      </c>
      <c r="AQ87" s="630">
        <f>AR87-AP87</f>
        <v>3.222222222222261</v>
      </c>
      <c r="AR87" s="653">
        <v>6.4444444444445219</v>
      </c>
      <c r="AS87" s="40">
        <v>0</v>
      </c>
      <c r="AT87" s="630">
        <f>AU87-AS87</f>
        <v>-5.5058823529411676</v>
      </c>
      <c r="AU87" s="653">
        <v>-5.5058823529411676</v>
      </c>
      <c r="AV87" s="40">
        <v>1</v>
      </c>
      <c r="AW87" s="630">
        <f>AX87-AV87</f>
        <v>-6.78823529411767</v>
      </c>
      <c r="AX87" s="653">
        <v>-5.78823529411767</v>
      </c>
      <c r="AY87" s="40">
        <v>-1</v>
      </c>
      <c r="AZ87" s="236">
        <f>BA87-AY87</f>
        <v>-1.8235294117647096</v>
      </c>
      <c r="BA87" s="605">
        <v>-2.8235294117647096</v>
      </c>
      <c r="BB87" s="56">
        <f>BD87/2</f>
        <v>0</v>
      </c>
      <c r="BC87" s="236">
        <f>BD87-BB87</f>
        <v>0</v>
      </c>
      <c r="BD87" s="605">
        <v>0</v>
      </c>
      <c r="BE87" s="56">
        <f>BG87/2</f>
        <v>0</v>
      </c>
      <c r="BF87" s="236">
        <f>BG87-BE87</f>
        <v>0</v>
      </c>
      <c r="BG87" s="605">
        <v>0</v>
      </c>
      <c r="BH87" s="56">
        <f>BJ87/2</f>
        <v>0</v>
      </c>
      <c r="BI87" s="236">
        <f>BJ87-BH87</f>
        <v>0</v>
      </c>
      <c r="BJ87" s="605">
        <v>0</v>
      </c>
      <c r="BK87" s="56">
        <f>BM87/2</f>
        <v>0</v>
      </c>
      <c r="BL87" s="236">
        <f>BM87-BK87</f>
        <v>0</v>
      </c>
      <c r="BM87" s="605">
        <v>0</v>
      </c>
    </row>
    <row r="88" spans="1:65">
      <c r="A88" s="68" t="s">
        <v>386</v>
      </c>
      <c r="B88" s="46">
        <f t="shared" ref="B88:P88" si="302">B14</f>
        <v>154</v>
      </c>
      <c r="C88" s="46">
        <f t="shared" si="302"/>
        <v>175</v>
      </c>
      <c r="D88" s="46">
        <f t="shared" si="302"/>
        <v>183</v>
      </c>
      <c r="E88" s="46">
        <f t="shared" si="302"/>
        <v>147</v>
      </c>
      <c r="F88" s="46">
        <f t="shared" si="302"/>
        <v>179</v>
      </c>
      <c r="G88" s="46">
        <f t="shared" si="302"/>
        <v>180</v>
      </c>
      <c r="H88" s="46">
        <f t="shared" si="302"/>
        <v>193</v>
      </c>
      <c r="I88" s="46">
        <f t="shared" si="302"/>
        <v>199</v>
      </c>
      <c r="J88" s="46">
        <f t="shared" si="302"/>
        <v>223</v>
      </c>
      <c r="K88" s="46">
        <f t="shared" si="302"/>
        <v>253</v>
      </c>
      <c r="L88" s="46">
        <f t="shared" si="302"/>
        <v>309</v>
      </c>
      <c r="M88" s="46">
        <f t="shared" si="302"/>
        <v>376</v>
      </c>
      <c r="N88" s="46">
        <f t="shared" si="302"/>
        <v>395</v>
      </c>
      <c r="O88" s="46">
        <f t="shared" si="302"/>
        <v>438</v>
      </c>
      <c r="P88" s="46">
        <f t="shared" si="302"/>
        <v>366</v>
      </c>
      <c r="Q88" s="46">
        <f>SUM(Q79:Q87)</f>
        <v>393</v>
      </c>
      <c r="R88" s="46">
        <f>+R14</f>
        <v>128</v>
      </c>
      <c r="S88" s="643">
        <f>+S14</f>
        <v>256</v>
      </c>
      <c r="T88" s="667">
        <f>SUM(T79:T87)</f>
        <v>384</v>
      </c>
      <c r="U88" s="46">
        <f>+U14</f>
        <v>148</v>
      </c>
      <c r="V88" s="643">
        <f>+V14</f>
        <v>226</v>
      </c>
      <c r="W88" s="667">
        <f>SUM(W79:W87)</f>
        <v>374</v>
      </c>
      <c r="X88" s="46">
        <f t="shared" ref="X88:BM88" si="303">+X14</f>
        <v>180</v>
      </c>
      <c r="Y88" s="643">
        <f t="shared" si="303"/>
        <v>274</v>
      </c>
      <c r="Z88" s="667">
        <f t="shared" si="303"/>
        <v>454</v>
      </c>
      <c r="AA88" s="46">
        <f t="shared" si="303"/>
        <v>162</v>
      </c>
      <c r="AB88" s="643">
        <f t="shared" si="303"/>
        <v>265</v>
      </c>
      <c r="AC88" s="667">
        <f t="shared" si="303"/>
        <v>427</v>
      </c>
      <c r="AD88" s="46">
        <f t="shared" si="303"/>
        <v>173</v>
      </c>
      <c r="AE88" s="643">
        <f t="shared" si="303"/>
        <v>242</v>
      </c>
      <c r="AF88" s="667">
        <f t="shared" si="303"/>
        <v>415</v>
      </c>
      <c r="AG88" s="46">
        <f t="shared" si="303"/>
        <v>210</v>
      </c>
      <c r="AH88" s="643">
        <f t="shared" si="303"/>
        <v>251</v>
      </c>
      <c r="AI88" s="667">
        <f t="shared" si="303"/>
        <v>461</v>
      </c>
      <c r="AJ88" s="46">
        <f t="shared" si="303"/>
        <v>269</v>
      </c>
      <c r="AK88" s="643">
        <f t="shared" si="303"/>
        <v>188</v>
      </c>
      <c r="AL88" s="667">
        <f t="shared" si="303"/>
        <v>457</v>
      </c>
      <c r="AM88" s="46">
        <f t="shared" si="303"/>
        <v>189</v>
      </c>
      <c r="AN88" s="643">
        <f t="shared" si="303"/>
        <v>243</v>
      </c>
      <c r="AO88" s="667">
        <f t="shared" si="303"/>
        <v>432</v>
      </c>
      <c r="AP88" s="46">
        <f t="shared" si="303"/>
        <v>261</v>
      </c>
      <c r="AQ88" s="643">
        <f t="shared" si="303"/>
        <v>301</v>
      </c>
      <c r="AR88" s="667">
        <f t="shared" si="303"/>
        <v>562</v>
      </c>
      <c r="AS88" s="46">
        <f t="shared" ref="AS88:AU88" si="304">+AS14</f>
        <v>345</v>
      </c>
      <c r="AT88" s="643">
        <f t="shared" si="304"/>
        <v>299</v>
      </c>
      <c r="AU88" s="667">
        <f t="shared" si="304"/>
        <v>644</v>
      </c>
      <c r="AV88" s="46">
        <f t="shared" ref="AV88" si="305">+AV14</f>
        <v>342</v>
      </c>
      <c r="AW88" s="643">
        <f t="shared" si="303"/>
        <v>347</v>
      </c>
      <c r="AX88" s="667">
        <f t="shared" si="303"/>
        <v>689</v>
      </c>
      <c r="AY88" s="46">
        <f t="shared" si="303"/>
        <v>522</v>
      </c>
      <c r="AZ88" s="250">
        <f t="shared" si="303"/>
        <v>485.80168177180724</v>
      </c>
      <c r="BA88" s="615">
        <f t="shared" si="303"/>
        <v>1007.8016817718072</v>
      </c>
      <c r="BB88" s="249">
        <f t="shared" si="303"/>
        <v>489.03147999999999</v>
      </c>
      <c r="BC88" s="250">
        <f t="shared" si="303"/>
        <v>527.45192154761207</v>
      </c>
      <c r="BD88" s="615">
        <f t="shared" si="303"/>
        <v>1016.4834015476119</v>
      </c>
      <c r="BE88" s="249">
        <f t="shared" si="303"/>
        <v>533.42751520000002</v>
      </c>
      <c r="BF88" s="250">
        <f t="shared" si="303"/>
        <v>576.48392470770966</v>
      </c>
      <c r="BG88" s="615">
        <f t="shared" si="303"/>
        <v>1109.9114399077098</v>
      </c>
      <c r="BH88" s="249">
        <f t="shared" si="303"/>
        <v>581.59778570560002</v>
      </c>
      <c r="BI88" s="250">
        <f t="shared" si="303"/>
        <v>629.73299695404774</v>
      </c>
      <c r="BJ88" s="615">
        <f t="shared" si="303"/>
        <v>1211.3307826596479</v>
      </c>
      <c r="BK88" s="249">
        <f t="shared" si="303"/>
        <v>633.85570355968014</v>
      </c>
      <c r="BL88" s="250">
        <f t="shared" si="303"/>
        <v>687.55050970796947</v>
      </c>
      <c r="BM88" s="615">
        <f t="shared" si="303"/>
        <v>1321.4062132676497</v>
      </c>
    </row>
    <row r="89" spans="1:65">
      <c r="A89" s="31" t="s">
        <v>250</v>
      </c>
      <c r="B89" s="132">
        <f t="shared" ref="B89:AG89" si="306">B88/B33</f>
        <v>0.1097647897362794</v>
      </c>
      <c r="C89" s="132">
        <f t="shared" si="306"/>
        <v>0.125</v>
      </c>
      <c r="D89" s="132">
        <f t="shared" si="306"/>
        <v>0.13299418604651161</v>
      </c>
      <c r="E89" s="132">
        <f t="shared" si="306"/>
        <v>0.10515021459227468</v>
      </c>
      <c r="F89" s="132">
        <f t="shared" si="306"/>
        <v>0.13027656477438138</v>
      </c>
      <c r="G89" s="132">
        <f t="shared" si="306"/>
        <v>0.12676056338028169</v>
      </c>
      <c r="H89" s="132">
        <f t="shared" si="306"/>
        <v>0.12054965646470955</v>
      </c>
      <c r="I89" s="132">
        <f t="shared" si="306"/>
        <v>0.11894799760908548</v>
      </c>
      <c r="J89" s="132">
        <f t="shared" si="306"/>
        <v>0.13226571767497033</v>
      </c>
      <c r="K89" s="132">
        <f t="shared" si="306"/>
        <v>0.12587064676616916</v>
      </c>
      <c r="L89" s="132">
        <f t="shared" si="306"/>
        <v>0.14554875176636833</v>
      </c>
      <c r="M89" s="132">
        <f t="shared" si="306"/>
        <v>0.16823266219239374</v>
      </c>
      <c r="N89" s="132">
        <f t="shared" si="306"/>
        <v>0.16342573438146463</v>
      </c>
      <c r="O89" s="132">
        <f t="shared" si="306"/>
        <v>0.1690467001157854</v>
      </c>
      <c r="P89" s="132">
        <f t="shared" si="306"/>
        <v>0.17689705171580475</v>
      </c>
      <c r="Q89" s="132">
        <f t="shared" si="306"/>
        <v>0.19312039312039311</v>
      </c>
      <c r="R89" s="345">
        <f t="shared" si="306"/>
        <v>0.1277445109780439</v>
      </c>
      <c r="S89" s="646">
        <f t="shared" si="306"/>
        <v>0.21209610604805301</v>
      </c>
      <c r="T89" s="670">
        <f t="shared" si="306"/>
        <v>0.17383431416930739</v>
      </c>
      <c r="U89" s="345">
        <f t="shared" si="306"/>
        <v>0.14122137404580154</v>
      </c>
      <c r="V89" s="646">
        <f t="shared" si="306"/>
        <v>0.18418907905460472</v>
      </c>
      <c r="W89" s="670">
        <f t="shared" si="306"/>
        <v>0.16439560439560438</v>
      </c>
      <c r="X89" s="345">
        <f t="shared" si="306"/>
        <v>0.12178619756427606</v>
      </c>
      <c r="Y89" s="646">
        <f t="shared" si="306"/>
        <v>0.16098707403055229</v>
      </c>
      <c r="Z89" s="670">
        <f t="shared" si="306"/>
        <v>0.14276729559748427</v>
      </c>
      <c r="AA89" s="345">
        <f t="shared" si="306"/>
        <v>0.11448763250883393</v>
      </c>
      <c r="AB89" s="646">
        <f t="shared" si="306"/>
        <v>0.155061439438268</v>
      </c>
      <c r="AC89" s="670">
        <f t="shared" si="306"/>
        <v>0.13668373879641485</v>
      </c>
      <c r="AD89" s="345">
        <f t="shared" si="306"/>
        <v>0.11579651941097724</v>
      </c>
      <c r="AE89" s="646">
        <f t="shared" si="306"/>
        <v>0.13781321184510253</v>
      </c>
      <c r="AF89" s="670">
        <f t="shared" si="306"/>
        <v>0.12769230769230769</v>
      </c>
      <c r="AG89" s="345">
        <f t="shared" si="306"/>
        <v>0.13522215067611076</v>
      </c>
      <c r="AH89" s="646">
        <f t="shared" ref="AH89:BM89" si="307">AH88/AH33</f>
        <v>0.13928967813540513</v>
      </c>
      <c r="AI89" s="670">
        <f t="shared" si="307"/>
        <v>0.13740685543964232</v>
      </c>
      <c r="AJ89" s="345">
        <f t="shared" si="307"/>
        <v>0.15630447414294016</v>
      </c>
      <c r="AK89" s="646">
        <f t="shared" si="307"/>
        <v>0.11414693381906499</v>
      </c>
      <c r="AL89" s="670">
        <f t="shared" si="307"/>
        <v>0.13568883610451307</v>
      </c>
      <c r="AM89" s="345">
        <f t="shared" si="307"/>
        <v>0.11746426351771287</v>
      </c>
      <c r="AN89" s="646">
        <f t="shared" si="307"/>
        <v>0.11847879083373963</v>
      </c>
      <c r="AO89" s="670">
        <f t="shared" si="307"/>
        <v>0.11803278688524591</v>
      </c>
      <c r="AP89" s="345">
        <f t="shared" si="307"/>
        <v>0.13643491897543125</v>
      </c>
      <c r="AQ89" s="646">
        <f t="shared" si="307"/>
        <v>0.13909426987060999</v>
      </c>
      <c r="AR89" s="670">
        <f t="shared" si="307"/>
        <v>0.13784645572725043</v>
      </c>
      <c r="AS89" s="345">
        <f t="shared" ref="AS89:AU89" si="308">AS88/AS33</f>
        <v>0.15547543938711131</v>
      </c>
      <c r="AT89" s="646">
        <f t="shared" si="308"/>
        <v>0.12983065566652194</v>
      </c>
      <c r="AU89" s="670">
        <f t="shared" si="308"/>
        <v>0.14241486068111456</v>
      </c>
      <c r="AV89" s="345">
        <f t="shared" ref="AV89" si="309">AV88/AV33</f>
        <v>0.15384615384615385</v>
      </c>
      <c r="AW89" s="646">
        <f t="shared" si="307"/>
        <v>0.13613181639858768</v>
      </c>
      <c r="AX89" s="670">
        <f t="shared" si="307"/>
        <v>0.14438390611902766</v>
      </c>
      <c r="AY89" s="345">
        <f t="shared" si="307"/>
        <v>0.21014492753623187</v>
      </c>
      <c r="AZ89" s="482">
        <f t="shared" si="307"/>
        <v>0.18167891987844148</v>
      </c>
      <c r="BA89" s="582">
        <f t="shared" si="307"/>
        <v>0.19538775039559786</v>
      </c>
      <c r="BB89" s="205">
        <f t="shared" si="307"/>
        <v>0.18537907390728153</v>
      </c>
      <c r="BC89" s="482">
        <f t="shared" si="307"/>
        <v>0.18535140910770376</v>
      </c>
      <c r="BD89" s="582">
        <f t="shared" si="307"/>
        <v>0.18536471764785459</v>
      </c>
      <c r="BE89" s="205">
        <f t="shared" si="307"/>
        <v>0.19035685608759087</v>
      </c>
      <c r="BF89" s="482">
        <f t="shared" si="307"/>
        <v>0.19033015691984179</v>
      </c>
      <c r="BG89" s="582">
        <f t="shared" si="307"/>
        <v>0.19034298770308902</v>
      </c>
      <c r="BH89" s="205">
        <f t="shared" si="307"/>
        <v>0.19533586073664233</v>
      </c>
      <c r="BI89" s="482">
        <f t="shared" si="307"/>
        <v>0.19531014755221168</v>
      </c>
      <c r="BJ89" s="582">
        <f t="shared" si="307"/>
        <v>0.19532249241116836</v>
      </c>
      <c r="BK89" s="205">
        <f t="shared" si="307"/>
        <v>0.20031602780677341</v>
      </c>
      <c r="BL89" s="482">
        <f t="shared" si="307"/>
        <v>0.20029131141434164</v>
      </c>
      <c r="BM89" s="582">
        <f t="shared" si="307"/>
        <v>0.20030316667905435</v>
      </c>
    </row>
    <row r="90" spans="1:65">
      <c r="A90" s="25" t="s">
        <v>61</v>
      </c>
      <c r="B90" s="40"/>
      <c r="C90" s="58">
        <f>C88/C79-1</f>
        <v>0.13636363636363646</v>
      </c>
      <c r="D90" s="58">
        <f t="shared" ref="D90:BM90" si="310">D88/D79-1</f>
        <v>4.5714285714285818E-2</v>
      </c>
      <c r="E90" s="58">
        <f t="shared" si="310"/>
        <v>-0.19672131147540983</v>
      </c>
      <c r="F90" s="58">
        <f t="shared" si="310"/>
        <v>0.21768707482993199</v>
      </c>
      <c r="G90" s="58">
        <f t="shared" si="310"/>
        <v>5.5865921787709993E-3</v>
      </c>
      <c r="H90" s="58">
        <f t="shared" si="310"/>
        <v>7.2222222222222188E-2</v>
      </c>
      <c r="I90" s="58">
        <f t="shared" si="310"/>
        <v>3.1088082901554515E-2</v>
      </c>
      <c r="J90" s="58">
        <f t="shared" si="310"/>
        <v>0.12060301507537696</v>
      </c>
      <c r="K90" s="58">
        <f t="shared" si="310"/>
        <v>0.13452914798206272</v>
      </c>
      <c r="L90" s="58">
        <f t="shared" si="310"/>
        <v>0.22134387351778662</v>
      </c>
      <c r="M90" s="58">
        <f t="shared" si="310"/>
        <v>0.21682847896440127</v>
      </c>
      <c r="N90" s="58">
        <f t="shared" si="310"/>
        <v>5.0531914893616969E-2</v>
      </c>
      <c r="O90" s="58">
        <f t="shared" si="310"/>
        <v>0.1088607594936708</v>
      </c>
      <c r="P90" s="58">
        <f t="shared" si="310"/>
        <v>-0.16438356164383561</v>
      </c>
      <c r="Q90" s="58">
        <f t="shared" si="310"/>
        <v>7.3770491803278659E-2</v>
      </c>
      <c r="R90" s="87">
        <f t="shared" ref="R90:S90" si="311">R88/R79-1</f>
        <v>-0.30434782608695654</v>
      </c>
      <c r="S90" s="644">
        <f t="shared" si="311"/>
        <v>0.22488038277511957</v>
      </c>
      <c r="T90" s="668">
        <f t="shared" si="310"/>
        <v>-2.2900763358778664E-2</v>
      </c>
      <c r="U90" s="87">
        <f t="shared" si="310"/>
        <v>0.15625</v>
      </c>
      <c r="V90" s="644">
        <f t="shared" si="310"/>
        <v>-0.1171875</v>
      </c>
      <c r="W90" s="668">
        <f>W88/W79-1</f>
        <v>-2.604166666666663E-2</v>
      </c>
      <c r="X90" s="58"/>
      <c r="Y90" s="644"/>
      <c r="Z90" s="668"/>
      <c r="AA90" s="87">
        <f t="shared" ref="AA90:AB90" si="312">AA88/AA79-1</f>
        <v>-9.9999999999999978E-2</v>
      </c>
      <c r="AB90" s="644">
        <f t="shared" si="312"/>
        <v>-3.2846715328467169E-2</v>
      </c>
      <c r="AC90" s="668">
        <f t="shared" si="310"/>
        <v>-5.9471365638766538E-2</v>
      </c>
      <c r="AD90" s="87">
        <f t="shared" ref="AD90:AE90" si="313">AD88/AD79-1</f>
        <v>6.7901234567901314E-2</v>
      </c>
      <c r="AE90" s="644">
        <f t="shared" si="313"/>
        <v>-8.679245283018866E-2</v>
      </c>
      <c r="AF90" s="668">
        <f t="shared" si="310"/>
        <v>-2.8103044496487151E-2</v>
      </c>
      <c r="AG90" s="87">
        <f t="shared" si="310"/>
        <v>0.21387283236994215</v>
      </c>
      <c r="AH90" s="644">
        <f t="shared" si="310"/>
        <v>3.7190082644628086E-2</v>
      </c>
      <c r="AI90" s="668">
        <f t="shared" si="310"/>
        <v>0.11084337349397599</v>
      </c>
      <c r="AJ90" s="87">
        <f t="shared" ref="AJ90:AK90" si="314">AJ88/AJ79-1</f>
        <v>0.28095238095238084</v>
      </c>
      <c r="AK90" s="644">
        <f t="shared" si="314"/>
        <v>-0.25099601593625498</v>
      </c>
      <c r="AL90" s="668">
        <f t="shared" si="310"/>
        <v>-8.6767895878524515E-3</v>
      </c>
      <c r="AM90" s="87">
        <f t="shared" si="310"/>
        <v>-0.29739776951672858</v>
      </c>
      <c r="AN90" s="644">
        <f t="shared" ref="AN90" si="315">AN88/AN79-1</f>
        <v>0.29255319148936176</v>
      </c>
      <c r="AO90" s="668">
        <f t="shared" si="310"/>
        <v>-5.4704595185995575E-2</v>
      </c>
      <c r="AP90" s="87">
        <f t="shared" ref="AP90:AQ90" si="316">AP88/AP79-1</f>
        <v>0.38095238095238093</v>
      </c>
      <c r="AQ90" s="644">
        <f t="shared" si="316"/>
        <v>0.23868312757201648</v>
      </c>
      <c r="AR90" s="668">
        <f t="shared" ref="AR90:AT90" si="317">AR88/AR79-1</f>
        <v>0.30092592592592582</v>
      </c>
      <c r="AS90" s="87">
        <f t="shared" si="317"/>
        <v>0.32183908045977017</v>
      </c>
      <c r="AT90" s="644">
        <f t="shared" si="317"/>
        <v>-6.6445182724252927E-3</v>
      </c>
      <c r="AU90" s="668">
        <f t="shared" ref="AU90:AV90" si="318">AU88/AU79-1</f>
        <v>0.14590747330960863</v>
      </c>
      <c r="AV90" s="87">
        <f t="shared" si="318"/>
        <v>-8.6956521739129933E-3</v>
      </c>
      <c r="AW90" s="644">
        <f t="shared" si="310"/>
        <v>0.16053511705685608</v>
      </c>
      <c r="AX90" s="668">
        <f t="shared" si="310"/>
        <v>6.9875776397515521E-2</v>
      </c>
      <c r="AY90" s="87">
        <f t="shared" si="310"/>
        <v>0.52631578947368429</v>
      </c>
      <c r="AZ90" s="247">
        <f t="shared" si="310"/>
        <v>0.40000484660463176</v>
      </c>
      <c r="BA90" s="583">
        <f t="shared" si="310"/>
        <v>0.46270200547432117</v>
      </c>
      <c r="BB90" s="245">
        <f t="shared" si="310"/>
        <v>-6.3158084291187744E-2</v>
      </c>
      <c r="BC90" s="247">
        <f t="shared" si="310"/>
        <v>8.5735067083133165E-2</v>
      </c>
      <c r="BD90" s="583">
        <f t="shared" si="310"/>
        <v>8.6145120938292408E-3</v>
      </c>
      <c r="BE90" s="245">
        <f t="shared" si="310"/>
        <v>9.0783593726931455E-2</v>
      </c>
      <c r="BF90" s="247">
        <f t="shared" si="310"/>
        <v>9.2960137515911034E-2</v>
      </c>
      <c r="BG90" s="583">
        <f t="shared" si="310"/>
        <v>9.1912999482187452E-2</v>
      </c>
      <c r="BH90" s="245">
        <f t="shared" si="310"/>
        <v>9.0303310446105067E-2</v>
      </c>
      <c r="BI90" s="247">
        <f t="shared" si="310"/>
        <v>9.2368702689041182E-2</v>
      </c>
      <c r="BJ90" s="583">
        <f t="shared" si="310"/>
        <v>9.1376067590015264E-2</v>
      </c>
      <c r="BK90" s="245">
        <f t="shared" si="310"/>
        <v>8.9852332898207932E-2</v>
      </c>
      <c r="BL90" s="247">
        <f t="shared" si="310"/>
        <v>9.1812741326211311E-2</v>
      </c>
      <c r="BM90" s="583">
        <f t="shared" si="310"/>
        <v>9.0871487940160867E-2</v>
      </c>
    </row>
    <row r="91" spans="1:65">
      <c r="B91" s="40"/>
      <c r="C91" s="40"/>
      <c r="D91" s="40"/>
      <c r="E91" s="40"/>
      <c r="F91" s="40"/>
      <c r="G91" s="40"/>
      <c r="H91" s="40"/>
      <c r="I91" s="40"/>
      <c r="J91" s="40"/>
      <c r="K91" s="40"/>
      <c r="L91" s="40"/>
      <c r="M91" s="40"/>
      <c r="N91" s="40"/>
      <c r="O91" s="40"/>
      <c r="P91" s="40"/>
      <c r="Q91" s="40"/>
      <c r="R91" s="40"/>
      <c r="S91" s="630"/>
      <c r="T91" s="653"/>
      <c r="U91" s="40"/>
      <c r="V91" s="630"/>
      <c r="W91" s="653"/>
      <c r="X91" s="40"/>
      <c r="Y91" s="630"/>
      <c r="Z91" s="653"/>
      <c r="AA91" s="40"/>
      <c r="AB91" s="630"/>
      <c r="AC91" s="653"/>
      <c r="AD91" s="40"/>
      <c r="AE91" s="630"/>
      <c r="AF91" s="653"/>
      <c r="AG91" s="40"/>
      <c r="AH91" s="630"/>
      <c r="AI91" s="653"/>
      <c r="AJ91" s="40"/>
      <c r="AK91" s="630"/>
      <c r="AL91" s="653"/>
      <c r="AM91" s="40"/>
      <c r="AN91" s="630"/>
      <c r="AO91" s="653"/>
      <c r="AP91" s="40"/>
      <c r="AQ91" s="630"/>
      <c r="AR91" s="550"/>
      <c r="AS91"/>
      <c r="AT91" s="630"/>
      <c r="AU91" s="550"/>
      <c r="AV91"/>
      <c r="AW91" s="630"/>
      <c r="AX91" s="550"/>
      <c r="AY91"/>
      <c r="AZ91" s="539"/>
      <c r="BA91" s="550"/>
      <c r="BB91"/>
      <c r="BC91" s="539"/>
      <c r="BD91" s="550"/>
      <c r="BE91"/>
      <c r="BF91" s="539"/>
      <c r="BG91" s="550"/>
      <c r="BH91"/>
      <c r="BI91" s="539"/>
      <c r="BJ91" s="550"/>
      <c r="BK91"/>
      <c r="BL91" s="539"/>
      <c r="BM91" s="550"/>
    </row>
    <row r="92" spans="1:65">
      <c r="A92" s="25" t="s">
        <v>400</v>
      </c>
      <c r="B92" s="40"/>
      <c r="C92" s="40"/>
      <c r="D92" s="40"/>
      <c r="E92" s="40"/>
      <c r="F92" s="40"/>
      <c r="G92" s="40"/>
      <c r="H92" s="40"/>
      <c r="I92" s="40"/>
      <c r="J92" s="40"/>
      <c r="K92" s="40"/>
      <c r="L92" s="40"/>
      <c r="M92" s="40"/>
      <c r="N92" s="40"/>
      <c r="O92" s="40"/>
      <c r="P92" s="40"/>
      <c r="Q92" s="50">
        <f>Q80/(Q29+Q30)</f>
        <v>0.27722772277227725</v>
      </c>
      <c r="R92" s="952">
        <f>T92</f>
        <v>0.23529411764705882</v>
      </c>
      <c r="S92" s="647">
        <f>T92</f>
        <v>0.23529411764705882</v>
      </c>
      <c r="T92" s="671">
        <f>T80/(T29+T30)</f>
        <v>0.23529411764705882</v>
      </c>
      <c r="U92" s="952">
        <f>W92</f>
        <v>0.23529411764705882</v>
      </c>
      <c r="V92" s="647">
        <f>W92</f>
        <v>0.23529411764705882</v>
      </c>
      <c r="W92" s="671">
        <f>W80/(W29+W30)</f>
        <v>0.23529411764705882</v>
      </c>
      <c r="X92" s="50"/>
      <c r="Y92" s="647"/>
      <c r="Z92" s="671"/>
      <c r="AA92" s="952">
        <f>AC92</f>
        <v>0.22087067861715748</v>
      </c>
      <c r="AB92" s="647">
        <f>AC92</f>
        <v>0.22087067861715748</v>
      </c>
      <c r="AC92" s="671">
        <f>AC7</f>
        <v>0.22087067861715748</v>
      </c>
      <c r="AD92" s="952">
        <f>AF92</f>
        <v>0.22087067861715748</v>
      </c>
      <c r="AE92" s="647">
        <f>AF92</f>
        <v>0.22087067861715748</v>
      </c>
      <c r="AF92" s="671">
        <f t="shared" ref="AF92" si="319">+AC92</f>
        <v>0.22087067861715748</v>
      </c>
      <c r="AG92" s="952">
        <f>AI92</f>
        <v>0.22087067861715748</v>
      </c>
      <c r="AH92" s="647">
        <f>AI92</f>
        <v>0.22087067861715748</v>
      </c>
      <c r="AI92" s="671">
        <f>+AF92</f>
        <v>0.22087067861715748</v>
      </c>
      <c r="AJ92" s="952">
        <f>AL92</f>
        <v>0.22087067861715748</v>
      </c>
      <c r="AK92" s="647">
        <f>AL92</f>
        <v>0.22087067861715748</v>
      </c>
      <c r="AL92" s="671">
        <f>+AI92</f>
        <v>0.22087067861715748</v>
      </c>
      <c r="AM92" s="952">
        <f>AO92</f>
        <v>0.22087067861715748</v>
      </c>
      <c r="AN92" s="647">
        <f>AO92</f>
        <v>0.22087067861715748</v>
      </c>
      <c r="AO92" s="671">
        <f>+AL92</f>
        <v>0.22087067861715748</v>
      </c>
      <c r="AP92" s="952">
        <f>AR92</f>
        <v>0.22087067861715748</v>
      </c>
      <c r="AQ92" s="647">
        <f>AR92</f>
        <v>0.22087067861715748</v>
      </c>
      <c r="AR92" s="554">
        <f>+AO92</f>
        <v>0.22087067861715748</v>
      </c>
      <c r="AS92" s="186">
        <f>AU92</f>
        <v>0.22087067861715748</v>
      </c>
      <c r="AT92" s="647">
        <f>AU92</f>
        <v>0.22087067861715748</v>
      </c>
      <c r="AU92" s="554">
        <f>+AR92</f>
        <v>0.22087067861715748</v>
      </c>
      <c r="AV92" s="186">
        <f>AX92</f>
        <v>0.22087067861715748</v>
      </c>
      <c r="AW92" s="647">
        <f>AX92</f>
        <v>0.22087067861715748</v>
      </c>
      <c r="AX92" s="554">
        <f>+AU92</f>
        <v>0.22087067861715748</v>
      </c>
      <c r="AY92" s="186">
        <f>BA92</f>
        <v>0.22087067861715748</v>
      </c>
      <c r="AZ92" s="252">
        <f>BA92</f>
        <v>0.22087067861715748</v>
      </c>
      <c r="BA92" s="577">
        <f>+AX92</f>
        <v>0.22087067861715748</v>
      </c>
      <c r="BB92" s="182">
        <f>BD92</f>
        <v>0.22087067861715748</v>
      </c>
      <c r="BC92" s="252">
        <f>BD92</f>
        <v>0.22087067861715748</v>
      </c>
      <c r="BD92" s="577">
        <f>+BA92</f>
        <v>0.22087067861715748</v>
      </c>
      <c r="BE92" s="182">
        <f>BG92</f>
        <v>0.22087067861715748</v>
      </c>
      <c r="BF92" s="252">
        <f>BG92</f>
        <v>0.22087067861715748</v>
      </c>
      <c r="BG92" s="577">
        <f>+BD92</f>
        <v>0.22087067861715748</v>
      </c>
      <c r="BH92" s="182">
        <f>BJ92</f>
        <v>0.22087067861715748</v>
      </c>
      <c r="BI92" s="252">
        <f>BJ92</f>
        <v>0.22087067861715748</v>
      </c>
      <c r="BJ92" s="577">
        <f>+BG92</f>
        <v>0.22087067861715748</v>
      </c>
      <c r="BK92" s="182">
        <f>BM92</f>
        <v>0.22087067861715748</v>
      </c>
      <c r="BL92" s="252">
        <f>BM92</f>
        <v>0.22087067861715748</v>
      </c>
      <c r="BM92" s="577">
        <f>+BJ92</f>
        <v>0.22087067861715748</v>
      </c>
    </row>
    <row r="93" spans="1:65">
      <c r="B93" s="40"/>
      <c r="C93" s="40"/>
      <c r="D93" s="40"/>
      <c r="E93" s="40"/>
      <c r="F93" s="40"/>
      <c r="G93" s="40"/>
      <c r="H93" s="40"/>
      <c r="I93" s="40"/>
      <c r="J93" s="40"/>
      <c r="K93" s="40"/>
      <c r="L93" s="40"/>
      <c r="M93" s="40"/>
      <c r="N93" s="40"/>
      <c r="O93" s="40"/>
      <c r="P93" s="40"/>
      <c r="Q93" s="40"/>
      <c r="R93" s="40"/>
      <c r="S93" s="630"/>
      <c r="T93" s="653"/>
      <c r="U93" s="40"/>
      <c r="V93" s="630"/>
      <c r="W93" s="653"/>
      <c r="X93" s="40"/>
      <c r="Y93" s="630"/>
      <c r="Z93" s="653"/>
      <c r="AA93" s="40"/>
      <c r="AB93" s="630"/>
      <c r="AC93" s="653"/>
      <c r="AD93" s="40"/>
      <c r="AE93" s="630"/>
      <c r="AF93" s="653"/>
      <c r="AG93" s="40"/>
      <c r="AH93" s="630"/>
      <c r="AI93" s="653"/>
      <c r="AJ93" s="40"/>
      <c r="AK93" s="630"/>
      <c r="AL93" s="653"/>
      <c r="AM93" s="40"/>
      <c r="AN93" s="630"/>
      <c r="AO93" s="653"/>
      <c r="AP93" s="40"/>
      <c r="AQ93" s="539"/>
      <c r="AR93" s="550"/>
      <c r="AS93"/>
      <c r="AT93" s="539"/>
      <c r="AU93" s="550"/>
      <c r="AV93"/>
      <c r="AW93" s="539"/>
      <c r="AX93" s="550"/>
      <c r="AY93"/>
      <c r="AZ93" s="539"/>
      <c r="BA93" s="550"/>
      <c r="BB93"/>
      <c r="BC93" s="539"/>
      <c r="BD93" s="550"/>
      <c r="BE93"/>
      <c r="BF93" s="539"/>
      <c r="BG93" s="550"/>
      <c r="BH93"/>
      <c r="BI93" s="539"/>
      <c r="BJ93" s="550"/>
      <c r="BK93"/>
      <c r="BL93" s="539"/>
      <c r="BM93" s="550"/>
    </row>
    <row r="94" spans="1:65">
      <c r="A94" s="25" t="s">
        <v>452</v>
      </c>
      <c r="B94" s="40"/>
      <c r="C94" s="40"/>
      <c r="D94" s="40"/>
      <c r="E94" s="40"/>
      <c r="F94" s="40"/>
      <c r="G94" s="40"/>
      <c r="H94" s="40"/>
      <c r="I94" s="40"/>
      <c r="J94" s="40"/>
      <c r="K94" s="40"/>
      <c r="L94" s="40"/>
      <c r="M94" s="40"/>
      <c r="N94" s="40"/>
      <c r="O94" s="40"/>
      <c r="P94" s="40">
        <v>53</v>
      </c>
      <c r="Q94" s="40">
        <v>101</v>
      </c>
      <c r="R94" s="40"/>
      <c r="S94" s="630"/>
      <c r="T94" s="653">
        <v>82</v>
      </c>
      <c r="U94" s="40"/>
      <c r="V94" s="630"/>
      <c r="W94" s="653"/>
      <c r="X94" s="40"/>
      <c r="Y94" s="630"/>
      <c r="Z94" s="653"/>
      <c r="AA94" s="40"/>
      <c r="AB94" s="630"/>
      <c r="AC94" s="653"/>
      <c r="AD94" s="40"/>
      <c r="AE94" s="630"/>
      <c r="AF94" s="653"/>
      <c r="AG94" s="40"/>
      <c r="AH94" s="630"/>
      <c r="AI94" s="653"/>
      <c r="AJ94" s="40"/>
      <c r="AK94" s="630"/>
      <c r="AL94" s="653"/>
      <c r="AM94" s="40"/>
      <c r="AN94" s="630"/>
      <c r="AO94" s="653"/>
      <c r="AP94" s="40"/>
      <c r="AQ94" s="539"/>
      <c r="AR94" s="550"/>
      <c r="AS94"/>
      <c r="AT94" s="539"/>
      <c r="AU94" s="550"/>
      <c r="AV94"/>
      <c r="AW94" s="539"/>
      <c r="AX94" s="550"/>
      <c r="AY94"/>
      <c r="AZ94" s="539"/>
      <c r="BA94" s="550"/>
      <c r="BB94"/>
      <c r="BC94" s="539"/>
      <c r="BD94" s="550"/>
      <c r="BE94"/>
      <c r="BF94" s="539"/>
      <c r="BG94" s="550"/>
      <c r="BH94"/>
      <c r="BI94" s="539"/>
      <c r="BJ94" s="550"/>
      <c r="BK94"/>
      <c r="BL94" s="539"/>
      <c r="BM94" s="550"/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37">
    <tabColor rgb="FF0984FF"/>
  </sheetPr>
  <dimension ref="A1:BN100"/>
  <sheetViews>
    <sheetView showGridLines="0" zoomScaleNormal="100" workbookViewId="0">
      <pane xSplit="1" ySplit="2" topLeftCell="Z3" activePane="bottomRight" state="frozen"/>
      <selection sqref="A1:XFD1048576"/>
      <selection pane="topRight" sqref="A1:XFD1048576"/>
      <selection pane="bottomLeft" sqref="A1:XFD1048576"/>
      <selection pane="bottomRight" sqref="A1:XFD1048576"/>
    </sheetView>
  </sheetViews>
  <sheetFormatPr defaultColWidth="9.140625" defaultRowHeight="10.199999999999999" outlineLevelCol="1"/>
  <cols>
    <col min="1" max="1" width="42.28515625" style="25" customWidth="1"/>
    <col min="2" max="25" width="9.140625" style="25" hidden="1" customWidth="1" outlineLevel="1"/>
    <col min="26" max="26" width="9.140625" style="25" collapsed="1"/>
    <col min="27" max="28" width="9.140625" style="25" hidden="1" customWidth="1" outlineLevel="1"/>
    <col min="29" max="29" width="9.140625" style="25" collapsed="1"/>
    <col min="30" max="31" width="9.140625" style="25" hidden="1" customWidth="1" outlineLevel="1"/>
    <col min="32" max="32" width="9.140625" style="25" collapsed="1"/>
    <col min="33" max="34" width="9.140625" style="25" hidden="1" customWidth="1" outlineLevel="1"/>
    <col min="35" max="35" width="9.140625" style="25" collapsed="1"/>
    <col min="36" max="37" width="9.140625" style="25" hidden="1" customWidth="1" outlineLevel="1"/>
    <col min="38" max="38" width="9.140625" style="25" collapsed="1"/>
    <col min="39" max="40" width="9.140625" style="25" hidden="1" customWidth="1" outlineLevel="1"/>
    <col min="41" max="41" width="9.140625" style="25" collapsed="1"/>
    <col min="42" max="43" width="9.140625" style="25" hidden="1" customWidth="1" outlineLevel="1"/>
    <col min="44" max="44" width="9.140625" style="25" collapsed="1"/>
    <col min="45" max="46" width="9.140625" style="25" hidden="1" customWidth="1" outlineLevel="1"/>
    <col min="47" max="47" width="9.140625" style="25" collapsed="1"/>
    <col min="48" max="49" width="9.140625" style="25" hidden="1" customWidth="1" outlineLevel="1"/>
    <col min="50" max="50" width="9.140625" style="25" collapsed="1"/>
    <col min="51" max="52" width="9.140625" style="25" hidden="1" customWidth="1" outlineLevel="1"/>
    <col min="53" max="53" width="9.140625" style="25" collapsed="1"/>
    <col min="54" max="55" width="9.140625" style="25" hidden="1" customWidth="1" outlineLevel="1"/>
    <col min="56" max="56" width="9.140625" style="25" collapsed="1"/>
    <col min="57" max="58" width="9.140625" style="25" hidden="1" customWidth="1" outlineLevel="1"/>
    <col min="59" max="59" width="9.140625" style="25" collapsed="1"/>
    <col min="60" max="61" width="9.140625" style="25" hidden="1" customWidth="1" outlineLevel="1"/>
    <col min="62" max="62" width="9.140625" style="25" collapsed="1"/>
    <col min="63" max="64" width="9.140625" style="25" hidden="1" customWidth="1" outlineLevel="1"/>
    <col min="65" max="65" width="9.140625" style="25" collapsed="1"/>
    <col min="66" max="16384" width="9.140625" style="25"/>
  </cols>
  <sheetData>
    <row r="1" spans="1:65">
      <c r="A1" s="305" t="s">
        <v>10</v>
      </c>
      <c r="B1" s="306">
        <v>2000</v>
      </c>
      <c r="C1" s="306">
        <f>B1+1</f>
        <v>2001</v>
      </c>
      <c r="D1" s="306">
        <f t="shared" ref="D1:J1" si="0">C1+1</f>
        <v>2002</v>
      </c>
      <c r="E1" s="306">
        <f t="shared" si="0"/>
        <v>2003</v>
      </c>
      <c r="F1" s="306">
        <f t="shared" si="0"/>
        <v>2004</v>
      </c>
      <c r="G1" s="306">
        <f t="shared" si="0"/>
        <v>2005</v>
      </c>
      <c r="H1" s="306">
        <f t="shared" si="0"/>
        <v>2006</v>
      </c>
      <c r="I1" s="306">
        <f t="shared" si="0"/>
        <v>2007</v>
      </c>
      <c r="J1" s="306">
        <f t="shared" si="0"/>
        <v>2008</v>
      </c>
      <c r="K1" s="306">
        <v>2009</v>
      </c>
      <c r="L1" s="306">
        <f>K1+1</f>
        <v>2010</v>
      </c>
      <c r="M1" s="306">
        <f>L1+1</f>
        <v>2011</v>
      </c>
      <c r="N1" s="306">
        <f>M1+1</f>
        <v>2012</v>
      </c>
      <c r="O1" s="306">
        <f>N1+1</f>
        <v>2013</v>
      </c>
      <c r="P1" s="306">
        <v>2014</v>
      </c>
      <c r="Q1" s="306">
        <f>P1+1</f>
        <v>2015</v>
      </c>
      <c r="R1" s="313" t="s">
        <v>616</v>
      </c>
      <c r="S1" s="314" t="s">
        <v>617</v>
      </c>
      <c r="T1" s="548">
        <f>Q1+1</f>
        <v>2016</v>
      </c>
      <c r="U1" s="313" t="s">
        <v>618</v>
      </c>
      <c r="V1" s="314" t="s">
        <v>683</v>
      </c>
      <c r="W1" s="548">
        <f>T1+1</f>
        <v>2017</v>
      </c>
      <c r="X1" s="313" t="s">
        <v>618</v>
      </c>
      <c r="Y1" s="314" t="s">
        <v>683</v>
      </c>
      <c r="Z1" s="548">
        <v>2017</v>
      </c>
      <c r="AA1" s="313" t="s">
        <v>697</v>
      </c>
      <c r="AB1" s="314" t="s">
        <v>755</v>
      </c>
      <c r="AC1" s="548">
        <f>Z1+1</f>
        <v>2018</v>
      </c>
      <c r="AD1" s="313" t="s">
        <v>757</v>
      </c>
      <c r="AE1" s="314" t="s">
        <v>793</v>
      </c>
      <c r="AF1" s="548">
        <f>AC1+1</f>
        <v>2019</v>
      </c>
      <c r="AG1" s="313" t="s">
        <v>794</v>
      </c>
      <c r="AH1" s="314" t="s">
        <v>798</v>
      </c>
      <c r="AI1" s="548">
        <f>AF1+1</f>
        <v>2020</v>
      </c>
      <c r="AJ1" s="313" t="s">
        <v>801</v>
      </c>
      <c r="AK1" s="314" t="s">
        <v>802</v>
      </c>
      <c r="AL1" s="548">
        <f>AI1+1</f>
        <v>2021</v>
      </c>
      <c r="AM1" s="313" t="s">
        <v>822</v>
      </c>
      <c r="AN1" s="314" t="s">
        <v>823</v>
      </c>
      <c r="AO1" s="548">
        <f>AL1+1</f>
        <v>2022</v>
      </c>
      <c r="AP1" s="313" t="s">
        <v>929</v>
      </c>
      <c r="AQ1" s="314" t="s">
        <v>930</v>
      </c>
      <c r="AR1" s="548">
        <f>AO1+1</f>
        <v>2023</v>
      </c>
      <c r="AS1" s="313" t="s">
        <v>989</v>
      </c>
      <c r="AT1" s="314" t="s">
        <v>990</v>
      </c>
      <c r="AU1" s="548">
        <f>AR1+1</f>
        <v>2024</v>
      </c>
      <c r="AV1" s="313" t="s">
        <v>1035</v>
      </c>
      <c r="AW1" s="314" t="s">
        <v>1036</v>
      </c>
      <c r="AX1" s="548">
        <f>AU1+1</f>
        <v>2025</v>
      </c>
      <c r="AY1" s="313" t="s">
        <v>1044</v>
      </c>
      <c r="AZ1" s="538" t="s">
        <v>844</v>
      </c>
      <c r="BA1" s="572">
        <f>AX1+1</f>
        <v>2026</v>
      </c>
      <c r="BB1" s="537" t="s">
        <v>845</v>
      </c>
      <c r="BC1" s="538" t="s">
        <v>846</v>
      </c>
      <c r="BD1" s="572">
        <f>BA1+1</f>
        <v>2027</v>
      </c>
      <c r="BE1" s="537" t="s">
        <v>847</v>
      </c>
      <c r="BF1" s="538" t="s">
        <v>848</v>
      </c>
      <c r="BG1" s="572">
        <f>BD1+1</f>
        <v>2028</v>
      </c>
      <c r="BH1" s="537" t="s">
        <v>849</v>
      </c>
      <c r="BI1" s="538" t="s">
        <v>850</v>
      </c>
      <c r="BJ1" s="572">
        <f>BG1+1</f>
        <v>2029</v>
      </c>
      <c r="BK1" s="537" t="s">
        <v>851</v>
      </c>
      <c r="BL1" s="538" t="s">
        <v>852</v>
      </c>
      <c r="BM1" s="572">
        <f>BJ1+1</f>
        <v>2030</v>
      </c>
    </row>
    <row r="2" spans="1:65">
      <c r="A2" s="305" t="s">
        <v>0</v>
      </c>
      <c r="B2" s="322"/>
      <c r="C2" s="322"/>
      <c r="D2" s="322"/>
      <c r="E2" s="322"/>
      <c r="F2" s="322"/>
      <c r="G2" s="322"/>
      <c r="H2" s="322"/>
      <c r="I2" s="322"/>
      <c r="J2" s="322"/>
      <c r="K2" s="306"/>
      <c r="L2" s="306"/>
      <c r="M2" s="306"/>
      <c r="N2" s="306"/>
      <c r="O2" s="306"/>
      <c r="P2" s="306"/>
      <c r="Q2" s="306"/>
      <c r="R2" s="306"/>
      <c r="S2" s="547"/>
      <c r="T2" s="781"/>
      <c r="U2" s="306"/>
      <c r="V2" s="547"/>
      <c r="W2" s="781"/>
      <c r="X2" s="309" t="s">
        <v>625</v>
      </c>
      <c r="Y2" s="315" t="s">
        <v>625</v>
      </c>
      <c r="Z2" s="549" t="s">
        <v>625</v>
      </c>
      <c r="AA2" s="309" t="s">
        <v>625</v>
      </c>
      <c r="AB2" s="315" t="s">
        <v>625</v>
      </c>
      <c r="AC2" s="549" t="s">
        <v>625</v>
      </c>
      <c r="AD2" s="309" t="s">
        <v>625</v>
      </c>
      <c r="AE2" s="315" t="s">
        <v>625</v>
      </c>
      <c r="AF2" s="549" t="s">
        <v>625</v>
      </c>
      <c r="AG2" s="309" t="s">
        <v>625</v>
      </c>
      <c r="AH2" s="315" t="s">
        <v>625</v>
      </c>
      <c r="AI2" s="549" t="s">
        <v>625</v>
      </c>
      <c r="AJ2" s="309" t="s">
        <v>625</v>
      </c>
      <c r="AK2" s="315" t="s">
        <v>625</v>
      </c>
      <c r="AL2" s="549" t="s">
        <v>625</v>
      </c>
      <c r="AM2" s="309" t="s">
        <v>625</v>
      </c>
      <c r="AN2" s="315" t="s">
        <v>625</v>
      </c>
      <c r="AO2" s="549" t="s">
        <v>625</v>
      </c>
      <c r="AP2" s="309" t="s">
        <v>625</v>
      </c>
      <c r="AQ2" s="315" t="s">
        <v>625</v>
      </c>
      <c r="AR2" s="549" t="s">
        <v>625</v>
      </c>
      <c r="AS2" s="309" t="s">
        <v>625</v>
      </c>
      <c r="AT2" s="315" t="s">
        <v>625</v>
      </c>
      <c r="AU2" s="549" t="s">
        <v>625</v>
      </c>
      <c r="AV2" s="309" t="s">
        <v>625</v>
      </c>
      <c r="AW2" s="315" t="s">
        <v>625</v>
      </c>
      <c r="AX2" s="549" t="s">
        <v>625</v>
      </c>
      <c r="AY2" s="309" t="s">
        <v>625</v>
      </c>
      <c r="AZ2" s="212" t="s">
        <v>625</v>
      </c>
      <c r="BA2" s="573" t="s">
        <v>625</v>
      </c>
      <c r="BB2" s="195" t="s">
        <v>625</v>
      </c>
      <c r="BC2" s="212" t="s">
        <v>625</v>
      </c>
      <c r="BD2" s="573" t="s">
        <v>625</v>
      </c>
      <c r="BE2" s="195" t="s">
        <v>625</v>
      </c>
      <c r="BF2" s="212" t="s">
        <v>625</v>
      </c>
      <c r="BG2" s="573" t="s">
        <v>625</v>
      </c>
      <c r="BH2" s="195" t="s">
        <v>625</v>
      </c>
      <c r="BI2" s="212" t="s">
        <v>625</v>
      </c>
      <c r="BJ2" s="573" t="s">
        <v>625</v>
      </c>
      <c r="BK2" s="195" t="s">
        <v>625</v>
      </c>
      <c r="BL2" s="212" t="s">
        <v>625</v>
      </c>
      <c r="BM2" s="573" t="s">
        <v>625</v>
      </c>
    </row>
    <row r="3" spans="1:65">
      <c r="B3" s="40"/>
      <c r="C3" s="40"/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O3" s="40"/>
      <c r="P3" s="40"/>
      <c r="Q3" s="40"/>
      <c r="R3" s="40"/>
      <c r="S3" s="630"/>
      <c r="T3" s="653"/>
      <c r="U3" s="40"/>
      <c r="V3" s="630"/>
      <c r="W3" s="653"/>
      <c r="X3" s="40"/>
      <c r="Y3" s="630"/>
      <c r="Z3" s="667" t="s">
        <v>713</v>
      </c>
      <c r="AA3" s="267"/>
      <c r="AB3" s="946"/>
      <c r="AC3" s="947"/>
      <c r="AD3" s="267"/>
      <c r="AE3" s="946"/>
      <c r="AF3" s="947"/>
      <c r="AG3" s="267"/>
      <c r="AH3" s="946"/>
      <c r="AI3" s="947"/>
      <c r="AJ3" s="267"/>
      <c r="AK3" s="946"/>
      <c r="AL3" s="947"/>
      <c r="AM3" s="267"/>
      <c r="AN3" s="946"/>
      <c r="AO3" s="947"/>
      <c r="AP3" s="267"/>
      <c r="AQ3" s="540"/>
      <c r="AR3" s="575"/>
      <c r="AS3" s="5"/>
      <c r="AT3" s="540"/>
      <c r="AU3" s="575"/>
      <c r="AV3" s="5"/>
      <c r="AW3" s="540"/>
      <c r="AX3" s="575"/>
      <c r="AY3" s="5"/>
      <c r="AZ3" s="540"/>
      <c r="BA3" s="575"/>
      <c r="BB3" s="5"/>
      <c r="BC3" s="540"/>
      <c r="BD3" s="575"/>
      <c r="BE3" s="5"/>
      <c r="BF3" s="540"/>
      <c r="BG3" s="575"/>
      <c r="BH3" s="5"/>
      <c r="BI3" s="540"/>
      <c r="BJ3" s="575"/>
      <c r="BK3" s="5"/>
      <c r="BL3" s="540"/>
      <c r="BM3" s="575"/>
    </row>
    <row r="4" spans="1:65">
      <c r="A4" s="31" t="s">
        <v>398</v>
      </c>
      <c r="B4" s="51">
        <f>Divisional!B10</f>
        <v>0</v>
      </c>
      <c r="C4" s="51">
        <f>Divisional!C10</f>
        <v>0</v>
      </c>
      <c r="D4" s="51">
        <f>Divisional!D10</f>
        <v>0</v>
      </c>
      <c r="E4" s="51">
        <f>Divisional!E10</f>
        <v>0</v>
      </c>
      <c r="F4" s="51">
        <f>Divisional!F10</f>
        <v>0</v>
      </c>
      <c r="G4" s="51">
        <f>Divisional!G10</f>
        <v>0</v>
      </c>
      <c r="H4" s="51">
        <f>Divisional!H10</f>
        <v>0</v>
      </c>
      <c r="I4" s="51">
        <f>Divisional!I10</f>
        <v>0</v>
      </c>
      <c r="J4" s="51">
        <f>Divisional!J10</f>
        <v>0</v>
      </c>
      <c r="K4" s="51">
        <f>Divisional!K10</f>
        <v>0</v>
      </c>
      <c r="L4" s="51">
        <f>Divisional!L10</f>
        <v>0</v>
      </c>
      <c r="M4" s="51">
        <f>Divisional!M10</f>
        <v>331</v>
      </c>
      <c r="N4" s="51">
        <f>Divisional!N10</f>
        <v>287</v>
      </c>
      <c r="O4" s="51">
        <f>Divisional!O10</f>
        <v>2831</v>
      </c>
      <c r="P4" s="51">
        <f>Divisional!P10</f>
        <v>2720</v>
      </c>
      <c r="Q4" s="51">
        <f>Divisional!Q10</f>
        <v>2385</v>
      </c>
      <c r="R4" s="51">
        <f>Divisional!R10</f>
        <v>1084</v>
      </c>
      <c r="S4" s="629">
        <f>Divisional!S10</f>
        <v>1571</v>
      </c>
      <c r="T4" s="652">
        <f>Divisional!T10</f>
        <v>2655</v>
      </c>
      <c r="U4" s="51">
        <f>Divisional!U10</f>
        <v>1233</v>
      </c>
      <c r="V4" s="629">
        <f>Divisional!V10</f>
        <v>1690</v>
      </c>
      <c r="W4" s="652">
        <f>Divisional!W10</f>
        <v>2923</v>
      </c>
      <c r="X4" s="51">
        <f>Divisional!X10</f>
        <v>1275</v>
      </c>
      <c r="Y4" s="629">
        <f>Divisional!Y10</f>
        <v>1733</v>
      </c>
      <c r="Z4" s="652">
        <f>Divisional!Z10</f>
        <v>3008</v>
      </c>
      <c r="AA4" s="51">
        <f>Divisional!AA10</f>
        <v>1471</v>
      </c>
      <c r="AB4" s="629">
        <f>Divisional!AB10</f>
        <v>2013</v>
      </c>
      <c r="AC4" s="652">
        <f>Divisional!AC10</f>
        <v>3484</v>
      </c>
      <c r="AD4" s="51">
        <f>Divisional!AD10</f>
        <v>1553</v>
      </c>
      <c r="AE4" s="629">
        <f>Divisional!AE10</f>
        <v>1992</v>
      </c>
      <c r="AF4" s="652">
        <f>Divisional!AF10</f>
        <v>3545</v>
      </c>
      <c r="AG4" s="51">
        <f>Divisional!AG10</f>
        <v>1214</v>
      </c>
      <c r="AH4" s="629">
        <f>Divisional!AH10</f>
        <v>1521</v>
      </c>
      <c r="AI4" s="652">
        <f>Divisional!AI10</f>
        <v>2735</v>
      </c>
      <c r="AJ4" s="51">
        <f>Divisional!AJ10</f>
        <v>1181</v>
      </c>
      <c r="AK4" s="629">
        <f>Divisional!AK10</f>
        <v>1568</v>
      </c>
      <c r="AL4" s="652">
        <f>Divisional!AL10</f>
        <v>2749</v>
      </c>
      <c r="AM4" s="51">
        <f>Divisional!AM10</f>
        <v>1371</v>
      </c>
      <c r="AN4" s="629">
        <f>Divisional!AN10</f>
        <v>1976</v>
      </c>
      <c r="AO4" s="652">
        <f>Divisional!AO10</f>
        <v>3347</v>
      </c>
      <c r="AP4" s="51">
        <f>Divisional!AP10</f>
        <v>1774</v>
      </c>
      <c r="AQ4" s="629">
        <f>Divisional!AQ10</f>
        <v>2194</v>
      </c>
      <c r="AR4" s="652">
        <f>Divisional!AR10</f>
        <v>3968</v>
      </c>
      <c r="AS4" s="51">
        <f>Divisional!AS10</f>
        <v>1837</v>
      </c>
      <c r="AT4" s="629">
        <f>Divisional!AT10</f>
        <v>2434</v>
      </c>
      <c r="AU4" s="652">
        <f>Divisional!AU10</f>
        <v>4271</v>
      </c>
      <c r="AV4" s="51">
        <f>Divisional!AV10</f>
        <v>2042</v>
      </c>
      <c r="AW4" s="629">
        <f>Divisional!AW10</f>
        <v>2850</v>
      </c>
      <c r="AX4" s="652">
        <f>Divisional!AX10</f>
        <v>4892</v>
      </c>
      <c r="AY4" s="51">
        <f>Divisional!AY10</f>
        <v>2604</v>
      </c>
      <c r="AZ4" s="237">
        <f>AZ33</f>
        <v>3238.6593376941955</v>
      </c>
      <c r="BA4" s="576">
        <f t="shared" ref="BA4:BM4" si="1">BA33</f>
        <v>5842.6593376941955</v>
      </c>
      <c r="BB4" s="48">
        <f>BB33</f>
        <v>3129.4871999999996</v>
      </c>
      <c r="BC4" s="237">
        <f>BC33</f>
        <v>3886.8118576941952</v>
      </c>
      <c r="BD4" s="576">
        <f t="shared" si="1"/>
        <v>7016.2990576941947</v>
      </c>
      <c r="BE4" s="48">
        <f>BE33</f>
        <v>3777.2009519999997</v>
      </c>
      <c r="BF4" s="237">
        <f>BF33</f>
        <v>4684.3861828941954</v>
      </c>
      <c r="BG4" s="576">
        <f t="shared" si="1"/>
        <v>8461.5871348941964</v>
      </c>
      <c r="BH4" s="48">
        <f>BH33</f>
        <v>4573.8606396000005</v>
      </c>
      <c r="BI4" s="237">
        <f>BI33</f>
        <v>5663.2238631541932</v>
      </c>
      <c r="BJ4" s="576">
        <f t="shared" si="1"/>
        <v>10237.084502754195</v>
      </c>
      <c r="BK4" s="48">
        <f>BK33</f>
        <v>5557.5951895800008</v>
      </c>
      <c r="BL4" s="237">
        <f>BL33</f>
        <v>6870.2104575271942</v>
      </c>
      <c r="BM4" s="576">
        <f t="shared" si="1"/>
        <v>12427.805647107196</v>
      </c>
    </row>
    <row r="5" spans="1:65">
      <c r="A5" s="25" t="s">
        <v>2</v>
      </c>
      <c r="B5" s="51"/>
      <c r="C5" s="51"/>
      <c r="D5" s="51"/>
      <c r="E5" s="51"/>
      <c r="F5" s="51"/>
      <c r="G5" s="51"/>
      <c r="H5" s="51"/>
      <c r="I5" s="51"/>
      <c r="J5" s="51"/>
      <c r="K5" s="51"/>
      <c r="L5" s="51"/>
      <c r="M5" s="51"/>
      <c r="N5" s="51"/>
      <c r="O5" s="51"/>
      <c r="P5" s="40">
        <f>P6-P4</f>
        <v>-1978</v>
      </c>
      <c r="Q5" s="40">
        <f>Q6-Q4</f>
        <v>-1729</v>
      </c>
      <c r="R5" s="40">
        <f t="shared" ref="R5:S5" si="2">+R6-R4</f>
        <v>-830</v>
      </c>
      <c r="S5" s="630">
        <f t="shared" si="2"/>
        <v>-1118</v>
      </c>
      <c r="T5" s="653">
        <f>T6-T4</f>
        <v>-1948</v>
      </c>
      <c r="U5" s="40">
        <f t="shared" ref="U5:V5" si="3">+U6-U4</f>
        <v>-914</v>
      </c>
      <c r="V5" s="630">
        <f t="shared" si="3"/>
        <v>-1167</v>
      </c>
      <c r="W5" s="653">
        <f t="shared" ref="W5:BM5" si="4">+W6-W4</f>
        <v>-2081</v>
      </c>
      <c r="X5" s="40">
        <f t="shared" ref="X5:Y5" si="5">+X6-X4</f>
        <v>-992</v>
      </c>
      <c r="Y5" s="630">
        <f t="shared" si="5"/>
        <v>-1219</v>
      </c>
      <c r="Z5" s="653">
        <f t="shared" si="4"/>
        <v>-2211</v>
      </c>
      <c r="AA5" s="40">
        <f t="shared" ref="AA5:AB5" si="6">+AA6-AA4</f>
        <v>-1117</v>
      </c>
      <c r="AB5" s="630">
        <f t="shared" si="6"/>
        <v>-1485</v>
      </c>
      <c r="AC5" s="653">
        <f t="shared" si="4"/>
        <v>-2602</v>
      </c>
      <c r="AD5" s="40">
        <f t="shared" ref="AD5:AE5" si="7">+AD6-AD4</f>
        <v>-1164</v>
      </c>
      <c r="AE5" s="630">
        <f t="shared" si="7"/>
        <v>-1472</v>
      </c>
      <c r="AF5" s="653">
        <f t="shared" si="4"/>
        <v>-2636</v>
      </c>
      <c r="AG5" s="40">
        <f t="shared" ref="AG5:AH5" si="8">+AG6-AG4</f>
        <v>-951</v>
      </c>
      <c r="AH5" s="630">
        <f t="shared" si="8"/>
        <v>-1106</v>
      </c>
      <c r="AI5" s="653">
        <f t="shared" si="4"/>
        <v>-2057</v>
      </c>
      <c r="AJ5" s="40">
        <f t="shared" ref="AJ5:AK5" si="9">+AJ6-AJ4</f>
        <v>-880</v>
      </c>
      <c r="AK5" s="630">
        <f t="shared" si="9"/>
        <v>-1091</v>
      </c>
      <c r="AL5" s="653">
        <f>+AL6-AL4</f>
        <v>-1971</v>
      </c>
      <c r="AM5" s="40">
        <f t="shared" ref="AM5:AN5" si="10">+AM6-AM4</f>
        <v>-970</v>
      </c>
      <c r="AN5" s="630">
        <f t="shared" si="10"/>
        <v>-1459</v>
      </c>
      <c r="AO5" s="653">
        <f t="shared" si="4"/>
        <v>-2429</v>
      </c>
      <c r="AP5" s="40">
        <f t="shared" si="4"/>
        <v>-1322</v>
      </c>
      <c r="AQ5" s="630">
        <f t="shared" si="4"/>
        <v>-1596</v>
      </c>
      <c r="AR5" s="653">
        <f t="shared" ref="AR5:AT5" si="11">+AR6-AR4</f>
        <v>-2918</v>
      </c>
      <c r="AS5" s="40">
        <f t="shared" si="11"/>
        <v>-1330</v>
      </c>
      <c r="AT5" s="630">
        <f t="shared" si="11"/>
        <v>-1742</v>
      </c>
      <c r="AU5" s="653">
        <f t="shared" ref="AU5:AW5" si="12">+AU6-AU4</f>
        <v>-3072</v>
      </c>
      <c r="AV5" s="40">
        <f t="shared" si="12"/>
        <v>-1407</v>
      </c>
      <c r="AW5" s="630">
        <f t="shared" si="12"/>
        <v>-1963</v>
      </c>
      <c r="AX5" s="653">
        <f t="shared" si="4"/>
        <v>-3370</v>
      </c>
      <c r="AY5" s="40">
        <f t="shared" si="4"/>
        <v>-1703</v>
      </c>
      <c r="AZ5" s="236">
        <f t="shared" si="4"/>
        <v>-2153.155162878169</v>
      </c>
      <c r="BA5" s="605">
        <f t="shared" si="4"/>
        <v>-3856.155162878169</v>
      </c>
      <c r="BB5" s="56">
        <f t="shared" si="4"/>
        <v>-2049.8141159999996</v>
      </c>
      <c r="BC5" s="236">
        <f t="shared" si="4"/>
        <v>-2545.8617667896979</v>
      </c>
      <c r="BD5" s="605">
        <f t="shared" si="4"/>
        <v>-4595.6758827896974</v>
      </c>
      <c r="BE5" s="56">
        <f t="shared" si="4"/>
        <v>-2455.1806188</v>
      </c>
      <c r="BF5" s="236">
        <f t="shared" si="4"/>
        <v>-3044.851018881227</v>
      </c>
      <c r="BG5" s="605">
        <f t="shared" si="4"/>
        <v>-5500.0316376812279</v>
      </c>
      <c r="BH5" s="56">
        <f t="shared" si="4"/>
        <v>-2950.1401125420007</v>
      </c>
      <c r="BI5" s="236">
        <f t="shared" si="4"/>
        <v>-3652.7793917344543</v>
      </c>
      <c r="BJ5" s="605">
        <f t="shared" si="4"/>
        <v>-6602.9195042764559</v>
      </c>
      <c r="BK5" s="56">
        <f t="shared" si="4"/>
        <v>-3556.8609213312006</v>
      </c>
      <c r="BL5" s="236">
        <f t="shared" si="4"/>
        <v>-4396.9346928174036</v>
      </c>
      <c r="BM5" s="605">
        <f t="shared" si="4"/>
        <v>-7953.7956141486056</v>
      </c>
    </row>
    <row r="6" spans="1:65">
      <c r="A6" s="31" t="s">
        <v>270</v>
      </c>
      <c r="B6" s="51"/>
      <c r="C6" s="51"/>
      <c r="D6" s="51"/>
      <c r="E6" s="51"/>
      <c r="F6" s="51"/>
      <c r="G6" s="51"/>
      <c r="H6" s="51"/>
      <c r="I6" s="51"/>
      <c r="J6" s="51"/>
      <c r="K6" s="51"/>
      <c r="L6" s="51"/>
      <c r="M6" s="51"/>
      <c r="N6" s="51"/>
      <c r="O6" s="51"/>
      <c r="P6" s="51">
        <v>742</v>
      </c>
      <c r="Q6" s="51">
        <v>656</v>
      </c>
      <c r="R6" s="51">
        <f>Divisional!R35</f>
        <v>254</v>
      </c>
      <c r="S6" s="629">
        <f>Divisional!S35</f>
        <v>453</v>
      </c>
      <c r="T6" s="652">
        <v>707</v>
      </c>
      <c r="U6" s="51">
        <f>Divisional!U35</f>
        <v>319</v>
      </c>
      <c r="V6" s="629">
        <f>Divisional!V35</f>
        <v>523</v>
      </c>
      <c r="W6" s="652">
        <v>842</v>
      </c>
      <c r="X6" s="51">
        <f>Divisional!X35</f>
        <v>283</v>
      </c>
      <c r="Y6" s="629">
        <f>Divisional!Y35</f>
        <v>514</v>
      </c>
      <c r="Z6" s="652">
        <f>Divisional!Z35</f>
        <v>797</v>
      </c>
      <c r="AA6" s="51">
        <f>Divisional!AA35</f>
        <v>354</v>
      </c>
      <c r="AB6" s="629">
        <f>Divisional!AB35</f>
        <v>528</v>
      </c>
      <c r="AC6" s="652">
        <f>Divisional!AC35</f>
        <v>882</v>
      </c>
      <c r="AD6" s="51">
        <f>Divisional!AD35</f>
        <v>389</v>
      </c>
      <c r="AE6" s="629">
        <f>Divisional!AE35</f>
        <v>520</v>
      </c>
      <c r="AF6" s="652">
        <f>Divisional!AF35</f>
        <v>909</v>
      </c>
      <c r="AG6" s="51">
        <f>Divisional!AG35</f>
        <v>263</v>
      </c>
      <c r="AH6" s="629">
        <f>Divisional!AH35</f>
        <v>415</v>
      </c>
      <c r="AI6" s="652">
        <f>Divisional!AI35</f>
        <v>678</v>
      </c>
      <c r="AJ6" s="51">
        <f>Divisional!AJ35</f>
        <v>301</v>
      </c>
      <c r="AK6" s="629">
        <f>Divisional!AK35</f>
        <v>477</v>
      </c>
      <c r="AL6" s="652">
        <f>Divisional!AL35</f>
        <v>778</v>
      </c>
      <c r="AM6" s="51">
        <f>Divisional!AM35</f>
        <v>401</v>
      </c>
      <c r="AN6" s="629">
        <f>Divisional!AN35</f>
        <v>517</v>
      </c>
      <c r="AO6" s="652">
        <f>Divisional!AO35</f>
        <v>918</v>
      </c>
      <c r="AP6" s="51">
        <f>Divisional!AP35</f>
        <v>452</v>
      </c>
      <c r="AQ6" s="629">
        <f>Divisional!AQ35</f>
        <v>598</v>
      </c>
      <c r="AR6" s="652">
        <f>Divisional!AR35</f>
        <v>1050</v>
      </c>
      <c r="AS6" s="51">
        <f>Divisional!AS35</f>
        <v>507</v>
      </c>
      <c r="AT6" s="629">
        <f>Divisional!AT35</f>
        <v>692</v>
      </c>
      <c r="AU6" s="652">
        <f>Divisional!AU35</f>
        <v>1199</v>
      </c>
      <c r="AV6" s="51">
        <f>Divisional!AV35</f>
        <v>635</v>
      </c>
      <c r="AW6" s="629">
        <f>Divisional!AW35</f>
        <v>887</v>
      </c>
      <c r="AX6" s="652">
        <f>Divisional!AX35</f>
        <v>1522</v>
      </c>
      <c r="AY6" s="51">
        <f>Divisional!AY35</f>
        <v>901</v>
      </c>
      <c r="AZ6" s="237">
        <f>BA6-AY6</f>
        <v>1085.5041748160265</v>
      </c>
      <c r="BA6" s="576">
        <f t="shared" ref="BA6:BM6" si="13">+BA7*BA4</f>
        <v>1986.5041748160265</v>
      </c>
      <c r="BB6" s="48">
        <f>+BB7*BB4</f>
        <v>1079.6730839999998</v>
      </c>
      <c r="BC6" s="237">
        <f>BD6-BB6</f>
        <v>1340.9500909044971</v>
      </c>
      <c r="BD6" s="576">
        <f t="shared" si="13"/>
        <v>2420.6231749044969</v>
      </c>
      <c r="BE6" s="48">
        <f>+BE7*BE4</f>
        <v>1322.0203331999999</v>
      </c>
      <c r="BF6" s="237">
        <f>BG6-BE6</f>
        <v>1639.5351640129686</v>
      </c>
      <c r="BG6" s="576">
        <f t="shared" si="13"/>
        <v>2961.5554972129685</v>
      </c>
      <c r="BH6" s="48">
        <f>+BH7*BH4</f>
        <v>1623.720527058</v>
      </c>
      <c r="BI6" s="237">
        <f>BJ6-BH6</f>
        <v>2010.4444714197386</v>
      </c>
      <c r="BJ6" s="576">
        <f t="shared" si="13"/>
        <v>3634.1649984777387</v>
      </c>
      <c r="BK6" s="48">
        <f>+BK7*BK4</f>
        <v>2000.7342682488002</v>
      </c>
      <c r="BL6" s="237">
        <f>BM6-BK6</f>
        <v>2473.2757647097901</v>
      </c>
      <c r="BM6" s="576">
        <f t="shared" si="13"/>
        <v>4474.0100329585903</v>
      </c>
    </row>
    <row r="7" spans="1:65">
      <c r="A7" s="93" t="s">
        <v>44</v>
      </c>
      <c r="B7" s="40"/>
      <c r="C7" s="40"/>
      <c r="D7" s="40"/>
      <c r="E7" s="40"/>
      <c r="F7" s="40"/>
      <c r="G7" s="40"/>
      <c r="H7" s="40"/>
      <c r="I7" s="40"/>
      <c r="J7" s="40"/>
      <c r="K7" s="40"/>
      <c r="L7" s="40"/>
      <c r="M7" s="40"/>
      <c r="N7" s="40"/>
      <c r="O7" s="40"/>
      <c r="P7" s="58">
        <f t="shared" ref="P7:AC7" si="14">P6/P4</f>
        <v>0.2727941176470588</v>
      </c>
      <c r="Q7" s="58">
        <f t="shared" si="14"/>
        <v>0.27505241090146748</v>
      </c>
      <c r="R7" s="87">
        <f>R6/R4</f>
        <v>0.23431734317343172</v>
      </c>
      <c r="S7" s="644">
        <f>S6/S4</f>
        <v>0.28835136855506049</v>
      </c>
      <c r="T7" s="668">
        <f t="shared" si="14"/>
        <v>0.26629001883239173</v>
      </c>
      <c r="U7" s="87">
        <f>U6/U4</f>
        <v>0.25871857258718572</v>
      </c>
      <c r="V7" s="644">
        <f>V6/V4</f>
        <v>0.30946745562130179</v>
      </c>
      <c r="W7" s="668">
        <f t="shared" si="14"/>
        <v>0.28806021211084504</v>
      </c>
      <c r="X7" s="87">
        <f>X6/X4</f>
        <v>0.22196078431372548</v>
      </c>
      <c r="Y7" s="644">
        <f>Y6/Y4</f>
        <v>0.29659549913444894</v>
      </c>
      <c r="Z7" s="668">
        <f t="shared" si="14"/>
        <v>0.26496010638297873</v>
      </c>
      <c r="AA7" s="87">
        <f>AA6/AA4</f>
        <v>0.24065261726716519</v>
      </c>
      <c r="AB7" s="644">
        <f>AB6/AB4</f>
        <v>0.26229508196721313</v>
      </c>
      <c r="AC7" s="668">
        <f t="shared" si="14"/>
        <v>0.25315729047072333</v>
      </c>
      <c r="AD7" s="87">
        <f t="shared" ref="AD7:AP7" si="15">AD6/AD4</f>
        <v>0.25048293625241469</v>
      </c>
      <c r="AE7" s="644">
        <f t="shared" si="15"/>
        <v>0.26104417670682734</v>
      </c>
      <c r="AF7" s="668">
        <f t="shared" si="15"/>
        <v>0.25641748942172071</v>
      </c>
      <c r="AG7" s="87">
        <f t="shared" si="15"/>
        <v>0.21663920922570015</v>
      </c>
      <c r="AH7" s="644">
        <f t="shared" si="15"/>
        <v>0.27284681130834976</v>
      </c>
      <c r="AI7" s="668">
        <f t="shared" si="15"/>
        <v>0.24789762340036564</v>
      </c>
      <c r="AJ7" s="87">
        <f t="shared" si="15"/>
        <v>0.25486875529212533</v>
      </c>
      <c r="AK7" s="644">
        <f t="shared" si="15"/>
        <v>0.30420918367346939</v>
      </c>
      <c r="AL7" s="668">
        <f t="shared" si="15"/>
        <v>0.28301200436522372</v>
      </c>
      <c r="AM7" s="87">
        <f t="shared" si="15"/>
        <v>0.29248723559445661</v>
      </c>
      <c r="AN7" s="644">
        <f t="shared" si="15"/>
        <v>0.26163967611336031</v>
      </c>
      <c r="AO7" s="668">
        <f t="shared" si="15"/>
        <v>0.27427547057066032</v>
      </c>
      <c r="AP7" s="87">
        <f t="shared" si="15"/>
        <v>0.2547914317925592</v>
      </c>
      <c r="AQ7" s="644">
        <f t="shared" ref="AQ7:AS7" si="16">AQ6/AQ4</f>
        <v>0.27256153144940748</v>
      </c>
      <c r="AR7" s="668">
        <f t="shared" si="16"/>
        <v>0.26461693548387094</v>
      </c>
      <c r="AS7" s="87">
        <f t="shared" si="16"/>
        <v>0.27599346761023408</v>
      </c>
      <c r="AT7" s="644">
        <f t="shared" ref="AT7:AV7" si="17">AT6/AT4</f>
        <v>0.28430566967953985</v>
      </c>
      <c r="AU7" s="668">
        <f t="shared" si="17"/>
        <v>0.28073050807773353</v>
      </c>
      <c r="AV7" s="87">
        <f t="shared" si="17"/>
        <v>0.31096963761018609</v>
      </c>
      <c r="AW7" s="644">
        <f t="shared" ref="AW7" si="18">AW6/AW4</f>
        <v>0.31122807017543858</v>
      </c>
      <c r="AX7" s="668">
        <f t="shared" ref="AX7:AY7" si="19">AX6/AX4</f>
        <v>0.31112019623875714</v>
      </c>
      <c r="AY7" s="87">
        <f t="shared" si="19"/>
        <v>0.34600614439324118</v>
      </c>
      <c r="AZ7" s="603">
        <f t="shared" ref="AZ7" si="20">AZ6/AZ4</f>
        <v>0.33517084127436042</v>
      </c>
      <c r="BA7" s="585">
        <v>0.34</v>
      </c>
      <c r="BB7" s="245">
        <f>BD7</f>
        <v>0.34499999999999997</v>
      </c>
      <c r="BC7" s="603">
        <f t="shared" ref="BC7" si="21">BC6/BC4</f>
        <v>0.34499999999999992</v>
      </c>
      <c r="BD7" s="585">
        <v>0.34499999999999997</v>
      </c>
      <c r="BE7" s="245">
        <f>BG7</f>
        <v>0.35</v>
      </c>
      <c r="BF7" s="603">
        <f t="shared" ref="BF7" si="22">BF6/BF4</f>
        <v>0.35000000000000003</v>
      </c>
      <c r="BG7" s="585">
        <v>0.35</v>
      </c>
      <c r="BH7" s="245">
        <f>BJ7</f>
        <v>0.35499999999999998</v>
      </c>
      <c r="BI7" s="603">
        <f t="shared" ref="BI7" si="23">BI6/BI4</f>
        <v>0.35500000000000004</v>
      </c>
      <c r="BJ7" s="585">
        <v>0.35499999999999998</v>
      </c>
      <c r="BK7" s="245">
        <f>BM7</f>
        <v>0.36</v>
      </c>
      <c r="BL7" s="603">
        <f t="shared" ref="BL7" si="24">BL6/BL4</f>
        <v>0.36000000000000004</v>
      </c>
      <c r="BM7" s="585">
        <v>0.36</v>
      </c>
    </row>
    <row r="8" spans="1:65">
      <c r="A8" s="25" t="s">
        <v>6</v>
      </c>
      <c r="B8" s="51"/>
      <c r="C8" s="51"/>
      <c r="D8" s="51"/>
      <c r="E8" s="51"/>
      <c r="F8" s="51"/>
      <c r="G8" s="51"/>
      <c r="H8" s="51"/>
      <c r="I8" s="51"/>
      <c r="J8" s="51"/>
      <c r="K8" s="51"/>
      <c r="L8" s="51"/>
      <c r="M8" s="51"/>
      <c r="N8" s="51"/>
      <c r="O8" s="51"/>
      <c r="P8" s="40">
        <v>-296</v>
      </c>
      <c r="Q8" s="40">
        <v>-296</v>
      </c>
      <c r="R8" s="40">
        <v>-158</v>
      </c>
      <c r="S8" s="630">
        <f>T8-R8</f>
        <v>-182</v>
      </c>
      <c r="T8" s="653">
        <v>-340</v>
      </c>
      <c r="U8" s="40">
        <v>-168</v>
      </c>
      <c r="V8" s="630">
        <f>W8-U8</f>
        <v>-163</v>
      </c>
      <c r="W8" s="653">
        <v>-331</v>
      </c>
      <c r="X8" s="40">
        <v>-172</v>
      </c>
      <c r="Y8" s="630">
        <f>Z8-X8</f>
        <v>-178</v>
      </c>
      <c r="Z8" s="653">
        <v>-350</v>
      </c>
      <c r="AA8" s="40">
        <v>-188</v>
      </c>
      <c r="AB8" s="630">
        <f>AC8-AA8</f>
        <v>-189</v>
      </c>
      <c r="AC8" s="653">
        <v>-377</v>
      </c>
      <c r="AD8" s="40">
        <v>-198</v>
      </c>
      <c r="AE8" s="630">
        <f>AF8-AD8</f>
        <v>-176</v>
      </c>
      <c r="AF8" s="653">
        <v>-374</v>
      </c>
      <c r="AG8" s="40">
        <v>-148</v>
      </c>
      <c r="AH8" s="630">
        <f>AI8-AG8</f>
        <v>-183</v>
      </c>
      <c r="AI8" s="653">
        <v>-331</v>
      </c>
      <c r="AJ8" s="40">
        <v>-190</v>
      </c>
      <c r="AK8" s="630">
        <f>AL8-AJ8</f>
        <v>-193</v>
      </c>
      <c r="AL8" s="653">
        <v>-383</v>
      </c>
      <c r="AM8" s="40">
        <v>-204</v>
      </c>
      <c r="AN8" s="630">
        <f>AO8-AM8</f>
        <v>-237</v>
      </c>
      <c r="AO8" s="653">
        <v>-441</v>
      </c>
      <c r="AP8" s="40">
        <v>-233</v>
      </c>
      <c r="AQ8" s="630">
        <f>AR8-AP8</f>
        <v>-223</v>
      </c>
      <c r="AR8" s="653">
        <v>-456</v>
      </c>
      <c r="AS8" s="40">
        <v>-238</v>
      </c>
      <c r="AT8" s="630">
        <f>AU8-AS8</f>
        <v>-245</v>
      </c>
      <c r="AU8" s="653">
        <v>-483</v>
      </c>
      <c r="AV8" s="40">
        <v>-251</v>
      </c>
      <c r="AW8" s="630">
        <f>AX8-AV8</f>
        <v>-267</v>
      </c>
      <c r="AX8" s="653">
        <v>-518</v>
      </c>
      <c r="AY8" s="40">
        <v>-297</v>
      </c>
      <c r="AZ8" s="236">
        <f>BA8-AY8</f>
        <v>-287.26593376941958</v>
      </c>
      <c r="BA8" s="605">
        <f t="shared" ref="BA8:BM8" si="25">-BA9*BA4</f>
        <v>-584.26593376941958</v>
      </c>
      <c r="BB8" s="56">
        <f>-BB9*BB4</f>
        <v>-312.94871999999998</v>
      </c>
      <c r="BC8" s="236">
        <f>BD8-BB8</f>
        <v>-388.68118576941959</v>
      </c>
      <c r="BD8" s="605">
        <f t="shared" si="25"/>
        <v>-701.62990576941957</v>
      </c>
      <c r="BE8" s="56">
        <f>-BE9*BE4</f>
        <v>-377.7200952</v>
      </c>
      <c r="BF8" s="236">
        <f>BG8-BE8</f>
        <v>-468.43861828941971</v>
      </c>
      <c r="BG8" s="605">
        <f t="shared" si="25"/>
        <v>-846.15871348941971</v>
      </c>
      <c r="BH8" s="56">
        <f>-BH9*BH4</f>
        <v>-457.38606396000006</v>
      </c>
      <c r="BI8" s="236">
        <f>BJ8-BH8</f>
        <v>-566.32238631541941</v>
      </c>
      <c r="BJ8" s="605">
        <f t="shared" si="25"/>
        <v>-1023.7084502754195</v>
      </c>
      <c r="BK8" s="56">
        <f>-BK9*BK4</f>
        <v>-555.75951895800006</v>
      </c>
      <c r="BL8" s="236">
        <f>BM8-BK8</f>
        <v>-687.02104575271971</v>
      </c>
      <c r="BM8" s="605">
        <f t="shared" si="25"/>
        <v>-1242.7805647107198</v>
      </c>
    </row>
    <row r="9" spans="1:65">
      <c r="A9" s="93" t="s">
        <v>273</v>
      </c>
      <c r="B9" s="51"/>
      <c r="C9" s="51"/>
      <c r="D9" s="51"/>
      <c r="E9" s="51"/>
      <c r="F9" s="51"/>
      <c r="G9" s="51"/>
      <c r="H9" s="51"/>
      <c r="I9" s="51"/>
      <c r="J9" s="51"/>
      <c r="K9" s="51"/>
      <c r="L9" s="51"/>
      <c r="M9" s="51"/>
      <c r="N9" s="51"/>
      <c r="O9" s="51"/>
      <c r="P9" s="58">
        <f t="shared" ref="P9:AO9" si="26">-P8/P4</f>
        <v>0.10882352941176471</v>
      </c>
      <c r="Q9" s="58">
        <f t="shared" si="26"/>
        <v>0.12410901467505241</v>
      </c>
      <c r="R9" s="87">
        <f t="shared" ref="R9:S9" si="27">-R8/R4</f>
        <v>0.14575645756457564</v>
      </c>
      <c r="S9" s="644">
        <f t="shared" si="27"/>
        <v>0.1158497772119669</v>
      </c>
      <c r="T9" s="668">
        <f t="shared" si="26"/>
        <v>0.128060263653484</v>
      </c>
      <c r="U9" s="87">
        <f t="shared" si="26"/>
        <v>0.13625304136253041</v>
      </c>
      <c r="V9" s="644">
        <f t="shared" si="26"/>
        <v>9.644970414201183E-2</v>
      </c>
      <c r="W9" s="668">
        <f t="shared" si="26"/>
        <v>0.11323982210058159</v>
      </c>
      <c r="X9" s="87">
        <f t="shared" ref="X9:Y9" si="28">-X8/X4</f>
        <v>0.13490196078431371</v>
      </c>
      <c r="Y9" s="644">
        <f t="shared" si="28"/>
        <v>0.10271206001154068</v>
      </c>
      <c r="Z9" s="668">
        <f t="shared" si="26"/>
        <v>0.1163563829787234</v>
      </c>
      <c r="AA9" s="87">
        <f t="shared" si="26"/>
        <v>0.12780421481985044</v>
      </c>
      <c r="AB9" s="644">
        <f t="shared" si="26"/>
        <v>9.3889716840536513E-2</v>
      </c>
      <c r="AC9" s="668">
        <f t="shared" si="26"/>
        <v>0.10820895522388059</v>
      </c>
      <c r="AD9" s="87">
        <f t="shared" ref="AD9:AE9" si="29">-AD8/AD4</f>
        <v>0.12749517063747584</v>
      </c>
      <c r="AE9" s="644">
        <f t="shared" si="29"/>
        <v>8.8353413654618476E-2</v>
      </c>
      <c r="AF9" s="668">
        <f t="shared" si="26"/>
        <v>0.10550070521861778</v>
      </c>
      <c r="AG9" s="87">
        <f t="shared" si="26"/>
        <v>0.12191103789126853</v>
      </c>
      <c r="AH9" s="644">
        <f t="shared" si="26"/>
        <v>0.1203155818540434</v>
      </c>
      <c r="AI9" s="668">
        <f t="shared" si="26"/>
        <v>0.12102376599634369</v>
      </c>
      <c r="AJ9" s="87">
        <f t="shared" ref="AJ9:AK9" si="30">-AJ8/AJ4</f>
        <v>0.16088060965283657</v>
      </c>
      <c r="AK9" s="644">
        <f t="shared" si="30"/>
        <v>0.12308673469387756</v>
      </c>
      <c r="AL9" s="668">
        <f t="shared" si="26"/>
        <v>0.1393233903237541</v>
      </c>
      <c r="AM9" s="87">
        <f t="shared" si="26"/>
        <v>0.1487964989059081</v>
      </c>
      <c r="AN9" s="644">
        <f t="shared" si="26"/>
        <v>0.11993927125506072</v>
      </c>
      <c r="AO9" s="668">
        <f t="shared" si="26"/>
        <v>0.13175978488198387</v>
      </c>
      <c r="AP9" s="87">
        <f t="shared" ref="AP9:AR9" si="31">-AP8/AP4</f>
        <v>0.13134160090191657</v>
      </c>
      <c r="AQ9" s="644">
        <f t="shared" si="31"/>
        <v>0.101640838650866</v>
      </c>
      <c r="AR9" s="668">
        <f t="shared" si="31"/>
        <v>0.11491935483870967</v>
      </c>
      <c r="AS9" s="87">
        <f t="shared" ref="AS9:AU9" si="32">-AS8/AS4</f>
        <v>0.12955906369080022</v>
      </c>
      <c r="AT9" s="644">
        <f t="shared" si="32"/>
        <v>0.10065735414954807</v>
      </c>
      <c r="AU9" s="668">
        <f t="shared" si="32"/>
        <v>0.11308826972605947</v>
      </c>
      <c r="AV9" s="87">
        <f t="shared" ref="AV9:AW9" si="33">-AV8/AV4</f>
        <v>0.12291870714985309</v>
      </c>
      <c r="AW9" s="644">
        <f t="shared" si="33"/>
        <v>9.3684210526315786E-2</v>
      </c>
      <c r="AX9" s="668">
        <f t="shared" ref="AX9:AY9" si="34">-AX8/AX4</f>
        <v>0.10588716271463613</v>
      </c>
      <c r="AY9" s="87">
        <f t="shared" si="34"/>
        <v>0.11405529953917051</v>
      </c>
      <c r="AZ9" s="603">
        <f t="shared" ref="AZ9" si="35">-AZ8/AZ4</f>
        <v>8.8699027534628633E-2</v>
      </c>
      <c r="BA9" s="585">
        <v>0.1</v>
      </c>
      <c r="BB9" s="245">
        <f>BD9</f>
        <v>0.1</v>
      </c>
      <c r="BC9" s="603">
        <f t="shared" ref="BC9" si="36">-BC8/BC4</f>
        <v>0.10000000000000002</v>
      </c>
      <c r="BD9" s="583">
        <f>BA9</f>
        <v>0.1</v>
      </c>
      <c r="BE9" s="245">
        <f>BG9</f>
        <v>0.1</v>
      </c>
      <c r="BF9" s="603">
        <f t="shared" ref="BF9" si="37">-BF8/BF4</f>
        <v>0.10000000000000003</v>
      </c>
      <c r="BG9" s="583">
        <f>BD9</f>
        <v>0.1</v>
      </c>
      <c r="BH9" s="245">
        <f>BJ9</f>
        <v>0.1</v>
      </c>
      <c r="BI9" s="603">
        <f t="shared" ref="BI9" si="38">-BI8/BI4</f>
        <v>0.10000000000000002</v>
      </c>
      <c r="BJ9" s="583">
        <f>BG9</f>
        <v>0.1</v>
      </c>
      <c r="BK9" s="245">
        <f>BM9</f>
        <v>0.1</v>
      </c>
      <c r="BL9" s="603">
        <f t="shared" ref="BL9" si="39">-BL8/BL4</f>
        <v>0.10000000000000005</v>
      </c>
      <c r="BM9" s="583">
        <f>BJ9</f>
        <v>0.1</v>
      </c>
    </row>
    <row r="10" spans="1:65">
      <c r="A10" s="25" t="s">
        <v>271</v>
      </c>
      <c r="B10" s="51"/>
      <c r="C10" s="51"/>
      <c r="D10" s="51"/>
      <c r="E10" s="51"/>
      <c r="F10" s="51"/>
      <c r="G10" s="51"/>
      <c r="H10" s="51"/>
      <c r="I10" s="51"/>
      <c r="J10" s="51"/>
      <c r="K10" s="51"/>
      <c r="L10" s="51"/>
      <c r="M10" s="51"/>
      <c r="N10" s="51"/>
      <c r="O10" s="51"/>
      <c r="P10" s="40">
        <v>-7</v>
      </c>
      <c r="Q10" s="40">
        <v>-4</v>
      </c>
      <c r="R10" s="40">
        <v>0</v>
      </c>
      <c r="S10" s="630">
        <f t="shared" ref="S10:S11" si="40">T10-R10</f>
        <v>0</v>
      </c>
      <c r="T10" s="653">
        <v>0</v>
      </c>
      <c r="U10" s="40">
        <v>0</v>
      </c>
      <c r="V10" s="630">
        <f t="shared" ref="V10:V11" si="41">W10-U10</f>
        <v>0</v>
      </c>
      <c r="W10" s="653">
        <v>0</v>
      </c>
      <c r="X10" s="40">
        <v>0</v>
      </c>
      <c r="Y10" s="630">
        <f t="shared" ref="Y10:Y11" si="42">Z10-X10</f>
        <v>-1</v>
      </c>
      <c r="Z10" s="653">
        <v>-1</v>
      </c>
      <c r="AA10" s="40">
        <v>0</v>
      </c>
      <c r="AB10" s="630">
        <f t="shared" ref="AB10:AB11" si="43">AC10-AA10</f>
        <v>-1</v>
      </c>
      <c r="AC10" s="653">
        <v>-1</v>
      </c>
      <c r="AD10" s="40">
        <v>0</v>
      </c>
      <c r="AE10" s="630">
        <f t="shared" ref="AE10:AE11" si="44">AF10-AD10</f>
        <v>0</v>
      </c>
      <c r="AF10" s="653">
        <v>0</v>
      </c>
      <c r="AG10" s="40">
        <v>0</v>
      </c>
      <c r="AH10" s="630">
        <f t="shared" ref="AH10:AH11" si="45">AI10-AG10</f>
        <v>0</v>
      </c>
      <c r="AI10" s="653">
        <v>0</v>
      </c>
      <c r="AJ10" s="40">
        <v>0</v>
      </c>
      <c r="AK10" s="630">
        <f t="shared" ref="AK10:AK11" si="46">AL10-AJ10</f>
        <v>0</v>
      </c>
      <c r="AL10" s="653">
        <v>0</v>
      </c>
      <c r="AM10" s="40">
        <v>0</v>
      </c>
      <c r="AN10" s="630">
        <f t="shared" ref="AN10:AN11" si="47">AO10-AM10</f>
        <v>0</v>
      </c>
      <c r="AO10" s="653">
        <f t="shared" ref="AO10" si="48">+AL10</f>
        <v>0</v>
      </c>
      <c r="AP10" s="40">
        <v>0</v>
      </c>
      <c r="AQ10" s="630">
        <f t="shared" ref="AQ10:AQ11" si="49">AR10-AP10</f>
        <v>0</v>
      </c>
      <c r="AR10" s="653">
        <v>0</v>
      </c>
      <c r="AS10" s="40">
        <v>0</v>
      </c>
      <c r="AT10" s="630">
        <f t="shared" ref="AT10:AT11" si="50">AU10-AS10</f>
        <v>0</v>
      </c>
      <c r="AU10" s="653">
        <v>0</v>
      </c>
      <c r="AV10" s="40">
        <v>0</v>
      </c>
      <c r="AW10" s="630">
        <f t="shared" ref="AW10:AW11" si="51">AX10-AV10</f>
        <v>0</v>
      </c>
      <c r="AX10" s="653">
        <v>0</v>
      </c>
      <c r="AY10" s="40">
        <v>0</v>
      </c>
      <c r="AZ10" s="236">
        <f>BA10-AY10</f>
        <v>0</v>
      </c>
      <c r="BA10" s="580">
        <v>0</v>
      </c>
      <c r="BB10" s="56">
        <f>BD10/2</f>
        <v>0</v>
      </c>
      <c r="BC10" s="236">
        <f>BD10-BB10</f>
        <v>0</v>
      </c>
      <c r="BD10" s="605">
        <f>+BA10</f>
        <v>0</v>
      </c>
      <c r="BE10" s="56">
        <f>BG10/2</f>
        <v>0</v>
      </c>
      <c r="BF10" s="236">
        <f>BG10-BE10</f>
        <v>0</v>
      </c>
      <c r="BG10" s="605">
        <f>+BD10</f>
        <v>0</v>
      </c>
      <c r="BH10" s="56">
        <f>BJ10/2</f>
        <v>0</v>
      </c>
      <c r="BI10" s="236">
        <f>BJ10-BH10</f>
        <v>0</v>
      </c>
      <c r="BJ10" s="605">
        <f>+BG10</f>
        <v>0</v>
      </c>
      <c r="BK10" s="56">
        <f>BM10/2</f>
        <v>0</v>
      </c>
      <c r="BL10" s="236">
        <f>BM10-BK10</f>
        <v>0</v>
      </c>
      <c r="BM10" s="605">
        <f>+BJ10</f>
        <v>0</v>
      </c>
    </row>
    <row r="11" spans="1:65">
      <c r="A11" s="25" t="s">
        <v>4</v>
      </c>
      <c r="B11" s="51"/>
      <c r="C11" s="51"/>
      <c r="D11" s="51"/>
      <c r="E11" s="51"/>
      <c r="F11" s="51"/>
      <c r="G11" s="51"/>
      <c r="H11" s="51"/>
      <c r="I11" s="51"/>
      <c r="J11" s="51"/>
      <c r="K11" s="51"/>
      <c r="L11" s="51"/>
      <c r="M11" s="51"/>
      <c r="N11" s="51"/>
      <c r="O11" s="51"/>
      <c r="P11" s="40">
        <v>-183</v>
      </c>
      <c r="Q11" s="40">
        <v>-162</v>
      </c>
      <c r="R11" s="40">
        <v>-83</v>
      </c>
      <c r="S11" s="630">
        <f t="shared" si="40"/>
        <v>-94</v>
      </c>
      <c r="T11" s="653">
        <v>-177</v>
      </c>
      <c r="U11" s="40">
        <v>-84</v>
      </c>
      <c r="V11" s="630">
        <f t="shared" si="41"/>
        <v>-93</v>
      </c>
      <c r="W11" s="653">
        <v>-177</v>
      </c>
      <c r="X11" s="40">
        <v>-84</v>
      </c>
      <c r="Y11" s="630">
        <f t="shared" si="42"/>
        <v>-97</v>
      </c>
      <c r="Z11" s="653">
        <v>-181</v>
      </c>
      <c r="AA11" s="40">
        <v>-86</v>
      </c>
      <c r="AB11" s="630">
        <f t="shared" si="43"/>
        <v>-102</v>
      </c>
      <c r="AC11" s="653">
        <v>-188</v>
      </c>
      <c r="AD11" s="40">
        <v>-94</v>
      </c>
      <c r="AE11" s="630">
        <f t="shared" si="44"/>
        <v>-82</v>
      </c>
      <c r="AF11" s="653">
        <v>-176</v>
      </c>
      <c r="AG11" s="40">
        <v>-82</v>
      </c>
      <c r="AH11" s="630">
        <f t="shared" si="45"/>
        <v>-78</v>
      </c>
      <c r="AI11" s="653">
        <v>-160</v>
      </c>
      <c r="AJ11" s="40">
        <v>-69</v>
      </c>
      <c r="AK11" s="630">
        <f t="shared" si="46"/>
        <v>-88</v>
      </c>
      <c r="AL11" s="653">
        <v>-157</v>
      </c>
      <c r="AM11" s="40">
        <v>-79</v>
      </c>
      <c r="AN11" s="630">
        <f t="shared" si="47"/>
        <v>-125</v>
      </c>
      <c r="AO11" s="653">
        <v>-204</v>
      </c>
      <c r="AP11" s="40">
        <v>-96</v>
      </c>
      <c r="AQ11" s="630">
        <f t="shared" si="49"/>
        <v>-91</v>
      </c>
      <c r="AR11" s="653">
        <v>-187</v>
      </c>
      <c r="AS11" s="40">
        <v>-83</v>
      </c>
      <c r="AT11" s="630">
        <f t="shared" si="50"/>
        <v>-82</v>
      </c>
      <c r="AU11" s="653">
        <v>-165</v>
      </c>
      <c r="AV11" s="40">
        <v>-79</v>
      </c>
      <c r="AW11" s="630">
        <f t="shared" si="51"/>
        <v>-85</v>
      </c>
      <c r="AX11" s="653">
        <v>-164</v>
      </c>
      <c r="AY11" s="40">
        <v>-84</v>
      </c>
      <c r="AZ11" s="236">
        <f>BA11-AY11</f>
        <v>-91.279780130825856</v>
      </c>
      <c r="BA11" s="605">
        <f t="shared" ref="BA11:BM11" si="52">-BA12*BA4</f>
        <v>-175.27978013082586</v>
      </c>
      <c r="BB11" s="56">
        <f>-BB12*BB4</f>
        <v>-86.060897999999995</v>
      </c>
      <c r="BC11" s="236">
        <f>BD11-BB11</f>
        <v>-106.88732608659036</v>
      </c>
      <c r="BD11" s="605">
        <f t="shared" si="52"/>
        <v>-192.94822408659036</v>
      </c>
      <c r="BE11" s="56">
        <f>-BE12*BE4</f>
        <v>-94.430023800000001</v>
      </c>
      <c r="BF11" s="236">
        <f>BG11-BE11</f>
        <v>-117.10965457235493</v>
      </c>
      <c r="BG11" s="605">
        <f t="shared" si="52"/>
        <v>-211.53967837235493</v>
      </c>
      <c r="BH11" s="56">
        <f>-BH12*BH4</f>
        <v>-102.91186439100001</v>
      </c>
      <c r="BI11" s="236">
        <f>BJ11-BH11</f>
        <v>-127.42253692096936</v>
      </c>
      <c r="BJ11" s="605">
        <f t="shared" si="52"/>
        <v>-230.33440131196937</v>
      </c>
      <c r="BK11" s="56">
        <f>-BK12*BK4</f>
        <v>-111.15190379160002</v>
      </c>
      <c r="BL11" s="236">
        <f>BM11-BK11</f>
        <v>-137.40420915054392</v>
      </c>
      <c r="BM11" s="605">
        <f t="shared" si="52"/>
        <v>-248.55611294214393</v>
      </c>
    </row>
    <row r="12" spans="1:65">
      <c r="A12" s="93" t="s">
        <v>273</v>
      </c>
      <c r="B12" s="51"/>
      <c r="C12" s="51"/>
      <c r="D12" s="51"/>
      <c r="E12" s="51"/>
      <c r="F12" s="51"/>
      <c r="G12" s="51"/>
      <c r="H12" s="51"/>
      <c r="I12" s="51"/>
      <c r="J12" s="51"/>
      <c r="K12" s="51"/>
      <c r="L12" s="51"/>
      <c r="M12" s="51"/>
      <c r="N12" s="51"/>
      <c r="O12" s="51"/>
      <c r="P12" s="58">
        <f t="shared" ref="P12:AO12" si="53">-P11/P4</f>
        <v>6.7279411764705879E-2</v>
      </c>
      <c r="Q12" s="58">
        <f t="shared" si="53"/>
        <v>6.7924528301886791E-2</v>
      </c>
      <c r="R12" s="87">
        <f t="shared" ref="R12:S12" si="54">-R11/R4</f>
        <v>7.656826568265683E-2</v>
      </c>
      <c r="S12" s="644">
        <f t="shared" si="54"/>
        <v>5.9834500318268619E-2</v>
      </c>
      <c r="T12" s="668">
        <f t="shared" si="53"/>
        <v>6.6666666666666666E-2</v>
      </c>
      <c r="U12" s="87">
        <f t="shared" si="53"/>
        <v>6.8126520681265207E-2</v>
      </c>
      <c r="V12" s="644">
        <f t="shared" si="53"/>
        <v>5.5029585798816567E-2</v>
      </c>
      <c r="W12" s="668">
        <f t="shared" si="53"/>
        <v>6.0554225111187139E-2</v>
      </c>
      <c r="X12" s="87">
        <f t="shared" ref="X12:Y12" si="55">-X11/X4</f>
        <v>6.5882352941176475E-2</v>
      </c>
      <c r="Y12" s="644">
        <f t="shared" si="55"/>
        <v>5.5972302365839582E-2</v>
      </c>
      <c r="Z12" s="668">
        <f t="shared" si="53"/>
        <v>6.017287234042553E-2</v>
      </c>
      <c r="AA12" s="87">
        <f t="shared" si="53"/>
        <v>5.8463630183548609E-2</v>
      </c>
      <c r="AB12" s="644">
        <f t="shared" si="53"/>
        <v>5.0670640834575259E-2</v>
      </c>
      <c r="AC12" s="668">
        <f t="shared" si="53"/>
        <v>5.3960964408725602E-2</v>
      </c>
      <c r="AD12" s="87">
        <f t="shared" ref="AD12:AE12" si="56">-AD11/AD4</f>
        <v>6.0528010302640052E-2</v>
      </c>
      <c r="AE12" s="644">
        <f t="shared" si="56"/>
        <v>4.1164658634538151E-2</v>
      </c>
      <c r="AF12" s="668">
        <f t="shared" si="53"/>
        <v>4.9647390691114249E-2</v>
      </c>
      <c r="AG12" s="87">
        <f t="shared" si="53"/>
        <v>6.7545304777594725E-2</v>
      </c>
      <c r="AH12" s="644">
        <f t="shared" si="53"/>
        <v>5.128205128205128E-2</v>
      </c>
      <c r="AI12" s="668">
        <f t="shared" si="53"/>
        <v>5.850091407678245E-2</v>
      </c>
      <c r="AJ12" s="87">
        <f t="shared" ref="AJ12:AK12" si="57">-AJ11/AJ4</f>
        <v>5.8425063505503812E-2</v>
      </c>
      <c r="AK12" s="644">
        <f t="shared" si="57"/>
        <v>5.6122448979591837E-2</v>
      </c>
      <c r="AL12" s="668">
        <f t="shared" si="53"/>
        <v>5.7111676973444887E-2</v>
      </c>
      <c r="AM12" s="87">
        <f t="shared" si="53"/>
        <v>5.7622173595915392E-2</v>
      </c>
      <c r="AN12" s="644">
        <f t="shared" si="53"/>
        <v>6.3259109311740891E-2</v>
      </c>
      <c r="AO12" s="668">
        <f t="shared" si="53"/>
        <v>6.0950104571257845E-2</v>
      </c>
      <c r="AP12" s="87">
        <f t="shared" ref="AP12:AR12" si="58">-AP11/AP4</f>
        <v>5.4114994363021418E-2</v>
      </c>
      <c r="AQ12" s="644">
        <f t="shared" si="58"/>
        <v>4.1476754785779398E-2</v>
      </c>
      <c r="AR12" s="668">
        <f t="shared" si="58"/>
        <v>4.7127016129032258E-2</v>
      </c>
      <c r="AS12" s="87">
        <f t="shared" ref="AS12:AU12" si="59">-AS11/AS4</f>
        <v>4.5182362547632006E-2</v>
      </c>
      <c r="AT12" s="644">
        <f t="shared" si="59"/>
        <v>3.3689400164338537E-2</v>
      </c>
      <c r="AU12" s="668">
        <f t="shared" si="59"/>
        <v>3.8632638726293606E-2</v>
      </c>
      <c r="AV12" s="87">
        <f t="shared" ref="AV12:AW12" si="60">-AV11/AV4</f>
        <v>3.868756121449559E-2</v>
      </c>
      <c r="AW12" s="644">
        <f t="shared" si="60"/>
        <v>2.9824561403508771E-2</v>
      </c>
      <c r="AX12" s="668">
        <f t="shared" ref="AX12:AY12" si="61">-AX11/AX4</f>
        <v>3.3524121013900246E-2</v>
      </c>
      <c r="AY12" s="87">
        <f t="shared" si="61"/>
        <v>3.2258064516129031E-2</v>
      </c>
      <c r="AZ12" s="603">
        <f t="shared" ref="AZ12" si="62">-AZ11/AZ4</f>
        <v>2.8184433931792791E-2</v>
      </c>
      <c r="BA12" s="585">
        <v>0.03</v>
      </c>
      <c r="BB12" s="245">
        <f>BD12</f>
        <v>2.75E-2</v>
      </c>
      <c r="BC12" s="603">
        <f t="shared" ref="BC12" si="63">-BC11/BC4</f>
        <v>2.75E-2</v>
      </c>
      <c r="BD12" s="585">
        <v>2.75E-2</v>
      </c>
      <c r="BE12" s="245">
        <f>BG12</f>
        <v>2.5000000000000001E-2</v>
      </c>
      <c r="BF12" s="603">
        <f t="shared" ref="BF12" si="64">-BF11/BF4</f>
        <v>2.5000000000000008E-2</v>
      </c>
      <c r="BG12" s="585">
        <v>2.5000000000000001E-2</v>
      </c>
      <c r="BH12" s="245">
        <f>BJ12</f>
        <v>2.2499999999999999E-2</v>
      </c>
      <c r="BI12" s="603">
        <f t="shared" ref="BI12" si="65">-BI11/BI4</f>
        <v>2.2500000000000003E-2</v>
      </c>
      <c r="BJ12" s="585">
        <v>2.2499999999999999E-2</v>
      </c>
      <c r="BK12" s="245">
        <f>BM12</f>
        <v>0.02</v>
      </c>
      <c r="BL12" s="603">
        <f t="shared" ref="BL12" si="66">-BL11/BL4</f>
        <v>2.0000000000000004E-2</v>
      </c>
      <c r="BM12" s="585">
        <v>0.02</v>
      </c>
    </row>
    <row r="13" spans="1:65">
      <c r="A13" s="25" t="s">
        <v>272</v>
      </c>
      <c r="B13" s="51"/>
      <c r="C13" s="51"/>
      <c r="D13" s="51"/>
      <c r="E13" s="51"/>
      <c r="F13" s="51"/>
      <c r="G13" s="51"/>
      <c r="H13" s="51"/>
      <c r="I13" s="51"/>
      <c r="J13" s="51"/>
      <c r="K13" s="51"/>
      <c r="L13" s="51"/>
      <c r="M13" s="51"/>
      <c r="N13" s="51"/>
      <c r="O13" s="51"/>
      <c r="P13" s="40">
        <v>-3</v>
      </c>
      <c r="Q13" s="40">
        <v>0</v>
      </c>
      <c r="R13" s="40">
        <v>0</v>
      </c>
      <c r="S13" s="630">
        <f>T13-R13</f>
        <v>1</v>
      </c>
      <c r="T13" s="653">
        <v>1</v>
      </c>
      <c r="U13" s="40">
        <v>-1</v>
      </c>
      <c r="V13" s="630">
        <f>W13-U13</f>
        <v>-3</v>
      </c>
      <c r="W13" s="653">
        <v>-4</v>
      </c>
      <c r="X13" s="40">
        <v>-1</v>
      </c>
      <c r="Y13" s="630">
        <f>Z13-X13</f>
        <v>-3</v>
      </c>
      <c r="Z13" s="653">
        <v>-4</v>
      </c>
      <c r="AA13" s="40">
        <v>0</v>
      </c>
      <c r="AB13" s="630">
        <f>AC13-AA13</f>
        <v>1</v>
      </c>
      <c r="AC13" s="653">
        <v>1</v>
      </c>
      <c r="AD13" s="40">
        <v>-1</v>
      </c>
      <c r="AE13" s="630">
        <f>AF13-AD13</f>
        <v>-1</v>
      </c>
      <c r="AF13" s="653">
        <v>-2</v>
      </c>
      <c r="AG13" s="40">
        <v>0</v>
      </c>
      <c r="AH13" s="630">
        <f>AI13-AG13</f>
        <v>1</v>
      </c>
      <c r="AI13" s="653">
        <v>1</v>
      </c>
      <c r="AJ13" s="40">
        <v>-1</v>
      </c>
      <c r="AK13" s="630">
        <f>AL13-AJ13</f>
        <v>5</v>
      </c>
      <c r="AL13" s="653">
        <v>4</v>
      </c>
      <c r="AM13" s="40">
        <v>1</v>
      </c>
      <c r="AN13" s="630">
        <f>AO13-AM13</f>
        <v>7</v>
      </c>
      <c r="AO13" s="653">
        <v>8</v>
      </c>
      <c r="AP13" s="40">
        <v>2</v>
      </c>
      <c r="AQ13" s="630">
        <f>AR13-AP13</f>
        <v>4</v>
      </c>
      <c r="AR13" s="653">
        <v>6</v>
      </c>
      <c r="AS13" s="40">
        <v>3</v>
      </c>
      <c r="AT13" s="630">
        <f>AU13-AS13</f>
        <v>6</v>
      </c>
      <c r="AU13" s="653">
        <v>9</v>
      </c>
      <c r="AV13" s="40">
        <v>8</v>
      </c>
      <c r="AW13" s="630">
        <f>AX13-AV13</f>
        <v>4</v>
      </c>
      <c r="AX13" s="653">
        <v>12</v>
      </c>
      <c r="AY13" s="40">
        <v>8</v>
      </c>
      <c r="AZ13" s="236">
        <f>BA13-AY13</f>
        <v>4</v>
      </c>
      <c r="BA13" s="580">
        <v>12</v>
      </c>
      <c r="BB13" s="56">
        <f>BD13/2</f>
        <v>6</v>
      </c>
      <c r="BC13" s="236">
        <f>BD13-BB13</f>
        <v>6</v>
      </c>
      <c r="BD13" s="605">
        <f>BA13</f>
        <v>12</v>
      </c>
      <c r="BE13" s="56">
        <f>BG13/2</f>
        <v>6</v>
      </c>
      <c r="BF13" s="236">
        <f>BG13-BE13</f>
        <v>6</v>
      </c>
      <c r="BG13" s="605">
        <f>BD13</f>
        <v>12</v>
      </c>
      <c r="BH13" s="56">
        <f>BJ13/2</f>
        <v>6</v>
      </c>
      <c r="BI13" s="236">
        <f>BJ13-BH13</f>
        <v>6</v>
      </c>
      <c r="BJ13" s="605">
        <f>BG13</f>
        <v>12</v>
      </c>
      <c r="BK13" s="56">
        <f>BM13/2</f>
        <v>6</v>
      </c>
      <c r="BL13" s="236">
        <f>BM13-BK13</f>
        <v>6</v>
      </c>
      <c r="BM13" s="605">
        <f t="shared" ref="BM13" si="67">BJ13</f>
        <v>12</v>
      </c>
    </row>
    <row r="14" spans="1:65">
      <c r="A14" s="37" t="s">
        <v>399</v>
      </c>
      <c r="B14" s="84">
        <f>Divisional!B57</f>
        <v>0</v>
      </c>
      <c r="C14" s="84">
        <f>Divisional!C57</f>
        <v>0</v>
      </c>
      <c r="D14" s="84">
        <f>Divisional!D57</f>
        <v>0</v>
      </c>
      <c r="E14" s="84">
        <f>Divisional!E57</f>
        <v>0</v>
      </c>
      <c r="F14" s="84">
        <f>Divisional!F57</f>
        <v>0</v>
      </c>
      <c r="G14" s="84">
        <f>Divisional!G57</f>
        <v>0</v>
      </c>
      <c r="H14" s="84">
        <f>Divisional!H57</f>
        <v>0</v>
      </c>
      <c r="I14" s="84">
        <f>Divisional!I57</f>
        <v>0</v>
      </c>
      <c r="J14" s="84">
        <f>Divisional!J57</f>
        <v>0</v>
      </c>
      <c r="K14" s="84">
        <f>Divisional!K57</f>
        <v>0</v>
      </c>
      <c r="L14" s="84">
        <f>Divisional!L57</f>
        <v>0</v>
      </c>
      <c r="M14" s="84">
        <f>Divisional!M57</f>
        <v>80</v>
      </c>
      <c r="N14" s="84">
        <f>Divisional!N57</f>
        <v>109</v>
      </c>
      <c r="O14" s="84">
        <f>Divisional!O57</f>
        <v>294</v>
      </c>
      <c r="P14" s="84">
        <f>P6+P8+P10+P11+P13</f>
        <v>253</v>
      </c>
      <c r="Q14" s="84">
        <f>Q6+Q8+Q10+Q11+Q13</f>
        <v>194</v>
      </c>
      <c r="R14" s="84">
        <f t="shared" ref="R14:S14" si="68">R6+R8+R10+R11+R13</f>
        <v>13</v>
      </c>
      <c r="S14" s="632">
        <f t="shared" si="68"/>
        <v>178</v>
      </c>
      <c r="T14" s="655">
        <f>T6+T8+T10+T11+T13</f>
        <v>191</v>
      </c>
      <c r="U14" s="84">
        <f t="shared" ref="U14:V14" si="69">U6+U8+U10+U11+U13</f>
        <v>66</v>
      </c>
      <c r="V14" s="632">
        <f t="shared" si="69"/>
        <v>264</v>
      </c>
      <c r="W14" s="655">
        <f t="shared" ref="W14:BM14" si="70">W6+W8+W10+W11+W13</f>
        <v>330</v>
      </c>
      <c r="X14" s="84">
        <f t="shared" ref="X14:Y14" si="71">X6+X8+X10+X11+X13</f>
        <v>26</v>
      </c>
      <c r="Y14" s="632">
        <f t="shared" si="71"/>
        <v>235</v>
      </c>
      <c r="Z14" s="655">
        <f t="shared" si="70"/>
        <v>261</v>
      </c>
      <c r="AA14" s="84">
        <f t="shared" si="70"/>
        <v>80</v>
      </c>
      <c r="AB14" s="632">
        <f t="shared" si="70"/>
        <v>237</v>
      </c>
      <c r="AC14" s="655">
        <f>AC6+AC8+AC10+AC11+AC13</f>
        <v>317</v>
      </c>
      <c r="AD14" s="84">
        <f t="shared" ref="AD14:AE14" si="72">AD6+AD8+AD10+AD11+AD13</f>
        <v>96</v>
      </c>
      <c r="AE14" s="632">
        <f t="shared" si="72"/>
        <v>261</v>
      </c>
      <c r="AF14" s="655">
        <f>AF6+AF8+AF10+AF11+AF13</f>
        <v>357</v>
      </c>
      <c r="AG14" s="84">
        <f t="shared" ref="AG14:AH14" si="73">AG6+AG8+AG10+AG11+AG13</f>
        <v>33</v>
      </c>
      <c r="AH14" s="632">
        <f t="shared" si="73"/>
        <v>155</v>
      </c>
      <c r="AI14" s="655">
        <f>AI6+AI8+AI10+AI11+AI13</f>
        <v>188</v>
      </c>
      <c r="AJ14" s="84">
        <f t="shared" ref="AJ14:AK14" si="74">AJ6+AJ8+AJ10+AJ11+AJ13</f>
        <v>41</v>
      </c>
      <c r="AK14" s="632">
        <f t="shared" si="74"/>
        <v>201</v>
      </c>
      <c r="AL14" s="655">
        <f t="shared" si="70"/>
        <v>242</v>
      </c>
      <c r="AM14" s="84">
        <f t="shared" si="70"/>
        <v>119</v>
      </c>
      <c r="AN14" s="632">
        <f t="shared" ref="AN14" si="75">AN6+AN8+AN10+AN11+AN13</f>
        <v>162</v>
      </c>
      <c r="AO14" s="655">
        <f t="shared" si="70"/>
        <v>281</v>
      </c>
      <c r="AP14" s="84">
        <f t="shared" ref="AP14:AR14" si="76">AP6+AP8+AP10+AP11+AP13</f>
        <v>125</v>
      </c>
      <c r="AQ14" s="632">
        <f t="shared" si="76"/>
        <v>288</v>
      </c>
      <c r="AR14" s="655">
        <f t="shared" si="76"/>
        <v>413</v>
      </c>
      <c r="AS14" s="84">
        <f t="shared" ref="AS14:AU14" si="77">AS6+AS8+AS10+AS11+AS13</f>
        <v>189</v>
      </c>
      <c r="AT14" s="632">
        <f t="shared" si="77"/>
        <v>371</v>
      </c>
      <c r="AU14" s="655">
        <f t="shared" si="77"/>
        <v>560</v>
      </c>
      <c r="AV14" s="84">
        <f t="shared" ref="AV14:AW14" si="78">AV6+AV8+AV10+AV11+AV13</f>
        <v>313</v>
      </c>
      <c r="AW14" s="632">
        <f t="shared" si="78"/>
        <v>539</v>
      </c>
      <c r="AX14" s="655">
        <f t="shared" si="70"/>
        <v>852</v>
      </c>
      <c r="AY14" s="84">
        <f t="shared" si="70"/>
        <v>528</v>
      </c>
      <c r="AZ14" s="244">
        <f t="shared" si="70"/>
        <v>710.95846091578107</v>
      </c>
      <c r="BA14" s="581">
        <f t="shared" si="70"/>
        <v>1238.9584609157812</v>
      </c>
      <c r="BB14" s="181">
        <f t="shared" si="70"/>
        <v>686.66346599999986</v>
      </c>
      <c r="BC14" s="244">
        <f t="shared" si="70"/>
        <v>851.38157904848708</v>
      </c>
      <c r="BD14" s="581">
        <f t="shared" si="70"/>
        <v>1538.0450450484868</v>
      </c>
      <c r="BE14" s="181">
        <f t="shared" si="70"/>
        <v>855.87021419999985</v>
      </c>
      <c r="BF14" s="244">
        <f t="shared" si="70"/>
        <v>1059.986891151194</v>
      </c>
      <c r="BG14" s="581">
        <f t="shared" si="70"/>
        <v>1915.8571053511937</v>
      </c>
      <c r="BH14" s="181">
        <f t="shared" si="70"/>
        <v>1069.4225987069999</v>
      </c>
      <c r="BI14" s="244">
        <f t="shared" si="70"/>
        <v>1322.6995481833499</v>
      </c>
      <c r="BJ14" s="581">
        <f t="shared" si="70"/>
        <v>2392.1221468903495</v>
      </c>
      <c r="BK14" s="181">
        <f t="shared" si="70"/>
        <v>1339.8228454992</v>
      </c>
      <c r="BL14" s="244">
        <f t="shared" si="70"/>
        <v>1654.8505098065266</v>
      </c>
      <c r="BM14" s="581">
        <f t="shared" si="70"/>
        <v>2994.6733553057265</v>
      </c>
    </row>
    <row r="15" spans="1:65">
      <c r="A15" s="67" t="s">
        <v>242</v>
      </c>
      <c r="B15" s="268" t="s">
        <v>248</v>
      </c>
      <c r="C15" s="268" t="s">
        <v>248</v>
      </c>
      <c r="D15" s="268" t="s">
        <v>248</v>
      </c>
      <c r="E15" s="268" t="s">
        <v>248</v>
      </c>
      <c r="F15" s="268" t="s">
        <v>248</v>
      </c>
      <c r="G15" s="268" t="s">
        <v>248</v>
      </c>
      <c r="H15" s="268" t="s">
        <v>248</v>
      </c>
      <c r="I15" s="268" t="s">
        <v>248</v>
      </c>
      <c r="J15" s="268" t="s">
        <v>248</v>
      </c>
      <c r="K15" s="268" t="s">
        <v>248</v>
      </c>
      <c r="L15" s="268" t="s">
        <v>248</v>
      </c>
      <c r="M15" s="268" t="s">
        <v>248</v>
      </c>
      <c r="N15" s="268" t="s">
        <v>248</v>
      </c>
      <c r="O15" s="132">
        <f>O14/O4</f>
        <v>0.10385022960084776</v>
      </c>
      <c r="P15" s="132">
        <f>P14/P4</f>
        <v>9.3014705882352944E-2</v>
      </c>
      <c r="Q15" s="132">
        <f>Q14/Q4</f>
        <v>8.1341719077568139E-2</v>
      </c>
      <c r="R15" s="345">
        <f t="shared" ref="R15:S15" si="79">R14/R4</f>
        <v>1.1992619926199263E-2</v>
      </c>
      <c r="S15" s="646">
        <f t="shared" si="79"/>
        <v>0.11330362826225335</v>
      </c>
      <c r="T15" s="670">
        <f>T14/T4</f>
        <v>7.1939736346516014E-2</v>
      </c>
      <c r="U15" s="345">
        <f t="shared" ref="U15:BM15" si="80">U14/U4</f>
        <v>5.3527980535279802E-2</v>
      </c>
      <c r="V15" s="646">
        <f t="shared" si="80"/>
        <v>0.15621301775147928</v>
      </c>
      <c r="W15" s="670">
        <f t="shared" si="80"/>
        <v>0.11289770783441669</v>
      </c>
      <c r="X15" s="345">
        <f t="shared" si="80"/>
        <v>2.0392156862745099E-2</v>
      </c>
      <c r="Y15" s="646">
        <f t="shared" si="80"/>
        <v>0.13560300057703403</v>
      </c>
      <c r="Z15" s="670">
        <f t="shared" si="80"/>
        <v>8.6768617021276598E-2</v>
      </c>
      <c r="AA15" s="345">
        <f t="shared" ref="AA15:AB15" si="81">AA14/AA4</f>
        <v>5.4384772263766146E-2</v>
      </c>
      <c r="AB15" s="646">
        <f t="shared" si="81"/>
        <v>0.11773472429210134</v>
      </c>
      <c r="AC15" s="670">
        <f t="shared" si="80"/>
        <v>9.0987370838117101E-2</v>
      </c>
      <c r="AD15" s="345">
        <f t="shared" si="80"/>
        <v>6.1815840309079204E-2</v>
      </c>
      <c r="AE15" s="646">
        <f t="shared" si="80"/>
        <v>0.13102409638554216</v>
      </c>
      <c r="AF15" s="670">
        <f t="shared" si="80"/>
        <v>0.10070521861777151</v>
      </c>
      <c r="AG15" s="345">
        <f t="shared" ref="AG15:AH15" si="82">AG14/AG4</f>
        <v>2.7182866556836903E-2</v>
      </c>
      <c r="AH15" s="646">
        <f t="shared" si="82"/>
        <v>0.10190664036817883</v>
      </c>
      <c r="AI15" s="670">
        <f t="shared" si="80"/>
        <v>6.873857404021938E-2</v>
      </c>
      <c r="AJ15" s="345">
        <f t="shared" si="80"/>
        <v>3.4716342082980522E-2</v>
      </c>
      <c r="AK15" s="646">
        <f t="shared" si="80"/>
        <v>0.12818877551020408</v>
      </c>
      <c r="AL15" s="670">
        <f t="shared" si="80"/>
        <v>8.8032011640596583E-2</v>
      </c>
      <c r="AM15" s="345">
        <f t="shared" ref="AM15:AN15" si="83">AM14/AM4</f>
        <v>8.6797957695113059E-2</v>
      </c>
      <c r="AN15" s="646">
        <f t="shared" si="83"/>
        <v>8.1983805668016191E-2</v>
      </c>
      <c r="AO15" s="670">
        <f t="shared" si="80"/>
        <v>8.3955781296683601E-2</v>
      </c>
      <c r="AP15" s="345">
        <f t="shared" si="80"/>
        <v>7.046223224351747E-2</v>
      </c>
      <c r="AQ15" s="646">
        <f t="shared" si="80"/>
        <v>0.13126709206927986</v>
      </c>
      <c r="AR15" s="670">
        <f t="shared" ref="AR15:AT15" si="84">AR14/AR4</f>
        <v>0.10408266129032258</v>
      </c>
      <c r="AS15" s="345">
        <f t="shared" si="84"/>
        <v>0.10288513881328253</v>
      </c>
      <c r="AT15" s="646">
        <f t="shared" si="84"/>
        <v>0.15242399342645852</v>
      </c>
      <c r="AU15" s="670">
        <f t="shared" ref="AU15:AW15" si="85">AU14/AU4</f>
        <v>0.1311168344649965</v>
      </c>
      <c r="AV15" s="345">
        <f t="shared" si="85"/>
        <v>0.15328109696376102</v>
      </c>
      <c r="AW15" s="646">
        <f t="shared" si="85"/>
        <v>0.18912280701754386</v>
      </c>
      <c r="AX15" s="670">
        <f t="shared" si="80"/>
        <v>0.17416189697465248</v>
      </c>
      <c r="AY15" s="345">
        <f t="shared" si="80"/>
        <v>0.20276497695852536</v>
      </c>
      <c r="AZ15" s="482">
        <f t="shared" si="80"/>
        <v>0.21952245876590309</v>
      </c>
      <c r="BA15" s="582">
        <f t="shared" si="80"/>
        <v>0.2120538592627815</v>
      </c>
      <c r="BB15" s="205">
        <f t="shared" si="80"/>
        <v>0.21941724701733881</v>
      </c>
      <c r="BC15" s="482">
        <f t="shared" si="80"/>
        <v>0.21904368161353688</v>
      </c>
      <c r="BD15" s="582">
        <f t="shared" si="80"/>
        <v>0.21921030338093131</v>
      </c>
      <c r="BE15" s="205">
        <f t="shared" si="80"/>
        <v>0.22658847783749048</v>
      </c>
      <c r="BF15" s="482">
        <f t="shared" si="80"/>
        <v>0.22628085084485774</v>
      </c>
      <c r="BG15" s="582">
        <f t="shared" si="80"/>
        <v>0.22641817366041336</v>
      </c>
      <c r="BH15" s="205">
        <f t="shared" si="80"/>
        <v>0.23381180210171959</v>
      </c>
      <c r="BI15" s="482">
        <f t="shared" si="80"/>
        <v>0.23355946721248949</v>
      </c>
      <c r="BJ15" s="582">
        <f t="shared" si="80"/>
        <v>0.23367220874720443</v>
      </c>
      <c r="BK15" s="205">
        <f t="shared" si="80"/>
        <v>0.24107960364066264</v>
      </c>
      <c r="BL15" s="482">
        <f t="shared" si="80"/>
        <v>0.24087333569140174</v>
      </c>
      <c r="BM15" s="582">
        <f t="shared" si="80"/>
        <v>0.24096557673500413</v>
      </c>
    </row>
    <row r="16" spans="1:65">
      <c r="B16" s="40"/>
      <c r="C16" s="40"/>
      <c r="D16" s="40"/>
      <c r="E16" s="40"/>
      <c r="F16" s="40"/>
      <c r="G16" s="40"/>
      <c r="H16" s="40"/>
      <c r="I16" s="40"/>
      <c r="J16" s="40"/>
      <c r="K16" s="40"/>
      <c r="L16" s="40"/>
      <c r="M16" s="40"/>
      <c r="N16" s="40"/>
      <c r="O16" s="40"/>
      <c r="P16" s="40"/>
      <c r="Q16" s="40"/>
      <c r="R16" s="40"/>
      <c r="S16" s="630"/>
      <c r="T16" s="653"/>
      <c r="U16" s="40"/>
      <c r="V16" s="630"/>
      <c r="W16" s="653"/>
      <c r="X16" s="40"/>
      <c r="Y16" s="630"/>
      <c r="Z16" s="653"/>
      <c r="AA16" s="40"/>
      <c r="AB16" s="630"/>
      <c r="AC16" s="653"/>
      <c r="AD16" s="40"/>
      <c r="AE16" s="630"/>
      <c r="AF16" s="653"/>
      <c r="AG16" s="40"/>
      <c r="AH16" s="630"/>
      <c r="AI16" s="653"/>
      <c r="AJ16" s="40"/>
      <c r="AK16" s="630"/>
      <c r="AL16" s="653"/>
      <c r="AM16" s="40"/>
      <c r="AN16" s="630"/>
      <c r="AO16" s="653"/>
      <c r="AP16" s="40"/>
      <c r="AQ16" s="539"/>
      <c r="AR16" s="550"/>
      <c r="AS16"/>
      <c r="AT16" s="539"/>
      <c r="AU16" s="550"/>
      <c r="AV16"/>
      <c r="AW16" s="539"/>
      <c r="AX16" s="550"/>
      <c r="AY16"/>
      <c r="AZ16" s="539"/>
      <c r="BA16" s="550"/>
      <c r="BB16"/>
      <c r="BC16" s="539"/>
      <c r="BD16" s="550"/>
      <c r="BE16"/>
      <c r="BF16" s="539"/>
      <c r="BG16" s="550"/>
      <c r="BH16"/>
      <c r="BI16" s="539"/>
      <c r="BJ16" s="550"/>
      <c r="BK16"/>
      <c r="BL16" s="539"/>
      <c r="BM16" s="550"/>
    </row>
    <row r="17" spans="1:65" s="31" customFormat="1">
      <c r="A17" s="2" t="s">
        <v>182</v>
      </c>
      <c r="B17" s="27"/>
      <c r="C17" s="27"/>
      <c r="D17" s="27"/>
      <c r="E17" s="27"/>
      <c r="F17" s="27"/>
      <c r="G17" s="27"/>
      <c r="H17" s="27"/>
      <c r="I17" s="27"/>
      <c r="J17" s="27"/>
      <c r="K17" s="27"/>
      <c r="L17" s="27"/>
      <c r="M17" s="27"/>
      <c r="N17" s="27"/>
      <c r="O17" s="27"/>
      <c r="P17" s="27"/>
      <c r="Q17" s="27"/>
      <c r="R17" s="27"/>
      <c r="S17" s="218"/>
      <c r="T17" s="553"/>
      <c r="U17" s="27"/>
      <c r="V17" s="218"/>
      <c r="W17" s="553"/>
      <c r="X17" s="27"/>
      <c r="Y17" s="218"/>
      <c r="Z17" s="553"/>
      <c r="AA17" s="27"/>
      <c r="AB17" s="218"/>
      <c r="AC17" s="553"/>
      <c r="AD17" s="27"/>
      <c r="AE17" s="218"/>
      <c r="AF17" s="553"/>
      <c r="AG17" s="27"/>
      <c r="AH17" s="218"/>
      <c r="AI17" s="553"/>
      <c r="AJ17" s="27">
        <v>71</v>
      </c>
      <c r="AK17" s="218">
        <f>AL17-AJ17</f>
        <v>148</v>
      </c>
      <c r="AL17" s="553">
        <v>219</v>
      </c>
      <c r="AM17" s="27">
        <v>-76</v>
      </c>
      <c r="AN17" s="218">
        <f>AO17-AM17</f>
        <v>234</v>
      </c>
      <c r="AO17" s="553">
        <v>158</v>
      </c>
      <c r="AP17" s="27">
        <v>22</v>
      </c>
      <c r="AQ17" s="218">
        <f>AR17-AP17</f>
        <v>439</v>
      </c>
      <c r="AR17" s="553">
        <v>461</v>
      </c>
      <c r="AS17" s="27">
        <v>121</v>
      </c>
      <c r="AT17" s="218">
        <f>AU17-AS17</f>
        <v>331</v>
      </c>
      <c r="AU17" s="553">
        <v>452</v>
      </c>
      <c r="AV17" s="27">
        <v>425</v>
      </c>
      <c r="AW17" s="218">
        <f>AX17-AV17</f>
        <v>233</v>
      </c>
      <c r="AX17" s="553">
        <v>658</v>
      </c>
      <c r="AY17" s="27">
        <v>507</v>
      </c>
      <c r="AZ17" s="541"/>
      <c r="BA17" s="578"/>
      <c r="BB17" s="2"/>
      <c r="BC17" s="541"/>
      <c r="BD17" s="578"/>
      <c r="BE17" s="2"/>
      <c r="BF17" s="541"/>
      <c r="BG17" s="578"/>
      <c r="BH17" s="2"/>
      <c r="BI17" s="541"/>
      <c r="BJ17" s="578"/>
      <c r="BK17" s="2"/>
      <c r="BL17" s="541"/>
      <c r="BM17" s="578"/>
    </row>
    <row r="18" spans="1:65" s="53" customFormat="1">
      <c r="A18" s="258" t="s">
        <v>700</v>
      </c>
      <c r="B18" s="261"/>
      <c r="C18" s="261"/>
      <c r="D18" s="261"/>
      <c r="E18" s="261"/>
      <c r="F18" s="261"/>
      <c r="G18" s="261"/>
      <c r="H18" s="261"/>
      <c r="I18" s="261"/>
      <c r="J18" s="261"/>
      <c r="K18" s="261"/>
      <c r="L18" s="261"/>
      <c r="M18" s="261"/>
      <c r="N18" s="261"/>
      <c r="O18" s="261"/>
      <c r="P18" s="261"/>
      <c r="Q18" s="261"/>
      <c r="R18" s="261"/>
      <c r="S18" s="734"/>
      <c r="T18" s="738"/>
      <c r="U18" s="261"/>
      <c r="V18" s="734"/>
      <c r="W18" s="738"/>
      <c r="X18" s="261"/>
      <c r="Y18" s="734"/>
      <c r="Z18" s="738"/>
      <c r="AA18" s="261"/>
      <c r="AB18" s="734"/>
      <c r="AC18" s="738"/>
      <c r="AD18" s="261"/>
      <c r="AE18" s="734"/>
      <c r="AF18" s="738"/>
      <c r="AG18" s="261"/>
      <c r="AH18" s="734"/>
      <c r="AI18" s="738"/>
      <c r="AJ18" s="261"/>
      <c r="AK18" s="734"/>
      <c r="AL18" s="738"/>
      <c r="AM18" s="261">
        <f t="shared" ref="AM18:AS18" si="86">AM17/AJ17-1</f>
        <v>-2.0704225352112675</v>
      </c>
      <c r="AN18" s="734">
        <f t="shared" si="86"/>
        <v>0.58108108108108114</v>
      </c>
      <c r="AO18" s="738">
        <f t="shared" si="86"/>
        <v>-0.27853881278538817</v>
      </c>
      <c r="AP18" s="261">
        <f t="shared" si="86"/>
        <v>-1.2894736842105263</v>
      </c>
      <c r="AQ18" s="734">
        <f t="shared" si="86"/>
        <v>0.87606837606837606</v>
      </c>
      <c r="AR18" s="738">
        <f t="shared" si="86"/>
        <v>1.9177215189873418</v>
      </c>
      <c r="AS18" s="261">
        <f t="shared" si="86"/>
        <v>4.5</v>
      </c>
      <c r="AT18" s="734">
        <f t="shared" ref="AT18" si="87">AT17/AQ17-1</f>
        <v>-0.24601366742596809</v>
      </c>
      <c r="AU18" s="738">
        <f t="shared" ref="AU18:AY18" si="88">AU17/AR17-1</f>
        <v>-1.9522776572668099E-2</v>
      </c>
      <c r="AV18" s="261">
        <f t="shared" si="88"/>
        <v>2.5123966942148761</v>
      </c>
      <c r="AW18" s="734">
        <f t="shared" si="88"/>
        <v>-0.29607250755287007</v>
      </c>
      <c r="AX18" s="738">
        <f t="shared" si="88"/>
        <v>0.45575221238938046</v>
      </c>
      <c r="AY18" s="261">
        <f t="shared" si="88"/>
        <v>0.19294117647058817</v>
      </c>
      <c r="AZ18" s="819"/>
      <c r="BA18" s="852"/>
      <c r="BB18" s="257"/>
      <c r="BC18" s="819"/>
      <c r="BD18" s="852"/>
      <c r="BE18" s="257"/>
      <c r="BF18" s="819"/>
      <c r="BG18" s="852"/>
      <c r="BH18" s="257"/>
      <c r="BI18" s="819"/>
      <c r="BJ18" s="852"/>
      <c r="BK18" s="257"/>
      <c r="BL18" s="819"/>
      <c r="BM18" s="852"/>
    </row>
    <row r="19" spans="1:65" s="33" customFormat="1">
      <c r="A19" s="259" t="s">
        <v>834</v>
      </c>
      <c r="B19" s="262"/>
      <c r="C19" s="262"/>
      <c r="D19" s="262"/>
      <c r="E19" s="262"/>
      <c r="F19" s="262"/>
      <c r="G19" s="262"/>
      <c r="H19" s="262"/>
      <c r="I19" s="262"/>
      <c r="J19" s="262"/>
      <c r="K19" s="262"/>
      <c r="L19" s="262"/>
      <c r="M19" s="262"/>
      <c r="N19" s="262"/>
      <c r="O19" s="262"/>
      <c r="P19" s="262"/>
      <c r="Q19" s="262"/>
      <c r="R19" s="262"/>
      <c r="S19" s="931"/>
      <c r="T19" s="937"/>
      <c r="U19" s="262"/>
      <c r="V19" s="931"/>
      <c r="W19" s="937"/>
      <c r="X19" s="262"/>
      <c r="Y19" s="931"/>
      <c r="Z19" s="937"/>
      <c r="AA19" s="262"/>
      <c r="AB19" s="931"/>
      <c r="AC19" s="937"/>
      <c r="AD19" s="262"/>
      <c r="AE19" s="931"/>
      <c r="AF19" s="937"/>
      <c r="AG19" s="262"/>
      <c r="AH19" s="931"/>
      <c r="AI19" s="937"/>
      <c r="AJ19" s="262">
        <f t="shared" ref="AJ19:AP19" si="89">AJ17/AJ14</f>
        <v>1.7317073170731707</v>
      </c>
      <c r="AK19" s="931">
        <f t="shared" si="89"/>
        <v>0.73631840796019898</v>
      </c>
      <c r="AL19" s="937">
        <f t="shared" si="89"/>
        <v>0.9049586776859504</v>
      </c>
      <c r="AM19" s="262">
        <f t="shared" si="89"/>
        <v>-0.6386554621848739</v>
      </c>
      <c r="AN19" s="931">
        <f t="shared" si="89"/>
        <v>1.4444444444444444</v>
      </c>
      <c r="AO19" s="937">
        <f t="shared" si="89"/>
        <v>0.56227758007117434</v>
      </c>
      <c r="AP19" s="262">
        <f t="shared" si="89"/>
        <v>0.17599999999999999</v>
      </c>
      <c r="AQ19" s="931">
        <f t="shared" ref="AQ19:AS19" si="90">AQ17/AQ14</f>
        <v>1.5243055555555556</v>
      </c>
      <c r="AR19" s="937">
        <f t="shared" si="90"/>
        <v>1.116222760290557</v>
      </c>
      <c r="AS19" s="262">
        <f t="shared" si="90"/>
        <v>0.64021164021164023</v>
      </c>
      <c r="AT19" s="931">
        <f t="shared" ref="AT19:AV19" si="91">AT17/AT14</f>
        <v>0.89218328840970351</v>
      </c>
      <c r="AU19" s="937">
        <f t="shared" si="91"/>
        <v>0.80714285714285716</v>
      </c>
      <c r="AV19" s="262">
        <f t="shared" si="91"/>
        <v>1.3578274760383386</v>
      </c>
      <c r="AW19" s="931">
        <f t="shared" ref="AW19" si="92">AW17/AW14</f>
        <v>0.43228200371057512</v>
      </c>
      <c r="AX19" s="937">
        <f t="shared" ref="AX19:AY19" si="93">AX17/AX14</f>
        <v>0.77230046948356812</v>
      </c>
      <c r="AY19" s="262">
        <f t="shared" si="93"/>
        <v>0.96022727272727271</v>
      </c>
      <c r="AZ19" s="802"/>
      <c r="BA19" s="833"/>
      <c r="BB19" s="169"/>
      <c r="BC19" s="802"/>
      <c r="BD19" s="833"/>
      <c r="BE19" s="169"/>
      <c r="BF19" s="802"/>
      <c r="BG19" s="833"/>
      <c r="BH19" s="169"/>
      <c r="BI19" s="802"/>
      <c r="BJ19" s="833"/>
      <c r="BK19" s="169"/>
      <c r="BL19" s="802"/>
      <c r="BM19" s="833"/>
    </row>
    <row r="20" spans="1:65">
      <c r="B20" s="40"/>
      <c r="C20" s="40"/>
      <c r="D20" s="40"/>
      <c r="E20" s="40"/>
      <c r="F20" s="40"/>
      <c r="G20" s="40"/>
      <c r="H20" s="40"/>
      <c r="I20" s="40"/>
      <c r="J20" s="40"/>
      <c r="K20" s="40"/>
      <c r="L20" s="40"/>
      <c r="M20" s="40"/>
      <c r="N20" s="40"/>
      <c r="O20" s="40"/>
      <c r="P20" s="40"/>
      <c r="Q20" s="40"/>
      <c r="R20" s="40"/>
      <c r="S20" s="630"/>
      <c r="T20" s="653"/>
      <c r="U20" s="40"/>
      <c r="V20" s="630"/>
      <c r="W20" s="653"/>
      <c r="X20" s="40"/>
      <c r="Y20" s="630"/>
      <c r="Z20" s="653"/>
      <c r="AA20" s="40"/>
      <c r="AB20" s="630"/>
      <c r="AC20" s="653"/>
      <c r="AD20" s="40"/>
      <c r="AE20" s="630"/>
      <c r="AF20" s="653"/>
      <c r="AG20" s="40"/>
      <c r="AH20" s="630"/>
      <c r="AI20" s="653"/>
      <c r="AJ20" s="40"/>
      <c r="AK20" s="630"/>
      <c r="AL20" s="653"/>
      <c r="AM20" s="40"/>
      <c r="AN20" s="630"/>
      <c r="AO20" s="653"/>
      <c r="AP20" s="40"/>
      <c r="AQ20" s="630"/>
      <c r="AR20" s="653"/>
      <c r="AS20" s="40"/>
      <c r="AT20" s="630"/>
      <c r="AU20" s="653"/>
      <c r="AV20" s="40"/>
      <c r="AW20" s="630"/>
      <c r="AX20" s="653"/>
      <c r="AY20" s="40"/>
      <c r="AZ20" s="539"/>
      <c r="BA20" s="550"/>
      <c r="BB20"/>
      <c r="BC20" s="539"/>
      <c r="BD20" s="550"/>
      <c r="BE20"/>
      <c r="BF20" s="539"/>
      <c r="BG20" s="550"/>
      <c r="BH20"/>
      <c r="BI20" s="539"/>
      <c r="BJ20" s="550"/>
      <c r="BK20"/>
      <c r="BL20" s="539"/>
      <c r="BM20" s="550"/>
    </row>
    <row r="21" spans="1:65" s="31" customFormat="1">
      <c r="A21" s="2" t="s">
        <v>831</v>
      </c>
      <c r="B21" s="27"/>
      <c r="C21" s="27"/>
      <c r="D21" s="27"/>
      <c r="E21" s="27"/>
      <c r="F21" s="27"/>
      <c r="G21" s="27"/>
      <c r="H21" s="27"/>
      <c r="I21" s="27"/>
      <c r="J21" s="27"/>
      <c r="K21" s="27"/>
      <c r="L21" s="27"/>
      <c r="M21" s="27"/>
      <c r="N21" s="27"/>
      <c r="O21" s="266" t="s">
        <v>667</v>
      </c>
      <c r="P21" s="225">
        <v>2.6</v>
      </c>
      <c r="Q21" s="225">
        <v>2.5</v>
      </c>
      <c r="R21" s="225">
        <v>1.2</v>
      </c>
      <c r="S21" s="233">
        <f>T21-R21</f>
        <v>1.2</v>
      </c>
      <c r="T21" s="944">
        <v>2.4</v>
      </c>
      <c r="U21" s="225">
        <v>1.4</v>
      </c>
      <c r="V21" s="233"/>
      <c r="W21" s="944" t="s">
        <v>667</v>
      </c>
      <c r="X21" s="266"/>
      <c r="Y21" s="941"/>
      <c r="Z21" s="944" t="s">
        <v>667</v>
      </c>
      <c r="AA21" s="266" t="s">
        <v>667</v>
      </c>
      <c r="AB21" s="233"/>
      <c r="AC21" s="944" t="s">
        <v>667</v>
      </c>
      <c r="AD21" s="225">
        <v>1.7</v>
      </c>
      <c r="AE21" s="233">
        <f>AF21-AD21</f>
        <v>1.7150000000000001</v>
      </c>
      <c r="AF21" s="938">
        <v>3.415</v>
      </c>
      <c r="AG21" s="225">
        <f>1241/1000</f>
        <v>1.2410000000000001</v>
      </c>
      <c r="AH21" s="233">
        <f>AI21-AG21</f>
        <v>1.4590000000000001</v>
      </c>
      <c r="AI21" s="938">
        <v>2.7</v>
      </c>
      <c r="AJ21" s="225">
        <v>1.4</v>
      </c>
      <c r="AK21" s="233">
        <f>AL21-AJ21</f>
        <v>1.9</v>
      </c>
      <c r="AL21" s="938">
        <v>3.3</v>
      </c>
      <c r="AM21" s="225">
        <v>2.1</v>
      </c>
      <c r="AN21" s="233">
        <f>AO21-AM21</f>
        <v>2.1999999999999997</v>
      </c>
      <c r="AO21" s="938">
        <v>4.3</v>
      </c>
      <c r="AP21" s="225">
        <v>1.9</v>
      </c>
      <c r="AQ21" s="233">
        <f>AR21-AP21</f>
        <v>2.4</v>
      </c>
      <c r="AR21" s="938">
        <v>4.3</v>
      </c>
      <c r="AS21" s="225">
        <v>2.4</v>
      </c>
      <c r="AT21" s="233">
        <f>AU21-AS21</f>
        <v>2.6999999999999997</v>
      </c>
      <c r="AU21" s="938">
        <v>5.0999999999999996</v>
      </c>
      <c r="AV21" s="225">
        <v>2.9</v>
      </c>
      <c r="AW21" s="233">
        <f>AX21-AV21</f>
        <v>3.1999999999999997</v>
      </c>
      <c r="AX21" s="938">
        <v>6.1</v>
      </c>
      <c r="AY21" s="225">
        <v>4.5999999999999996</v>
      </c>
      <c r="AZ21" s="541"/>
      <c r="BA21" s="578"/>
      <c r="BB21" s="2"/>
      <c r="BC21" s="541"/>
      <c r="BD21" s="578"/>
      <c r="BE21" s="2"/>
      <c r="BF21" s="541"/>
      <c r="BG21" s="578"/>
      <c r="BH21" s="2"/>
      <c r="BI21" s="541"/>
      <c r="BJ21" s="578"/>
      <c r="BK21" s="2"/>
      <c r="BL21" s="541"/>
      <c r="BM21" s="578"/>
    </row>
    <row r="22" spans="1:65" s="31" customFormat="1">
      <c r="A22" s="2" t="s">
        <v>392</v>
      </c>
      <c r="B22" s="27"/>
      <c r="C22" s="27"/>
      <c r="D22" s="27"/>
      <c r="E22" s="27"/>
      <c r="F22" s="27"/>
      <c r="G22" s="27"/>
      <c r="H22" s="27"/>
      <c r="I22" s="27"/>
      <c r="J22" s="27"/>
      <c r="K22" s="27"/>
      <c r="L22" s="27"/>
      <c r="M22" s="27"/>
      <c r="N22" s="27"/>
      <c r="O22" s="225">
        <f>1927/1000</f>
        <v>1.927</v>
      </c>
      <c r="P22" s="225">
        <f>1971/1000</f>
        <v>1.9710000000000001</v>
      </c>
      <c r="Q22" s="225">
        <f>1928/1000</f>
        <v>1.9279999999999999</v>
      </c>
      <c r="R22" s="225">
        <v>2</v>
      </c>
      <c r="S22" s="233">
        <f>T22</f>
        <v>1.8149999999999999</v>
      </c>
      <c r="T22" s="938">
        <f>1815/1000</f>
        <v>1.8149999999999999</v>
      </c>
      <c r="U22" s="225">
        <f>2229/1000</f>
        <v>2.2290000000000001</v>
      </c>
      <c r="V22" s="233">
        <f>W22</f>
        <v>2.1960000000000002</v>
      </c>
      <c r="W22" s="938">
        <f>2196/1000</f>
        <v>2.1960000000000002</v>
      </c>
      <c r="X22" s="225"/>
      <c r="Y22" s="233"/>
      <c r="Z22" s="938">
        <v>2.4</v>
      </c>
      <c r="AA22" s="266">
        <v>2.8</v>
      </c>
      <c r="AB22" s="233">
        <f>AC22</f>
        <v>3.1</v>
      </c>
      <c r="AC22" s="938">
        <v>3.1</v>
      </c>
      <c r="AD22" s="266" t="s">
        <v>667</v>
      </c>
      <c r="AE22" s="233">
        <f>AF22</f>
        <v>2.9</v>
      </c>
      <c r="AF22" s="938">
        <v>2.9</v>
      </c>
      <c r="AG22" s="266" t="s">
        <v>667</v>
      </c>
      <c r="AH22" s="233">
        <f>AI22</f>
        <v>2.4</v>
      </c>
      <c r="AI22" s="938">
        <v>2.4</v>
      </c>
      <c r="AJ22" s="225">
        <v>2.5</v>
      </c>
      <c r="AK22" s="233">
        <f>AL22</f>
        <v>2.8</v>
      </c>
      <c r="AL22" s="938">
        <v>2.8</v>
      </c>
      <c r="AM22" s="225">
        <v>3.7</v>
      </c>
      <c r="AN22" s="233">
        <f>AO22</f>
        <v>4</v>
      </c>
      <c r="AO22" s="938">
        <v>4</v>
      </c>
      <c r="AP22" s="225">
        <v>3.9</v>
      </c>
      <c r="AQ22" s="233">
        <f>AR22</f>
        <v>4.0999999999999996</v>
      </c>
      <c r="AR22" s="938">
        <v>4.0999999999999996</v>
      </c>
      <c r="AS22" s="225">
        <v>4.5999999999999996</v>
      </c>
      <c r="AT22" s="233">
        <f>AU22</f>
        <v>4.8</v>
      </c>
      <c r="AU22" s="938">
        <v>4.8</v>
      </c>
      <c r="AV22" s="225">
        <v>5.6</v>
      </c>
      <c r="AW22" s="233">
        <f>AX22</f>
        <v>6.1</v>
      </c>
      <c r="AX22" s="938">
        <v>6.1</v>
      </c>
      <c r="AY22" s="225">
        <v>8</v>
      </c>
      <c r="AZ22" s="541"/>
      <c r="BA22" s="578"/>
      <c r="BB22" s="2"/>
      <c r="BC22" s="541"/>
      <c r="BD22" s="578"/>
      <c r="BE22" s="2"/>
      <c r="BF22" s="541"/>
      <c r="BG22" s="578"/>
      <c r="BH22" s="2"/>
      <c r="BI22" s="541"/>
      <c r="BJ22" s="578"/>
      <c r="BK22" s="2"/>
      <c r="BL22" s="541"/>
      <c r="BM22" s="578"/>
    </row>
    <row r="23" spans="1:65">
      <c r="A23" t="s">
        <v>832</v>
      </c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263">
        <f t="shared" ref="P23:U23" si="94">(P21*1000)/P4</f>
        <v>0.95588235294117652</v>
      </c>
      <c r="Q23" s="263">
        <f t="shared" si="94"/>
        <v>1.0482180293501049</v>
      </c>
      <c r="R23" s="263">
        <f t="shared" si="94"/>
        <v>1.1070110701107012</v>
      </c>
      <c r="S23" s="932">
        <f t="shared" si="94"/>
        <v>0.76384468491406743</v>
      </c>
      <c r="T23" s="939">
        <f t="shared" si="94"/>
        <v>0.903954802259887</v>
      </c>
      <c r="U23" s="263">
        <f t="shared" si="94"/>
        <v>1.1354420113544201</v>
      </c>
      <c r="V23" s="932"/>
      <c r="W23" s="556"/>
      <c r="X23" s="10"/>
      <c r="Y23" s="216"/>
      <c r="Z23" s="939"/>
      <c r="AA23" s="956" t="s">
        <v>667</v>
      </c>
      <c r="AB23" s="932"/>
      <c r="AC23" s="939"/>
      <c r="AD23" s="263">
        <f t="shared" ref="AD23:AP23" si="95">(AD21*1000)/AD4</f>
        <v>1.0946555054732776</v>
      </c>
      <c r="AE23" s="932">
        <f t="shared" si="95"/>
        <v>0.86094377510040165</v>
      </c>
      <c r="AF23" s="939">
        <f t="shared" si="95"/>
        <v>0.96332863187588147</v>
      </c>
      <c r="AG23" s="263">
        <f t="shared" si="95"/>
        <v>1.0222405271828665</v>
      </c>
      <c r="AH23" s="932">
        <f t="shared" si="95"/>
        <v>0.95923734385272852</v>
      </c>
      <c r="AI23" s="939">
        <f t="shared" si="95"/>
        <v>0.98720292504570384</v>
      </c>
      <c r="AJ23" s="263">
        <f t="shared" si="95"/>
        <v>1.1854360711261642</v>
      </c>
      <c r="AK23" s="932">
        <f t="shared" si="95"/>
        <v>1.2117346938775511</v>
      </c>
      <c r="AL23" s="939">
        <f t="shared" si="95"/>
        <v>1.2004365223717715</v>
      </c>
      <c r="AM23" s="263">
        <f t="shared" si="95"/>
        <v>1.5317286652078774</v>
      </c>
      <c r="AN23" s="932">
        <f t="shared" si="95"/>
        <v>1.1133603238866394</v>
      </c>
      <c r="AO23" s="939">
        <f t="shared" si="95"/>
        <v>1.2847325963549447</v>
      </c>
      <c r="AP23" s="263">
        <f t="shared" si="95"/>
        <v>1.0710259301014655</v>
      </c>
      <c r="AQ23" s="932">
        <f t="shared" ref="AQ23:AS23" si="96">(AQ21*1000)/AQ4</f>
        <v>1.0938924339106655</v>
      </c>
      <c r="AR23" s="939">
        <f t="shared" si="96"/>
        <v>1.0836693548387097</v>
      </c>
      <c r="AS23" s="263">
        <f t="shared" si="96"/>
        <v>1.3064779531845401</v>
      </c>
      <c r="AT23" s="932">
        <f t="shared" ref="AT23:AV23" si="97">(AT21*1000)/AT4</f>
        <v>1.1092851273623663</v>
      </c>
      <c r="AU23" s="939">
        <f t="shared" si="97"/>
        <v>1.1940997424490751</v>
      </c>
      <c r="AV23" s="263">
        <f t="shared" si="97"/>
        <v>1.4201762977473065</v>
      </c>
      <c r="AW23" s="932">
        <f t="shared" ref="AW23" si="98">(AW21*1000)/AW4</f>
        <v>1.1228070175438596</v>
      </c>
      <c r="AX23" s="939">
        <f t="shared" ref="AX23:AY23" si="99">(AX21*1000)/AX4</f>
        <v>1.2469337694194604</v>
      </c>
      <c r="AY23" s="263">
        <f t="shared" si="99"/>
        <v>1.7665130568356375</v>
      </c>
      <c r="AZ23" s="539"/>
      <c r="BA23" s="550"/>
      <c r="BB23"/>
      <c r="BC23" s="539"/>
      <c r="BD23" s="550"/>
      <c r="BE23"/>
      <c r="BF23" s="539"/>
      <c r="BG23" s="550"/>
      <c r="BH23"/>
      <c r="BI23" s="539"/>
      <c r="BJ23" s="550"/>
      <c r="BK23"/>
      <c r="BL23" s="539"/>
      <c r="BM23" s="550"/>
    </row>
    <row r="24" spans="1:65">
      <c r="A24" t="s">
        <v>833</v>
      </c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203">
        <f>(O22*1000)/P4</f>
        <v>0.70845588235294121</v>
      </c>
      <c r="P24" s="203">
        <f>(P22*1000)/Q4</f>
        <v>0.82641509433962268</v>
      </c>
      <c r="Q24" s="203">
        <f>(Q22*1000)/T4</f>
        <v>0.72617702448210919</v>
      </c>
      <c r="R24" s="203"/>
      <c r="S24" s="234"/>
      <c r="T24" s="561">
        <f>(T22*1000)/W4</f>
        <v>0.62093739308929186</v>
      </c>
      <c r="U24" s="203"/>
      <c r="V24" s="234"/>
      <c r="W24" s="556"/>
      <c r="X24" s="10"/>
      <c r="Y24" s="216"/>
      <c r="Z24" s="561">
        <f t="shared" ref="Z24" si="100">(Z22*1000)/AC4</f>
        <v>0.68886337543053966</v>
      </c>
      <c r="AA24" s="203"/>
      <c r="AB24" s="234"/>
      <c r="AC24" s="561">
        <f>(AC22*1000)/AF4</f>
        <v>0.87447108603667134</v>
      </c>
      <c r="AD24" s="203"/>
      <c r="AE24" s="234"/>
      <c r="AF24" s="561">
        <f>(AF22*1000)/AI4</f>
        <v>1.0603290676416819</v>
      </c>
      <c r="AG24" s="203"/>
      <c r="AH24" s="234"/>
      <c r="AI24" s="561">
        <f>(AI22*1000)/AL4</f>
        <v>0.87304474354310657</v>
      </c>
      <c r="AJ24" s="203"/>
      <c r="AK24" s="234"/>
      <c r="AL24" s="561">
        <f>(AL22*1000)/AO4</f>
        <v>0.83657006274275469</v>
      </c>
      <c r="AM24" s="203"/>
      <c r="AN24" s="234"/>
      <c r="AO24" s="561">
        <f>(AO22*1000)/AR4</f>
        <v>1.0080645161290323</v>
      </c>
      <c r="AP24" s="203"/>
      <c r="AQ24" s="234"/>
      <c r="AR24" s="561">
        <f>(AR22*1000)/AU4</f>
        <v>0.9599625380472957</v>
      </c>
      <c r="AS24" s="203"/>
      <c r="AT24" s="234"/>
      <c r="AU24" s="561">
        <f>(AU22*1000)/AX4</f>
        <v>0.98119378577269012</v>
      </c>
      <c r="AV24"/>
      <c r="AW24" s="234"/>
      <c r="AX24" s="561">
        <f>(AX22*1000)/BA4</f>
        <v>1.0440451252472585</v>
      </c>
      <c r="AY24"/>
      <c r="AZ24" s="539"/>
      <c r="BA24" s="550"/>
      <c r="BB24"/>
      <c r="BC24" s="539"/>
      <c r="BD24" s="550"/>
      <c r="BE24"/>
      <c r="BF24" s="539"/>
      <c r="BG24" s="550"/>
      <c r="BH24"/>
      <c r="BI24" s="539"/>
      <c r="BJ24" s="550"/>
      <c r="BK24"/>
      <c r="BL24" s="539"/>
      <c r="BM24" s="550"/>
    </row>
    <row r="25" spans="1:65">
      <c r="B25" s="40"/>
      <c r="C25" s="40"/>
      <c r="D25" s="40"/>
      <c r="E25" s="40"/>
      <c r="F25" s="40"/>
      <c r="G25" s="40"/>
      <c r="H25" s="40"/>
      <c r="I25" s="40"/>
      <c r="J25" s="40"/>
      <c r="K25" s="40"/>
      <c r="L25" s="40"/>
      <c r="M25" s="40"/>
      <c r="N25" s="40"/>
      <c r="O25" s="40"/>
      <c r="P25" s="40"/>
      <c r="Q25" s="40"/>
      <c r="R25" s="40"/>
      <c r="S25" s="630"/>
      <c r="T25" s="653"/>
      <c r="U25" s="40"/>
      <c r="V25" s="630"/>
      <c r="W25" s="653"/>
      <c r="X25" s="40"/>
      <c r="Y25" s="630"/>
      <c r="Z25" s="653"/>
      <c r="AA25" s="40"/>
      <c r="AB25" s="630"/>
      <c r="AC25" s="653"/>
      <c r="AD25" s="40"/>
      <c r="AE25" s="630"/>
      <c r="AF25" s="653"/>
      <c r="AG25" s="40"/>
      <c r="AH25" s="630"/>
      <c r="AI25" s="653"/>
      <c r="AJ25" s="40"/>
      <c r="AK25" s="630"/>
      <c r="AL25" s="653"/>
      <c r="AM25" s="40"/>
      <c r="AN25" s="630"/>
      <c r="AO25" s="653"/>
      <c r="AP25" s="40"/>
      <c r="AQ25" s="539"/>
      <c r="AR25" s="550"/>
      <c r="AS25"/>
      <c r="AT25" s="539"/>
      <c r="AU25" s="550"/>
      <c r="AV25"/>
      <c r="AW25" s="539"/>
      <c r="AX25" s="550"/>
      <c r="AY25"/>
      <c r="AZ25" s="539"/>
      <c r="BA25" s="550"/>
      <c r="BB25"/>
      <c r="BC25" s="539"/>
      <c r="BD25" s="550"/>
      <c r="BE25"/>
      <c r="BF25" s="539"/>
      <c r="BG25" s="550"/>
      <c r="BH25"/>
      <c r="BI25" s="539"/>
      <c r="BJ25" s="550"/>
      <c r="BK25"/>
      <c r="BL25" s="539"/>
      <c r="BM25" s="550"/>
    </row>
    <row r="26" spans="1:65">
      <c r="A26" s="310" t="s">
        <v>900</v>
      </c>
      <c r="B26" s="311"/>
      <c r="C26" s="311"/>
      <c r="D26" s="311"/>
      <c r="E26" s="311"/>
      <c r="F26" s="311"/>
      <c r="G26" s="311"/>
      <c r="H26" s="311"/>
      <c r="I26" s="311"/>
      <c r="J26" s="311"/>
      <c r="K26" s="311"/>
      <c r="L26" s="311"/>
      <c r="M26" s="311"/>
      <c r="N26" s="311"/>
      <c r="O26" s="311"/>
      <c r="P26" s="311"/>
      <c r="Q26" s="311"/>
      <c r="R26" s="307"/>
      <c r="S26" s="316"/>
      <c r="T26" s="551"/>
      <c r="U26" s="307"/>
      <c r="V26" s="316"/>
      <c r="W26" s="551"/>
      <c r="X26" s="525"/>
      <c r="Y26" s="317"/>
      <c r="Z26" s="551"/>
      <c r="AA26" s="525"/>
      <c r="AB26" s="317"/>
      <c r="AC26" s="551"/>
      <c r="AD26" s="525"/>
      <c r="AE26" s="317"/>
      <c r="AF26" s="551"/>
      <c r="AG26" s="525"/>
      <c r="AH26" s="317"/>
      <c r="AI26" s="551"/>
      <c r="AJ26" s="525"/>
      <c r="AK26" s="317"/>
      <c r="AL26" s="551"/>
      <c r="AM26" s="525"/>
      <c r="AN26" s="317"/>
      <c r="AO26" s="551"/>
      <c r="AP26" s="525"/>
      <c r="AQ26" s="317"/>
      <c r="AR26" s="551"/>
      <c r="AS26" s="525"/>
      <c r="AT26" s="317"/>
      <c r="AU26" s="551"/>
      <c r="AV26" s="525"/>
      <c r="AW26" s="317"/>
      <c r="AX26" s="551"/>
      <c r="AY26" s="525"/>
      <c r="AZ26" s="215"/>
      <c r="BA26" s="574"/>
      <c r="BB26" s="179"/>
      <c r="BC26" s="215"/>
      <c r="BD26" s="574"/>
      <c r="BE26" s="179"/>
      <c r="BF26" s="215"/>
      <c r="BG26" s="574"/>
      <c r="BH26" s="179"/>
      <c r="BI26" s="215"/>
      <c r="BJ26" s="574"/>
      <c r="BK26" s="179"/>
      <c r="BL26" s="215"/>
      <c r="BM26" s="574"/>
    </row>
    <row r="27" spans="1:65">
      <c r="S27" s="595"/>
      <c r="T27" s="619"/>
      <c r="V27" s="595"/>
      <c r="W27" s="619"/>
      <c r="Y27" s="595"/>
      <c r="Z27" s="619"/>
      <c r="AB27" s="595"/>
      <c r="AC27" s="619"/>
      <c r="AE27" s="595"/>
      <c r="AF27" s="619"/>
      <c r="AH27" s="595"/>
      <c r="AI27" s="619"/>
      <c r="AK27" s="595"/>
      <c r="AL27" s="619"/>
      <c r="AN27" s="595"/>
      <c r="AO27" s="619"/>
      <c r="AQ27" s="539"/>
      <c r="AR27" s="550"/>
      <c r="AS27"/>
      <c r="AT27" s="539"/>
      <c r="AU27" s="550"/>
      <c r="AV27"/>
      <c r="AW27" s="539"/>
      <c r="AX27" s="550"/>
      <c r="AY27"/>
      <c r="AZ27" s="539"/>
      <c r="BA27" s="550"/>
      <c r="BB27"/>
      <c r="BC27" s="539"/>
      <c r="BD27" s="550"/>
      <c r="BE27"/>
      <c r="BF27" s="539"/>
      <c r="BG27" s="550"/>
      <c r="BH27"/>
      <c r="BI27" s="539"/>
      <c r="BJ27" s="550"/>
      <c r="BK27"/>
      <c r="BL27" s="539"/>
      <c r="BM27" s="550"/>
    </row>
    <row r="28" spans="1:65">
      <c r="A28" s="25" t="s">
        <v>381</v>
      </c>
      <c r="C28" s="40">
        <f t="shared" ref="C28:Q28" si="101">B4</f>
        <v>0</v>
      </c>
      <c r="D28" s="40">
        <f t="shared" si="101"/>
        <v>0</v>
      </c>
      <c r="E28" s="40">
        <f t="shared" si="101"/>
        <v>0</v>
      </c>
      <c r="F28" s="40">
        <f t="shared" si="101"/>
        <v>0</v>
      </c>
      <c r="G28" s="40">
        <f t="shared" si="101"/>
        <v>0</v>
      </c>
      <c r="H28" s="40">
        <f t="shared" si="101"/>
        <v>0</v>
      </c>
      <c r="I28" s="40">
        <f t="shared" si="101"/>
        <v>0</v>
      </c>
      <c r="J28" s="40">
        <f t="shared" si="101"/>
        <v>0</v>
      </c>
      <c r="K28" s="40">
        <f t="shared" si="101"/>
        <v>0</v>
      </c>
      <c r="L28" s="40">
        <f t="shared" si="101"/>
        <v>0</v>
      </c>
      <c r="M28" s="40">
        <f t="shared" si="101"/>
        <v>0</v>
      </c>
      <c r="N28" s="40">
        <f t="shared" si="101"/>
        <v>331</v>
      </c>
      <c r="O28" s="40">
        <f t="shared" si="101"/>
        <v>287</v>
      </c>
      <c r="P28" s="40">
        <f t="shared" si="101"/>
        <v>2831</v>
      </c>
      <c r="Q28" s="40">
        <f t="shared" si="101"/>
        <v>2720</v>
      </c>
      <c r="R28" s="40">
        <v>1039</v>
      </c>
      <c r="S28" s="630">
        <f>T28-R28</f>
        <v>1346</v>
      </c>
      <c r="T28" s="653">
        <f>Q4</f>
        <v>2385</v>
      </c>
      <c r="U28" s="40">
        <f>R33</f>
        <v>1084</v>
      </c>
      <c r="V28" s="630">
        <f>S33</f>
        <v>1571</v>
      </c>
      <c r="W28" s="653">
        <f>T33</f>
        <v>2655</v>
      </c>
      <c r="X28" s="40"/>
      <c r="Y28" s="630"/>
      <c r="Z28" s="653"/>
      <c r="AA28" s="40">
        <f>X33</f>
        <v>1275</v>
      </c>
      <c r="AB28" s="630">
        <f>Y33</f>
        <v>1733</v>
      </c>
      <c r="AC28" s="653">
        <f t="shared" ref="AC28" si="102">Z33</f>
        <v>3008</v>
      </c>
      <c r="AD28" s="40">
        <f>AA33</f>
        <v>1471</v>
      </c>
      <c r="AE28" s="630">
        <f>AB33</f>
        <v>2013</v>
      </c>
      <c r="AF28" s="653">
        <f>AC33</f>
        <v>3484</v>
      </c>
      <c r="AG28" s="40"/>
      <c r="AH28" s="630"/>
      <c r="AI28" s="653">
        <f>AF33</f>
        <v>3545</v>
      </c>
      <c r="AJ28" s="40">
        <f>AG33</f>
        <v>1214</v>
      </c>
      <c r="AK28" s="630">
        <f>AH33</f>
        <v>1521</v>
      </c>
      <c r="AL28" s="653">
        <v>2735</v>
      </c>
      <c r="AM28" s="40">
        <f t="shared" ref="AM28:BM28" si="103">AJ33</f>
        <v>1181</v>
      </c>
      <c r="AN28" s="630">
        <f t="shared" si="103"/>
        <v>1568</v>
      </c>
      <c r="AO28" s="653">
        <f t="shared" si="103"/>
        <v>2749</v>
      </c>
      <c r="AP28" s="40">
        <f t="shared" si="103"/>
        <v>1371</v>
      </c>
      <c r="AQ28" s="630">
        <f t="shared" ref="AQ28" si="104">AN33</f>
        <v>1976</v>
      </c>
      <c r="AR28" s="653">
        <f t="shared" ref="AR28" si="105">AO33</f>
        <v>3347</v>
      </c>
      <c r="AS28" s="40">
        <f t="shared" si="103"/>
        <v>1774</v>
      </c>
      <c r="AT28" s="630">
        <f t="shared" ref="AT28" si="106">AQ33</f>
        <v>2194</v>
      </c>
      <c r="AU28" s="653">
        <f t="shared" ref="AU28" si="107">AR33</f>
        <v>3968</v>
      </c>
      <c r="AV28" s="40">
        <f t="shared" si="103"/>
        <v>1837</v>
      </c>
      <c r="AW28" s="630">
        <f t="shared" si="103"/>
        <v>2434</v>
      </c>
      <c r="AX28" s="653">
        <f t="shared" si="103"/>
        <v>4271</v>
      </c>
      <c r="AY28" s="40">
        <f t="shared" si="103"/>
        <v>2042</v>
      </c>
      <c r="AZ28" s="236">
        <f t="shared" si="103"/>
        <v>2850</v>
      </c>
      <c r="BA28" s="605">
        <f t="shared" si="103"/>
        <v>4892</v>
      </c>
      <c r="BB28" s="56">
        <f t="shared" si="103"/>
        <v>2604</v>
      </c>
      <c r="BC28" s="236">
        <f t="shared" si="103"/>
        <v>3238.6593376941955</v>
      </c>
      <c r="BD28" s="605">
        <f t="shared" si="103"/>
        <v>5842.6593376941955</v>
      </c>
      <c r="BE28" s="56">
        <f t="shared" si="103"/>
        <v>3129.4871999999996</v>
      </c>
      <c r="BF28" s="236">
        <f t="shared" si="103"/>
        <v>3886.8118576941952</v>
      </c>
      <c r="BG28" s="605">
        <f t="shared" si="103"/>
        <v>7016.2990576941947</v>
      </c>
      <c r="BH28" s="56">
        <f t="shared" si="103"/>
        <v>3777.2009519999997</v>
      </c>
      <c r="BI28" s="236">
        <f t="shared" si="103"/>
        <v>4684.3861828941954</v>
      </c>
      <c r="BJ28" s="605">
        <f t="shared" si="103"/>
        <v>8461.5871348941964</v>
      </c>
      <c r="BK28" s="56">
        <f t="shared" si="103"/>
        <v>4573.8606396000005</v>
      </c>
      <c r="BL28" s="236">
        <f t="shared" si="103"/>
        <v>5663.2238631541932</v>
      </c>
      <c r="BM28" s="605">
        <f t="shared" si="103"/>
        <v>10237.084502754195</v>
      </c>
    </row>
    <row r="29" spans="1:65">
      <c r="A29" s="25" t="s">
        <v>364</v>
      </c>
      <c r="C29" s="40"/>
      <c r="D29" s="40"/>
      <c r="E29" s="40"/>
      <c r="F29" s="40"/>
      <c r="G29" s="40"/>
      <c r="H29" s="40"/>
      <c r="I29" s="40"/>
      <c r="J29" s="40"/>
      <c r="K29" s="40"/>
      <c r="L29" s="40"/>
      <c r="M29" s="40"/>
      <c r="N29" s="40"/>
      <c r="O29" s="40"/>
      <c r="P29" s="40"/>
      <c r="Q29" s="40">
        <v>-97</v>
      </c>
      <c r="R29" s="40">
        <v>-22</v>
      </c>
      <c r="S29" s="630">
        <f>T29-R29</f>
        <v>13</v>
      </c>
      <c r="T29" s="653">
        <v>-9</v>
      </c>
      <c r="U29" s="40">
        <v>33</v>
      </c>
      <c r="V29" s="630">
        <f>W29-U29</f>
        <v>-15</v>
      </c>
      <c r="W29" s="653">
        <v>18</v>
      </c>
      <c r="X29" s="40"/>
      <c r="Y29" s="630"/>
      <c r="Z29" s="653"/>
      <c r="AA29" s="40">
        <f>814*0.14</f>
        <v>113.96000000000001</v>
      </c>
      <c r="AB29" s="630">
        <f>AC29-AA29</f>
        <v>238.11999999999998</v>
      </c>
      <c r="AC29" s="653">
        <f t="shared" ref="AC29:AC30" si="108">AC44*Z38</f>
        <v>352.08</v>
      </c>
      <c r="AD29" s="40">
        <f>945*0.06</f>
        <v>56.699999999999996</v>
      </c>
      <c r="AE29" s="630">
        <f>AF29-AD29</f>
        <v>36.18</v>
      </c>
      <c r="AF29" s="653">
        <f>AF44*AC38</f>
        <v>92.88</v>
      </c>
      <c r="AG29" s="40"/>
      <c r="AH29" s="630"/>
      <c r="AI29" s="653">
        <f>AI44*AF38</f>
        <v>-501.06</v>
      </c>
      <c r="AJ29" s="40">
        <v>-105</v>
      </c>
      <c r="AK29" s="630">
        <f>AL29-AJ29</f>
        <v>103</v>
      </c>
      <c r="AL29" s="653">
        <v>-2</v>
      </c>
      <c r="AM29" s="40">
        <v>153</v>
      </c>
      <c r="AN29" s="630">
        <f>AO29-AM29</f>
        <v>309</v>
      </c>
      <c r="AO29" s="653">
        <v>462</v>
      </c>
      <c r="AP29" s="40">
        <v>281</v>
      </c>
      <c r="AQ29" s="630">
        <f>AR29-AP29</f>
        <v>138</v>
      </c>
      <c r="AR29" s="653">
        <v>419</v>
      </c>
      <c r="AS29" s="40">
        <v>115</v>
      </c>
      <c r="AT29" s="630">
        <f>AU29-AS29</f>
        <v>247</v>
      </c>
      <c r="AU29" s="653">
        <v>362</v>
      </c>
      <c r="AV29" s="40">
        <v>143</v>
      </c>
      <c r="AW29" s="630">
        <f>AX29-AV29</f>
        <v>498</v>
      </c>
      <c r="AX29" s="653">
        <v>641</v>
      </c>
      <c r="AY29" s="40">
        <v>458</v>
      </c>
      <c r="AZ29" s="236">
        <f>BA29-AY29</f>
        <v>297.26</v>
      </c>
      <c r="BA29" s="605">
        <f>BA44*AX38</f>
        <v>755.26</v>
      </c>
      <c r="BB29" s="56">
        <f>BD29/2</f>
        <v>459.85947285363858</v>
      </c>
      <c r="BC29" s="236">
        <f>BD29-BB29</f>
        <v>459.85947285363858</v>
      </c>
      <c r="BD29" s="605">
        <f>BD44*BA38</f>
        <v>919.71894570727716</v>
      </c>
      <c r="BE29" s="56">
        <f>BG29/2</f>
        <v>561.02855688143904</v>
      </c>
      <c r="BF29" s="236">
        <f>BG29-BE29</f>
        <v>561.02855688143904</v>
      </c>
      <c r="BG29" s="605">
        <f>BG44*BD38</f>
        <v>1122.0571137628781</v>
      </c>
      <c r="BH29" s="56">
        <f>BJ29/2</f>
        <v>684.45483939535563</v>
      </c>
      <c r="BI29" s="236">
        <f>BJ29-BH29</f>
        <v>684.45483939535563</v>
      </c>
      <c r="BJ29" s="605">
        <f>BJ44*BG38</f>
        <v>1368.9096787907113</v>
      </c>
      <c r="BK29" s="56">
        <f>BM29/2</f>
        <v>835.03490406233379</v>
      </c>
      <c r="BL29" s="236">
        <f>BM29-BK29</f>
        <v>835.03490406233379</v>
      </c>
      <c r="BM29" s="605">
        <f t="shared" ref="BM29" si="109">BM44*BJ38</f>
        <v>1670.0698081246676</v>
      </c>
    </row>
    <row r="30" spans="1:65">
      <c r="A30" s="25" t="s">
        <v>365</v>
      </c>
      <c r="C30" s="40"/>
      <c r="D30" s="40"/>
      <c r="E30" s="40"/>
      <c r="F30" s="40"/>
      <c r="G30" s="40"/>
      <c r="H30" s="40"/>
      <c r="I30" s="40"/>
      <c r="J30" s="40"/>
      <c r="K30" s="40"/>
      <c r="L30" s="40"/>
      <c r="M30" s="40"/>
      <c r="N30" s="40"/>
      <c r="O30" s="40"/>
      <c r="P30" s="40"/>
      <c r="Q30" s="40">
        <v>25</v>
      </c>
      <c r="R30" s="40">
        <v>-8</v>
      </c>
      <c r="S30" s="630">
        <f>T30-R30</f>
        <v>-8</v>
      </c>
      <c r="T30" s="653">
        <v>-16</v>
      </c>
      <c r="U30" s="40">
        <v>2</v>
      </c>
      <c r="V30" s="630">
        <f>W30-U30</f>
        <v>50</v>
      </c>
      <c r="W30" s="653">
        <v>52</v>
      </c>
      <c r="X30" s="40"/>
      <c r="Y30" s="630"/>
      <c r="Z30" s="653"/>
      <c r="AA30" s="40">
        <f>461*0.12</f>
        <v>55.32</v>
      </c>
      <c r="AB30" s="630">
        <f>AC30-AA30</f>
        <v>49.88</v>
      </c>
      <c r="AC30" s="653">
        <f t="shared" si="108"/>
        <v>105.2</v>
      </c>
      <c r="AD30" s="40">
        <f>526*0.07</f>
        <v>36.82</v>
      </c>
      <c r="AE30" s="630">
        <f>AF30-AD30</f>
        <v>9.6600000000000037</v>
      </c>
      <c r="AF30" s="653">
        <f>AF45*AC39</f>
        <v>46.480000000000004</v>
      </c>
      <c r="AG30" s="40"/>
      <c r="AH30" s="630"/>
      <c r="AI30" s="653">
        <f>AI45*AF39</f>
        <v>-69.539999999999992</v>
      </c>
      <c r="AJ30" s="40">
        <v>56</v>
      </c>
      <c r="AK30" s="630">
        <f>AL30-AJ30</f>
        <v>35</v>
      </c>
      <c r="AL30" s="653">
        <v>91</v>
      </c>
      <c r="AM30" s="40">
        <v>76</v>
      </c>
      <c r="AN30" s="630">
        <f>AO30-AM30</f>
        <v>88</v>
      </c>
      <c r="AO30" s="653">
        <v>164</v>
      </c>
      <c r="AP30" s="40">
        <v>53</v>
      </c>
      <c r="AQ30" s="630">
        <f>AR30-AP30</f>
        <v>67</v>
      </c>
      <c r="AR30" s="653">
        <v>120</v>
      </c>
      <c r="AS30" s="40">
        <v>-4</v>
      </c>
      <c r="AT30" s="630">
        <f>AU30-AS30</f>
        <v>63</v>
      </c>
      <c r="AU30" s="653">
        <v>59</v>
      </c>
      <c r="AV30" s="40">
        <v>90</v>
      </c>
      <c r="AW30" s="630">
        <f>AX30-AV30</f>
        <v>63</v>
      </c>
      <c r="AX30" s="653">
        <v>153</v>
      </c>
      <c r="AY30" s="40">
        <v>115</v>
      </c>
      <c r="AZ30" s="236">
        <f t="shared" ref="AZ30:AZ32" si="110">BA30-AY30</f>
        <v>91.39933769419531</v>
      </c>
      <c r="BA30" s="605">
        <f>BA39-AX39</f>
        <v>206.39933769419531</v>
      </c>
      <c r="BB30" s="56">
        <f>BB39-AY39</f>
        <v>65.62772714636094</v>
      </c>
      <c r="BC30" s="236">
        <f t="shared" ref="BC30:BC32" si="111">BD30-BB30</f>
        <v>188.293047146361</v>
      </c>
      <c r="BD30" s="605">
        <f>BD39-BA39</f>
        <v>253.92077429272194</v>
      </c>
      <c r="BE30" s="56">
        <f>BE39-BB39</f>
        <v>86.685195118561296</v>
      </c>
      <c r="BF30" s="236">
        <f t="shared" ref="BF30:BF32" si="112">BG30-BE30</f>
        <v>236.54576831856184</v>
      </c>
      <c r="BG30" s="605">
        <f>BG39-BD39</f>
        <v>323.23096343712314</v>
      </c>
      <c r="BH30" s="56">
        <f>BH39-BE39</f>
        <v>112.2048482046448</v>
      </c>
      <c r="BI30" s="236">
        <f t="shared" ref="BI30:BI32" si="113">BJ30-BH30</f>
        <v>294.38284086464228</v>
      </c>
      <c r="BJ30" s="605">
        <f>BJ39-BG39</f>
        <v>406.58768906928708</v>
      </c>
      <c r="BK30" s="56">
        <f>BK39-BH39</f>
        <v>148.6996459176662</v>
      </c>
      <c r="BL30" s="236">
        <f t="shared" ref="BL30:BL32" si="114">BM30-BK30</f>
        <v>371.95169031066689</v>
      </c>
      <c r="BM30" s="605">
        <f>BM39-BJ39</f>
        <v>520.65133622833309</v>
      </c>
    </row>
    <row r="31" spans="1:65">
      <c r="A31" s="25" t="s">
        <v>244</v>
      </c>
      <c r="C31" s="40"/>
      <c r="D31" s="40"/>
      <c r="E31" s="40"/>
      <c r="F31" s="40"/>
      <c r="G31" s="40"/>
      <c r="H31" s="40"/>
      <c r="I31" s="40"/>
      <c r="J31" s="40"/>
      <c r="K31" s="40"/>
      <c r="L31" s="40"/>
      <c r="M31" s="40"/>
      <c r="N31" s="40"/>
      <c r="O31" s="40"/>
      <c r="P31" s="40"/>
      <c r="Q31" s="40">
        <v>-263</v>
      </c>
      <c r="R31" s="40">
        <v>75</v>
      </c>
      <c r="S31" s="630">
        <f>T31-R31</f>
        <v>220</v>
      </c>
      <c r="T31" s="653">
        <v>295</v>
      </c>
      <c r="U31" s="40">
        <f>76+38</f>
        <v>114</v>
      </c>
      <c r="V31" s="630">
        <f>W31-U31</f>
        <v>84</v>
      </c>
      <c r="W31" s="653">
        <v>198</v>
      </c>
      <c r="X31" s="40"/>
      <c r="Y31" s="630"/>
      <c r="Z31" s="653"/>
      <c r="AA31" s="40">
        <f>AC31/2</f>
        <v>15</v>
      </c>
      <c r="AB31" s="630">
        <f>AC31-AA31</f>
        <v>15</v>
      </c>
      <c r="AC31" s="653">
        <v>30</v>
      </c>
      <c r="AD31" s="40">
        <f>AF31/2</f>
        <v>-14</v>
      </c>
      <c r="AE31" s="630">
        <f>AF31-AD31</f>
        <v>-14</v>
      </c>
      <c r="AF31" s="653">
        <v>-28</v>
      </c>
      <c r="AG31" s="40"/>
      <c r="AH31" s="630"/>
      <c r="AI31" s="653">
        <v>43.055555555556062</v>
      </c>
      <c r="AJ31" s="40">
        <v>-8</v>
      </c>
      <c r="AK31" s="630">
        <f>AL31-AJ31</f>
        <v>-86</v>
      </c>
      <c r="AL31" s="653">
        <v>-94</v>
      </c>
      <c r="AM31" s="40">
        <v>-41</v>
      </c>
      <c r="AN31" s="630">
        <f>AO31-AM31</f>
        <v>13</v>
      </c>
      <c r="AO31" s="653">
        <v>-28</v>
      </c>
      <c r="AP31" s="40">
        <v>69</v>
      </c>
      <c r="AQ31" s="630">
        <f>AR31-AP31</f>
        <v>13</v>
      </c>
      <c r="AR31" s="653">
        <v>82</v>
      </c>
      <c r="AS31" s="40">
        <v>-48</v>
      </c>
      <c r="AT31" s="630">
        <f>AU31-AS31</f>
        <v>-70</v>
      </c>
      <c r="AU31" s="653">
        <v>-118</v>
      </c>
      <c r="AV31" s="40">
        <v>-28</v>
      </c>
      <c r="AW31" s="630">
        <f>AX31-AV31</f>
        <v>-32</v>
      </c>
      <c r="AX31" s="653">
        <v>-60</v>
      </c>
      <c r="AY31" s="40">
        <v>-11</v>
      </c>
      <c r="AZ31" s="236">
        <f t="shared" si="110"/>
        <v>0</v>
      </c>
      <c r="BA31" s="580">
        <v>-11</v>
      </c>
      <c r="BB31" s="56">
        <f>BD31/2</f>
        <v>0</v>
      </c>
      <c r="BC31" s="236">
        <f t="shared" si="111"/>
        <v>0</v>
      </c>
      <c r="BD31" s="580">
        <v>0</v>
      </c>
      <c r="BE31" s="56">
        <f>BG31/2</f>
        <v>0</v>
      </c>
      <c r="BF31" s="236">
        <f t="shared" si="112"/>
        <v>0</v>
      </c>
      <c r="BG31" s="580">
        <v>0</v>
      </c>
      <c r="BH31" s="56">
        <f>BJ31/2</f>
        <v>0</v>
      </c>
      <c r="BI31" s="236">
        <f t="shared" si="113"/>
        <v>0</v>
      </c>
      <c r="BJ31" s="580">
        <v>0</v>
      </c>
      <c r="BK31" s="56">
        <f>BM31/2</f>
        <v>0</v>
      </c>
      <c r="BL31" s="236">
        <f t="shared" si="114"/>
        <v>0</v>
      </c>
      <c r="BM31" s="580">
        <v>0</v>
      </c>
    </row>
    <row r="32" spans="1:65">
      <c r="A32" s="25" t="s">
        <v>245</v>
      </c>
      <c r="C32" s="40"/>
      <c r="D32" s="40"/>
      <c r="E32" s="40"/>
      <c r="F32" s="40"/>
      <c r="G32" s="40"/>
      <c r="H32" s="40"/>
      <c r="I32" s="40"/>
      <c r="J32" s="40"/>
      <c r="K32" s="40"/>
      <c r="L32" s="40"/>
      <c r="M32" s="40"/>
      <c r="N32" s="40"/>
      <c r="O32" s="40"/>
      <c r="P32" s="40"/>
      <c r="Q32" s="40">
        <v>0</v>
      </c>
      <c r="R32" s="40">
        <f>R33-R28-R29-R30-R31</f>
        <v>0</v>
      </c>
      <c r="S32" s="630">
        <f>S33-S28-S29-S30-S31</f>
        <v>0</v>
      </c>
      <c r="T32" s="653">
        <v>0</v>
      </c>
      <c r="U32" s="40">
        <f>U33-U28-U29-U30-U31</f>
        <v>0</v>
      </c>
      <c r="V32" s="630">
        <f>V33-V28-V29-V30-V31</f>
        <v>0</v>
      </c>
      <c r="W32" s="653">
        <v>0</v>
      </c>
      <c r="X32" s="40"/>
      <c r="Y32" s="630"/>
      <c r="Z32" s="653"/>
      <c r="AA32" s="40">
        <f t="shared" ref="AA32:AF32" si="115">AA33-AA28-AA29-AA30-AA31</f>
        <v>11.719999999999992</v>
      </c>
      <c r="AB32" s="630">
        <f t="shared" si="115"/>
        <v>-22.999999999999979</v>
      </c>
      <c r="AC32" s="653">
        <f t="shared" si="115"/>
        <v>-11.279999999999987</v>
      </c>
      <c r="AD32" s="40">
        <f t="shared" si="115"/>
        <v>2.480000000000004</v>
      </c>
      <c r="AE32" s="630">
        <f t="shared" si="115"/>
        <v>-52.84</v>
      </c>
      <c r="AF32" s="653">
        <f t="shared" si="115"/>
        <v>-50.36</v>
      </c>
      <c r="AG32" s="40"/>
      <c r="AH32" s="630"/>
      <c r="AI32" s="653">
        <f t="shared" ref="AI32:AP32" si="116">AI33-AI28-AI29-AI30-AI31</f>
        <v>-282.45555555555609</v>
      </c>
      <c r="AJ32" s="40">
        <f t="shared" si="116"/>
        <v>24</v>
      </c>
      <c r="AK32" s="630">
        <f t="shared" si="116"/>
        <v>-5</v>
      </c>
      <c r="AL32" s="653">
        <f t="shared" si="116"/>
        <v>19</v>
      </c>
      <c r="AM32" s="40">
        <f t="shared" si="116"/>
        <v>2</v>
      </c>
      <c r="AN32" s="630">
        <f t="shared" si="116"/>
        <v>-2</v>
      </c>
      <c r="AO32" s="653">
        <f t="shared" si="116"/>
        <v>0</v>
      </c>
      <c r="AP32" s="40">
        <f t="shared" si="116"/>
        <v>0</v>
      </c>
      <c r="AQ32" s="630">
        <f t="shared" ref="AQ32:AS32" si="117">AQ33-AQ28-AQ29-AQ30-AQ31</f>
        <v>0</v>
      </c>
      <c r="AR32" s="653">
        <f t="shared" si="117"/>
        <v>0</v>
      </c>
      <c r="AS32" s="40">
        <f t="shared" si="117"/>
        <v>0</v>
      </c>
      <c r="AT32" s="630">
        <f t="shared" ref="AT32:AV32" si="118">AT33-AT28-AT29-AT30-AT31</f>
        <v>0</v>
      </c>
      <c r="AU32" s="653">
        <f t="shared" si="118"/>
        <v>0</v>
      </c>
      <c r="AV32" s="40">
        <f t="shared" si="118"/>
        <v>0</v>
      </c>
      <c r="AW32" s="630">
        <f t="shared" ref="AW32" si="119">AW33-AW28-AW29-AW30-AW31</f>
        <v>-113</v>
      </c>
      <c r="AX32" s="653">
        <f t="shared" ref="AX32:AY32" si="120">AX33-AX28-AX29-AX30-AX31</f>
        <v>-113</v>
      </c>
      <c r="AY32" s="40">
        <f t="shared" si="120"/>
        <v>0</v>
      </c>
      <c r="AZ32" s="236">
        <f t="shared" si="110"/>
        <v>0</v>
      </c>
      <c r="BA32" s="580">
        <v>0</v>
      </c>
      <c r="BB32" s="56">
        <f>BD32/2</f>
        <v>0</v>
      </c>
      <c r="BC32" s="236">
        <f t="shared" si="111"/>
        <v>0</v>
      </c>
      <c r="BD32" s="580">
        <v>0</v>
      </c>
      <c r="BE32" s="56">
        <f>BG32/2</f>
        <v>0</v>
      </c>
      <c r="BF32" s="236">
        <f t="shared" si="112"/>
        <v>0</v>
      </c>
      <c r="BG32" s="580">
        <v>0</v>
      </c>
      <c r="BH32" s="56">
        <f>BJ32/2</f>
        <v>0</v>
      </c>
      <c r="BI32" s="236">
        <f t="shared" si="113"/>
        <v>0</v>
      </c>
      <c r="BJ32" s="580">
        <v>0</v>
      </c>
      <c r="BK32" s="56">
        <f>BM32/2</f>
        <v>0</v>
      </c>
      <c r="BL32" s="236">
        <f t="shared" si="114"/>
        <v>0</v>
      </c>
      <c r="BM32" s="580">
        <v>0</v>
      </c>
    </row>
    <row r="33" spans="1:66">
      <c r="A33" s="68" t="s">
        <v>380</v>
      </c>
      <c r="B33" s="78"/>
      <c r="C33" s="46">
        <f t="shared" ref="C33:P33" si="121">C4</f>
        <v>0</v>
      </c>
      <c r="D33" s="46">
        <f t="shared" si="121"/>
        <v>0</v>
      </c>
      <c r="E33" s="46">
        <f t="shared" si="121"/>
        <v>0</v>
      </c>
      <c r="F33" s="46">
        <f t="shared" si="121"/>
        <v>0</v>
      </c>
      <c r="G33" s="46">
        <f t="shared" si="121"/>
        <v>0</v>
      </c>
      <c r="H33" s="46">
        <f t="shared" si="121"/>
        <v>0</v>
      </c>
      <c r="I33" s="46">
        <f t="shared" si="121"/>
        <v>0</v>
      </c>
      <c r="J33" s="46">
        <f t="shared" si="121"/>
        <v>0</v>
      </c>
      <c r="K33" s="46">
        <f t="shared" si="121"/>
        <v>0</v>
      </c>
      <c r="L33" s="46">
        <f t="shared" si="121"/>
        <v>0</v>
      </c>
      <c r="M33" s="46">
        <f t="shared" si="121"/>
        <v>331</v>
      </c>
      <c r="N33" s="46">
        <f t="shared" si="121"/>
        <v>287</v>
      </c>
      <c r="O33" s="46">
        <f t="shared" si="121"/>
        <v>2831</v>
      </c>
      <c r="P33" s="46">
        <f t="shared" si="121"/>
        <v>2720</v>
      </c>
      <c r="Q33" s="46">
        <f>SUM(Q28:Q32)</f>
        <v>2385</v>
      </c>
      <c r="R33" s="46">
        <f>R4</f>
        <v>1084</v>
      </c>
      <c r="S33" s="643">
        <f>S4</f>
        <v>1571</v>
      </c>
      <c r="T33" s="667">
        <f>SUM(T28:T32)</f>
        <v>2655</v>
      </c>
      <c r="U33" s="46">
        <f>U4</f>
        <v>1233</v>
      </c>
      <c r="V33" s="643">
        <f>V4</f>
        <v>1690</v>
      </c>
      <c r="W33" s="667">
        <f>SUM(W28:W32)</f>
        <v>2923</v>
      </c>
      <c r="X33" s="46">
        <f t="shared" ref="X33:AN33" si="122">X4</f>
        <v>1275</v>
      </c>
      <c r="Y33" s="643">
        <f t="shared" si="122"/>
        <v>1733</v>
      </c>
      <c r="Z33" s="667">
        <f t="shared" si="122"/>
        <v>3008</v>
      </c>
      <c r="AA33" s="46">
        <f t="shared" si="122"/>
        <v>1471</v>
      </c>
      <c r="AB33" s="643">
        <f t="shared" si="122"/>
        <v>2013</v>
      </c>
      <c r="AC33" s="667">
        <f t="shared" si="122"/>
        <v>3484</v>
      </c>
      <c r="AD33" s="46">
        <f t="shared" si="122"/>
        <v>1553</v>
      </c>
      <c r="AE33" s="643">
        <f t="shared" si="122"/>
        <v>1992</v>
      </c>
      <c r="AF33" s="667">
        <f t="shared" si="122"/>
        <v>3545</v>
      </c>
      <c r="AG33" s="46">
        <f t="shared" si="122"/>
        <v>1214</v>
      </c>
      <c r="AH33" s="643">
        <f t="shared" si="122"/>
        <v>1521</v>
      </c>
      <c r="AI33" s="667">
        <f t="shared" si="122"/>
        <v>2735</v>
      </c>
      <c r="AJ33" s="46">
        <f t="shared" si="122"/>
        <v>1181</v>
      </c>
      <c r="AK33" s="643">
        <f t="shared" si="122"/>
        <v>1568</v>
      </c>
      <c r="AL33" s="667">
        <f t="shared" si="122"/>
        <v>2749</v>
      </c>
      <c r="AM33" s="46">
        <f t="shared" si="122"/>
        <v>1371</v>
      </c>
      <c r="AN33" s="643">
        <f t="shared" si="122"/>
        <v>1976</v>
      </c>
      <c r="AO33" s="667">
        <v>3347</v>
      </c>
      <c r="AP33" s="46">
        <f>AP4</f>
        <v>1774</v>
      </c>
      <c r="AQ33" s="643">
        <f t="shared" ref="AQ33" si="123">AQ4</f>
        <v>2194</v>
      </c>
      <c r="AR33" s="667">
        <f>AR4</f>
        <v>3968</v>
      </c>
      <c r="AS33" s="46">
        <f>AS4</f>
        <v>1837</v>
      </c>
      <c r="AT33" s="643">
        <f t="shared" ref="AT33" si="124">AT4</f>
        <v>2434</v>
      </c>
      <c r="AU33" s="667">
        <f>AU4</f>
        <v>4271</v>
      </c>
      <c r="AV33" s="46">
        <f>AV4</f>
        <v>2042</v>
      </c>
      <c r="AW33" s="643">
        <f t="shared" ref="AW33" si="125">AW4</f>
        <v>2850</v>
      </c>
      <c r="AX33" s="667">
        <f>AX4</f>
        <v>4892</v>
      </c>
      <c r="AY33" s="46">
        <f>AY4</f>
        <v>2604</v>
      </c>
      <c r="AZ33" s="250">
        <f>SUM(AZ28:AZ32)</f>
        <v>3238.6593376941955</v>
      </c>
      <c r="BA33" s="615">
        <f t="shared" ref="BA33:BM33" si="126">SUM(BA28:BA32)</f>
        <v>5842.6593376941955</v>
      </c>
      <c r="BB33" s="249">
        <f t="shared" si="126"/>
        <v>3129.4871999999996</v>
      </c>
      <c r="BC33" s="250">
        <f>SUM(BC28:BC32)</f>
        <v>3886.8118576941952</v>
      </c>
      <c r="BD33" s="615">
        <f t="shared" si="126"/>
        <v>7016.2990576941947</v>
      </c>
      <c r="BE33" s="249">
        <f t="shared" si="126"/>
        <v>3777.2009519999997</v>
      </c>
      <c r="BF33" s="250">
        <f>SUM(BF28:BF32)</f>
        <v>4684.3861828941954</v>
      </c>
      <c r="BG33" s="615">
        <f t="shared" si="126"/>
        <v>8461.5871348941964</v>
      </c>
      <c r="BH33" s="249">
        <f t="shared" si="126"/>
        <v>4573.8606396000005</v>
      </c>
      <c r="BI33" s="250">
        <f>SUM(BI28:BI32)</f>
        <v>5663.2238631541932</v>
      </c>
      <c r="BJ33" s="615">
        <f t="shared" si="126"/>
        <v>10237.084502754195</v>
      </c>
      <c r="BK33" s="249">
        <f t="shared" si="126"/>
        <v>5557.5951895800008</v>
      </c>
      <c r="BL33" s="250">
        <f>SUM(BL28:BL32)</f>
        <v>6870.2104575271942</v>
      </c>
      <c r="BM33" s="615">
        <f t="shared" si="126"/>
        <v>12427.805647107196</v>
      </c>
      <c r="BN33" s="127">
        <f>(BM33/AU33)^(1/7)-1</f>
        <v>0.16484036468335939</v>
      </c>
    </row>
    <row r="34" spans="1:66">
      <c r="A34" s="31" t="s">
        <v>61</v>
      </c>
      <c r="C34" s="142" t="s">
        <v>248</v>
      </c>
      <c r="D34" s="142" t="s">
        <v>248</v>
      </c>
      <c r="E34" s="142" t="s">
        <v>248</v>
      </c>
      <c r="F34" s="142" t="s">
        <v>248</v>
      </c>
      <c r="G34" s="142" t="s">
        <v>248</v>
      </c>
      <c r="H34" s="142" t="s">
        <v>248</v>
      </c>
      <c r="I34" s="142" t="s">
        <v>248</v>
      </c>
      <c r="J34" s="142" t="s">
        <v>248</v>
      </c>
      <c r="K34" s="142" t="s">
        <v>248</v>
      </c>
      <c r="L34" s="142" t="s">
        <v>248</v>
      </c>
      <c r="M34" s="142" t="s">
        <v>248</v>
      </c>
      <c r="N34" s="142" t="s">
        <v>248</v>
      </c>
      <c r="O34" s="142" t="s">
        <v>248</v>
      </c>
      <c r="P34" s="112">
        <f>P33/P28-1</f>
        <v>-3.9208760155422073E-2</v>
      </c>
      <c r="Q34" s="112">
        <f t="shared" ref="Q34:BM34" si="127">Q33/Q28-1</f>
        <v>-0.12316176470588236</v>
      </c>
      <c r="R34" s="951">
        <f t="shared" ref="R34:S34" si="128">R33/R28-1</f>
        <v>4.3310875842155871E-2</v>
      </c>
      <c r="S34" s="865">
        <f t="shared" si="128"/>
        <v>0.16716196136701345</v>
      </c>
      <c r="T34" s="889">
        <f t="shared" si="127"/>
        <v>0.1132075471698113</v>
      </c>
      <c r="U34" s="951">
        <f t="shared" si="127"/>
        <v>0.13745387453874547</v>
      </c>
      <c r="V34" s="865">
        <f t="shared" si="127"/>
        <v>7.5747931253978384E-2</v>
      </c>
      <c r="W34" s="889">
        <f t="shared" si="127"/>
        <v>0.10094161958568737</v>
      </c>
      <c r="X34" s="112"/>
      <c r="Y34" s="865"/>
      <c r="Z34" s="889"/>
      <c r="AA34" s="951">
        <f t="shared" ref="AA34:AB34" si="129">AA33/AA28-1</f>
        <v>0.15372549019607851</v>
      </c>
      <c r="AB34" s="865">
        <f t="shared" si="129"/>
        <v>0.16156953260242357</v>
      </c>
      <c r="AC34" s="889">
        <f t="shared" si="127"/>
        <v>0.1582446808510638</v>
      </c>
      <c r="AD34" s="951">
        <f t="shared" si="127"/>
        <v>5.5744391570360374E-2</v>
      </c>
      <c r="AE34" s="865">
        <f t="shared" si="127"/>
        <v>-1.0432190760059634E-2</v>
      </c>
      <c r="AF34" s="889">
        <f t="shared" si="127"/>
        <v>1.7508610792192902E-2</v>
      </c>
      <c r="AG34" s="112"/>
      <c r="AH34" s="865"/>
      <c r="AI34" s="889">
        <f>AI33/AI28-1</f>
        <v>-0.22849083215796895</v>
      </c>
      <c r="AJ34" s="951">
        <f t="shared" ref="AJ34:AK34" si="130">AJ33/AJ28-1</f>
        <v>-2.7182866556836882E-2</v>
      </c>
      <c r="AK34" s="865">
        <f t="shared" si="130"/>
        <v>3.0900723208415526E-2</v>
      </c>
      <c r="AL34" s="889">
        <f t="shared" si="127"/>
        <v>5.1188299817184202E-3</v>
      </c>
      <c r="AM34" s="951">
        <f t="shared" si="127"/>
        <v>0.16088060965283657</v>
      </c>
      <c r="AN34" s="865">
        <f t="shared" ref="AN34" si="131">AN33/AN28-1</f>
        <v>0.26020408163265296</v>
      </c>
      <c r="AO34" s="889">
        <f t="shared" si="127"/>
        <v>0.21753364859949076</v>
      </c>
      <c r="AP34" s="951">
        <f t="shared" ref="AP34:AR34" si="132">AP33/AP28-1</f>
        <v>0.29394602479941656</v>
      </c>
      <c r="AQ34" s="865">
        <f t="shared" si="132"/>
        <v>0.11032388663967607</v>
      </c>
      <c r="AR34" s="889">
        <f t="shared" si="132"/>
        <v>0.18553928891544658</v>
      </c>
      <c r="AS34" s="951">
        <f t="shared" ref="AS34:AU34" si="133">AS33/AS28-1</f>
        <v>3.551296505073287E-2</v>
      </c>
      <c r="AT34" s="865">
        <f t="shared" si="133"/>
        <v>0.10938924339106659</v>
      </c>
      <c r="AU34" s="889">
        <f t="shared" si="133"/>
        <v>7.6360887096774244E-2</v>
      </c>
      <c r="AV34" s="951">
        <f t="shared" ref="AV34:AW34" si="134">AV33/AV28-1</f>
        <v>0.11159499183451271</v>
      </c>
      <c r="AW34" s="865">
        <f t="shared" si="134"/>
        <v>0.17091207888249804</v>
      </c>
      <c r="AX34" s="889">
        <f t="shared" ref="AX34:AY34" si="135">AX33/AX28-1</f>
        <v>0.14539920393350503</v>
      </c>
      <c r="AY34" s="951">
        <f t="shared" si="135"/>
        <v>0.27522037218413331</v>
      </c>
      <c r="AZ34" s="803">
        <f>AZ33/AZ28-1</f>
        <v>0.13637169743655986</v>
      </c>
      <c r="BA34" s="834">
        <f t="shared" si="127"/>
        <v>0.19432938219423468</v>
      </c>
      <c r="BB34" s="957">
        <f t="shared" si="127"/>
        <v>0.20179999999999976</v>
      </c>
      <c r="BC34" s="803">
        <f>BC33/BC28-1</f>
        <v>0.20012988475084881</v>
      </c>
      <c r="BD34" s="834">
        <f t="shared" si="127"/>
        <v>0.20087423417418959</v>
      </c>
      <c r="BE34" s="957">
        <f t="shared" si="127"/>
        <v>0.20697120985188899</v>
      </c>
      <c r="BF34" s="803">
        <f>BF33/BF28-1</f>
        <v>0.20520013687339933</v>
      </c>
      <c r="BG34" s="834">
        <f t="shared" si="127"/>
        <v>0.20599009040458083</v>
      </c>
      <c r="BH34" s="957">
        <f t="shared" si="127"/>
        <v>0.21091270962911723</v>
      </c>
      <c r="BI34" s="803">
        <f>BI33/BI28-1</f>
        <v>0.20895751162326959</v>
      </c>
      <c r="BJ34" s="834">
        <f t="shared" si="127"/>
        <v>0.20983030010270043</v>
      </c>
      <c r="BK34" s="957">
        <f t="shared" si="127"/>
        <v>0.21507750836633077</v>
      </c>
      <c r="BL34" s="803">
        <f>BL33/BL28-1</f>
        <v>0.21312712044209348</v>
      </c>
      <c r="BM34" s="834">
        <f t="shared" si="127"/>
        <v>0.21399854067470159</v>
      </c>
    </row>
    <row r="35" spans="1:66">
      <c r="A35" s="25" t="s">
        <v>243</v>
      </c>
      <c r="C35" s="40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50">
        <f>Q34-Q36</f>
        <v>-2.6470588235294121E-2</v>
      </c>
      <c r="R35" s="952">
        <f t="shared" ref="R35:S35" si="136">R34-R36</f>
        <v>-2.8873917228103993E-2</v>
      </c>
      <c r="S35" s="647">
        <f t="shared" si="136"/>
        <v>3.7147102526003672E-3</v>
      </c>
      <c r="T35" s="671">
        <f t="shared" ref="T35:BM35" si="137">T34-T36</f>
        <v>-1.0482180293501078E-2</v>
      </c>
      <c r="U35" s="952">
        <f t="shared" si="137"/>
        <v>3.2287822878228858E-2</v>
      </c>
      <c r="V35" s="647">
        <f t="shared" si="137"/>
        <v>2.2278803309993662E-2</v>
      </c>
      <c r="W35" s="671">
        <f t="shared" si="137"/>
        <v>2.6365348399246688E-2</v>
      </c>
      <c r="X35" s="50"/>
      <c r="Y35" s="647"/>
      <c r="Z35" s="671"/>
      <c r="AA35" s="952">
        <f t="shared" ref="AA35:AB35" si="138">AA34-AA36</f>
        <v>0.14196078431372555</v>
      </c>
      <c r="AB35" s="647">
        <f t="shared" si="138"/>
        <v>0.15291402192729375</v>
      </c>
      <c r="AC35" s="671">
        <f t="shared" si="137"/>
        <v>0.14827127659574466</v>
      </c>
      <c r="AD35" s="952">
        <f t="shared" si="137"/>
        <v>6.5261726716519447E-2</v>
      </c>
      <c r="AE35" s="647">
        <f t="shared" si="137"/>
        <v>-3.4773969200198925E-3</v>
      </c>
      <c r="AF35" s="671">
        <f t="shared" si="137"/>
        <v>2.5545350172215864E-2</v>
      </c>
      <c r="AG35" s="50"/>
      <c r="AH35" s="647"/>
      <c r="AI35" s="671">
        <f>AI34-AI36</f>
        <v>-0.24063626390847842</v>
      </c>
      <c r="AJ35" s="952">
        <f t="shared" ref="AJ35:AK35" si="139">AJ34-AJ36</f>
        <v>-2.0593080724876422E-2</v>
      </c>
      <c r="AK35" s="647">
        <f t="shared" si="139"/>
        <v>8.7442472057856685E-2</v>
      </c>
      <c r="AL35" s="671">
        <f t="shared" si="137"/>
        <v>3.948811700182811E-2</v>
      </c>
      <c r="AM35" s="952">
        <f t="shared" si="137"/>
        <v>0.19559695173581709</v>
      </c>
      <c r="AN35" s="647">
        <f t="shared" ref="AN35" si="140">AN34-AN36</f>
        <v>0.25191326530612235</v>
      </c>
      <c r="AO35" s="671">
        <f t="shared" si="137"/>
        <v>0.22771917060749367</v>
      </c>
      <c r="AP35" s="952">
        <f t="shared" ref="AP35:AR35" si="141">AP34-AP36</f>
        <v>0.24361779722830057</v>
      </c>
      <c r="AQ35" s="647">
        <f t="shared" si="141"/>
        <v>0.10374493927125503</v>
      </c>
      <c r="AR35" s="671">
        <f t="shared" si="141"/>
        <v>0.16103973707798019</v>
      </c>
      <c r="AS35" s="952">
        <f t="shared" ref="AS35:AU35" si="142">AS34-AS36</f>
        <v>6.2570462232243579E-2</v>
      </c>
      <c r="AT35" s="647">
        <f t="shared" si="142"/>
        <v>0.14129443938012767</v>
      </c>
      <c r="AU35" s="671">
        <f t="shared" si="142"/>
        <v>0.1060987903225807</v>
      </c>
      <c r="AV35" s="952">
        <f t="shared" ref="AV35:AW35" si="143">AV34-AV36</f>
        <v>0.12683723462166568</v>
      </c>
      <c r="AW35" s="647">
        <f t="shared" si="143"/>
        <v>0.18405916187345941</v>
      </c>
      <c r="AX35" s="671">
        <f t="shared" si="137"/>
        <v>0.15944743619761179</v>
      </c>
      <c r="AY35" s="952">
        <f t="shared" si="137"/>
        <v>0.28060724779627827</v>
      </c>
      <c r="AZ35" s="252">
        <f t="shared" si="137"/>
        <v>0.13637169743655986</v>
      </c>
      <c r="BA35" s="577">
        <f t="shared" si="137"/>
        <v>0.19657795128663041</v>
      </c>
      <c r="BB35" s="251">
        <f t="shared" si="137"/>
        <v>0.20179999999999976</v>
      </c>
      <c r="BC35" s="252">
        <f t="shared" si="137"/>
        <v>0.20012988475084881</v>
      </c>
      <c r="BD35" s="577">
        <f t="shared" si="137"/>
        <v>0.20087423417418959</v>
      </c>
      <c r="BE35" s="251">
        <f t="shared" si="137"/>
        <v>0.20697120985188899</v>
      </c>
      <c r="BF35" s="252">
        <f t="shared" si="137"/>
        <v>0.20520013687339933</v>
      </c>
      <c r="BG35" s="577">
        <f t="shared" si="137"/>
        <v>0.20599009040458083</v>
      </c>
      <c r="BH35" s="251">
        <f t="shared" si="137"/>
        <v>0.21091270962911723</v>
      </c>
      <c r="BI35" s="252">
        <f t="shared" si="137"/>
        <v>0.20895751162326959</v>
      </c>
      <c r="BJ35" s="577">
        <f t="shared" si="137"/>
        <v>0.20983030010270043</v>
      </c>
      <c r="BK35" s="251">
        <f t="shared" si="137"/>
        <v>0.21507750836633077</v>
      </c>
      <c r="BL35" s="252">
        <f t="shared" si="137"/>
        <v>0.21312712044209348</v>
      </c>
      <c r="BM35" s="577">
        <f t="shared" si="137"/>
        <v>0.21399854067470159</v>
      </c>
    </row>
    <row r="36" spans="1:66">
      <c r="A36" s="25" t="s">
        <v>244</v>
      </c>
      <c r="C36" s="40"/>
      <c r="D36" s="40"/>
      <c r="E36" s="40"/>
      <c r="F36" s="40"/>
      <c r="G36" s="40"/>
      <c r="H36" s="40"/>
      <c r="I36" s="40"/>
      <c r="J36" s="40"/>
      <c r="K36" s="40"/>
      <c r="L36" s="40"/>
      <c r="M36" s="40"/>
      <c r="N36" s="40"/>
      <c r="O36" s="40"/>
      <c r="P36" s="40"/>
      <c r="Q36" s="50">
        <f>Q31/Q28</f>
        <v>-9.6691176470588239E-2</v>
      </c>
      <c r="R36" s="952">
        <f t="shared" ref="R36:S36" si="144">R31/R28</f>
        <v>7.2184793070259864E-2</v>
      </c>
      <c r="S36" s="647">
        <f t="shared" si="144"/>
        <v>0.16344725111441308</v>
      </c>
      <c r="T36" s="671">
        <f t="shared" ref="T36:BM36" si="145">T31/T28</f>
        <v>0.12368972746331237</v>
      </c>
      <c r="U36" s="952">
        <f t="shared" si="145"/>
        <v>0.10516605166051661</v>
      </c>
      <c r="V36" s="647">
        <f t="shared" si="145"/>
        <v>5.3469127943984722E-2</v>
      </c>
      <c r="W36" s="671">
        <f t="shared" si="145"/>
        <v>7.4576271186440682E-2</v>
      </c>
      <c r="X36" s="50"/>
      <c r="Y36" s="647"/>
      <c r="Z36" s="671"/>
      <c r="AA36" s="952">
        <f t="shared" ref="AA36:AB36" si="146">AA31/AA28</f>
        <v>1.1764705882352941E-2</v>
      </c>
      <c r="AB36" s="647">
        <f t="shared" si="146"/>
        <v>8.6555106751298322E-3</v>
      </c>
      <c r="AC36" s="671">
        <f t="shared" si="145"/>
        <v>9.9734042553191495E-3</v>
      </c>
      <c r="AD36" s="952">
        <f t="shared" si="145"/>
        <v>-9.5173351461590762E-3</v>
      </c>
      <c r="AE36" s="647">
        <f t="shared" si="145"/>
        <v>-6.9547938400397417E-3</v>
      </c>
      <c r="AF36" s="671">
        <f t="shared" si="145"/>
        <v>-8.0367393800229621E-3</v>
      </c>
      <c r="AG36" s="50"/>
      <c r="AH36" s="647"/>
      <c r="AI36" s="671">
        <f>AI31/AI28</f>
        <v>1.2145431750509467E-2</v>
      </c>
      <c r="AJ36" s="952">
        <f t="shared" ref="AJ36:AK36" si="147">AJ31/AJ28</f>
        <v>-6.5897858319604614E-3</v>
      </c>
      <c r="AK36" s="647">
        <f t="shared" si="147"/>
        <v>-5.6541748849441159E-2</v>
      </c>
      <c r="AL36" s="671">
        <f t="shared" si="145"/>
        <v>-3.436928702010969E-2</v>
      </c>
      <c r="AM36" s="952">
        <f t="shared" si="145"/>
        <v>-3.4716342082980522E-2</v>
      </c>
      <c r="AN36" s="647">
        <f t="shared" ref="AN36" si="148">AN31/AN28</f>
        <v>8.2908163265306128E-3</v>
      </c>
      <c r="AO36" s="671">
        <f t="shared" si="145"/>
        <v>-1.018552200800291E-2</v>
      </c>
      <c r="AP36" s="952">
        <f t="shared" ref="AP36:AR36" si="149">AP31/AP28</f>
        <v>5.0328227571115977E-2</v>
      </c>
      <c r="AQ36" s="647">
        <f t="shared" si="149"/>
        <v>6.5789473684210523E-3</v>
      </c>
      <c r="AR36" s="671">
        <f t="shared" si="149"/>
        <v>2.4499551837466389E-2</v>
      </c>
      <c r="AS36" s="952">
        <f t="shared" ref="AS36:AU36" si="150">AS31/AS28</f>
        <v>-2.7057497181510709E-2</v>
      </c>
      <c r="AT36" s="647">
        <f t="shared" si="150"/>
        <v>-3.1905195989061073E-2</v>
      </c>
      <c r="AU36" s="671">
        <f t="shared" si="150"/>
        <v>-2.9737903225806453E-2</v>
      </c>
      <c r="AV36" s="952">
        <f t="shared" ref="AV36:AW36" si="151">AV31/AV28</f>
        <v>-1.5242242787152967E-2</v>
      </c>
      <c r="AW36" s="647">
        <f t="shared" si="151"/>
        <v>-1.314708299096138E-2</v>
      </c>
      <c r="AX36" s="671">
        <f t="shared" si="145"/>
        <v>-1.4048232264106767E-2</v>
      </c>
      <c r="AY36" s="952">
        <f t="shared" si="145"/>
        <v>-5.3868756121449556E-3</v>
      </c>
      <c r="AZ36" s="252">
        <f t="shared" si="145"/>
        <v>0</v>
      </c>
      <c r="BA36" s="577">
        <f t="shared" si="145"/>
        <v>-2.2485690923957483E-3</v>
      </c>
      <c r="BB36" s="251">
        <f t="shared" si="145"/>
        <v>0</v>
      </c>
      <c r="BC36" s="252">
        <f t="shared" si="145"/>
        <v>0</v>
      </c>
      <c r="BD36" s="577">
        <f t="shared" si="145"/>
        <v>0</v>
      </c>
      <c r="BE36" s="251">
        <f t="shared" si="145"/>
        <v>0</v>
      </c>
      <c r="BF36" s="252">
        <f t="shared" si="145"/>
        <v>0</v>
      </c>
      <c r="BG36" s="577">
        <f t="shared" si="145"/>
        <v>0</v>
      </c>
      <c r="BH36" s="251">
        <f t="shared" si="145"/>
        <v>0</v>
      </c>
      <c r="BI36" s="252">
        <f t="shared" si="145"/>
        <v>0</v>
      </c>
      <c r="BJ36" s="577">
        <f t="shared" si="145"/>
        <v>0</v>
      </c>
      <c r="BK36" s="251">
        <f t="shared" si="145"/>
        <v>0</v>
      </c>
      <c r="BL36" s="252">
        <f t="shared" si="145"/>
        <v>0</v>
      </c>
      <c r="BM36" s="577">
        <f t="shared" si="145"/>
        <v>0</v>
      </c>
    </row>
    <row r="37" spans="1:66">
      <c r="A37" s="31"/>
      <c r="C37" s="40"/>
      <c r="D37" s="40"/>
      <c r="E37" s="40"/>
      <c r="F37" s="40"/>
      <c r="G37" s="40"/>
      <c r="H37" s="40"/>
      <c r="I37" s="40"/>
      <c r="J37" s="40"/>
      <c r="K37" s="40"/>
      <c r="L37" s="40"/>
      <c r="M37" s="40"/>
      <c r="N37" s="40"/>
      <c r="O37" s="40"/>
      <c r="P37" s="40"/>
      <c r="Q37" s="51"/>
      <c r="R37" s="51"/>
      <c r="S37" s="629"/>
      <c r="T37" s="653"/>
      <c r="U37" s="51"/>
      <c r="V37" s="629"/>
      <c r="W37" s="653"/>
      <c r="X37" s="40"/>
      <c r="Y37" s="630"/>
      <c r="Z37" s="653"/>
      <c r="AA37" s="40"/>
      <c r="AB37" s="630"/>
      <c r="AC37" s="665"/>
      <c r="AD37" s="40"/>
      <c r="AE37" s="630"/>
      <c r="AF37" s="665"/>
      <c r="AG37" s="40"/>
      <c r="AH37" s="630"/>
      <c r="AI37" s="665"/>
      <c r="AJ37" s="40"/>
      <c r="AK37" s="630"/>
      <c r="AL37" s="665"/>
      <c r="AM37" s="40"/>
      <c r="AN37" s="630"/>
      <c r="AO37" s="665"/>
      <c r="AP37" s="102"/>
      <c r="AQ37" s="539"/>
      <c r="AR37" s="550"/>
      <c r="AS37" s="102"/>
      <c r="AT37" s="539"/>
      <c r="AU37" s="550"/>
      <c r="AV37" s="102"/>
      <c r="AW37" s="539"/>
      <c r="AX37" s="550"/>
      <c r="AY37" s="102"/>
      <c r="AZ37" s="539"/>
      <c r="BA37" s="550"/>
      <c r="BB37"/>
      <c r="BC37" s="539"/>
      <c r="BD37" s="550"/>
      <c r="BE37"/>
      <c r="BF37" s="539"/>
      <c r="BG37" s="550"/>
      <c r="BH37"/>
      <c r="BI37" s="539"/>
      <c r="BJ37" s="550"/>
      <c r="BK37"/>
      <c r="BL37" s="539"/>
      <c r="BM37" s="550"/>
    </row>
    <row r="38" spans="1:66">
      <c r="A38" s="25" t="s">
        <v>364</v>
      </c>
      <c r="C38" s="40"/>
      <c r="D38" s="40"/>
      <c r="E38" s="40"/>
      <c r="F38" s="40"/>
      <c r="G38" s="40"/>
      <c r="H38" s="40"/>
      <c r="I38" s="40"/>
      <c r="J38" s="40"/>
      <c r="K38" s="40"/>
      <c r="L38" s="40"/>
      <c r="M38" s="40"/>
      <c r="N38" s="40"/>
      <c r="O38" s="40">
        <f>O4-O39</f>
        <v>2004</v>
      </c>
      <c r="P38" s="40">
        <f>P4-P39</f>
        <v>1893</v>
      </c>
      <c r="Q38" s="40">
        <f>Q4-Q39</f>
        <v>1618</v>
      </c>
      <c r="R38" s="40">
        <f t="shared" ref="R38:S38" si="152">+R40-R39</f>
        <v>711</v>
      </c>
      <c r="S38" s="630">
        <f t="shared" si="152"/>
        <v>1099</v>
      </c>
      <c r="T38" s="653">
        <f>T4-T39</f>
        <v>1810</v>
      </c>
      <c r="U38" s="40">
        <f t="shared" ref="U38:V38" si="153">+U40-U39</f>
        <v>820</v>
      </c>
      <c r="V38" s="630">
        <f t="shared" si="153"/>
        <v>1141</v>
      </c>
      <c r="W38" s="653">
        <f>W4-W39</f>
        <v>1961</v>
      </c>
      <c r="X38" s="40">
        <f t="shared" ref="X38:Y38" si="154">+X40-X39</f>
        <v>814</v>
      </c>
      <c r="Y38" s="630">
        <f t="shared" si="154"/>
        <v>1142</v>
      </c>
      <c r="Z38" s="653">
        <f t="shared" ref="Z38:AO38" si="155">+Z40-Z39</f>
        <v>1956</v>
      </c>
      <c r="AA38" s="40">
        <f t="shared" ref="AA38:AB38" si="156">+AA40-AA39</f>
        <v>945</v>
      </c>
      <c r="AB38" s="630">
        <f t="shared" si="156"/>
        <v>1377</v>
      </c>
      <c r="AC38" s="653">
        <f t="shared" si="155"/>
        <v>2322</v>
      </c>
      <c r="AD38" s="40">
        <f t="shared" si="155"/>
        <v>994</v>
      </c>
      <c r="AE38" s="630">
        <f t="shared" si="155"/>
        <v>1392</v>
      </c>
      <c r="AF38" s="653">
        <f t="shared" si="155"/>
        <v>2386</v>
      </c>
      <c r="AG38" s="40">
        <f t="shared" si="155"/>
        <v>804</v>
      </c>
      <c r="AH38" s="630">
        <f t="shared" si="155"/>
        <v>980</v>
      </c>
      <c r="AI38" s="653">
        <f t="shared" si="155"/>
        <v>1784</v>
      </c>
      <c r="AJ38" s="40">
        <f t="shared" ref="AJ38:AK38" si="157">+AJ40-AJ39</f>
        <v>718</v>
      </c>
      <c r="AK38" s="630">
        <f t="shared" si="157"/>
        <v>1026</v>
      </c>
      <c r="AL38" s="653">
        <f t="shared" si="155"/>
        <v>1744</v>
      </c>
      <c r="AM38" s="40">
        <f t="shared" si="155"/>
        <v>849</v>
      </c>
      <c r="AN38" s="630">
        <f t="shared" si="155"/>
        <v>1338</v>
      </c>
      <c r="AO38" s="653">
        <f t="shared" si="155"/>
        <v>2187</v>
      </c>
      <c r="AP38" s="40">
        <f t="shared" ref="AP38:AR38" si="158">+AP40-AP39</f>
        <v>1175</v>
      </c>
      <c r="AQ38" s="630">
        <f t="shared" si="158"/>
        <v>1486</v>
      </c>
      <c r="AR38" s="653">
        <f t="shared" si="158"/>
        <v>2661</v>
      </c>
      <c r="AS38" s="40">
        <f t="shared" ref="AS38:AU38" si="159">+AS40-AS39</f>
        <v>1257</v>
      </c>
      <c r="AT38" s="630">
        <f t="shared" si="159"/>
        <v>1685</v>
      </c>
      <c r="AU38" s="653">
        <f t="shared" si="159"/>
        <v>2942</v>
      </c>
      <c r="AV38" s="40">
        <f t="shared" ref="AV38:AW38" si="160">+AV40-AV39</f>
        <v>1381</v>
      </c>
      <c r="AW38" s="630">
        <f t="shared" si="160"/>
        <v>2052</v>
      </c>
      <c r="AX38" s="653">
        <f t="shared" ref="AX38:AY38" si="161">+AX40-AX39</f>
        <v>3433</v>
      </c>
      <c r="AY38" s="40">
        <f t="shared" si="161"/>
        <v>1824</v>
      </c>
      <c r="AZ38" s="236">
        <f>BA38-AY38</f>
        <v>2356.5406623058052</v>
      </c>
      <c r="BA38" s="605">
        <f>AX38+BA29+(BA$31*AX41)</f>
        <v>4180.5406623058052</v>
      </c>
      <c r="BB38" s="56">
        <f>AY38+BB29+(BB$31*AY41)</f>
        <v>2283.8594728536386</v>
      </c>
      <c r="BC38" s="236">
        <f>BD38-BB38</f>
        <v>2816.4001351594438</v>
      </c>
      <c r="BD38" s="605">
        <f>BA38+BD29+(BD$31*BA41)</f>
        <v>5100.2596080130825</v>
      </c>
      <c r="BE38" s="56">
        <f>BB38+BE29+(BE$31*BB41)</f>
        <v>2844.8880297350779</v>
      </c>
      <c r="BF38" s="236">
        <f>BG38-BE38</f>
        <v>3377.4286920408822</v>
      </c>
      <c r="BG38" s="605">
        <f>BD38+BG29+(BG$31*BD41)</f>
        <v>6222.3167217759601</v>
      </c>
      <c r="BH38" s="56">
        <f>BE38+BH29+(BH$31*BE41)</f>
        <v>3529.3428691304334</v>
      </c>
      <c r="BI38" s="236">
        <f>BJ38-BH38</f>
        <v>4061.8835314362377</v>
      </c>
      <c r="BJ38" s="605">
        <f>BG38+BJ29+(BJ$31*BG41)</f>
        <v>7591.2264005666711</v>
      </c>
      <c r="BK38" s="56">
        <f>BH38+BK29+(BK$31*BH41)</f>
        <v>4364.3777731927676</v>
      </c>
      <c r="BL38" s="236">
        <f>BM38-BK38</f>
        <v>4896.9184354985719</v>
      </c>
      <c r="BM38" s="605">
        <f t="shared" ref="BM38" si="162">BJ38+BM29+(BM$31*BJ41)</f>
        <v>9261.2962086913394</v>
      </c>
    </row>
    <row r="39" spans="1:66">
      <c r="A39" s="25" t="s">
        <v>365</v>
      </c>
      <c r="C39" s="40"/>
      <c r="D39" s="40"/>
      <c r="E39" s="40"/>
      <c r="F39" s="40"/>
      <c r="G39" s="40"/>
      <c r="H39" s="40"/>
      <c r="I39" s="40"/>
      <c r="J39" s="40"/>
      <c r="K39" s="40"/>
      <c r="L39" s="40"/>
      <c r="M39" s="40"/>
      <c r="N39" s="40"/>
      <c r="O39" s="40">
        <v>827</v>
      </c>
      <c r="P39" s="40">
        <v>827</v>
      </c>
      <c r="Q39" s="40">
        <v>767</v>
      </c>
      <c r="R39" s="40">
        <v>373</v>
      </c>
      <c r="S39" s="630">
        <f t="shared" ref="S39" si="163">T39-R39</f>
        <v>472</v>
      </c>
      <c r="T39" s="653">
        <v>845</v>
      </c>
      <c r="U39" s="40">
        <v>413</v>
      </c>
      <c r="V39" s="630">
        <f t="shared" ref="V39" si="164">W39-U39</f>
        <v>549</v>
      </c>
      <c r="W39" s="653">
        <v>962</v>
      </c>
      <c r="X39" s="40">
        <v>461</v>
      </c>
      <c r="Y39" s="630">
        <f t="shared" ref="Y39" si="165">Z39-X39</f>
        <v>591</v>
      </c>
      <c r="Z39" s="653">
        <v>1052</v>
      </c>
      <c r="AA39" s="40">
        <v>526</v>
      </c>
      <c r="AB39" s="630">
        <f t="shared" ref="AB39" si="166">AC39-AA39</f>
        <v>636</v>
      </c>
      <c r="AC39" s="653">
        <v>1162</v>
      </c>
      <c r="AD39" s="40">
        <v>559</v>
      </c>
      <c r="AE39" s="630">
        <f t="shared" ref="AE39" si="167">AF39-AD39</f>
        <v>600</v>
      </c>
      <c r="AF39" s="653">
        <v>1159</v>
      </c>
      <c r="AG39" s="40">
        <v>410</v>
      </c>
      <c r="AH39" s="630">
        <f t="shared" ref="AH39" si="168">AI39-AG39</f>
        <v>541</v>
      </c>
      <c r="AI39" s="653">
        <v>951</v>
      </c>
      <c r="AJ39" s="40">
        <v>463</v>
      </c>
      <c r="AK39" s="630">
        <f t="shared" ref="AK39" si="169">AL39-AJ39</f>
        <v>542</v>
      </c>
      <c r="AL39" s="653">
        <v>1005</v>
      </c>
      <c r="AM39" s="40">
        <v>522</v>
      </c>
      <c r="AN39" s="630">
        <f t="shared" ref="AN39" si="170">AO39-AM39</f>
        <v>638</v>
      </c>
      <c r="AO39" s="653">
        <v>1160</v>
      </c>
      <c r="AP39" s="40">
        <v>599</v>
      </c>
      <c r="AQ39" s="630">
        <f t="shared" ref="AQ39" si="171">AR39-AP39</f>
        <v>708</v>
      </c>
      <c r="AR39" s="653">
        <v>1307</v>
      </c>
      <c r="AS39" s="40">
        <v>580</v>
      </c>
      <c r="AT39" s="630">
        <f t="shared" ref="AT39" si="172">AU39-AS39</f>
        <v>749</v>
      </c>
      <c r="AU39" s="653">
        <v>1329</v>
      </c>
      <c r="AV39" s="40">
        <v>661</v>
      </c>
      <c r="AW39" s="630">
        <f t="shared" ref="AW39" si="173">AX39-AV39</f>
        <v>798</v>
      </c>
      <c r="AX39" s="653">
        <v>1459</v>
      </c>
      <c r="AY39" s="40">
        <v>780</v>
      </c>
      <c r="AZ39" s="236">
        <f>BA39-AY39</f>
        <v>885.39933769419531</v>
      </c>
      <c r="BA39" s="605">
        <f>BA40-BA38</f>
        <v>1665.3993376941953</v>
      </c>
      <c r="BB39" s="56">
        <f>BB40-BB38</f>
        <v>845.62772714636094</v>
      </c>
      <c r="BC39" s="236">
        <f>BD39-BB39</f>
        <v>1073.6923848405563</v>
      </c>
      <c r="BD39" s="605">
        <f>BD40-BD38</f>
        <v>1919.3201119869173</v>
      </c>
      <c r="BE39" s="56">
        <f>BE40-BE38</f>
        <v>932.31292226492224</v>
      </c>
      <c r="BF39" s="236">
        <f>BG39-BE39</f>
        <v>1310.2381531591182</v>
      </c>
      <c r="BG39" s="605">
        <f>BG40-BG38</f>
        <v>2242.5510754240404</v>
      </c>
      <c r="BH39" s="56">
        <f>BH40-BH38</f>
        <v>1044.517770469567</v>
      </c>
      <c r="BI39" s="236">
        <f>BJ39-BH39</f>
        <v>1604.6209940237604</v>
      </c>
      <c r="BJ39" s="605">
        <f>BJ40-BJ38</f>
        <v>2649.1387644933275</v>
      </c>
      <c r="BK39" s="56">
        <f>BK40-BK38</f>
        <v>1193.2174163872332</v>
      </c>
      <c r="BL39" s="236">
        <f>BM39-BK39</f>
        <v>1976.5726843344273</v>
      </c>
      <c r="BM39" s="605">
        <f>BM40-BM38</f>
        <v>3169.7901007216606</v>
      </c>
    </row>
    <row r="40" spans="1:66" s="31" customFormat="1">
      <c r="A40" s="31" t="s">
        <v>380</v>
      </c>
      <c r="C40" s="51"/>
      <c r="D40" s="51"/>
      <c r="E40" s="51"/>
      <c r="F40" s="51"/>
      <c r="G40" s="51"/>
      <c r="H40" s="51"/>
      <c r="I40" s="51"/>
      <c r="J40" s="51"/>
      <c r="K40" s="51"/>
      <c r="L40" s="51"/>
      <c r="M40" s="51"/>
      <c r="N40" s="51"/>
      <c r="O40" s="51">
        <f>SUM(O38:O39)</f>
        <v>2831</v>
      </c>
      <c r="P40" s="51">
        <f>SUM(P38:P39)</f>
        <v>2720</v>
      </c>
      <c r="Q40" s="51">
        <f>SUM(Q38:Q39)</f>
        <v>2385</v>
      </c>
      <c r="R40" s="51">
        <f t="shared" ref="R40:S40" si="174">+R33</f>
        <v>1084</v>
      </c>
      <c r="S40" s="629">
        <f t="shared" si="174"/>
        <v>1571</v>
      </c>
      <c r="T40" s="652">
        <f>SUM(T38:T39)</f>
        <v>2655</v>
      </c>
      <c r="U40" s="51">
        <f t="shared" ref="U40:V40" si="175">+U33</f>
        <v>1233</v>
      </c>
      <c r="V40" s="629">
        <f t="shared" si="175"/>
        <v>1690</v>
      </c>
      <c r="W40" s="652">
        <f>SUM(W38:W39)</f>
        <v>2923</v>
      </c>
      <c r="X40" s="51">
        <f t="shared" ref="X40:Y40" si="176">+X33</f>
        <v>1275</v>
      </c>
      <c r="Y40" s="629">
        <f t="shared" si="176"/>
        <v>1733</v>
      </c>
      <c r="Z40" s="652">
        <f t="shared" ref="Z40:AO40" si="177">+Z33</f>
        <v>3008</v>
      </c>
      <c r="AA40" s="51">
        <f t="shared" ref="AA40:AB40" si="178">+AA33</f>
        <v>1471</v>
      </c>
      <c r="AB40" s="629">
        <f t="shared" si="178"/>
        <v>2013</v>
      </c>
      <c r="AC40" s="652">
        <f t="shared" si="177"/>
        <v>3484</v>
      </c>
      <c r="AD40" s="51">
        <f t="shared" si="177"/>
        <v>1553</v>
      </c>
      <c r="AE40" s="629">
        <f t="shared" si="177"/>
        <v>1992</v>
      </c>
      <c r="AF40" s="652">
        <f t="shared" si="177"/>
        <v>3545</v>
      </c>
      <c r="AG40" s="51">
        <f t="shared" si="177"/>
        <v>1214</v>
      </c>
      <c r="AH40" s="629">
        <f t="shared" si="177"/>
        <v>1521</v>
      </c>
      <c r="AI40" s="652">
        <f t="shared" si="177"/>
        <v>2735</v>
      </c>
      <c r="AJ40" s="51">
        <f t="shared" ref="AJ40:AK40" si="179">+AJ33</f>
        <v>1181</v>
      </c>
      <c r="AK40" s="629">
        <f t="shared" si="179"/>
        <v>1568</v>
      </c>
      <c r="AL40" s="652">
        <f t="shared" si="177"/>
        <v>2749</v>
      </c>
      <c r="AM40" s="51">
        <f t="shared" si="177"/>
        <v>1371</v>
      </c>
      <c r="AN40" s="629">
        <f t="shared" ref="AN40" si="180">+AN33</f>
        <v>1976</v>
      </c>
      <c r="AO40" s="652">
        <f t="shared" si="177"/>
        <v>3347</v>
      </c>
      <c r="AP40" s="51">
        <f t="shared" ref="AP40:AR40" si="181">+AP33</f>
        <v>1774</v>
      </c>
      <c r="AQ40" s="629">
        <f t="shared" si="181"/>
        <v>2194</v>
      </c>
      <c r="AR40" s="652">
        <f t="shared" si="181"/>
        <v>3968</v>
      </c>
      <c r="AS40" s="51">
        <f t="shared" ref="AS40:AU40" si="182">+AS33</f>
        <v>1837</v>
      </c>
      <c r="AT40" s="629">
        <f t="shared" si="182"/>
        <v>2434</v>
      </c>
      <c r="AU40" s="652">
        <f t="shared" si="182"/>
        <v>4271</v>
      </c>
      <c r="AV40" s="51">
        <f t="shared" ref="AV40:AW40" si="183">+AV33</f>
        <v>2042</v>
      </c>
      <c r="AW40" s="629">
        <f t="shared" si="183"/>
        <v>2850</v>
      </c>
      <c r="AX40" s="652">
        <f t="shared" ref="AX40:AY40" si="184">+AX33</f>
        <v>4892</v>
      </c>
      <c r="AY40" s="51">
        <f t="shared" si="184"/>
        <v>2604</v>
      </c>
      <c r="AZ40" s="237">
        <f t="shared" ref="AZ40:BM40" si="185">AZ53</f>
        <v>3241.9400000000005</v>
      </c>
      <c r="BA40" s="576">
        <f t="shared" si="185"/>
        <v>5845.9400000000005</v>
      </c>
      <c r="BB40" s="48">
        <f t="shared" si="185"/>
        <v>3129.4871999999996</v>
      </c>
      <c r="BC40" s="237">
        <f t="shared" si="185"/>
        <v>3890.0925200000001</v>
      </c>
      <c r="BD40" s="576">
        <f t="shared" si="185"/>
        <v>7019.5797199999997</v>
      </c>
      <c r="BE40" s="48">
        <f t="shared" si="185"/>
        <v>3777.2009520000001</v>
      </c>
      <c r="BF40" s="237">
        <f t="shared" si="185"/>
        <v>4687.6668452000004</v>
      </c>
      <c r="BG40" s="576">
        <f t="shared" si="185"/>
        <v>8464.8677972000005</v>
      </c>
      <c r="BH40" s="48">
        <f t="shared" si="185"/>
        <v>4573.8606396000005</v>
      </c>
      <c r="BI40" s="237">
        <f t="shared" si="185"/>
        <v>5666.5045254599981</v>
      </c>
      <c r="BJ40" s="576">
        <f t="shared" si="185"/>
        <v>10240.365165059999</v>
      </c>
      <c r="BK40" s="48">
        <f t="shared" si="185"/>
        <v>5557.5951895800008</v>
      </c>
      <c r="BL40" s="237">
        <f t="shared" si="185"/>
        <v>6873.4911198329992</v>
      </c>
      <c r="BM40" s="576">
        <f t="shared" si="185"/>
        <v>12431.086309413</v>
      </c>
    </row>
    <row r="41" spans="1:66">
      <c r="A41" s="61" t="s">
        <v>390</v>
      </c>
      <c r="C41" s="40"/>
      <c r="D41" s="40"/>
      <c r="E41" s="40"/>
      <c r="F41" s="50"/>
      <c r="G41" s="50"/>
      <c r="H41" s="50"/>
      <c r="I41" s="50"/>
      <c r="J41" s="50"/>
      <c r="K41" s="50"/>
      <c r="L41" s="50"/>
      <c r="M41" s="50"/>
      <c r="N41" s="50"/>
      <c r="O41" s="50">
        <f t="shared" ref="O41:BM41" si="186">O38/O40</f>
        <v>0.70787707523843169</v>
      </c>
      <c r="P41" s="50">
        <f t="shared" si="186"/>
        <v>0.69595588235294115</v>
      </c>
      <c r="Q41" s="50">
        <f t="shared" si="186"/>
        <v>0.67840670859538788</v>
      </c>
      <c r="R41" s="952">
        <f t="shared" si="186"/>
        <v>0.65590405904059046</v>
      </c>
      <c r="S41" s="647">
        <f t="shared" si="186"/>
        <v>0.69955442393380007</v>
      </c>
      <c r="T41" s="671">
        <f t="shared" si="186"/>
        <v>0.68173258003766479</v>
      </c>
      <c r="U41" s="952">
        <f t="shared" ref="U41:V41" si="187">U38/U40</f>
        <v>0.66504460665044607</v>
      </c>
      <c r="V41" s="647">
        <f t="shared" si="187"/>
        <v>0.67514792899408282</v>
      </c>
      <c r="W41" s="671">
        <f t="shared" si="186"/>
        <v>0.67088607594936711</v>
      </c>
      <c r="X41" s="952">
        <f t="shared" si="186"/>
        <v>0.6384313725490196</v>
      </c>
      <c r="Y41" s="647">
        <f t="shared" si="186"/>
        <v>0.65897287939988458</v>
      </c>
      <c r="Z41" s="671">
        <f>Z38/Z40</f>
        <v>0.65026595744680848</v>
      </c>
      <c r="AA41" s="952">
        <f t="shared" ref="AA41:AB41" si="188">AA38/AA40</f>
        <v>0.64242012236573764</v>
      </c>
      <c r="AB41" s="647">
        <f t="shared" si="188"/>
        <v>0.68405365126676598</v>
      </c>
      <c r="AC41" s="671">
        <f t="shared" si="186"/>
        <v>0.66647531572904706</v>
      </c>
      <c r="AD41" s="952">
        <f t="shared" ref="AD41:AE41" si="189">AD38/AD40</f>
        <v>0.64005151320025755</v>
      </c>
      <c r="AE41" s="647">
        <f t="shared" si="189"/>
        <v>0.6987951807228916</v>
      </c>
      <c r="AF41" s="671">
        <f t="shared" si="186"/>
        <v>0.67306064880112837</v>
      </c>
      <c r="AG41" s="952">
        <f t="shared" ref="AG41:AH41" si="190">AG38/AG40</f>
        <v>0.66227347611202636</v>
      </c>
      <c r="AH41" s="647">
        <f t="shared" si="190"/>
        <v>0.64431295200525973</v>
      </c>
      <c r="AI41" s="671">
        <f t="shared" si="186"/>
        <v>0.65228519195612433</v>
      </c>
      <c r="AJ41" s="952">
        <f t="shared" si="186"/>
        <v>0.60795935647756139</v>
      </c>
      <c r="AK41" s="647">
        <f t="shared" si="186"/>
        <v>0.65433673469387754</v>
      </c>
      <c r="AL41" s="671">
        <f>AL38/AL40</f>
        <v>0.63441251364132412</v>
      </c>
      <c r="AM41" s="952">
        <f t="shared" ref="AM41:AN41" si="191">AM38/AM40</f>
        <v>0.61925601750547044</v>
      </c>
      <c r="AN41" s="647">
        <f t="shared" si="191"/>
        <v>0.67712550607287447</v>
      </c>
      <c r="AO41" s="671">
        <f t="shared" si="186"/>
        <v>0.65342097400657306</v>
      </c>
      <c r="AP41" s="952">
        <f t="shared" ref="AP41:AR41" si="192">AP38/AP40</f>
        <v>0.66234498308906431</v>
      </c>
      <c r="AQ41" s="647">
        <f t="shared" si="192"/>
        <v>0.67730173199635368</v>
      </c>
      <c r="AR41" s="671">
        <f t="shared" si="192"/>
        <v>0.67061491935483875</v>
      </c>
      <c r="AS41" s="952">
        <f t="shared" ref="AS41:AU41" si="193">AS38/AS40</f>
        <v>0.68426782798040287</v>
      </c>
      <c r="AT41" s="647">
        <f t="shared" si="193"/>
        <v>0.69227608874281021</v>
      </c>
      <c r="AU41" s="671">
        <f t="shared" si="193"/>
        <v>0.6888316553500351</v>
      </c>
      <c r="AV41" s="952">
        <f t="shared" ref="AV41:AW41" si="194">AV38/AV40</f>
        <v>0.67629774730656222</v>
      </c>
      <c r="AW41" s="647">
        <f t="shared" si="194"/>
        <v>0.72</v>
      </c>
      <c r="AX41" s="671">
        <f t="shared" si="186"/>
        <v>0.70175797219950942</v>
      </c>
      <c r="AY41" s="952">
        <f t="shared" si="186"/>
        <v>0.70046082949308752</v>
      </c>
      <c r="AZ41" s="252">
        <f t="shared" si="186"/>
        <v>0.7268921270306683</v>
      </c>
      <c r="BA41" s="577">
        <f t="shared" si="186"/>
        <v>0.71511863999729808</v>
      </c>
      <c r="BB41" s="251">
        <f t="shared" si="186"/>
        <v>0.72978712705827298</v>
      </c>
      <c r="BC41" s="252">
        <f t="shared" si="186"/>
        <v>0.72399309802519651</v>
      </c>
      <c r="BD41" s="577">
        <f t="shared" si="186"/>
        <v>0.72657620704578063</v>
      </c>
      <c r="BE41" s="251">
        <f t="shared" si="186"/>
        <v>0.75317359756269531</v>
      </c>
      <c r="BF41" s="252">
        <f t="shared" si="186"/>
        <v>0.72049247601698607</v>
      </c>
      <c r="BG41" s="577">
        <f t="shared" si="186"/>
        <v>0.73507547558323016</v>
      </c>
      <c r="BH41" s="251">
        <f t="shared" si="186"/>
        <v>0.7716332322357522</v>
      </c>
      <c r="BI41" s="252">
        <f t="shared" si="186"/>
        <v>0.71682348671670748</v>
      </c>
      <c r="BJ41" s="577">
        <f t="shared" si="186"/>
        <v>0.74130426778801239</v>
      </c>
      <c r="BK41" s="251">
        <f t="shared" si="186"/>
        <v>0.7852996888610364</v>
      </c>
      <c r="BL41" s="252">
        <f t="shared" si="186"/>
        <v>0.71243540584039466</v>
      </c>
      <c r="BM41" s="577">
        <f t="shared" si="186"/>
        <v>0.74501101337206155</v>
      </c>
    </row>
    <row r="42" spans="1:66">
      <c r="A42" s="61" t="s">
        <v>391</v>
      </c>
      <c r="C42" s="40"/>
      <c r="D42" s="40"/>
      <c r="E42" s="40"/>
      <c r="F42" s="50"/>
      <c r="G42" s="50"/>
      <c r="H42" s="50"/>
      <c r="I42" s="50"/>
      <c r="J42" s="50"/>
      <c r="K42" s="50"/>
      <c r="L42" s="50"/>
      <c r="M42" s="50"/>
      <c r="N42" s="50"/>
      <c r="O42" s="50">
        <f t="shared" ref="O42:BM42" si="195">O39/O40</f>
        <v>0.29212292476156837</v>
      </c>
      <c r="P42" s="50">
        <f t="shared" si="195"/>
        <v>0.3040441176470588</v>
      </c>
      <c r="Q42" s="50">
        <f t="shared" si="195"/>
        <v>0.32159329140461218</v>
      </c>
      <c r="R42" s="952">
        <f t="shared" si="195"/>
        <v>0.3440959409594096</v>
      </c>
      <c r="S42" s="647">
        <f t="shared" si="195"/>
        <v>0.30044557606619987</v>
      </c>
      <c r="T42" s="671">
        <f t="shared" si="195"/>
        <v>0.31826741996233521</v>
      </c>
      <c r="U42" s="952">
        <f t="shared" ref="U42:V42" si="196">U39/U40</f>
        <v>0.33495539334955393</v>
      </c>
      <c r="V42" s="647">
        <f t="shared" si="196"/>
        <v>0.32485207100591718</v>
      </c>
      <c r="W42" s="671">
        <f t="shared" si="195"/>
        <v>0.32911392405063289</v>
      </c>
      <c r="X42" s="952">
        <f t="shared" si="195"/>
        <v>0.3615686274509804</v>
      </c>
      <c r="Y42" s="647">
        <f t="shared" si="195"/>
        <v>0.34102712060011542</v>
      </c>
      <c r="Z42" s="671">
        <f>Z39/Z40</f>
        <v>0.34973404255319152</v>
      </c>
      <c r="AA42" s="952">
        <f t="shared" ref="AA42:AB42" si="197">AA39/AA40</f>
        <v>0.35757987763426241</v>
      </c>
      <c r="AB42" s="647">
        <f t="shared" si="197"/>
        <v>0.31594634873323396</v>
      </c>
      <c r="AC42" s="671">
        <f t="shared" si="195"/>
        <v>0.33352468427095294</v>
      </c>
      <c r="AD42" s="952">
        <f t="shared" ref="AD42:AE42" si="198">AD39/AD40</f>
        <v>0.35994848679974245</v>
      </c>
      <c r="AE42" s="647">
        <f t="shared" si="198"/>
        <v>0.30120481927710846</v>
      </c>
      <c r="AF42" s="671">
        <f t="shared" si="195"/>
        <v>0.32693935119887163</v>
      </c>
      <c r="AG42" s="952">
        <f t="shared" ref="AG42:AH42" si="199">AG39/AG40</f>
        <v>0.33772652388797364</v>
      </c>
      <c r="AH42" s="647">
        <f t="shared" si="199"/>
        <v>0.35568704799474032</v>
      </c>
      <c r="AI42" s="671">
        <f t="shared" si="195"/>
        <v>0.34771480804387567</v>
      </c>
      <c r="AJ42" s="952">
        <f t="shared" si="195"/>
        <v>0.39204064352243861</v>
      </c>
      <c r="AK42" s="647">
        <f t="shared" si="195"/>
        <v>0.34566326530612246</v>
      </c>
      <c r="AL42" s="671">
        <f>AL39/AL40</f>
        <v>0.36558748635867588</v>
      </c>
      <c r="AM42" s="952">
        <f t="shared" ref="AM42:AN42" si="200">AM39/AM40</f>
        <v>0.38074398249452956</v>
      </c>
      <c r="AN42" s="647">
        <f t="shared" si="200"/>
        <v>0.32287449392712553</v>
      </c>
      <c r="AO42" s="671">
        <f t="shared" si="195"/>
        <v>0.34657902599342694</v>
      </c>
      <c r="AP42" s="952">
        <f t="shared" ref="AP42:AR42" si="201">AP39/AP40</f>
        <v>0.33765501691093575</v>
      </c>
      <c r="AQ42" s="647">
        <f t="shared" si="201"/>
        <v>0.32269826800364632</v>
      </c>
      <c r="AR42" s="671">
        <f t="shared" si="201"/>
        <v>0.32938508064516131</v>
      </c>
      <c r="AS42" s="952">
        <f t="shared" ref="AS42:AU42" si="202">AS39/AS40</f>
        <v>0.31573217201959719</v>
      </c>
      <c r="AT42" s="647">
        <f t="shared" si="202"/>
        <v>0.30772391125718979</v>
      </c>
      <c r="AU42" s="671">
        <f t="shared" si="202"/>
        <v>0.3111683446499649</v>
      </c>
      <c r="AV42" s="952">
        <f t="shared" ref="AV42:AW42" si="203">AV39/AV40</f>
        <v>0.32370225269343783</v>
      </c>
      <c r="AW42" s="647">
        <f t="shared" si="203"/>
        <v>0.28000000000000003</v>
      </c>
      <c r="AX42" s="671">
        <f t="shared" si="195"/>
        <v>0.29824202780049058</v>
      </c>
      <c r="AY42" s="952">
        <f t="shared" si="195"/>
        <v>0.29953917050691242</v>
      </c>
      <c r="AZ42" s="252">
        <f t="shared" si="195"/>
        <v>0.2731078729693317</v>
      </c>
      <c r="BA42" s="577">
        <f t="shared" si="195"/>
        <v>0.28488136000270192</v>
      </c>
      <c r="BB42" s="251">
        <f t="shared" si="195"/>
        <v>0.27021287294172702</v>
      </c>
      <c r="BC42" s="252">
        <f t="shared" si="195"/>
        <v>0.27600690197480349</v>
      </c>
      <c r="BD42" s="577">
        <f t="shared" si="195"/>
        <v>0.27342379295421937</v>
      </c>
      <c r="BE42" s="251">
        <f t="shared" si="195"/>
        <v>0.24682640243730464</v>
      </c>
      <c r="BF42" s="252">
        <f t="shared" si="195"/>
        <v>0.27950752398301387</v>
      </c>
      <c r="BG42" s="577">
        <f t="shared" si="195"/>
        <v>0.26492452441676984</v>
      </c>
      <c r="BH42" s="251">
        <f t="shared" si="195"/>
        <v>0.22836676776424777</v>
      </c>
      <c r="BI42" s="252">
        <f t="shared" si="195"/>
        <v>0.28317651328329252</v>
      </c>
      <c r="BJ42" s="577">
        <f t="shared" si="195"/>
        <v>0.25869573221198761</v>
      </c>
      <c r="BK42" s="251">
        <f t="shared" si="195"/>
        <v>0.21470031113896354</v>
      </c>
      <c r="BL42" s="252">
        <f t="shared" si="195"/>
        <v>0.28756459415960528</v>
      </c>
      <c r="BM42" s="577">
        <f t="shared" si="195"/>
        <v>0.25498898662793851</v>
      </c>
    </row>
    <row r="43" spans="1:66"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630"/>
      <c r="T43" s="653"/>
      <c r="U43" s="40"/>
      <c r="V43" s="630"/>
      <c r="W43" s="653"/>
      <c r="X43" s="40"/>
      <c r="Y43" s="630"/>
      <c r="Z43" s="653"/>
      <c r="AA43" s="40"/>
      <c r="AB43" s="630"/>
      <c r="AC43" s="653"/>
      <c r="AD43" s="40"/>
      <c r="AE43" s="630"/>
      <c r="AF43" s="653"/>
      <c r="AG43" s="40"/>
      <c r="AH43" s="630"/>
      <c r="AI43" s="653"/>
      <c r="AJ43" s="40"/>
      <c r="AK43" s="630"/>
      <c r="AL43" s="653"/>
      <c r="AM43" s="40"/>
      <c r="AN43" s="630"/>
      <c r="AO43" s="653"/>
      <c r="AP43" s="40"/>
      <c r="AQ43" s="539"/>
      <c r="AR43" s="550"/>
      <c r="AS43" s="40"/>
      <c r="AT43" s="539"/>
      <c r="AU43" s="550"/>
      <c r="AV43" s="40"/>
      <c r="AW43" s="539"/>
      <c r="AX43" s="550"/>
      <c r="AY43" s="40"/>
      <c r="AZ43" s="539"/>
      <c r="BA43" s="550"/>
      <c r="BB43"/>
      <c r="BC43" s="539"/>
      <c r="BD43" s="550"/>
      <c r="BE43"/>
      <c r="BF43" s="539"/>
      <c r="BG43" s="550"/>
      <c r="BH43"/>
      <c r="BI43" s="539"/>
      <c r="BJ43" s="550"/>
      <c r="BK43"/>
      <c r="BL43" s="539"/>
      <c r="BM43" s="550"/>
    </row>
    <row r="44" spans="1:66">
      <c r="A44" s="25" t="s">
        <v>388</v>
      </c>
      <c r="C44" s="40"/>
      <c r="D44" s="40"/>
      <c r="E44" s="40"/>
      <c r="F44" s="40"/>
      <c r="G44" s="40"/>
      <c r="H44" s="40"/>
      <c r="I44" s="40"/>
      <c r="J44" s="40"/>
      <c r="K44" s="40"/>
      <c r="L44" s="40"/>
      <c r="M44" s="40"/>
      <c r="N44" s="40"/>
      <c r="O44" s="40"/>
      <c r="P44" s="40"/>
      <c r="Q44" s="50">
        <f t="shared" ref="Q44:Q45" si="204">Q29/P38</f>
        <v>-5.1241415742208134E-2</v>
      </c>
      <c r="R44" s="952">
        <v>-0.03</v>
      </c>
      <c r="S44" s="647">
        <f>T44*2-R44</f>
        <v>1.8875154511742889E-2</v>
      </c>
      <c r="T44" s="671">
        <f>T29/Q38</f>
        <v>-5.5624227441285539E-3</v>
      </c>
      <c r="U44" s="952">
        <v>0.05</v>
      </c>
      <c r="V44" s="647">
        <f>V29/S38</f>
        <v>-1.364877161055505E-2</v>
      </c>
      <c r="W44" s="671">
        <f>W29/T38</f>
        <v>9.9447513812154689E-3</v>
      </c>
      <c r="X44" s="50"/>
      <c r="Y44" s="647"/>
      <c r="Z44" s="671"/>
      <c r="AA44" s="952">
        <v>0.14000000000000001</v>
      </c>
      <c r="AB44" s="647">
        <f>AB29/Y38</f>
        <v>0.20851138353765322</v>
      </c>
      <c r="AC44" s="671">
        <v>0.18</v>
      </c>
      <c r="AD44" s="952">
        <v>0.06</v>
      </c>
      <c r="AE44" s="647">
        <f>AE29/AB38</f>
        <v>2.627450980392157E-2</v>
      </c>
      <c r="AF44" s="671">
        <v>0.04</v>
      </c>
      <c r="AG44" s="50"/>
      <c r="AH44" s="647"/>
      <c r="AI44" s="671">
        <v>-0.21</v>
      </c>
      <c r="AJ44" s="952">
        <v>-0.13</v>
      </c>
      <c r="AK44" s="647">
        <f>AK29/AH38</f>
        <v>0.10510204081632653</v>
      </c>
      <c r="AL44" s="671">
        <v>0</v>
      </c>
      <c r="AM44" s="952">
        <v>0.21</v>
      </c>
      <c r="AN44" s="647">
        <f>AN29/AK38</f>
        <v>0.30116959064327486</v>
      </c>
      <c r="AO44" s="671">
        <v>0.26</v>
      </c>
      <c r="AP44" s="952">
        <v>0.33</v>
      </c>
      <c r="AQ44" s="647">
        <f>AQ29/AN38</f>
        <v>0.1031390134529148</v>
      </c>
      <c r="AR44" s="671">
        <v>0.19</v>
      </c>
      <c r="AS44" s="952">
        <v>0.1</v>
      </c>
      <c r="AT44" s="647">
        <f>AT29/AQ38</f>
        <v>0.16621803499327054</v>
      </c>
      <c r="AU44" s="671">
        <v>0.14000000000000001</v>
      </c>
      <c r="AV44" s="952">
        <v>0.21</v>
      </c>
      <c r="AW44" s="647">
        <f>AW29/AT38</f>
        <v>0.29554896142433235</v>
      </c>
      <c r="AX44" s="671">
        <v>0.23</v>
      </c>
      <c r="AY44" s="952">
        <v>0.33</v>
      </c>
      <c r="AZ44" s="599">
        <f>AZ29/AW38</f>
        <v>0.14486354775828458</v>
      </c>
      <c r="BA44" s="618">
        <v>0.22</v>
      </c>
      <c r="BB44" s="435">
        <f>BB29/AY38</f>
        <v>0.25211593906449481</v>
      </c>
      <c r="BC44" s="599">
        <f>BC29/AZ38</f>
        <v>0.19514175172503906</v>
      </c>
      <c r="BD44" s="618">
        <v>0.22</v>
      </c>
      <c r="BE44" s="435">
        <f>BE29/BB38</f>
        <v>0.24564933331053185</v>
      </c>
      <c r="BF44" s="599">
        <f>BF29/BC38</f>
        <v>0.1992005858392269</v>
      </c>
      <c r="BG44" s="618">
        <v>0.22</v>
      </c>
      <c r="BH44" s="435">
        <f>BH29/BE38</f>
        <v>0.24059113477977323</v>
      </c>
      <c r="BI44" s="599">
        <f>BI29/BF38</f>
        <v>0.20265560040048083</v>
      </c>
      <c r="BJ44" s="618">
        <v>0.22</v>
      </c>
      <c r="BK44" s="435">
        <f>BK29/BH38</f>
        <v>0.2365978413052488</v>
      </c>
      <c r="BL44" s="599">
        <f>BL29/BI38</f>
        <v>0.20557824900682825</v>
      </c>
      <c r="BM44" s="618">
        <v>0.22</v>
      </c>
    </row>
    <row r="45" spans="1:66">
      <c r="A45" s="25" t="s">
        <v>389</v>
      </c>
      <c r="C45" s="40"/>
      <c r="D45" s="40"/>
      <c r="E45" s="40"/>
      <c r="F45" s="40"/>
      <c r="G45" s="40"/>
      <c r="H45" s="40"/>
      <c r="I45" s="40"/>
      <c r="J45" s="40"/>
      <c r="K45" s="40"/>
      <c r="L45" s="40"/>
      <c r="M45" s="40"/>
      <c r="N45" s="40"/>
      <c r="O45" s="40"/>
      <c r="P45" s="40"/>
      <c r="Q45" s="50">
        <f t="shared" si="204"/>
        <v>3.0229746070133012E-2</v>
      </c>
      <c r="R45" s="952">
        <v>-0.02</v>
      </c>
      <c r="S45" s="647">
        <f>T45*2-R45</f>
        <v>-2.1720990873533245E-2</v>
      </c>
      <c r="T45" s="671">
        <f>T30/Q39</f>
        <v>-2.0860495436766623E-2</v>
      </c>
      <c r="U45" s="952">
        <v>0.01</v>
      </c>
      <c r="V45" s="647">
        <f>V30/S39</f>
        <v>0.1059322033898305</v>
      </c>
      <c r="W45" s="671">
        <f>W30/T39</f>
        <v>6.1538461538461542E-2</v>
      </c>
      <c r="X45" s="50"/>
      <c r="Y45" s="647"/>
      <c r="Z45" s="671"/>
      <c r="AA45" s="952">
        <v>0.12</v>
      </c>
      <c r="AB45" s="647">
        <f>AB30/Y39</f>
        <v>8.4399323181049077E-2</v>
      </c>
      <c r="AC45" s="671">
        <v>0.1</v>
      </c>
      <c r="AD45" s="952">
        <v>7.0000000000000007E-2</v>
      </c>
      <c r="AE45" s="647">
        <f>AE30/AB39</f>
        <v>1.5188679245283025E-2</v>
      </c>
      <c r="AF45" s="671">
        <v>0.04</v>
      </c>
      <c r="AG45" s="50"/>
      <c r="AH45" s="647"/>
      <c r="AI45" s="671">
        <v>-0.06</v>
      </c>
      <c r="AJ45" s="952">
        <v>0.13</v>
      </c>
      <c r="AK45" s="647">
        <f>AK30/AH39</f>
        <v>6.4695009242144177E-2</v>
      </c>
      <c r="AL45" s="671">
        <v>0.1</v>
      </c>
      <c r="AM45" s="952">
        <v>0.17</v>
      </c>
      <c r="AN45" s="647">
        <f>AN30/AK39</f>
        <v>0.16236162361623616</v>
      </c>
      <c r="AO45" s="671">
        <v>0.16</v>
      </c>
      <c r="AP45" s="952">
        <v>0.1</v>
      </c>
      <c r="AQ45" s="647">
        <f>AQ30/AN39</f>
        <v>0.10501567398119123</v>
      </c>
      <c r="AR45" s="671">
        <v>0.1</v>
      </c>
      <c r="AS45" s="952">
        <v>-0.01</v>
      </c>
      <c r="AT45" s="647">
        <f>AT30/AQ39</f>
        <v>8.8983050847457626E-2</v>
      </c>
      <c r="AU45" s="671">
        <v>0.05</v>
      </c>
      <c r="AV45" s="952">
        <v>0.17</v>
      </c>
      <c r="AW45" s="647">
        <f>AW30/AT39</f>
        <v>8.4112149532710276E-2</v>
      </c>
      <c r="AX45" s="671">
        <v>0.12</v>
      </c>
      <c r="AY45" s="952">
        <v>0.17</v>
      </c>
      <c r="AZ45" s="599">
        <f>AZ30/AW39</f>
        <v>0.1145355108949816</v>
      </c>
      <c r="BA45" s="577">
        <f>BA30/AX39</f>
        <v>0.14146630410842723</v>
      </c>
      <c r="BB45" s="435">
        <f>BB30/AY39</f>
        <v>8.4138111726103762E-2</v>
      </c>
      <c r="BC45" s="599">
        <f>BC30/AZ39</f>
        <v>0.21266454483320929</v>
      </c>
      <c r="BD45" s="577">
        <f>BD30/BA39</f>
        <v>0.15246840114893062</v>
      </c>
      <c r="BE45" s="435">
        <f>BE30/BB39</f>
        <v>0.10250987797087435</v>
      </c>
      <c r="BF45" s="599">
        <f>BF30/BC39</f>
        <v>0.22031055790126422</v>
      </c>
      <c r="BG45" s="577">
        <f>BG30/BD39</f>
        <v>0.16840909518866459</v>
      </c>
      <c r="BH45" s="435">
        <f>BH30/BE39</f>
        <v>0.12035105974082072</v>
      </c>
      <c r="BI45" s="599">
        <f>BI30/BF39</f>
        <v>0.22467888006073944</v>
      </c>
      <c r="BJ45" s="577">
        <f>BJ30/BG39</f>
        <v>0.18130587683154822</v>
      </c>
      <c r="BK45" s="435">
        <f>BK30/BH39</f>
        <v>0.14236200677640717</v>
      </c>
      <c r="BL45" s="599">
        <f>BL30/BI39</f>
        <v>0.23180033895602839</v>
      </c>
      <c r="BM45" s="577">
        <f>BM30/BJ39</f>
        <v>0.19653607549996066</v>
      </c>
    </row>
    <row r="46" spans="1:66" ht="11.4">
      <c r="S46" s="595"/>
      <c r="T46" s="619"/>
      <c r="V46" s="595"/>
      <c r="W46" s="619"/>
      <c r="Y46" s="595"/>
      <c r="Z46" s="619"/>
      <c r="AB46" s="595"/>
      <c r="AC46" s="619"/>
      <c r="AE46" s="595"/>
      <c r="AF46" s="619"/>
      <c r="AH46" s="595"/>
      <c r="AI46" s="619"/>
      <c r="AK46" s="595"/>
      <c r="AL46" s="619"/>
      <c r="AN46" s="595"/>
      <c r="AO46" s="619"/>
      <c r="AQ46" s="688"/>
      <c r="AR46" s="685"/>
      <c r="AS46" s="19"/>
      <c r="AT46" s="688"/>
      <c r="AU46" s="580"/>
      <c r="AV46" s="19"/>
      <c r="AW46" s="688"/>
      <c r="AX46" s="580"/>
      <c r="AY46" s="19"/>
      <c r="AZ46" s="688"/>
      <c r="BA46" s="550"/>
      <c r="BB46" s="19"/>
      <c r="BC46" s="688"/>
      <c r="BD46" s="550"/>
      <c r="BE46" s="19"/>
      <c r="BF46" s="688"/>
      <c r="BG46" s="550"/>
      <c r="BH46" s="19"/>
      <c r="BI46" s="688"/>
      <c r="BJ46" s="550"/>
      <c r="BK46" s="19"/>
      <c r="BL46" s="688"/>
      <c r="BM46" s="550"/>
    </row>
    <row r="47" spans="1:66">
      <c r="A47" s="31" t="s">
        <v>829</v>
      </c>
      <c r="H47" s="32"/>
      <c r="I47" s="32"/>
      <c r="J47" s="32"/>
      <c r="K47" s="32"/>
      <c r="L47" s="32"/>
      <c r="M47" s="32"/>
      <c r="N47" s="32"/>
      <c r="O47" s="112">
        <f>SUM(O48:O51)</f>
        <v>1</v>
      </c>
      <c r="P47" s="112">
        <f>SUM(P48:P51)</f>
        <v>1</v>
      </c>
      <c r="Q47" s="112">
        <f>SUM(Q48:Q51)</f>
        <v>0.99999999999999989</v>
      </c>
      <c r="R47" s="112"/>
      <c r="S47" s="865"/>
      <c r="T47" s="889">
        <f>SUM(T48:T51)</f>
        <v>1</v>
      </c>
      <c r="U47" s="112"/>
      <c r="V47" s="865"/>
      <c r="W47" s="889">
        <f>SUM(W48:W51)</f>
        <v>1</v>
      </c>
      <c r="X47" s="112"/>
      <c r="Y47" s="865"/>
      <c r="Z47" s="653"/>
      <c r="AA47" s="951">
        <f>+SUM(AA48:AA51)</f>
        <v>1</v>
      </c>
      <c r="AB47" s="865">
        <f>+SUM(AB48:AB51)</f>
        <v>1</v>
      </c>
      <c r="AC47" s="889">
        <f>SUM(AC48:AC51)</f>
        <v>0.99999999999999989</v>
      </c>
      <c r="AD47" s="951">
        <f>+SUM(AD48:AD51)</f>
        <v>1</v>
      </c>
      <c r="AE47" s="865">
        <f>+SUM(AE48:AE51)</f>
        <v>1</v>
      </c>
      <c r="AF47" s="889">
        <f>SUM(AF48:AF51)</f>
        <v>1</v>
      </c>
      <c r="AG47" s="951">
        <f t="shared" ref="AG47:AP47" si="205">+SUM(AG48:AG51)</f>
        <v>1</v>
      </c>
      <c r="AH47" s="865">
        <f t="shared" si="205"/>
        <v>1.0000000000000002</v>
      </c>
      <c r="AI47" s="889">
        <f t="shared" si="205"/>
        <v>1.0000000000000002</v>
      </c>
      <c r="AJ47" s="951">
        <f t="shared" si="205"/>
        <v>1.0000000000000002</v>
      </c>
      <c r="AK47" s="865">
        <f t="shared" si="205"/>
        <v>1.0000000000000002</v>
      </c>
      <c r="AL47" s="889">
        <f t="shared" si="205"/>
        <v>1.0000000000000002</v>
      </c>
      <c r="AM47" s="951">
        <f t="shared" si="205"/>
        <v>1.0000000000000002</v>
      </c>
      <c r="AN47" s="865">
        <f t="shared" si="205"/>
        <v>1</v>
      </c>
      <c r="AO47" s="889">
        <f t="shared" si="205"/>
        <v>1.0000000000000002</v>
      </c>
      <c r="AP47" s="951">
        <f t="shared" si="205"/>
        <v>1</v>
      </c>
      <c r="AQ47" s="865">
        <f t="shared" ref="AQ47:BM47" si="206">+SUM(AQ48:AQ51)</f>
        <v>1</v>
      </c>
      <c r="AR47" s="889">
        <f t="shared" si="206"/>
        <v>1</v>
      </c>
      <c r="AS47" s="951">
        <f t="shared" si="206"/>
        <v>1</v>
      </c>
      <c r="AT47" s="865">
        <f t="shared" ref="AT47:AV47" si="207">+SUM(AT48:AT51)</f>
        <v>1.0000000000000002</v>
      </c>
      <c r="AU47" s="889">
        <f t="shared" si="207"/>
        <v>1</v>
      </c>
      <c r="AV47" s="951">
        <f t="shared" si="207"/>
        <v>1</v>
      </c>
      <c r="AW47" s="865">
        <f t="shared" ref="AW47" si="208">+SUM(AW48:AW51)</f>
        <v>1</v>
      </c>
      <c r="AX47" s="889">
        <f t="shared" si="206"/>
        <v>1</v>
      </c>
      <c r="AY47" s="951">
        <f t="shared" si="206"/>
        <v>1</v>
      </c>
      <c r="AZ47" s="799">
        <f t="shared" si="206"/>
        <v>0.99999999999999989</v>
      </c>
      <c r="BA47" s="830">
        <f t="shared" si="206"/>
        <v>0.99999999999999989</v>
      </c>
      <c r="BB47" s="973">
        <f t="shared" si="206"/>
        <v>1</v>
      </c>
      <c r="BC47" s="799">
        <f t="shared" si="206"/>
        <v>1</v>
      </c>
      <c r="BD47" s="830">
        <f t="shared" si="206"/>
        <v>1</v>
      </c>
      <c r="BE47" s="973">
        <f t="shared" si="206"/>
        <v>1</v>
      </c>
      <c r="BF47" s="799">
        <f t="shared" si="206"/>
        <v>0.99999999999999978</v>
      </c>
      <c r="BG47" s="830">
        <f t="shared" si="206"/>
        <v>0.99999999999999989</v>
      </c>
      <c r="BH47" s="973">
        <f t="shared" si="206"/>
        <v>0.99999999999999989</v>
      </c>
      <c r="BI47" s="799">
        <f t="shared" si="206"/>
        <v>1</v>
      </c>
      <c r="BJ47" s="830">
        <f t="shared" si="206"/>
        <v>1.0000000000000002</v>
      </c>
      <c r="BK47" s="973">
        <f t="shared" si="206"/>
        <v>0.99999999999999989</v>
      </c>
      <c r="BL47" s="799">
        <f t="shared" si="206"/>
        <v>1</v>
      </c>
      <c r="BM47" s="830">
        <f t="shared" si="206"/>
        <v>1</v>
      </c>
    </row>
    <row r="48" spans="1:66">
      <c r="A48" s="25" t="s">
        <v>9</v>
      </c>
      <c r="H48" s="32"/>
      <c r="I48" s="32"/>
      <c r="J48" s="32"/>
      <c r="K48" s="32"/>
      <c r="L48" s="32"/>
      <c r="M48" s="32"/>
      <c r="N48" s="32"/>
      <c r="O48" s="50">
        <v>0.35</v>
      </c>
      <c r="P48" s="50">
        <v>0.39</v>
      </c>
      <c r="Q48" s="50">
        <v>0.37</v>
      </c>
      <c r="R48" s="50"/>
      <c r="S48" s="647"/>
      <c r="T48" s="671">
        <v>0.33</v>
      </c>
      <c r="U48" s="50"/>
      <c r="V48" s="647"/>
      <c r="W48" s="671">
        <v>0.3</v>
      </c>
      <c r="X48" s="50"/>
      <c r="Y48" s="647"/>
      <c r="Z48" s="653"/>
      <c r="AA48" s="952">
        <v>0.28999999999999998</v>
      </c>
      <c r="AB48" s="647">
        <f>AB54/AB$40</f>
        <v>0.28999999999999998</v>
      </c>
      <c r="AC48" s="671">
        <v>0.28999999999999998</v>
      </c>
      <c r="AD48" s="952">
        <v>0.24</v>
      </c>
      <c r="AE48" s="647">
        <f>AE54/AE$40</f>
        <v>0.31118473895582333</v>
      </c>
      <c r="AF48" s="671">
        <v>0.28000000000000003</v>
      </c>
      <c r="AG48" s="952">
        <v>0.28999999999999998</v>
      </c>
      <c r="AH48" s="647">
        <f>AH54/AH$40</f>
        <v>0.34394477317554245</v>
      </c>
      <c r="AI48" s="671">
        <v>0.32</v>
      </c>
      <c r="AJ48" s="952">
        <v>0.3</v>
      </c>
      <c r="AK48" s="647">
        <f>AK54/AK$40</f>
        <v>0.35259566326530623</v>
      </c>
      <c r="AL48" s="671">
        <v>0.33</v>
      </c>
      <c r="AM48" s="952">
        <v>0.32</v>
      </c>
      <c r="AN48" s="647">
        <f>AN54/AN$40</f>
        <v>0.30306174089068821</v>
      </c>
      <c r="AO48" s="671">
        <v>0.31</v>
      </c>
      <c r="AP48" s="952">
        <v>0.26</v>
      </c>
      <c r="AQ48" s="647">
        <f>AQ54/AQ$40</f>
        <v>6.8003646308112849E-3</v>
      </c>
      <c r="AR48" s="671">
        <v>0.12</v>
      </c>
      <c r="AS48" s="952">
        <v>0.11</v>
      </c>
      <c r="AT48" s="647">
        <f>AT54/AT$40</f>
        <v>9.2452752670501251E-2</v>
      </c>
      <c r="AU48" s="671">
        <v>0.1</v>
      </c>
      <c r="AV48" s="952">
        <v>0.1</v>
      </c>
      <c r="AW48" s="647">
        <f>AW54/AW$40</f>
        <v>0.1</v>
      </c>
      <c r="AX48" s="671">
        <v>0.1</v>
      </c>
      <c r="AY48" s="952">
        <v>0.08</v>
      </c>
      <c r="AZ48" s="252">
        <f t="shared" ref="AZ48:BM48" si="209">AZ54/AZ53</f>
        <v>9.5693319432191823E-2</v>
      </c>
      <c r="BA48" s="577">
        <f t="shared" si="209"/>
        <v>8.870292887029288E-2</v>
      </c>
      <c r="BB48" s="182">
        <f t="shared" si="209"/>
        <v>7.0560825428523891E-2</v>
      </c>
      <c r="BC48" s="252">
        <f t="shared" si="209"/>
        <v>8.4534215654079092E-2</v>
      </c>
      <c r="BD48" s="577">
        <f t="shared" si="209"/>
        <v>7.8304562655497567E-2</v>
      </c>
      <c r="BE48" s="182">
        <f t="shared" si="209"/>
        <v>6.1968731601654004E-2</v>
      </c>
      <c r="BF48" s="252">
        <f t="shared" si="209"/>
        <v>7.4360377285969004E-2</v>
      </c>
      <c r="BG48" s="577">
        <f t="shared" si="209"/>
        <v>6.8830965959412474E-2</v>
      </c>
      <c r="BH48" s="182">
        <f t="shared" si="209"/>
        <v>5.3733987317439037E-2</v>
      </c>
      <c r="BI48" s="252">
        <f t="shared" si="209"/>
        <v>6.459105561735845E-2</v>
      </c>
      <c r="BJ48" s="577">
        <f t="shared" si="209"/>
        <v>5.9741744429913181E-2</v>
      </c>
      <c r="BK48" s="182">
        <f t="shared" si="209"/>
        <v>4.6433817015647409E-2</v>
      </c>
      <c r="BL48" s="252">
        <f t="shared" si="209"/>
        <v>5.5911294232869738E-2</v>
      </c>
      <c r="BM48" s="577">
        <f t="shared" si="209"/>
        <v>5.1674176053430755E-2</v>
      </c>
    </row>
    <row r="49" spans="1:66">
      <c r="A49" s="25" t="s">
        <v>402</v>
      </c>
      <c r="H49" s="32"/>
      <c r="I49" s="32"/>
      <c r="J49" s="32"/>
      <c r="K49" s="32"/>
      <c r="L49" s="32"/>
      <c r="M49" s="32"/>
      <c r="N49" s="32"/>
      <c r="O49" s="50">
        <v>0.26</v>
      </c>
      <c r="P49" s="50">
        <v>0.2</v>
      </c>
      <c r="Q49" s="50">
        <v>0.21</v>
      </c>
      <c r="R49" s="50"/>
      <c r="S49" s="647"/>
      <c r="T49" s="671">
        <v>0.21</v>
      </c>
      <c r="U49" s="50"/>
      <c r="V49" s="647"/>
      <c r="W49" s="671">
        <v>0.25</v>
      </c>
      <c r="X49" s="50"/>
      <c r="Y49" s="647"/>
      <c r="Z49" s="653"/>
      <c r="AA49" s="952">
        <v>0.3</v>
      </c>
      <c r="AB49" s="647">
        <f>AB55/AB$40</f>
        <v>0.30000000000000004</v>
      </c>
      <c r="AC49" s="671">
        <v>0.3</v>
      </c>
      <c r="AD49" s="952">
        <v>0.27</v>
      </c>
      <c r="AE49" s="647">
        <f>AE55/AE$40</f>
        <v>0.23440763052208835</v>
      </c>
      <c r="AF49" s="671">
        <v>0.25</v>
      </c>
      <c r="AG49" s="952">
        <v>0.25</v>
      </c>
      <c r="AH49" s="647">
        <f>AH55/AH$40</f>
        <v>0.23201840894148584</v>
      </c>
      <c r="AI49" s="671">
        <v>0.24</v>
      </c>
      <c r="AJ49" s="952">
        <v>0.28000000000000003</v>
      </c>
      <c r="AK49" s="647">
        <f>AK55/AK$40</f>
        <v>0.22740433673469387</v>
      </c>
      <c r="AL49" s="671">
        <v>0.25</v>
      </c>
      <c r="AM49" s="952">
        <v>0.26</v>
      </c>
      <c r="AN49" s="647">
        <f>AN55/AN$40</f>
        <v>0.24306174089068824</v>
      </c>
      <c r="AO49" s="671">
        <v>0.25</v>
      </c>
      <c r="AP49" s="952">
        <v>0.25</v>
      </c>
      <c r="AQ49" s="647">
        <f>AQ55/AQ$40</f>
        <v>0.23191431175934363</v>
      </c>
      <c r="AR49" s="671">
        <v>0.24</v>
      </c>
      <c r="AS49" s="952">
        <v>0.22</v>
      </c>
      <c r="AT49" s="647">
        <f>AT55/AT$40</f>
        <v>7.9622021364009893E-2</v>
      </c>
      <c r="AU49" s="671">
        <v>0.14000000000000001</v>
      </c>
      <c r="AV49" s="952">
        <v>0.09</v>
      </c>
      <c r="AW49" s="647">
        <f>AW55/AW$40</f>
        <v>0.09</v>
      </c>
      <c r="AX49" s="671">
        <v>0.09</v>
      </c>
      <c r="AY49" s="952">
        <v>0.08</v>
      </c>
      <c r="AZ49" s="252">
        <f t="shared" ref="AZ49:BM49" si="210">AZ55/AZ53</f>
        <v>7.1549751074973605E-2</v>
      </c>
      <c r="BA49" s="577">
        <f t="shared" si="210"/>
        <v>7.5313807531380741E-2</v>
      </c>
      <c r="BB49" s="182">
        <f t="shared" si="210"/>
        <v>6.6566816442003671E-2</v>
      </c>
      <c r="BC49" s="252">
        <f t="shared" si="210"/>
        <v>5.9628401845825497E-2</v>
      </c>
      <c r="BD49" s="577">
        <f t="shared" si="210"/>
        <v>6.2721703800238338E-2</v>
      </c>
      <c r="BE49" s="182">
        <f t="shared" si="210"/>
        <v>5.5151950517669988E-2</v>
      </c>
      <c r="BF49" s="252">
        <f t="shared" si="210"/>
        <v>4.9483038718401789E-2</v>
      </c>
      <c r="BG49" s="577">
        <f t="shared" si="210"/>
        <v>5.2012625660336397E-2</v>
      </c>
      <c r="BH49" s="182">
        <f t="shared" si="210"/>
        <v>4.5545768971705765E-2</v>
      </c>
      <c r="BI49" s="252">
        <f t="shared" si="210"/>
        <v>4.0935288934789975E-2</v>
      </c>
      <c r="BJ49" s="577">
        <f t="shared" si="210"/>
        <v>4.2994560536008031E-2</v>
      </c>
      <c r="BK49" s="182">
        <f t="shared" si="210"/>
        <v>3.7483838403808457E-2</v>
      </c>
      <c r="BL49" s="252">
        <f t="shared" si="210"/>
        <v>3.3747042944551844E-2</v>
      </c>
      <c r="BM49" s="577">
        <f t="shared" si="210"/>
        <v>3.54176609381767E-2</v>
      </c>
    </row>
    <row r="50" spans="1:66">
      <c r="A50" s="25" t="s">
        <v>1024</v>
      </c>
      <c r="H50" s="32"/>
      <c r="I50" s="32"/>
      <c r="J50" s="32"/>
      <c r="K50" s="32"/>
      <c r="L50" s="32"/>
      <c r="M50" s="32"/>
      <c r="N50" s="32"/>
      <c r="O50" s="50">
        <v>0.27</v>
      </c>
      <c r="P50" s="50">
        <v>0.28000000000000003</v>
      </c>
      <c r="Q50" s="50">
        <v>0.3</v>
      </c>
      <c r="R50" s="50"/>
      <c r="S50" s="647"/>
      <c r="T50" s="671">
        <v>0.33</v>
      </c>
      <c r="U50" s="50"/>
      <c r="V50" s="647"/>
      <c r="W50" s="671">
        <v>0.33</v>
      </c>
      <c r="X50" s="50"/>
      <c r="Y50" s="647"/>
      <c r="Z50" s="653"/>
      <c r="AA50" s="952">
        <v>0.27</v>
      </c>
      <c r="AB50" s="647">
        <f>AB56/AB$40</f>
        <v>0.30461500248385487</v>
      </c>
      <c r="AC50" s="671">
        <v>0.28999999999999998</v>
      </c>
      <c r="AD50" s="952">
        <v>0.35</v>
      </c>
      <c r="AE50" s="647">
        <f>AE56/AE$40</f>
        <v>0.35000000000000003</v>
      </c>
      <c r="AF50" s="671">
        <v>0.35</v>
      </c>
      <c r="AG50" s="952">
        <v>0.35</v>
      </c>
      <c r="AH50" s="647">
        <f>AH56/AH$40</f>
        <v>0.31403681788297177</v>
      </c>
      <c r="AI50" s="671">
        <v>0.33</v>
      </c>
      <c r="AJ50" s="952">
        <v>0.32</v>
      </c>
      <c r="AK50" s="647">
        <f>AK56/AK$40</f>
        <v>0.33753188775510207</v>
      </c>
      <c r="AL50" s="671">
        <v>0.33</v>
      </c>
      <c r="AM50" s="952">
        <v>0.33</v>
      </c>
      <c r="AN50" s="647">
        <f>AN56/AN$40</f>
        <v>0.3469382591093117</v>
      </c>
      <c r="AO50" s="671">
        <v>0.34</v>
      </c>
      <c r="AP50" s="952">
        <v>0.4</v>
      </c>
      <c r="AQ50" s="647">
        <f>AQ56/AQ$40</f>
        <v>0.38191431175934365</v>
      </c>
      <c r="AR50" s="671">
        <v>0.39</v>
      </c>
      <c r="AS50" s="952">
        <v>0.43</v>
      </c>
      <c r="AT50" s="647">
        <f>AT56/AT$40</f>
        <v>0.53528348397699266</v>
      </c>
      <c r="AU50" s="671">
        <v>0.49</v>
      </c>
      <c r="AV50" s="952">
        <v>0.54</v>
      </c>
      <c r="AW50" s="647">
        <f>AW56/AW$40</f>
        <v>0.54</v>
      </c>
      <c r="AX50" s="671">
        <v>0.54</v>
      </c>
      <c r="AY50" s="952">
        <v>0.57999999999999996</v>
      </c>
      <c r="AZ50" s="252">
        <f t="shared" ref="AZ50:BM50" si="211">AZ56/AZ53</f>
        <v>0.55268758829589693</v>
      </c>
      <c r="BA50" s="577">
        <f t="shared" si="211"/>
        <v>0.56485355648535562</v>
      </c>
      <c r="BB50" s="182">
        <f t="shared" si="211"/>
        <v>0.60326177400565817</v>
      </c>
      <c r="BC50" s="252">
        <f t="shared" si="211"/>
        <v>0.57575108779160866</v>
      </c>
      <c r="BD50" s="577">
        <f t="shared" si="211"/>
        <v>0.58801597312723453</v>
      </c>
      <c r="BE50" s="182">
        <f t="shared" si="211"/>
        <v>0.62476818945798041</v>
      </c>
      <c r="BF50" s="252">
        <f t="shared" si="211"/>
        <v>0.59723874209762706</v>
      </c>
      <c r="BG50" s="577">
        <f t="shared" si="211"/>
        <v>0.60952295695706715</v>
      </c>
      <c r="BH50" s="182">
        <f t="shared" si="211"/>
        <v>0.64493520516575553</v>
      </c>
      <c r="BI50" s="252">
        <f t="shared" si="211"/>
        <v>0.61758890278410394</v>
      </c>
      <c r="BJ50" s="577">
        <f t="shared" si="211"/>
        <v>0.62980313285168021</v>
      </c>
      <c r="BK50" s="182">
        <f t="shared" si="211"/>
        <v>0.66347126080959806</v>
      </c>
      <c r="BL50" s="252">
        <f t="shared" si="211"/>
        <v>0.63642518981406404</v>
      </c>
      <c r="BM50" s="577">
        <f t="shared" si="211"/>
        <v>0.64851674081134103</v>
      </c>
    </row>
    <row r="51" spans="1:66">
      <c r="A51" s="25" t="s">
        <v>1025</v>
      </c>
      <c r="H51" s="32"/>
      <c r="I51" s="32"/>
      <c r="J51" s="32"/>
      <c r="K51" s="32"/>
      <c r="L51" s="32"/>
      <c r="M51" s="32"/>
      <c r="N51" s="32"/>
      <c r="O51" s="50">
        <v>0.12</v>
      </c>
      <c r="P51" s="50">
        <v>0.13</v>
      </c>
      <c r="Q51" s="50">
        <v>0.12</v>
      </c>
      <c r="R51" s="50"/>
      <c r="S51" s="647"/>
      <c r="T51" s="671">
        <v>0.13</v>
      </c>
      <c r="U51" s="50"/>
      <c r="V51" s="647"/>
      <c r="W51" s="671">
        <v>0.12</v>
      </c>
      <c r="X51" s="50"/>
      <c r="Y51" s="647"/>
      <c r="Z51" s="653"/>
      <c r="AA51" s="952">
        <f>8%+6%</f>
        <v>0.14000000000000001</v>
      </c>
      <c r="AB51" s="647">
        <f>AB57/AB$40</f>
        <v>0.10538499751614504</v>
      </c>
      <c r="AC51" s="671">
        <v>0.12</v>
      </c>
      <c r="AD51" s="952">
        <f>9%+5%</f>
        <v>0.14000000000000001</v>
      </c>
      <c r="AE51" s="647">
        <f>AE57/AE$40</f>
        <v>0.10440763052208833</v>
      </c>
      <c r="AF51" s="671">
        <v>0.12</v>
      </c>
      <c r="AG51" s="952">
        <f>2%+9%</f>
        <v>0.11</v>
      </c>
      <c r="AH51" s="647">
        <f>AH57/AH$40</f>
        <v>0.11000000000000001</v>
      </c>
      <c r="AI51" s="671">
        <v>0.11</v>
      </c>
      <c r="AJ51" s="952">
        <v>0.1</v>
      </c>
      <c r="AK51" s="647">
        <f>AK57/AK$40</f>
        <v>8.2468112244897959E-2</v>
      </c>
      <c r="AL51" s="671">
        <v>0.09</v>
      </c>
      <c r="AM51" s="952">
        <v>0.09</v>
      </c>
      <c r="AN51" s="647">
        <f>AN57/AN$40</f>
        <v>0.10693825910931178</v>
      </c>
      <c r="AO51" s="671">
        <v>0.1</v>
      </c>
      <c r="AP51" s="952">
        <v>0.09</v>
      </c>
      <c r="AQ51" s="647">
        <f>AQ57/AQ$40</f>
        <v>0.37937101185050137</v>
      </c>
      <c r="AR51" s="671">
        <v>0.25</v>
      </c>
      <c r="AS51" s="952">
        <v>0.24</v>
      </c>
      <c r="AT51" s="647">
        <f>AT57/AT$40</f>
        <v>0.29264174198849635</v>
      </c>
      <c r="AU51" s="671">
        <f>26%+1%</f>
        <v>0.27</v>
      </c>
      <c r="AV51" s="952">
        <f>24%+3%</f>
        <v>0.27</v>
      </c>
      <c r="AW51" s="647">
        <f>AW57/AW$40</f>
        <v>0.27</v>
      </c>
      <c r="AX51" s="671">
        <f>25%+2%</f>
        <v>0.27</v>
      </c>
      <c r="AY51" s="952">
        <f>24%+2%</f>
        <v>0.26</v>
      </c>
      <c r="AZ51" s="252">
        <f t="shared" ref="AZ51:BM51" si="212">AZ57/AZ53</f>
        <v>0.2800693411969376</v>
      </c>
      <c r="BA51" s="577">
        <f t="shared" si="212"/>
        <v>0.27112970711297069</v>
      </c>
      <c r="BB51" s="182">
        <f t="shared" si="212"/>
        <v>0.25961058412381433</v>
      </c>
      <c r="BC51" s="252">
        <f t="shared" si="212"/>
        <v>0.28008629470848673</v>
      </c>
      <c r="BD51" s="577">
        <f t="shared" si="212"/>
        <v>0.27095776041702962</v>
      </c>
      <c r="BE51" s="182">
        <f t="shared" si="212"/>
        <v>0.25811112842269557</v>
      </c>
      <c r="BF51" s="252">
        <f t="shared" si="212"/>
        <v>0.27891784189800201</v>
      </c>
      <c r="BG51" s="577">
        <f t="shared" si="212"/>
        <v>0.26963345142318385</v>
      </c>
      <c r="BH51" s="182">
        <f t="shared" si="212"/>
        <v>0.2557850385450996</v>
      </c>
      <c r="BI51" s="252">
        <f t="shared" si="212"/>
        <v>0.27688475266374779</v>
      </c>
      <c r="BJ51" s="577">
        <f t="shared" si="212"/>
        <v>0.26746056218239872</v>
      </c>
      <c r="BK51" s="182">
        <f t="shared" si="212"/>
        <v>0.25261108377094599</v>
      </c>
      <c r="BL51" s="252">
        <f t="shared" si="212"/>
        <v>0.27391647300851441</v>
      </c>
      <c r="BM51" s="577">
        <f t="shared" si="212"/>
        <v>0.26439142219705147</v>
      </c>
    </row>
    <row r="52" spans="1:66">
      <c r="H52" s="32"/>
      <c r="I52" s="32"/>
      <c r="J52" s="32"/>
      <c r="K52" s="32"/>
      <c r="L52" s="32"/>
      <c r="M52" s="32"/>
      <c r="N52" s="32"/>
      <c r="O52" s="50"/>
      <c r="P52" s="50"/>
      <c r="Q52" s="50"/>
      <c r="R52" s="50"/>
      <c r="S52" s="647"/>
      <c r="T52" s="671"/>
      <c r="U52" s="50"/>
      <c r="V52" s="647"/>
      <c r="W52" s="671"/>
      <c r="X52" s="50"/>
      <c r="Y52" s="647"/>
      <c r="Z52" s="653"/>
      <c r="AA52" s="952"/>
      <c r="AB52" s="647"/>
      <c r="AC52" s="671"/>
      <c r="AD52" s="952"/>
      <c r="AE52" s="647"/>
      <c r="AF52" s="671"/>
      <c r="AG52" s="952"/>
      <c r="AH52" s="647"/>
      <c r="AI52" s="671"/>
      <c r="AJ52" s="952"/>
      <c r="AK52" s="647"/>
      <c r="AL52" s="671"/>
      <c r="AM52" s="952"/>
      <c r="AN52" s="647"/>
      <c r="AO52" s="671"/>
      <c r="AP52" s="952"/>
      <c r="AQ52" s="647"/>
      <c r="AR52" s="671"/>
      <c r="AS52" s="952"/>
      <c r="AT52" s="777"/>
      <c r="AU52" s="671"/>
      <c r="AV52" s="952"/>
      <c r="AW52" s="777"/>
      <c r="AX52" s="671"/>
      <c r="AY52" s="952"/>
      <c r="AZ52" s="539"/>
      <c r="BA52" s="550"/>
      <c r="BB52"/>
      <c r="BC52" s="539"/>
      <c r="BD52" s="550"/>
      <c r="BE52"/>
      <c r="BF52" s="539"/>
      <c r="BG52" s="550"/>
      <c r="BH52"/>
      <c r="BI52" s="539"/>
      <c r="BJ52" s="550"/>
      <c r="BK52"/>
      <c r="BL52" s="539"/>
      <c r="BM52" s="550"/>
    </row>
    <row r="53" spans="1:66" s="172" customFormat="1">
      <c r="A53" s="172" t="s">
        <v>830</v>
      </c>
      <c r="H53" s="1066"/>
      <c r="I53" s="1066"/>
      <c r="J53" s="1066"/>
      <c r="K53" s="1066"/>
      <c r="L53" s="1066"/>
      <c r="M53" s="1066"/>
      <c r="N53" s="1066"/>
      <c r="O53" s="1067"/>
      <c r="P53" s="1067"/>
      <c r="Q53" s="1067"/>
      <c r="R53" s="1067"/>
      <c r="S53" s="874"/>
      <c r="T53" s="898"/>
      <c r="U53" s="1067"/>
      <c r="V53" s="874"/>
      <c r="W53" s="898"/>
      <c r="X53" s="1067"/>
      <c r="Y53" s="874"/>
      <c r="Z53" s="896"/>
      <c r="AA53" s="953">
        <f t="shared" ref="AA53:AP53" si="213">SUM(AA54:AA57)</f>
        <v>1471</v>
      </c>
      <c r="AB53" s="874">
        <f t="shared" si="213"/>
        <v>2012.9999999999998</v>
      </c>
      <c r="AC53" s="898">
        <f t="shared" si="213"/>
        <v>3484</v>
      </c>
      <c r="AD53" s="953">
        <f t="shared" si="213"/>
        <v>1553</v>
      </c>
      <c r="AE53" s="874">
        <f t="shared" si="213"/>
        <v>1992.0000000000002</v>
      </c>
      <c r="AF53" s="898">
        <f t="shared" si="213"/>
        <v>3545.0000000000005</v>
      </c>
      <c r="AG53" s="953">
        <f t="shared" si="213"/>
        <v>1214</v>
      </c>
      <c r="AH53" s="874">
        <f t="shared" si="213"/>
        <v>1521</v>
      </c>
      <c r="AI53" s="898">
        <f t="shared" si="213"/>
        <v>2735</v>
      </c>
      <c r="AJ53" s="953">
        <f t="shared" si="213"/>
        <v>1181</v>
      </c>
      <c r="AK53" s="874">
        <f t="shared" si="213"/>
        <v>1568</v>
      </c>
      <c r="AL53" s="898">
        <f t="shared" si="213"/>
        <v>2749</v>
      </c>
      <c r="AM53" s="953">
        <f t="shared" si="213"/>
        <v>1371.0000000000002</v>
      </c>
      <c r="AN53" s="874">
        <f t="shared" si="213"/>
        <v>1976</v>
      </c>
      <c r="AO53" s="898">
        <f t="shared" si="213"/>
        <v>3347</v>
      </c>
      <c r="AP53" s="953">
        <f t="shared" si="213"/>
        <v>1774.0000000000002</v>
      </c>
      <c r="AQ53" s="874">
        <f t="shared" ref="AQ53:AS53" si="214">SUM(AQ54:AQ57)</f>
        <v>2194</v>
      </c>
      <c r="AR53" s="898">
        <f t="shared" si="214"/>
        <v>3968</v>
      </c>
      <c r="AS53" s="953">
        <f t="shared" si="214"/>
        <v>1837</v>
      </c>
      <c r="AT53" s="874">
        <f t="shared" ref="AT53:AV53" si="215">SUM(AT54:AT57)</f>
        <v>2434.0000000000005</v>
      </c>
      <c r="AU53" s="898">
        <f t="shared" si="215"/>
        <v>4271</v>
      </c>
      <c r="AV53" s="953">
        <f t="shared" si="215"/>
        <v>2042</v>
      </c>
      <c r="AW53" s="874">
        <f t="shared" ref="AW53" si="216">SUM(AW54:AW57)</f>
        <v>2850</v>
      </c>
      <c r="AX53" s="898">
        <f t="shared" ref="AX53:AY53" si="217">SUM(AX54:AX57)</f>
        <v>4892</v>
      </c>
      <c r="AY53" s="953">
        <f t="shared" si="217"/>
        <v>2604</v>
      </c>
      <c r="AZ53" s="1065">
        <f>BA53-AY53</f>
        <v>3241.9400000000005</v>
      </c>
      <c r="BA53" s="576">
        <f>SUM(BA54:BA57)</f>
        <v>5845.9400000000005</v>
      </c>
      <c r="BB53" s="1068">
        <f>SUM(BB54:BB57)</f>
        <v>3129.4871999999996</v>
      </c>
      <c r="BC53" s="1065">
        <f>BD53-BB53</f>
        <v>3890.0925200000001</v>
      </c>
      <c r="BD53" s="576">
        <f>SUM(BD54:BD57)</f>
        <v>7019.5797199999997</v>
      </c>
      <c r="BE53" s="1068">
        <f>SUM(BE54:BE57)</f>
        <v>3777.2009520000001</v>
      </c>
      <c r="BF53" s="1065">
        <f>BG53-BE53</f>
        <v>4687.6668452000004</v>
      </c>
      <c r="BG53" s="576">
        <f>SUM(BG54:BG57)</f>
        <v>8464.8677972000005</v>
      </c>
      <c r="BH53" s="1068">
        <f>SUM(BH54:BH57)</f>
        <v>4573.8606396000005</v>
      </c>
      <c r="BI53" s="1065">
        <f>BJ53-BH53</f>
        <v>5666.5045254599981</v>
      </c>
      <c r="BJ53" s="576">
        <f>SUM(BJ54:BJ57)</f>
        <v>10240.365165059999</v>
      </c>
      <c r="BK53" s="1068">
        <f>SUM(BK54:BK57)</f>
        <v>5557.5951895800008</v>
      </c>
      <c r="BL53" s="1065">
        <f>BM53-BK53</f>
        <v>6873.4911198329992</v>
      </c>
      <c r="BM53" s="576">
        <f>SUM(BM54:BM57)</f>
        <v>12431.086309413</v>
      </c>
    </row>
    <row r="54" spans="1:66" s="170" customFormat="1">
      <c r="A54" s="170" t="str">
        <f>A48</f>
        <v>Marine</v>
      </c>
      <c r="H54" s="171"/>
      <c r="I54" s="171"/>
      <c r="J54" s="171"/>
      <c r="K54" s="171"/>
      <c r="L54" s="171"/>
      <c r="M54" s="171"/>
      <c r="N54" s="171"/>
      <c r="O54" s="269"/>
      <c r="P54" s="269"/>
      <c r="Q54" s="269"/>
      <c r="R54" s="269"/>
      <c r="S54" s="735"/>
      <c r="T54" s="739"/>
      <c r="U54" s="269"/>
      <c r="V54" s="735"/>
      <c r="W54" s="739"/>
      <c r="X54" s="269"/>
      <c r="Y54" s="735"/>
      <c r="Z54" s="746"/>
      <c r="AA54" s="515">
        <f>AA48*AA$33</f>
        <v>426.59</v>
      </c>
      <c r="AB54" s="735">
        <f>AC54-AA54</f>
        <v>583.77</v>
      </c>
      <c r="AC54" s="739">
        <f>AC48*AC$33</f>
        <v>1010.3599999999999</v>
      </c>
      <c r="AD54" s="515">
        <f>AD48*AD$33</f>
        <v>372.71999999999997</v>
      </c>
      <c r="AE54" s="735">
        <f>AF54-AD54</f>
        <v>619.88000000000011</v>
      </c>
      <c r="AF54" s="739">
        <f>AF48*AF$33</f>
        <v>992.60000000000014</v>
      </c>
      <c r="AG54" s="515">
        <f>AG48*AG$33</f>
        <v>352.06</v>
      </c>
      <c r="AH54" s="735">
        <f>AI54-AG54</f>
        <v>523.1400000000001</v>
      </c>
      <c r="AI54" s="739">
        <f>AI48*AI$33</f>
        <v>875.2</v>
      </c>
      <c r="AJ54" s="515">
        <f>AJ48*AJ$33</f>
        <v>354.3</v>
      </c>
      <c r="AK54" s="735">
        <f>AL54-AJ54</f>
        <v>552.87000000000012</v>
      </c>
      <c r="AL54" s="739">
        <f>AL48*AL$33</f>
        <v>907.17000000000007</v>
      </c>
      <c r="AM54" s="515">
        <f>AM48*AM$33</f>
        <v>438.72</v>
      </c>
      <c r="AN54" s="735">
        <f>AO54-AM54</f>
        <v>598.84999999999991</v>
      </c>
      <c r="AO54" s="739">
        <f>AO48*AO$33</f>
        <v>1037.57</v>
      </c>
      <c r="AP54" s="515">
        <f>AP48*AP$33</f>
        <v>461.24</v>
      </c>
      <c r="AQ54" s="735">
        <f>AR54-AP54</f>
        <v>14.919999999999959</v>
      </c>
      <c r="AR54" s="739">
        <f>AR48*AR$33</f>
        <v>476.15999999999997</v>
      </c>
      <c r="AS54" s="515">
        <f>AS48*AS$33</f>
        <v>202.07</v>
      </c>
      <c r="AT54" s="735">
        <f>AU54-AS54</f>
        <v>225.03000000000003</v>
      </c>
      <c r="AU54" s="739">
        <f>AU48*AU$33</f>
        <v>427.1</v>
      </c>
      <c r="AV54" s="515">
        <f>AV48*AV$33</f>
        <v>204.20000000000002</v>
      </c>
      <c r="AW54" s="735">
        <f>AX54-AV54</f>
        <v>285</v>
      </c>
      <c r="AX54" s="739">
        <f>AX48*AX$33</f>
        <v>489.20000000000005</v>
      </c>
      <c r="AY54" s="515">
        <f>AY48*AY$33</f>
        <v>208.32</v>
      </c>
      <c r="AZ54" s="704">
        <f>BA54-AY54</f>
        <v>310.23200000000003</v>
      </c>
      <c r="BA54" s="605">
        <f t="shared" ref="BA54:BB57" si="218">AX54*(1+BA60)</f>
        <v>518.55200000000002</v>
      </c>
      <c r="BB54" s="978">
        <f t="shared" si="218"/>
        <v>220.8192</v>
      </c>
      <c r="BC54" s="704">
        <f>BD54-BB54</f>
        <v>328.84591999999998</v>
      </c>
      <c r="BD54" s="605">
        <f t="shared" ref="BD54:BE57" si="219">BA54*(1+BD60)</f>
        <v>549.66512</v>
      </c>
      <c r="BE54" s="978">
        <f t="shared" si="219"/>
        <v>234.068352</v>
      </c>
      <c r="BF54" s="704">
        <f>BG54-BE54</f>
        <v>348.57667520000007</v>
      </c>
      <c r="BG54" s="605">
        <f t="shared" ref="BG54:BH57" si="220">BD54*(1+BG60)</f>
        <v>582.64502720000007</v>
      </c>
      <c r="BH54" s="978">
        <f t="shared" si="220"/>
        <v>245.77176960000003</v>
      </c>
      <c r="BI54" s="704">
        <f>BJ54-BH54</f>
        <v>366.0055089600001</v>
      </c>
      <c r="BJ54" s="605">
        <f t="shared" ref="BJ54:BK57" si="221">BG54*(1+BJ60)</f>
        <v>611.77727856000013</v>
      </c>
      <c r="BK54" s="978">
        <f t="shared" si="221"/>
        <v>258.06035808000001</v>
      </c>
      <c r="BL54" s="704">
        <f>BM54-BK54</f>
        <v>384.30578440800014</v>
      </c>
      <c r="BM54" s="605">
        <f>BJ54*(1+BM60)</f>
        <v>642.36614248800015</v>
      </c>
    </row>
    <row r="55" spans="1:66" s="170" customFormat="1">
      <c r="A55" s="170" t="str">
        <f>A49</f>
        <v>Industrial</v>
      </c>
      <c r="H55" s="171"/>
      <c r="I55" s="171"/>
      <c r="J55" s="171"/>
      <c r="K55" s="171"/>
      <c r="L55" s="171"/>
      <c r="M55" s="171"/>
      <c r="N55" s="171"/>
      <c r="O55" s="269"/>
      <c r="P55" s="269"/>
      <c r="Q55" s="269"/>
      <c r="R55" s="269"/>
      <c r="S55" s="735"/>
      <c r="T55" s="739"/>
      <c r="U55" s="269"/>
      <c r="V55" s="735"/>
      <c r="W55" s="739"/>
      <c r="X55" s="269"/>
      <c r="Y55" s="735"/>
      <c r="Z55" s="746"/>
      <c r="AA55" s="515">
        <f t="shared" ref="AA55" si="222">AA49*AA$33</f>
        <v>441.3</v>
      </c>
      <c r="AB55" s="735">
        <f>AC55-AA55</f>
        <v>603.90000000000009</v>
      </c>
      <c r="AC55" s="739">
        <f t="shared" ref="AC55:AJ57" si="223">AC49*AC$33</f>
        <v>1045.2</v>
      </c>
      <c r="AD55" s="515">
        <f t="shared" si="223"/>
        <v>419.31</v>
      </c>
      <c r="AE55" s="735">
        <f>AF55-AD55</f>
        <v>466.94</v>
      </c>
      <c r="AF55" s="739">
        <f t="shared" si="223"/>
        <v>886.25</v>
      </c>
      <c r="AG55" s="515">
        <f t="shared" ref="AG55" si="224">AG49*AG$33</f>
        <v>303.5</v>
      </c>
      <c r="AH55" s="735">
        <f>AI55-AG55</f>
        <v>352.9</v>
      </c>
      <c r="AI55" s="739">
        <f t="shared" si="223"/>
        <v>656.4</v>
      </c>
      <c r="AJ55" s="515">
        <f t="shared" si="223"/>
        <v>330.68</v>
      </c>
      <c r="AK55" s="735">
        <f>AL55-AJ55</f>
        <v>356.57</v>
      </c>
      <c r="AL55" s="739">
        <f t="shared" ref="AL55:AO57" si="225">AL49*AL$33</f>
        <v>687.25</v>
      </c>
      <c r="AM55" s="515">
        <f t="shared" si="225"/>
        <v>356.46000000000004</v>
      </c>
      <c r="AN55" s="735">
        <f>AO55-AM55</f>
        <v>480.28999999999996</v>
      </c>
      <c r="AO55" s="739">
        <f t="shared" si="225"/>
        <v>836.75</v>
      </c>
      <c r="AP55" s="515">
        <f t="shared" ref="AP55" si="226">AP49*AP$33</f>
        <v>443.5</v>
      </c>
      <c r="AQ55" s="735">
        <f>AR55-AP55</f>
        <v>508.81999999999994</v>
      </c>
      <c r="AR55" s="739">
        <f t="shared" ref="AR55:AS57" si="227">AR49*AR$33</f>
        <v>952.31999999999994</v>
      </c>
      <c r="AS55" s="515">
        <f t="shared" si="227"/>
        <v>404.14</v>
      </c>
      <c r="AT55" s="735">
        <f>AU55-AS55</f>
        <v>193.80000000000007</v>
      </c>
      <c r="AU55" s="739">
        <f t="shared" ref="AU55:AV57" si="228">AU49*AU$33</f>
        <v>597.94000000000005</v>
      </c>
      <c r="AV55" s="515">
        <f t="shared" si="228"/>
        <v>183.78</v>
      </c>
      <c r="AW55" s="735">
        <f>AX55-AV55</f>
        <v>256.5</v>
      </c>
      <c r="AX55" s="739">
        <f t="shared" ref="AX55:AY55" si="229">AX49*AX$33</f>
        <v>440.28</v>
      </c>
      <c r="AY55" s="515">
        <f t="shared" si="229"/>
        <v>208.32</v>
      </c>
      <c r="AZ55" s="704">
        <f t="shared" ref="AZ55:AZ57" si="230">BA55-AY55</f>
        <v>231.95999999999998</v>
      </c>
      <c r="BA55" s="605">
        <f t="shared" si="218"/>
        <v>440.28</v>
      </c>
      <c r="BB55" s="978">
        <f t="shared" si="218"/>
        <v>208.32</v>
      </c>
      <c r="BC55" s="704">
        <f t="shared" ref="BC55:BC57" si="231">BD55-BB55</f>
        <v>231.95999999999998</v>
      </c>
      <c r="BD55" s="605">
        <f t="shared" si="219"/>
        <v>440.28</v>
      </c>
      <c r="BE55" s="978">
        <f t="shared" si="219"/>
        <v>208.32</v>
      </c>
      <c r="BF55" s="704">
        <f t="shared" ref="BF55:BF57" si="232">BG55-BE55</f>
        <v>231.95999999999998</v>
      </c>
      <c r="BG55" s="605">
        <f t="shared" si="220"/>
        <v>440.28</v>
      </c>
      <c r="BH55" s="978">
        <f t="shared" si="220"/>
        <v>208.32</v>
      </c>
      <c r="BI55" s="704">
        <f t="shared" ref="BI55:BI57" si="233">BJ55-BH55</f>
        <v>231.95999999999998</v>
      </c>
      <c r="BJ55" s="605">
        <f t="shared" si="221"/>
        <v>440.28</v>
      </c>
      <c r="BK55" s="978">
        <f t="shared" si="221"/>
        <v>208.32</v>
      </c>
      <c r="BL55" s="704">
        <f t="shared" ref="BL55:BL57" si="234">BM55-BK55</f>
        <v>231.95999999999998</v>
      </c>
      <c r="BM55" s="605">
        <f>BJ55*(1+BM61)</f>
        <v>440.28</v>
      </c>
    </row>
    <row r="56" spans="1:66" s="170" customFormat="1">
      <c r="A56" s="170" t="str">
        <f>A50</f>
        <v>Power Gen</v>
      </c>
      <c r="H56" s="171"/>
      <c r="I56" s="171"/>
      <c r="J56" s="171"/>
      <c r="K56" s="171"/>
      <c r="L56" s="171"/>
      <c r="M56" s="171"/>
      <c r="N56" s="171"/>
      <c r="O56" s="269"/>
      <c r="P56" s="269"/>
      <c r="Q56" s="269"/>
      <c r="R56" s="269"/>
      <c r="S56" s="735"/>
      <c r="T56" s="739"/>
      <c r="U56" s="269"/>
      <c r="V56" s="735"/>
      <c r="W56" s="739"/>
      <c r="X56" s="269"/>
      <c r="Y56" s="735"/>
      <c r="Z56" s="746"/>
      <c r="AA56" s="515">
        <f t="shared" ref="AA56" si="235">AA50*AA$33</f>
        <v>397.17</v>
      </c>
      <c r="AB56" s="735">
        <f>AC56-AA56</f>
        <v>613.18999999999983</v>
      </c>
      <c r="AC56" s="739">
        <f t="shared" si="223"/>
        <v>1010.3599999999999</v>
      </c>
      <c r="AD56" s="515">
        <f t="shared" si="223"/>
        <v>543.54999999999995</v>
      </c>
      <c r="AE56" s="735">
        <f>AF56-AD56</f>
        <v>697.2</v>
      </c>
      <c r="AF56" s="739">
        <f t="shared" si="223"/>
        <v>1240.75</v>
      </c>
      <c r="AG56" s="515">
        <f t="shared" ref="AG56" si="236">AG50*AG$33</f>
        <v>424.9</v>
      </c>
      <c r="AH56" s="735">
        <f>AI56-AG56</f>
        <v>477.65000000000009</v>
      </c>
      <c r="AI56" s="739">
        <f t="shared" si="223"/>
        <v>902.55000000000007</v>
      </c>
      <c r="AJ56" s="515">
        <f t="shared" si="223"/>
        <v>377.92</v>
      </c>
      <c r="AK56" s="735">
        <f>AL56-AJ56</f>
        <v>529.25</v>
      </c>
      <c r="AL56" s="739">
        <f t="shared" si="225"/>
        <v>907.17000000000007</v>
      </c>
      <c r="AM56" s="515">
        <f t="shared" si="225"/>
        <v>452.43</v>
      </c>
      <c r="AN56" s="735">
        <f>AO56-AM56</f>
        <v>685.55</v>
      </c>
      <c r="AO56" s="739">
        <f t="shared" si="225"/>
        <v>1137.98</v>
      </c>
      <c r="AP56" s="515">
        <f t="shared" ref="AP56" si="237">AP50*AP$33</f>
        <v>709.6</v>
      </c>
      <c r="AQ56" s="735">
        <f>AR56-AP56</f>
        <v>837.92</v>
      </c>
      <c r="AR56" s="739">
        <f t="shared" ref="AR56" si="238">AR50*AR$33</f>
        <v>1547.52</v>
      </c>
      <c r="AS56" s="515">
        <f t="shared" si="227"/>
        <v>789.91</v>
      </c>
      <c r="AT56" s="735">
        <f>AU56-AS56</f>
        <v>1302.8800000000001</v>
      </c>
      <c r="AU56" s="739">
        <f t="shared" si="228"/>
        <v>2092.79</v>
      </c>
      <c r="AV56" s="515">
        <f t="shared" si="228"/>
        <v>1102.68</v>
      </c>
      <c r="AW56" s="735">
        <f>AX56-AV56</f>
        <v>1539.0000000000002</v>
      </c>
      <c r="AX56" s="739">
        <f t="shared" ref="AX56:AY56" si="239">AX50*AX$33</f>
        <v>2641.6800000000003</v>
      </c>
      <c r="AY56" s="515">
        <f t="shared" si="239"/>
        <v>1510.32</v>
      </c>
      <c r="AZ56" s="704">
        <f t="shared" si="230"/>
        <v>1791.7800000000004</v>
      </c>
      <c r="BA56" s="605">
        <f t="shared" si="218"/>
        <v>3302.1000000000004</v>
      </c>
      <c r="BB56" s="978">
        <f t="shared" si="218"/>
        <v>1887.8999999999999</v>
      </c>
      <c r="BC56" s="704">
        <f t="shared" si="231"/>
        <v>2239.7250000000004</v>
      </c>
      <c r="BD56" s="605">
        <f t="shared" si="219"/>
        <v>4127.625</v>
      </c>
      <c r="BE56" s="978">
        <f t="shared" si="219"/>
        <v>2359.875</v>
      </c>
      <c r="BF56" s="704">
        <f t="shared" si="232"/>
        <v>2799.65625</v>
      </c>
      <c r="BG56" s="605">
        <f t="shared" si="220"/>
        <v>5159.53125</v>
      </c>
      <c r="BH56" s="978">
        <f t="shared" si="220"/>
        <v>2949.84375</v>
      </c>
      <c r="BI56" s="704">
        <f t="shared" si="233"/>
        <v>3499.5703125</v>
      </c>
      <c r="BJ56" s="605">
        <f t="shared" si="221"/>
        <v>6449.4140625</v>
      </c>
      <c r="BK56" s="978">
        <f t="shared" si="221"/>
        <v>3687.3046875</v>
      </c>
      <c r="BL56" s="704">
        <f t="shared" si="234"/>
        <v>4374.462890625</v>
      </c>
      <c r="BM56" s="605">
        <f>BJ56*(1+BM62)</f>
        <v>8061.767578125</v>
      </c>
    </row>
    <row r="57" spans="1:66" s="170" customFormat="1">
      <c r="A57" s="170" t="str">
        <f>A51</f>
        <v>Governmental and other</v>
      </c>
      <c r="H57" s="171"/>
      <c r="I57" s="171"/>
      <c r="J57" s="171"/>
      <c r="K57" s="171"/>
      <c r="L57" s="171"/>
      <c r="M57" s="171"/>
      <c r="N57" s="171"/>
      <c r="O57" s="269"/>
      <c r="P57" s="269"/>
      <c r="Q57" s="269"/>
      <c r="R57" s="269"/>
      <c r="S57" s="735"/>
      <c r="T57" s="739"/>
      <c r="U57" s="269"/>
      <c r="V57" s="735"/>
      <c r="W57" s="739"/>
      <c r="X57" s="269"/>
      <c r="Y57" s="735"/>
      <c r="Z57" s="746"/>
      <c r="AA57" s="515">
        <f t="shared" ref="AA57" si="240">AA51*AA$33</f>
        <v>205.94000000000003</v>
      </c>
      <c r="AB57" s="735">
        <f>AC57-AA57</f>
        <v>212.13999999999996</v>
      </c>
      <c r="AC57" s="739">
        <f t="shared" si="223"/>
        <v>418.08</v>
      </c>
      <c r="AD57" s="515">
        <f t="shared" si="223"/>
        <v>217.42000000000002</v>
      </c>
      <c r="AE57" s="735">
        <f>AF57-AD57</f>
        <v>207.97999999999996</v>
      </c>
      <c r="AF57" s="739">
        <f t="shared" si="223"/>
        <v>425.4</v>
      </c>
      <c r="AG57" s="515">
        <f t="shared" ref="AG57" si="241">AG51*AG$33</f>
        <v>133.54</v>
      </c>
      <c r="AH57" s="735">
        <f>AI57-AG57</f>
        <v>167.31000000000003</v>
      </c>
      <c r="AI57" s="739">
        <f t="shared" si="223"/>
        <v>300.85000000000002</v>
      </c>
      <c r="AJ57" s="515">
        <f t="shared" si="223"/>
        <v>118.10000000000001</v>
      </c>
      <c r="AK57" s="735">
        <f>AL57-AJ57</f>
        <v>129.31</v>
      </c>
      <c r="AL57" s="739">
        <f t="shared" si="225"/>
        <v>247.41</v>
      </c>
      <c r="AM57" s="515">
        <f t="shared" si="225"/>
        <v>123.39</v>
      </c>
      <c r="AN57" s="735">
        <f>AO57-AM57</f>
        <v>211.31000000000006</v>
      </c>
      <c r="AO57" s="739">
        <f t="shared" si="225"/>
        <v>334.70000000000005</v>
      </c>
      <c r="AP57" s="515">
        <f t="shared" ref="AP57" si="242">AP51*AP$33</f>
        <v>159.66</v>
      </c>
      <c r="AQ57" s="735">
        <f>AR57-AP57</f>
        <v>832.34</v>
      </c>
      <c r="AR57" s="739">
        <f t="shared" ref="AR57" si="243">AR51*AR$33</f>
        <v>992</v>
      </c>
      <c r="AS57" s="515">
        <f t="shared" si="227"/>
        <v>440.88</v>
      </c>
      <c r="AT57" s="735">
        <f>AU57-AS57</f>
        <v>712.29000000000008</v>
      </c>
      <c r="AU57" s="739">
        <f t="shared" si="228"/>
        <v>1153.17</v>
      </c>
      <c r="AV57" s="515">
        <f t="shared" si="228"/>
        <v>551.34</v>
      </c>
      <c r="AW57" s="735">
        <f>AX57-AV57</f>
        <v>769.50000000000011</v>
      </c>
      <c r="AX57" s="739">
        <f t="shared" ref="AX57:AY57" si="244">AX51*AX$33</f>
        <v>1320.8400000000001</v>
      </c>
      <c r="AY57" s="515">
        <f t="shared" si="244"/>
        <v>677.04000000000008</v>
      </c>
      <c r="AZ57" s="704">
        <f t="shared" si="230"/>
        <v>907.96799999999996</v>
      </c>
      <c r="BA57" s="605">
        <f t="shared" si="218"/>
        <v>1585.008</v>
      </c>
      <c r="BB57" s="978">
        <f t="shared" si="218"/>
        <v>812.44800000000009</v>
      </c>
      <c r="BC57" s="704">
        <f t="shared" si="231"/>
        <v>1089.5615999999998</v>
      </c>
      <c r="BD57" s="605">
        <f t="shared" si="219"/>
        <v>1902.0095999999999</v>
      </c>
      <c r="BE57" s="978">
        <f t="shared" si="219"/>
        <v>974.93760000000009</v>
      </c>
      <c r="BF57" s="704">
        <f t="shared" si="232"/>
        <v>1307.4739199999995</v>
      </c>
      <c r="BG57" s="605">
        <f t="shared" si="220"/>
        <v>2282.4115199999997</v>
      </c>
      <c r="BH57" s="978">
        <f t="shared" si="220"/>
        <v>1169.9251200000001</v>
      </c>
      <c r="BI57" s="704">
        <f t="shared" si="233"/>
        <v>1568.9687039999992</v>
      </c>
      <c r="BJ57" s="605">
        <f t="shared" si="221"/>
        <v>2738.8938239999993</v>
      </c>
      <c r="BK57" s="978">
        <f t="shared" si="221"/>
        <v>1403.9101440000002</v>
      </c>
      <c r="BL57" s="704">
        <f t="shared" si="234"/>
        <v>1882.762444799999</v>
      </c>
      <c r="BM57" s="605">
        <f>BJ57*(1+BM63)</f>
        <v>3286.6725887999992</v>
      </c>
    </row>
    <row r="58" spans="1:66">
      <c r="S58" s="595"/>
      <c r="T58" s="619"/>
      <c r="V58" s="595"/>
      <c r="W58" s="619"/>
      <c r="Y58" s="595"/>
      <c r="Z58" s="619"/>
      <c r="AB58" s="595"/>
      <c r="AC58" s="619"/>
      <c r="AE58" s="595"/>
      <c r="AF58" s="619"/>
      <c r="AH58" s="595"/>
      <c r="AI58" s="619"/>
      <c r="AK58" s="595"/>
      <c r="AL58" s="619"/>
      <c r="AN58" s="595"/>
      <c r="AO58" s="619"/>
      <c r="AQ58" s="539"/>
      <c r="AR58" s="550"/>
      <c r="AS58"/>
      <c r="AT58" s="539"/>
      <c r="AU58" s="550"/>
      <c r="AV58"/>
      <c r="AW58" s="539"/>
      <c r="AX58" s="550"/>
      <c r="AY58"/>
      <c r="AZ58" s="539"/>
      <c r="BA58" s="550"/>
      <c r="BB58"/>
      <c r="BC58" s="539"/>
      <c r="BD58" s="550"/>
      <c r="BE58"/>
      <c r="BF58" s="539"/>
      <c r="BG58" s="550"/>
      <c r="BH58"/>
      <c r="BI58" s="539"/>
      <c r="BJ58" s="550"/>
      <c r="BK58"/>
      <c r="BL58" s="539"/>
      <c r="BM58" s="550"/>
    </row>
    <row r="59" spans="1:66" s="1058" customFormat="1">
      <c r="A59" s="172" t="s">
        <v>1002</v>
      </c>
      <c r="B59" s="1059"/>
      <c r="C59" s="1059"/>
      <c r="D59" s="1059"/>
      <c r="E59" s="1059"/>
      <c r="F59" s="1059"/>
      <c r="G59" s="1059"/>
      <c r="H59" s="1059"/>
      <c r="I59" s="1059"/>
      <c r="J59" s="1059"/>
      <c r="K59" s="1059"/>
      <c r="L59" s="1059"/>
      <c r="M59" s="1059"/>
      <c r="N59" s="1059"/>
      <c r="O59" s="1059"/>
      <c r="P59" s="1059"/>
      <c r="Q59" s="1059"/>
      <c r="R59" s="1059"/>
      <c r="S59" s="1060"/>
      <c r="T59" s="1061"/>
      <c r="U59" s="1059"/>
      <c r="V59" s="1060"/>
      <c r="W59" s="1061"/>
      <c r="X59" s="1059"/>
      <c r="Y59" s="1060"/>
      <c r="Z59" s="1061"/>
      <c r="AA59" s="1059"/>
      <c r="AB59" s="1060"/>
      <c r="AC59" s="1061"/>
      <c r="AD59" s="1059">
        <f t="shared" ref="AD59:BM63" si="245">AD53/AA53-1</f>
        <v>5.5744391570360374E-2</v>
      </c>
      <c r="AE59" s="1060">
        <f t="shared" si="245"/>
        <v>-1.0432190760059412E-2</v>
      </c>
      <c r="AF59" s="1061">
        <f t="shared" si="245"/>
        <v>1.7508610792192902E-2</v>
      </c>
      <c r="AG59" s="1059">
        <f t="shared" si="245"/>
        <v>-0.21828718609143594</v>
      </c>
      <c r="AH59" s="1060">
        <f t="shared" si="245"/>
        <v>-0.23644578313253017</v>
      </c>
      <c r="AI59" s="1061">
        <f t="shared" si="245"/>
        <v>-0.22849083215796906</v>
      </c>
      <c r="AJ59" s="1059">
        <f t="shared" si="245"/>
        <v>-2.7182866556836882E-2</v>
      </c>
      <c r="AK59" s="1060">
        <f t="shared" si="245"/>
        <v>3.0900723208415526E-2</v>
      </c>
      <c r="AL59" s="1061">
        <f t="shared" si="245"/>
        <v>5.1188299817184202E-3</v>
      </c>
      <c r="AM59" s="1059">
        <f t="shared" si="245"/>
        <v>0.16088060965283679</v>
      </c>
      <c r="AN59" s="1060">
        <f t="shared" si="245"/>
        <v>0.26020408163265296</v>
      </c>
      <c r="AO59" s="1061">
        <f t="shared" si="245"/>
        <v>0.21753364859949076</v>
      </c>
      <c r="AP59" s="1059">
        <f t="shared" si="245"/>
        <v>0.29394602479941634</v>
      </c>
      <c r="AQ59" s="791">
        <f t="shared" si="245"/>
        <v>0.11032388663967607</v>
      </c>
      <c r="AR59" s="822">
        <f t="shared" si="245"/>
        <v>0.18553928891544658</v>
      </c>
      <c r="AS59" s="1059">
        <f t="shared" si="245"/>
        <v>3.5512965050732648E-2</v>
      </c>
      <c r="AT59" s="791">
        <f t="shared" ref="AT59:AT63" si="246">AT53/AQ53-1</f>
        <v>0.10938924339106681</v>
      </c>
      <c r="AU59" s="822">
        <f t="shared" ref="AU59:AU63" si="247">AU53/AR53-1</f>
        <v>7.6360887096774244E-2</v>
      </c>
      <c r="AV59" s="1059">
        <f t="shared" si="245"/>
        <v>0.11159499183451271</v>
      </c>
      <c r="AW59" s="791">
        <f t="shared" si="245"/>
        <v>0.17091207888249782</v>
      </c>
      <c r="AX59" s="822">
        <f t="shared" si="245"/>
        <v>0.14539920393350503</v>
      </c>
      <c r="AY59" s="1059">
        <f t="shared" si="245"/>
        <v>0.27522037218413331</v>
      </c>
      <c r="AZ59" s="1062">
        <f t="shared" si="245"/>
        <v>0.13752280701754405</v>
      </c>
      <c r="BA59" s="1063">
        <f t="shared" si="245"/>
        <v>0.19500000000000006</v>
      </c>
      <c r="BB59" s="1064">
        <f t="shared" si="245"/>
        <v>0.20179999999999976</v>
      </c>
      <c r="BC59" s="1062">
        <f t="shared" si="245"/>
        <v>0.19992736447929316</v>
      </c>
      <c r="BD59" s="1063">
        <f t="shared" si="245"/>
        <v>0.20076150627615053</v>
      </c>
      <c r="BE59" s="1064">
        <f t="shared" si="245"/>
        <v>0.20697120985188899</v>
      </c>
      <c r="BF59" s="1062">
        <f t="shared" si="245"/>
        <v>0.20502708382884438</v>
      </c>
      <c r="BG59" s="1063">
        <f t="shared" si="245"/>
        <v>0.20589381912454452</v>
      </c>
      <c r="BH59" s="1064">
        <f t="shared" si="245"/>
        <v>0.21091270962911701</v>
      </c>
      <c r="BI59" s="1062">
        <f t="shared" si="245"/>
        <v>0.20881127276830513</v>
      </c>
      <c r="BJ59" s="1063">
        <f t="shared" si="245"/>
        <v>0.20974897782187396</v>
      </c>
      <c r="BK59" s="1064">
        <f t="shared" si="245"/>
        <v>0.21507750836633077</v>
      </c>
      <c r="BL59" s="1062">
        <f t="shared" si="245"/>
        <v>0.21300372900964359</v>
      </c>
      <c r="BM59" s="1063">
        <f t="shared" si="245"/>
        <v>0.2139299828708956</v>
      </c>
      <c r="BN59" s="1064"/>
    </row>
    <row r="60" spans="1:66" s="33" customFormat="1">
      <c r="A60" s="33" t="str">
        <f>A54</f>
        <v>Marine</v>
      </c>
      <c r="B60" s="103"/>
      <c r="C60" s="103"/>
      <c r="D60" s="103"/>
      <c r="E60" s="103"/>
      <c r="F60" s="103"/>
      <c r="G60" s="103"/>
      <c r="H60" s="103"/>
      <c r="I60" s="103"/>
      <c r="J60" s="103"/>
      <c r="K60" s="103"/>
      <c r="L60" s="103"/>
      <c r="M60" s="103"/>
      <c r="N60" s="103"/>
      <c r="O60" s="103"/>
      <c r="P60" s="103"/>
      <c r="Q60" s="103"/>
      <c r="R60" s="103"/>
      <c r="S60" s="637"/>
      <c r="T60" s="660"/>
      <c r="U60" s="103"/>
      <c r="V60" s="637"/>
      <c r="W60" s="660"/>
      <c r="X60" s="103"/>
      <c r="Y60" s="637"/>
      <c r="Z60" s="660"/>
      <c r="AA60" s="103"/>
      <c r="AB60" s="637"/>
      <c r="AC60" s="660"/>
      <c r="AD60" s="103">
        <f t="shared" ref="AD60:AM63" si="248">AD54/AA54-1</f>
        <v>-0.12628050352797771</v>
      </c>
      <c r="AE60" s="637">
        <f t="shared" si="248"/>
        <v>6.1856553094540967E-2</v>
      </c>
      <c r="AF60" s="660">
        <f t="shared" si="248"/>
        <v>-1.757789302822732E-2</v>
      </c>
      <c r="AG60" s="103">
        <f t="shared" si="248"/>
        <v>-5.5430349860485006E-2</v>
      </c>
      <c r="AH60" s="637">
        <f t="shared" si="248"/>
        <v>-0.15606246370265209</v>
      </c>
      <c r="AI60" s="660">
        <f t="shared" si="248"/>
        <v>-0.11827523675196461</v>
      </c>
      <c r="AJ60" s="103">
        <f t="shared" si="248"/>
        <v>6.3625518377550261E-3</v>
      </c>
      <c r="AK60" s="637">
        <f t="shared" si="248"/>
        <v>5.6829911687120038E-2</v>
      </c>
      <c r="AL60" s="660">
        <f t="shared" si="248"/>
        <v>3.6528793418647121E-2</v>
      </c>
      <c r="AM60" s="103">
        <f t="shared" si="248"/>
        <v>0.23827265029635902</v>
      </c>
      <c r="AN60" s="637">
        <f t="shared" ref="AN60:AS63" si="249">AN54/AK54-1</f>
        <v>8.3166024562735918E-2</v>
      </c>
      <c r="AO60" s="660">
        <f t="shared" si="249"/>
        <v>0.14374373050255174</v>
      </c>
      <c r="AP60" s="103">
        <f t="shared" si="249"/>
        <v>5.1331145149525748E-2</v>
      </c>
      <c r="AQ60" s="802">
        <f t="shared" si="249"/>
        <v>-0.97508558069633466</v>
      </c>
      <c r="AR60" s="833">
        <f t="shared" si="249"/>
        <v>-0.54108156558111742</v>
      </c>
      <c r="AS60" s="103">
        <f t="shared" si="249"/>
        <v>-0.56189836094007461</v>
      </c>
      <c r="AT60" s="802">
        <f t="shared" si="246"/>
        <v>14.082439678284226</v>
      </c>
      <c r="AU60" s="833">
        <f t="shared" si="247"/>
        <v>-0.10303259408602139</v>
      </c>
      <c r="AV60" s="103">
        <f t="shared" si="245"/>
        <v>1.0540901667738911E-2</v>
      </c>
      <c r="AW60" s="802">
        <f t="shared" si="245"/>
        <v>0.26649780029329406</v>
      </c>
      <c r="AX60" s="833">
        <f t="shared" si="245"/>
        <v>0.14539920393350503</v>
      </c>
      <c r="AY60" s="103">
        <f t="shared" si="245"/>
        <v>2.0176297747306338E-2</v>
      </c>
      <c r="AZ60" s="752">
        <f>AZ54/AW54-1</f>
        <v>8.8533333333333353E-2</v>
      </c>
      <c r="BA60" s="610">
        <v>0.06</v>
      </c>
      <c r="BB60" s="324">
        <f t="shared" ref="BB60:BB63" si="250">BD60</f>
        <v>0.06</v>
      </c>
      <c r="BC60" s="752">
        <f>BC54/AZ54-1</f>
        <v>5.9999999999999831E-2</v>
      </c>
      <c r="BD60" s="610">
        <v>0.06</v>
      </c>
      <c r="BE60" s="324">
        <f t="shared" ref="BE60:BE63" si="251">BG60</f>
        <v>0.06</v>
      </c>
      <c r="BF60" s="752">
        <f>BF54/BC54-1</f>
        <v>6.0000000000000275E-2</v>
      </c>
      <c r="BG60" s="610">
        <v>0.06</v>
      </c>
      <c r="BH60" s="324">
        <f t="shared" ref="BH60:BH63" si="252">BJ60</f>
        <v>0.05</v>
      </c>
      <c r="BI60" s="752">
        <f>BI54/BF54-1</f>
        <v>5.0000000000000044E-2</v>
      </c>
      <c r="BJ60" s="610">
        <v>0.05</v>
      </c>
      <c r="BK60" s="324">
        <f t="shared" ref="BK60:BK63" si="253">BM60</f>
        <v>0.05</v>
      </c>
      <c r="BL60" s="752">
        <f>BL54/BI54-1</f>
        <v>5.0000000000000044E-2</v>
      </c>
      <c r="BM60" s="610">
        <v>0.05</v>
      </c>
      <c r="BN60" s="464" t="s">
        <v>1037</v>
      </c>
    </row>
    <row r="61" spans="1:66" s="33" customFormat="1">
      <c r="A61" s="33" t="str">
        <f>A55</f>
        <v>Industrial</v>
      </c>
      <c r="B61" s="103"/>
      <c r="C61" s="103"/>
      <c r="D61" s="103"/>
      <c r="E61" s="103"/>
      <c r="F61" s="103"/>
      <c r="G61" s="103"/>
      <c r="H61" s="103"/>
      <c r="I61" s="103"/>
      <c r="J61" s="103"/>
      <c r="K61" s="103"/>
      <c r="L61" s="103"/>
      <c r="M61" s="103"/>
      <c r="N61" s="103"/>
      <c r="O61" s="103"/>
      <c r="P61" s="103"/>
      <c r="Q61" s="103"/>
      <c r="R61" s="103"/>
      <c r="S61" s="637"/>
      <c r="T61" s="660"/>
      <c r="U61" s="103"/>
      <c r="V61" s="637"/>
      <c r="W61" s="660"/>
      <c r="X61" s="103"/>
      <c r="Y61" s="637"/>
      <c r="Z61" s="660"/>
      <c r="AA61" s="103"/>
      <c r="AB61" s="637"/>
      <c r="AC61" s="660"/>
      <c r="AD61" s="103">
        <f t="shared" si="248"/>
        <v>-4.9830047586675752E-2</v>
      </c>
      <c r="AE61" s="637">
        <f t="shared" si="248"/>
        <v>-0.22679251531710565</v>
      </c>
      <c r="AF61" s="660">
        <f t="shared" si="248"/>
        <v>-0.15207615767317262</v>
      </c>
      <c r="AG61" s="103">
        <f t="shared" si="248"/>
        <v>-0.27619183897355182</v>
      </c>
      <c r="AH61" s="637">
        <f t="shared" si="248"/>
        <v>-0.24422838051998119</v>
      </c>
      <c r="AI61" s="660">
        <f t="shared" si="248"/>
        <v>-0.25935119887165026</v>
      </c>
      <c r="AJ61" s="103">
        <f t="shared" si="248"/>
        <v>8.9555189456342665E-2</v>
      </c>
      <c r="AK61" s="637">
        <f t="shared" si="248"/>
        <v>1.0399546613771626E-2</v>
      </c>
      <c r="AL61" s="660">
        <f t="shared" si="248"/>
        <v>4.6998781230956688E-2</v>
      </c>
      <c r="AM61" s="103">
        <f t="shared" si="248"/>
        <v>7.7960566106205498E-2</v>
      </c>
      <c r="AN61" s="637">
        <f t="shared" si="249"/>
        <v>0.34697254396051269</v>
      </c>
      <c r="AO61" s="660">
        <f t="shared" si="249"/>
        <v>0.21753364859949076</v>
      </c>
      <c r="AP61" s="103">
        <f t="shared" si="249"/>
        <v>0.24417886999943872</v>
      </c>
      <c r="AQ61" s="802">
        <f t="shared" si="249"/>
        <v>5.9401611526369358E-2</v>
      </c>
      <c r="AR61" s="833">
        <f t="shared" si="249"/>
        <v>0.13811771735882883</v>
      </c>
      <c r="AS61" s="103">
        <f t="shared" si="249"/>
        <v>-8.8748590755355128E-2</v>
      </c>
      <c r="AT61" s="802">
        <f t="shared" si="246"/>
        <v>-0.61911874533233746</v>
      </c>
      <c r="AU61" s="833">
        <f t="shared" si="247"/>
        <v>-0.37212281586021501</v>
      </c>
      <c r="AV61" s="103">
        <f t="shared" si="245"/>
        <v>-0.54525659424951756</v>
      </c>
      <c r="AW61" s="802">
        <f t="shared" si="245"/>
        <v>0.3235294117647054</v>
      </c>
      <c r="AX61" s="833">
        <f t="shared" si="245"/>
        <v>-0.2636719403284612</v>
      </c>
      <c r="AY61" s="103">
        <f t="shared" si="245"/>
        <v>0.13352921971922949</v>
      </c>
      <c r="AZ61" s="752">
        <f t="shared" ref="AZ61:AZ63" si="254">AZ55/AW55-1</f>
        <v>-9.5672514619883131E-2</v>
      </c>
      <c r="BA61" s="610">
        <v>0</v>
      </c>
      <c r="BB61" s="324">
        <f t="shared" si="250"/>
        <v>0</v>
      </c>
      <c r="BC61" s="752">
        <f t="shared" ref="BC61:BC63" si="255">BC55/AZ55-1</f>
        <v>0</v>
      </c>
      <c r="BD61" s="765">
        <f>BA61</f>
        <v>0</v>
      </c>
      <c r="BE61" s="324">
        <f t="shared" si="251"/>
        <v>0</v>
      </c>
      <c r="BF61" s="752">
        <f t="shared" ref="BF61:BF63" si="256">BF55/BC55-1</f>
        <v>0</v>
      </c>
      <c r="BG61" s="765">
        <f>BD61</f>
        <v>0</v>
      </c>
      <c r="BH61" s="324">
        <f t="shared" si="252"/>
        <v>0</v>
      </c>
      <c r="BI61" s="752">
        <f t="shared" ref="BI61:BI63" si="257">BI55/BF55-1</f>
        <v>0</v>
      </c>
      <c r="BJ61" s="765">
        <f>BG61</f>
        <v>0</v>
      </c>
      <c r="BK61" s="324">
        <f t="shared" si="253"/>
        <v>0</v>
      </c>
      <c r="BL61" s="752">
        <f t="shared" ref="BL61:BL63" si="258">BL55/BI55-1</f>
        <v>0</v>
      </c>
      <c r="BM61" s="765">
        <f>BJ61</f>
        <v>0</v>
      </c>
      <c r="BN61" s="464"/>
    </row>
    <row r="62" spans="1:66" s="33" customFormat="1">
      <c r="A62" s="33" t="str">
        <f>A56</f>
        <v>Power Gen</v>
      </c>
      <c r="B62" s="103"/>
      <c r="C62" s="103"/>
      <c r="D62" s="103"/>
      <c r="E62" s="103"/>
      <c r="F62" s="103"/>
      <c r="G62" s="103"/>
      <c r="H62" s="103"/>
      <c r="I62" s="103"/>
      <c r="J62" s="103"/>
      <c r="K62" s="103"/>
      <c r="L62" s="103"/>
      <c r="M62" s="103"/>
      <c r="N62" s="103"/>
      <c r="O62" s="103"/>
      <c r="P62" s="103"/>
      <c r="Q62" s="103"/>
      <c r="R62" s="103"/>
      <c r="S62" s="637"/>
      <c r="T62" s="660"/>
      <c r="U62" s="103"/>
      <c r="V62" s="637"/>
      <c r="W62" s="660"/>
      <c r="X62" s="103"/>
      <c r="Y62" s="637"/>
      <c r="Z62" s="660"/>
      <c r="AA62" s="103"/>
      <c r="AB62" s="637"/>
      <c r="AC62" s="660"/>
      <c r="AD62" s="103">
        <f t="shared" si="248"/>
        <v>0.36855754462824475</v>
      </c>
      <c r="AE62" s="637">
        <f t="shared" si="248"/>
        <v>0.13700484352321496</v>
      </c>
      <c r="AF62" s="660">
        <f t="shared" si="248"/>
        <v>0.22802763371471557</v>
      </c>
      <c r="AG62" s="103">
        <f t="shared" si="248"/>
        <v>-0.21828718609143594</v>
      </c>
      <c r="AH62" s="637">
        <f t="shared" si="248"/>
        <v>-0.31490246701090063</v>
      </c>
      <c r="AI62" s="660">
        <f t="shared" si="248"/>
        <v>-0.27257707032037071</v>
      </c>
      <c r="AJ62" s="103">
        <f t="shared" si="248"/>
        <v>-0.11056719228053646</v>
      </c>
      <c r="AK62" s="637">
        <f t="shared" si="248"/>
        <v>0.10802889144771255</v>
      </c>
      <c r="AL62" s="660">
        <f t="shared" si="248"/>
        <v>5.1188299817184202E-3</v>
      </c>
      <c r="AM62" s="103">
        <f t="shared" si="248"/>
        <v>0.19715812870448768</v>
      </c>
      <c r="AN62" s="637">
        <f t="shared" si="249"/>
        <v>0.29532357109116658</v>
      </c>
      <c r="AO62" s="660">
        <f t="shared" si="249"/>
        <v>0.25442860764796005</v>
      </c>
      <c r="AP62" s="103">
        <f t="shared" si="249"/>
        <v>0.56841942399929279</v>
      </c>
      <c r="AQ62" s="802">
        <f t="shared" si="249"/>
        <v>0.22225949967179637</v>
      </c>
      <c r="AR62" s="833">
        <f t="shared" si="249"/>
        <v>0.35988330199124752</v>
      </c>
      <c r="AS62" s="103">
        <f t="shared" si="249"/>
        <v>0.11317643742953765</v>
      </c>
      <c r="AT62" s="802">
        <f t="shared" si="246"/>
        <v>0.55489784227611239</v>
      </c>
      <c r="AU62" s="833">
        <f t="shared" si="247"/>
        <v>0.35235085814722922</v>
      </c>
      <c r="AV62" s="103">
        <f t="shared" si="245"/>
        <v>0.39595650137357441</v>
      </c>
      <c r="AW62" s="802">
        <f t="shared" si="245"/>
        <v>0.18122927667935662</v>
      </c>
      <c r="AX62" s="833">
        <f t="shared" si="245"/>
        <v>0.2622766737226383</v>
      </c>
      <c r="AY62" s="103">
        <f t="shared" si="245"/>
        <v>0.36968114049406875</v>
      </c>
      <c r="AZ62" s="752">
        <f t="shared" si="254"/>
        <v>0.16424951267056542</v>
      </c>
      <c r="BA62" s="610">
        <v>0.25</v>
      </c>
      <c r="BB62" s="324">
        <f t="shared" si="250"/>
        <v>0.25</v>
      </c>
      <c r="BC62" s="752">
        <f t="shared" si="255"/>
        <v>0.25</v>
      </c>
      <c r="BD62" s="610">
        <v>0.25</v>
      </c>
      <c r="BE62" s="324">
        <f t="shared" si="251"/>
        <v>0.25</v>
      </c>
      <c r="BF62" s="752">
        <f t="shared" si="256"/>
        <v>0.24999999999999978</v>
      </c>
      <c r="BG62" s="610">
        <v>0.25</v>
      </c>
      <c r="BH62" s="324">
        <f t="shared" si="252"/>
        <v>0.25</v>
      </c>
      <c r="BI62" s="752">
        <f t="shared" si="257"/>
        <v>0.25</v>
      </c>
      <c r="BJ62" s="610">
        <v>0.25</v>
      </c>
      <c r="BK62" s="324">
        <f t="shared" si="253"/>
        <v>0.25</v>
      </c>
      <c r="BL62" s="752">
        <f t="shared" si="258"/>
        <v>0.25</v>
      </c>
      <c r="BM62" s="610">
        <v>0.25</v>
      </c>
      <c r="BN62" s="464" t="s">
        <v>1052</v>
      </c>
    </row>
    <row r="63" spans="1:66" s="33" customFormat="1">
      <c r="A63" s="33" t="str">
        <f>A57</f>
        <v>Governmental and other</v>
      </c>
      <c r="B63" s="103"/>
      <c r="C63" s="103"/>
      <c r="D63" s="103"/>
      <c r="E63" s="103"/>
      <c r="F63" s="103"/>
      <c r="G63" s="103"/>
      <c r="H63" s="103"/>
      <c r="I63" s="103"/>
      <c r="J63" s="103"/>
      <c r="K63" s="103"/>
      <c r="L63" s="103"/>
      <c r="M63" s="103"/>
      <c r="N63" s="103"/>
      <c r="O63" s="103"/>
      <c r="P63" s="103"/>
      <c r="Q63" s="103"/>
      <c r="R63" s="103"/>
      <c r="S63" s="637"/>
      <c r="T63" s="660"/>
      <c r="U63" s="103"/>
      <c r="V63" s="637"/>
      <c r="W63" s="660"/>
      <c r="X63" s="103"/>
      <c r="Y63" s="637"/>
      <c r="Z63" s="660"/>
      <c r="AA63" s="103"/>
      <c r="AB63" s="637"/>
      <c r="AC63" s="660"/>
      <c r="AD63" s="103">
        <f t="shared" si="248"/>
        <v>5.5744391570360152E-2</v>
      </c>
      <c r="AE63" s="637">
        <f t="shared" si="248"/>
        <v>-1.9609691713019739E-2</v>
      </c>
      <c r="AF63" s="660">
        <f t="shared" si="248"/>
        <v>1.7508610792192902E-2</v>
      </c>
      <c r="AG63" s="103">
        <f t="shared" si="248"/>
        <v>-0.38579707478612835</v>
      </c>
      <c r="AH63" s="637">
        <f t="shared" si="248"/>
        <v>-0.19554764881238551</v>
      </c>
      <c r="AI63" s="660">
        <f t="shared" si="248"/>
        <v>-0.29278326281147149</v>
      </c>
      <c r="AJ63" s="103">
        <f t="shared" si="248"/>
        <v>-0.11562078777894247</v>
      </c>
      <c r="AK63" s="637">
        <f t="shared" si="248"/>
        <v>-0.22712330404638115</v>
      </c>
      <c r="AL63" s="660">
        <f t="shared" si="248"/>
        <v>-0.17763004819677586</v>
      </c>
      <c r="AM63" s="103">
        <f t="shared" si="248"/>
        <v>4.4792548687552891E-2</v>
      </c>
      <c r="AN63" s="637">
        <f t="shared" si="249"/>
        <v>0.63413502436006541</v>
      </c>
      <c r="AO63" s="660">
        <f t="shared" si="249"/>
        <v>0.35281516511054556</v>
      </c>
      <c r="AP63" s="103">
        <f t="shared" si="249"/>
        <v>0.29394602479941656</v>
      </c>
      <c r="AQ63" s="802">
        <f t="shared" si="249"/>
        <v>2.9389522502484491</v>
      </c>
      <c r="AR63" s="833">
        <f t="shared" si="249"/>
        <v>1.9638482222886164</v>
      </c>
      <c r="AS63" s="103">
        <f t="shared" si="249"/>
        <v>1.7613679068019543</v>
      </c>
      <c r="AT63" s="802">
        <f t="shared" si="246"/>
        <v>-0.14423192445394906</v>
      </c>
      <c r="AU63" s="833">
        <f t="shared" si="247"/>
        <v>0.16246975806451625</v>
      </c>
      <c r="AV63" s="103">
        <f t="shared" si="245"/>
        <v>0.25054436581382689</v>
      </c>
      <c r="AW63" s="802">
        <f t="shared" si="245"/>
        <v>8.031840963652459E-2</v>
      </c>
      <c r="AX63" s="833">
        <f t="shared" si="245"/>
        <v>0.14539920393350503</v>
      </c>
      <c r="AY63" s="103">
        <f t="shared" si="245"/>
        <v>0.22798998802916537</v>
      </c>
      <c r="AZ63" s="752">
        <f t="shared" si="254"/>
        <v>0.17994541910331363</v>
      </c>
      <c r="BA63" s="610">
        <v>0.2</v>
      </c>
      <c r="BB63" s="324">
        <f t="shared" si="250"/>
        <v>0.2</v>
      </c>
      <c r="BC63" s="752">
        <f t="shared" si="255"/>
        <v>0.19999999999999973</v>
      </c>
      <c r="BD63" s="610">
        <v>0.2</v>
      </c>
      <c r="BE63" s="324">
        <f t="shared" si="251"/>
        <v>0.2</v>
      </c>
      <c r="BF63" s="752">
        <f t="shared" si="256"/>
        <v>0.19999999999999973</v>
      </c>
      <c r="BG63" s="610">
        <v>0.2</v>
      </c>
      <c r="BH63" s="324">
        <f t="shared" si="252"/>
        <v>0.2</v>
      </c>
      <c r="BI63" s="752">
        <f t="shared" si="257"/>
        <v>0.19999999999999996</v>
      </c>
      <c r="BJ63" s="610">
        <v>0.2</v>
      </c>
      <c r="BK63" s="324">
        <f t="shared" si="253"/>
        <v>0.2</v>
      </c>
      <c r="BL63" s="752">
        <f t="shared" si="258"/>
        <v>0.19999999999999996</v>
      </c>
      <c r="BM63" s="610">
        <v>0.2</v>
      </c>
      <c r="BN63" s="464" t="s">
        <v>1053</v>
      </c>
    </row>
    <row r="64" spans="1:66">
      <c r="S64" s="595"/>
      <c r="T64" s="619"/>
      <c r="V64" s="595"/>
      <c r="W64" s="619"/>
      <c r="Y64" s="595"/>
      <c r="Z64" s="619"/>
      <c r="AB64" s="595"/>
      <c r="AC64" s="619"/>
      <c r="AE64" s="595"/>
      <c r="AF64" s="619"/>
      <c r="AH64" s="595"/>
      <c r="AI64" s="619"/>
      <c r="AK64" s="595"/>
      <c r="AL64" s="619"/>
      <c r="AN64" s="595"/>
      <c r="AO64" s="619"/>
      <c r="AQ64" s="539"/>
      <c r="AR64" s="550"/>
      <c r="AS64"/>
      <c r="AT64" s="539"/>
      <c r="AU64" s="550"/>
      <c r="AV64"/>
      <c r="AW64" s="539"/>
      <c r="AX64" s="550"/>
      <c r="AY64"/>
      <c r="AZ64" s="539"/>
      <c r="BA64" s="550"/>
      <c r="BB64"/>
      <c r="BC64" s="539"/>
      <c r="BD64" s="550"/>
      <c r="BE64"/>
      <c r="BF64" s="539"/>
      <c r="BG64" s="550"/>
      <c r="BH64"/>
      <c r="BI64" s="539"/>
      <c r="BJ64" s="550"/>
      <c r="BK64"/>
      <c r="BL64" s="539"/>
      <c r="BM64" s="550"/>
    </row>
    <row r="65" spans="1:65">
      <c r="S65" s="595"/>
      <c r="T65" s="619"/>
      <c r="V65" s="595"/>
      <c r="W65" s="619"/>
      <c r="Y65" s="595"/>
      <c r="Z65" s="619"/>
      <c r="AB65" s="595"/>
      <c r="AC65" s="619"/>
      <c r="AE65" s="595"/>
      <c r="AF65" s="619"/>
      <c r="AH65" s="595"/>
      <c r="AI65" s="619"/>
      <c r="AK65" s="595"/>
      <c r="AL65" s="619"/>
      <c r="AN65" s="595"/>
      <c r="AO65" s="619"/>
      <c r="AQ65" s="539"/>
      <c r="AR65" s="550"/>
      <c r="AS65"/>
      <c r="AT65" s="539"/>
      <c r="AU65" s="550"/>
      <c r="AV65"/>
      <c r="AW65" s="539"/>
      <c r="AX65" s="550"/>
      <c r="AY65"/>
      <c r="AZ65" s="539"/>
      <c r="BA65" s="550"/>
      <c r="BB65"/>
      <c r="BC65" s="539"/>
      <c r="BD65" s="550"/>
      <c r="BE65"/>
      <c r="BF65" s="539"/>
      <c r="BG65" s="550"/>
      <c r="BH65"/>
      <c r="BI65" s="539"/>
      <c r="BJ65" s="550"/>
      <c r="BK65"/>
      <c r="BL65" s="539"/>
      <c r="BM65" s="550"/>
    </row>
    <row r="66" spans="1:65">
      <c r="A66" s="310" t="s">
        <v>282</v>
      </c>
      <c r="B66" s="311"/>
      <c r="C66" s="311"/>
      <c r="D66" s="311"/>
      <c r="E66" s="311"/>
      <c r="F66" s="311"/>
      <c r="G66" s="311"/>
      <c r="H66" s="311"/>
      <c r="I66" s="311"/>
      <c r="J66" s="311"/>
      <c r="K66" s="311"/>
      <c r="L66" s="311"/>
      <c r="M66" s="311"/>
      <c r="N66" s="311"/>
      <c r="O66" s="311"/>
      <c r="P66" s="311"/>
      <c r="Q66" s="311"/>
      <c r="R66" s="307"/>
      <c r="S66" s="316"/>
      <c r="T66" s="551"/>
      <c r="U66" s="307"/>
      <c r="V66" s="316"/>
      <c r="W66" s="551"/>
      <c r="X66" s="525"/>
      <c r="Y66" s="317"/>
      <c r="Z66" s="551"/>
      <c r="AA66" s="525"/>
      <c r="AB66" s="317"/>
      <c r="AC66" s="551"/>
      <c r="AD66" s="525"/>
      <c r="AE66" s="317"/>
      <c r="AF66" s="551"/>
      <c r="AG66" s="525"/>
      <c r="AH66" s="317"/>
      <c r="AI66" s="551"/>
      <c r="AJ66" s="525"/>
      <c r="AK66" s="317"/>
      <c r="AL66" s="551"/>
      <c r="AM66" s="525"/>
      <c r="AN66" s="317"/>
      <c r="AO66" s="551"/>
      <c r="AP66" s="525"/>
      <c r="AQ66" s="317"/>
      <c r="AR66" s="551"/>
      <c r="AS66" s="525"/>
      <c r="AT66" s="317"/>
      <c r="AU66" s="551"/>
      <c r="AV66" s="525"/>
      <c r="AW66" s="317"/>
      <c r="AX66" s="551"/>
      <c r="AY66" s="525"/>
      <c r="AZ66" s="215"/>
      <c r="BA66" s="574"/>
      <c r="BB66" s="179"/>
      <c r="BC66" s="215"/>
      <c r="BD66" s="574"/>
      <c r="BE66" s="179"/>
      <c r="BF66" s="215"/>
      <c r="BG66" s="574"/>
      <c r="BH66" s="179"/>
      <c r="BI66" s="215"/>
      <c r="BJ66" s="574"/>
      <c r="BK66" s="179"/>
      <c r="BL66" s="215"/>
      <c r="BM66" s="574"/>
    </row>
    <row r="67" spans="1:65">
      <c r="A67" s="31"/>
      <c r="P67" s="40"/>
      <c r="Q67" s="51"/>
      <c r="R67" s="51"/>
      <c r="S67" s="629"/>
      <c r="T67" s="653"/>
      <c r="U67" s="51"/>
      <c r="V67" s="629"/>
      <c r="W67" s="653"/>
      <c r="X67" s="40"/>
      <c r="Y67" s="630"/>
      <c r="Z67" s="653"/>
      <c r="AA67" s="40"/>
      <c r="AB67" s="630"/>
      <c r="AC67" s="653"/>
      <c r="AD67" s="40"/>
      <c r="AE67" s="630"/>
      <c r="AF67" s="653"/>
      <c r="AG67" s="40"/>
      <c r="AH67" s="630"/>
      <c r="AI67" s="653"/>
      <c r="AJ67" s="40"/>
      <c r="AK67" s="630"/>
      <c r="AL67" s="653"/>
      <c r="AM67" s="40"/>
      <c r="AN67" s="630"/>
      <c r="AO67" s="653"/>
      <c r="AP67" s="40"/>
      <c r="AQ67" s="539"/>
      <c r="AR67" s="550"/>
      <c r="AS67"/>
      <c r="AT67" s="539"/>
      <c r="AU67" s="550"/>
      <c r="AV67"/>
      <c r="AW67" s="539"/>
      <c r="AX67" s="550"/>
      <c r="AY67"/>
      <c r="AZ67" s="539"/>
      <c r="BA67" s="550"/>
      <c r="BB67"/>
      <c r="BC67" s="539"/>
      <c r="BD67" s="550"/>
      <c r="BE67"/>
      <c r="BF67" s="539"/>
      <c r="BG67" s="550"/>
      <c r="BH67"/>
      <c r="BI67" s="539"/>
      <c r="BJ67" s="550"/>
      <c r="BK67"/>
      <c r="BL67" s="539"/>
      <c r="BM67" s="550"/>
    </row>
    <row r="68" spans="1:65">
      <c r="A68" s="25" t="s">
        <v>382</v>
      </c>
      <c r="P68" s="40"/>
      <c r="Q68" s="40">
        <f>P14</f>
        <v>253</v>
      </c>
      <c r="R68" s="40">
        <v>17</v>
      </c>
      <c r="S68" s="630">
        <f>T68-R68</f>
        <v>177</v>
      </c>
      <c r="T68" s="653">
        <f>Q77</f>
        <v>194</v>
      </c>
      <c r="U68" s="40">
        <f>R77</f>
        <v>13</v>
      </c>
      <c r="V68" s="630">
        <f>S77</f>
        <v>178</v>
      </c>
      <c r="W68" s="653">
        <f>T77</f>
        <v>191</v>
      </c>
      <c r="X68" s="40"/>
      <c r="Y68" s="630"/>
      <c r="Z68" s="653"/>
      <c r="AA68" s="40">
        <f>X77</f>
        <v>26</v>
      </c>
      <c r="AB68" s="630">
        <f>Y77</f>
        <v>235</v>
      </c>
      <c r="AC68" s="653">
        <f>Z77</f>
        <v>261</v>
      </c>
      <c r="AD68" s="40">
        <f>AA77</f>
        <v>80</v>
      </c>
      <c r="AE68" s="630">
        <f>AB77</f>
        <v>237</v>
      </c>
      <c r="AF68" s="653">
        <f t="shared" ref="AF68" si="259">AC77</f>
        <v>317</v>
      </c>
      <c r="AG68" s="40"/>
      <c r="AH68" s="630"/>
      <c r="AI68" s="653">
        <f>AF77</f>
        <v>357</v>
      </c>
      <c r="AJ68" s="40">
        <f>AG77</f>
        <v>33</v>
      </c>
      <c r="AK68" s="630">
        <f>AH77</f>
        <v>155</v>
      </c>
      <c r="AL68" s="653">
        <v>188</v>
      </c>
      <c r="AM68" s="40">
        <f t="shared" ref="AM68:BM68" si="260">AJ77</f>
        <v>41</v>
      </c>
      <c r="AN68" s="630">
        <f t="shared" si="260"/>
        <v>201</v>
      </c>
      <c r="AO68" s="653">
        <f t="shared" si="260"/>
        <v>242</v>
      </c>
      <c r="AP68" s="40">
        <f t="shared" si="260"/>
        <v>119</v>
      </c>
      <c r="AQ68" s="630">
        <f t="shared" ref="AQ68" si="261">AN77</f>
        <v>162</v>
      </c>
      <c r="AR68" s="653">
        <f t="shared" ref="AR68" si="262">AO77</f>
        <v>281</v>
      </c>
      <c r="AS68" s="40">
        <f t="shared" si="260"/>
        <v>125</v>
      </c>
      <c r="AT68" s="630">
        <f t="shared" ref="AT68" si="263">AQ77</f>
        <v>288</v>
      </c>
      <c r="AU68" s="653">
        <f t="shared" ref="AU68" si="264">AR77</f>
        <v>413</v>
      </c>
      <c r="AV68" s="40">
        <f t="shared" si="260"/>
        <v>189</v>
      </c>
      <c r="AW68" s="630">
        <f t="shared" si="260"/>
        <v>371</v>
      </c>
      <c r="AX68" s="653">
        <f t="shared" si="260"/>
        <v>560</v>
      </c>
      <c r="AY68" s="40">
        <f t="shared" si="260"/>
        <v>313</v>
      </c>
      <c r="AZ68" s="236">
        <f t="shared" si="260"/>
        <v>539</v>
      </c>
      <c r="BA68" s="605">
        <f t="shared" si="260"/>
        <v>852</v>
      </c>
      <c r="BB68" s="56">
        <f t="shared" si="260"/>
        <v>528</v>
      </c>
      <c r="BC68" s="236">
        <f t="shared" si="260"/>
        <v>710.95846091578107</v>
      </c>
      <c r="BD68" s="605">
        <f t="shared" si="260"/>
        <v>1238.9584609157812</v>
      </c>
      <c r="BE68" s="56">
        <f t="shared" si="260"/>
        <v>686.66346599999986</v>
      </c>
      <c r="BF68" s="236">
        <f t="shared" si="260"/>
        <v>851.38157904848708</v>
      </c>
      <c r="BG68" s="605">
        <f t="shared" si="260"/>
        <v>1538.0450450484868</v>
      </c>
      <c r="BH68" s="56">
        <f t="shared" si="260"/>
        <v>855.87021419999985</v>
      </c>
      <c r="BI68" s="236">
        <f t="shared" si="260"/>
        <v>1059.986891151194</v>
      </c>
      <c r="BJ68" s="605">
        <f t="shared" si="260"/>
        <v>1915.8571053511937</v>
      </c>
      <c r="BK68" s="56">
        <f t="shared" si="260"/>
        <v>1069.4225987069999</v>
      </c>
      <c r="BL68" s="236">
        <f t="shared" si="260"/>
        <v>1322.6995481833499</v>
      </c>
      <c r="BM68" s="605">
        <f t="shared" si="260"/>
        <v>2392.1221468903495</v>
      </c>
    </row>
    <row r="69" spans="1:65">
      <c r="A69" s="25" t="s">
        <v>383</v>
      </c>
      <c r="P69" s="40"/>
      <c r="Q69" s="40">
        <v>-20</v>
      </c>
      <c r="R69" s="40">
        <f>R81*(R29+R30)</f>
        <v>-8.4</v>
      </c>
      <c r="S69" s="630">
        <f>T69-R69</f>
        <v>1.4000000000000004</v>
      </c>
      <c r="T69" s="653">
        <v>-7</v>
      </c>
      <c r="U69" s="40">
        <f>U81*(U29+U30)</f>
        <v>9.5</v>
      </c>
      <c r="V69" s="630">
        <f>W69-U69</f>
        <v>9.5</v>
      </c>
      <c r="W69" s="653">
        <v>19</v>
      </c>
      <c r="X69" s="40"/>
      <c r="Y69" s="630"/>
      <c r="Z69" s="653"/>
      <c r="AA69" s="40">
        <f>AA81*(AA29+AA30)</f>
        <v>42.32</v>
      </c>
      <c r="AB69" s="630">
        <f>AC69-AA69</f>
        <v>72</v>
      </c>
      <c r="AC69" s="653">
        <f>AC81*(AC29+AC30)</f>
        <v>114.32</v>
      </c>
      <c r="AD69" s="40">
        <f>AD81*(AD29+AD30)</f>
        <v>23.38</v>
      </c>
      <c r="AE69" s="630">
        <f>AF69-AD69</f>
        <v>11.460000000000004</v>
      </c>
      <c r="AF69" s="653">
        <f>AF81*(AF29+AF30)</f>
        <v>34.840000000000003</v>
      </c>
      <c r="AG69" s="40"/>
      <c r="AH69" s="630"/>
      <c r="AI69" s="653">
        <f>AI81*(AI29+AI30)</f>
        <v>-142.65</v>
      </c>
      <c r="AJ69" s="40">
        <f>AJ81*(AJ29+AJ30)</f>
        <v>-12.25</v>
      </c>
      <c r="AK69" s="630">
        <f>AL69-AJ69</f>
        <v>34.5</v>
      </c>
      <c r="AL69" s="653">
        <f>AL81*(AL29+AL30)</f>
        <v>22.25</v>
      </c>
      <c r="AM69" s="40">
        <f>AM81*(AM29+AM30)</f>
        <v>57.25</v>
      </c>
      <c r="AN69" s="630">
        <f>AO69-AM69</f>
        <v>99.25</v>
      </c>
      <c r="AO69" s="653">
        <f>AO81*(AO29+AO30)</f>
        <v>156.5</v>
      </c>
      <c r="AP69" s="40">
        <f>AP81*(AP29+AP30)</f>
        <v>83.5</v>
      </c>
      <c r="AQ69" s="630">
        <f>AR69-AP69</f>
        <v>51.25</v>
      </c>
      <c r="AR69" s="653">
        <f>AR81*(AR29+AR30)</f>
        <v>134.75</v>
      </c>
      <c r="AS69" s="40">
        <f>AS81*(AS29+AS30)</f>
        <v>27.75</v>
      </c>
      <c r="AT69" s="630">
        <f>AU69-AS69</f>
        <v>77.5</v>
      </c>
      <c r="AU69" s="653">
        <f>AU81*(AU29+AU30)</f>
        <v>105.25</v>
      </c>
      <c r="AV69" s="40">
        <f>AV81*(AV29+AV30)</f>
        <v>58.25</v>
      </c>
      <c r="AW69" s="630">
        <f>AX69-AV69</f>
        <v>140.25</v>
      </c>
      <c r="AX69" s="653">
        <f>AX81*(AX29+AX30)</f>
        <v>198.5</v>
      </c>
      <c r="AY69" s="40">
        <f>AY81*(AY29+AY30)</f>
        <v>143.25</v>
      </c>
      <c r="AZ69" s="236">
        <f>BA69-AY69</f>
        <v>97.164834423548825</v>
      </c>
      <c r="BA69" s="605">
        <f>BA81*(BA29+BA30)</f>
        <v>240.41483442354883</v>
      </c>
      <c r="BB69" s="56">
        <f>BB81*(BB29+BB30)</f>
        <v>131.37179999999989</v>
      </c>
      <c r="BC69" s="236">
        <f>BD69-BB69</f>
        <v>162.03812999999991</v>
      </c>
      <c r="BD69" s="605">
        <f>BD81*(BD29+BD30)</f>
        <v>293.4099299999998</v>
      </c>
      <c r="BE69" s="56">
        <f>BE81*(BE29+BE30)</f>
        <v>161.92843800000009</v>
      </c>
      <c r="BF69" s="236">
        <f>BG69-BE69</f>
        <v>199.39358130000022</v>
      </c>
      <c r="BG69" s="605">
        <f>BG81*(BG29+BG30)</f>
        <v>361.32201930000031</v>
      </c>
      <c r="BH69" s="56">
        <f>BH81*(BH29+BH30)</f>
        <v>199.16492190000011</v>
      </c>
      <c r="BI69" s="236">
        <f>BJ69-BH69</f>
        <v>244.70942006499948</v>
      </c>
      <c r="BJ69" s="605">
        <f>BJ81*(BJ29+BJ30)</f>
        <v>443.87434196499959</v>
      </c>
      <c r="BK69" s="56">
        <f>BK81*(BK29+BK30)</f>
        <v>245.933637495</v>
      </c>
      <c r="BL69" s="236">
        <f>BM69-BK69</f>
        <v>301.74664859325014</v>
      </c>
      <c r="BM69" s="605">
        <f>BM81*(BM29+BM30)</f>
        <v>547.68028608825011</v>
      </c>
    </row>
    <row r="70" spans="1:65">
      <c r="A70" s="25" t="s">
        <v>384</v>
      </c>
      <c r="P70" s="40"/>
      <c r="Q70" s="40">
        <v>-41</v>
      </c>
      <c r="R70" s="40">
        <f t="shared" ref="R70:S70" si="265">+R77-R68-R69-SUM(R71:R76)</f>
        <v>18.399999999999999</v>
      </c>
      <c r="S70" s="630">
        <f t="shared" si="265"/>
        <v>-39.4</v>
      </c>
      <c r="T70" s="653">
        <v>-21</v>
      </c>
      <c r="U70" s="40">
        <f t="shared" ref="U70:V70" si="266">+U77-U68-U69-SUM(U71:U76)</f>
        <v>54.5</v>
      </c>
      <c r="V70" s="630">
        <f t="shared" si="266"/>
        <v>10.5</v>
      </c>
      <c r="W70" s="653">
        <v>83</v>
      </c>
      <c r="X70" s="40"/>
      <c r="Y70" s="630"/>
      <c r="Z70" s="653"/>
      <c r="AA70" s="40">
        <f t="shared" ref="AA70:AB70" si="267">+AA77-AA68-AA69-SUM(AA71:AA76)</f>
        <v>23.939999999999998</v>
      </c>
      <c r="AB70" s="630">
        <f t="shared" si="267"/>
        <v>-51.26</v>
      </c>
      <c r="AC70" s="653">
        <f t="shared" ref="AC70:BM70" si="268">+AC77-AC68-AC69-SUM(AC71:AC76)</f>
        <v>-27.319999999999993</v>
      </c>
      <c r="AD70" s="40">
        <f t="shared" si="268"/>
        <v>14</v>
      </c>
      <c r="AE70" s="630">
        <f t="shared" si="268"/>
        <v>-21.840000000000007</v>
      </c>
      <c r="AF70" s="653">
        <f t="shared" si="268"/>
        <v>-7.8400000000000034</v>
      </c>
      <c r="AG70" s="40"/>
      <c r="AH70" s="630"/>
      <c r="AI70" s="653">
        <f t="shared" si="268"/>
        <v>-85.35</v>
      </c>
      <c r="AJ70" s="40">
        <f t="shared" ref="AJ70:AK70" si="269">+AJ77-AJ68-AJ69-SUM(AJ71:AJ76)</f>
        <v>42.25</v>
      </c>
      <c r="AK70" s="630">
        <f t="shared" si="269"/>
        <v>56.5</v>
      </c>
      <c r="AL70" s="653">
        <f t="shared" si="268"/>
        <v>98.75</v>
      </c>
      <c r="AM70" s="40">
        <f t="shared" si="268"/>
        <v>43.75</v>
      </c>
      <c r="AN70" s="630">
        <f t="shared" si="268"/>
        <v>-48.25</v>
      </c>
      <c r="AO70" s="653">
        <f t="shared" si="268"/>
        <v>-4.5</v>
      </c>
      <c r="AP70" s="40">
        <f t="shared" ref="AP70:AR70" si="270">+AP77-AP68-AP69-SUM(AP71:AP76)</f>
        <v>-32.5</v>
      </c>
      <c r="AQ70" s="630">
        <f t="shared" si="270"/>
        <v>27.75</v>
      </c>
      <c r="AR70" s="653">
        <f t="shared" si="270"/>
        <v>-4.75</v>
      </c>
      <c r="AS70" s="40">
        <f t="shared" ref="AS70:AU70" si="271">+AS77-AS68-AS69-SUM(AS71:AS76)</f>
        <v>29.25</v>
      </c>
      <c r="AT70" s="630">
        <f t="shared" si="271"/>
        <v>18.5</v>
      </c>
      <c r="AU70" s="653">
        <f t="shared" si="271"/>
        <v>47.75</v>
      </c>
      <c r="AV70" s="40">
        <f t="shared" ref="AV70:AW70" si="272">+AV77-AV68-AV69-SUM(AV71:AV76)</f>
        <v>73.75</v>
      </c>
      <c r="AW70" s="630">
        <f t="shared" si="272"/>
        <v>50.9722222222222</v>
      </c>
      <c r="AX70" s="653">
        <f t="shared" si="268"/>
        <v>124.7222222222222</v>
      </c>
      <c r="AY70" s="40">
        <f t="shared" si="268"/>
        <v>116.75</v>
      </c>
      <c r="AZ70" s="236">
        <f t="shared" si="268"/>
        <v>101.78378483692208</v>
      </c>
      <c r="BA70" s="605">
        <f t="shared" si="268"/>
        <v>218.53378483692219</v>
      </c>
      <c r="BB70" s="56">
        <f t="shared" si="268"/>
        <v>43.912395111111039</v>
      </c>
      <c r="BC70" s="236">
        <f t="shared" si="268"/>
        <v>94.018897199581716</v>
      </c>
      <c r="BD70" s="605">
        <f t="shared" si="268"/>
        <v>137.93129231069253</v>
      </c>
      <c r="BE70" s="56">
        <f t="shared" si="268"/>
        <v>77.641033422222165</v>
      </c>
      <c r="BF70" s="236">
        <f t="shared" si="268"/>
        <v>96.413714030693569</v>
      </c>
      <c r="BG70" s="605">
        <f t="shared" si="268"/>
        <v>174.05474745291573</v>
      </c>
      <c r="BH70" s="56">
        <f t="shared" si="268"/>
        <v>99.75749418022221</v>
      </c>
      <c r="BI70" s="236">
        <f t="shared" si="268"/>
        <v>123.42210956399282</v>
      </c>
      <c r="BJ70" s="605">
        <f t="shared" si="268"/>
        <v>223.17960374421492</v>
      </c>
      <c r="BK70" s="56">
        <f t="shared" si="268"/>
        <v>131.08010369580006</v>
      </c>
      <c r="BL70" s="236">
        <f t="shared" si="268"/>
        <v>161.08464469680138</v>
      </c>
      <c r="BM70" s="605">
        <f t="shared" si="268"/>
        <v>292.16474839260172</v>
      </c>
    </row>
    <row r="71" spans="1:65">
      <c r="A71" s="25" t="s">
        <v>403</v>
      </c>
      <c r="P71" s="40"/>
      <c r="Q71" s="40">
        <v>24</v>
      </c>
      <c r="R71" s="40"/>
      <c r="S71" s="630"/>
      <c r="T71" s="653">
        <v>0</v>
      </c>
      <c r="U71" s="40"/>
      <c r="V71" s="630"/>
      <c r="W71" s="653">
        <v>-18</v>
      </c>
      <c r="X71" s="40"/>
      <c r="Y71" s="630"/>
      <c r="Z71" s="653"/>
      <c r="AA71" s="40"/>
      <c r="AB71" s="630"/>
      <c r="AC71" s="653"/>
      <c r="AD71" s="40"/>
      <c r="AE71" s="630"/>
      <c r="AF71" s="653"/>
      <c r="AG71" s="40"/>
      <c r="AH71" s="630"/>
      <c r="AI71" s="653"/>
      <c r="AJ71" s="40"/>
      <c r="AK71" s="630"/>
      <c r="AL71" s="653"/>
      <c r="AM71" s="40"/>
      <c r="AN71" s="630"/>
      <c r="AO71" s="653"/>
      <c r="AP71" s="40"/>
      <c r="AQ71" s="630"/>
      <c r="AR71" s="653"/>
      <c r="AS71" s="40"/>
      <c r="AT71" s="630"/>
      <c r="AU71" s="653"/>
      <c r="AV71" s="40"/>
      <c r="AW71" s="630"/>
      <c r="AX71" s="653"/>
      <c r="AY71" s="40"/>
      <c r="AZ71" s="236"/>
      <c r="BA71" s="605"/>
      <c r="BB71" s="56"/>
      <c r="BC71" s="236"/>
      <c r="BD71" s="605"/>
      <c r="BE71" s="56"/>
      <c r="BF71" s="236"/>
      <c r="BG71" s="605"/>
      <c r="BH71" s="56"/>
      <c r="BI71" s="236"/>
      <c r="BJ71" s="605"/>
      <c r="BK71" s="56"/>
      <c r="BL71" s="236"/>
      <c r="BM71" s="605"/>
    </row>
    <row r="72" spans="1:65">
      <c r="A72" s="25" t="s">
        <v>6</v>
      </c>
      <c r="P72" s="40"/>
      <c r="Q72" s="40">
        <v>-9</v>
      </c>
      <c r="R72" s="40">
        <v>-3</v>
      </c>
      <c r="S72" s="630">
        <f t="shared" ref="S72:S76" si="273">T72-R72</f>
        <v>-6</v>
      </c>
      <c r="T72" s="653">
        <v>-9</v>
      </c>
      <c r="U72" s="40">
        <v>6</v>
      </c>
      <c r="V72" s="630">
        <f t="shared" ref="V72:V76" si="274">W72-U72</f>
        <v>19</v>
      </c>
      <c r="W72" s="653">
        <v>25</v>
      </c>
      <c r="X72" s="40"/>
      <c r="Y72" s="630"/>
      <c r="Z72" s="653"/>
      <c r="AA72" s="40">
        <f>-172*0.08</f>
        <v>-13.76</v>
      </c>
      <c r="AB72" s="630">
        <f t="shared" ref="AB72:AB76" si="275">AC72-AA72</f>
        <v>-13.24</v>
      </c>
      <c r="AC72" s="653">
        <f>AC8-Z8</f>
        <v>-27</v>
      </c>
      <c r="AD72" s="40">
        <f>-188*0.06</f>
        <v>-11.28</v>
      </c>
      <c r="AE72" s="630">
        <f t="shared" ref="AE72:AE76" si="276">AF72-AD72</f>
        <v>14.28</v>
      </c>
      <c r="AF72" s="653">
        <f>AF8-AC8</f>
        <v>3</v>
      </c>
      <c r="AG72" s="40"/>
      <c r="AH72" s="630"/>
      <c r="AI72" s="653">
        <f>AI8-AF8</f>
        <v>43</v>
      </c>
      <c r="AJ72" s="40">
        <v>-37</v>
      </c>
      <c r="AK72" s="630">
        <f t="shared" ref="AK72:AK76" si="277">AL72-AJ72</f>
        <v>-20</v>
      </c>
      <c r="AL72" s="653">
        <v>-57</v>
      </c>
      <c r="AM72" s="40">
        <v>-19</v>
      </c>
      <c r="AN72" s="630">
        <f t="shared" ref="AN72:AN76" si="278">AO72-AM72</f>
        <v>-43</v>
      </c>
      <c r="AO72" s="653">
        <v>-62</v>
      </c>
      <c r="AP72" s="40">
        <v>-19</v>
      </c>
      <c r="AQ72" s="630">
        <f t="shared" ref="AQ72:AQ76" si="279">AR72-AP72</f>
        <v>12</v>
      </c>
      <c r="AR72" s="653">
        <v>-7</v>
      </c>
      <c r="AS72" s="40">
        <v>-12</v>
      </c>
      <c r="AT72" s="630">
        <f t="shared" ref="AT72:AT76" si="280">AU72-AS72</f>
        <v>-27</v>
      </c>
      <c r="AU72" s="653">
        <v>-39</v>
      </c>
      <c r="AV72" s="40">
        <v>-16</v>
      </c>
      <c r="AW72" s="630">
        <f t="shared" ref="AW72:AW76" si="281">AX72-AV72</f>
        <v>-19</v>
      </c>
      <c r="AX72" s="653">
        <f>AX8-AU8</f>
        <v>-35</v>
      </c>
      <c r="AY72" s="40">
        <v>-46</v>
      </c>
      <c r="AZ72" s="236">
        <f t="shared" ref="AZ72:AZ76" si="282">BA72-AY72</f>
        <v>-20.265933769419576</v>
      </c>
      <c r="BA72" s="605">
        <f>BA8-AX8</f>
        <v>-66.265933769419576</v>
      </c>
      <c r="BB72" s="56">
        <f>BB8-AY8</f>
        <v>-15.94871999999998</v>
      </c>
      <c r="BC72" s="236">
        <f t="shared" ref="BC72:BC76" si="283">BD72-BB72</f>
        <v>-101.41525200000001</v>
      </c>
      <c r="BD72" s="605">
        <f>BD8-BA8</f>
        <v>-117.36397199999999</v>
      </c>
      <c r="BE72" s="56">
        <f>BE8-BB8</f>
        <v>-64.771375200000023</v>
      </c>
      <c r="BF72" s="236">
        <f t="shared" ref="BF72:BF76" si="284">BG72-BE72</f>
        <v>-79.757432520000123</v>
      </c>
      <c r="BG72" s="605">
        <f>BG8-BD8</f>
        <v>-144.52880772000015</v>
      </c>
      <c r="BH72" s="56">
        <f>BH8-BE8</f>
        <v>-79.665968760000055</v>
      </c>
      <c r="BI72" s="236">
        <f t="shared" ref="BI72:BI76" si="285">BJ72-BH72</f>
        <v>-97.883768025999757</v>
      </c>
      <c r="BJ72" s="605">
        <f>BJ8-BG8</f>
        <v>-177.54973678599981</v>
      </c>
      <c r="BK72" s="56">
        <f>BK8-BH8</f>
        <v>-98.373454998</v>
      </c>
      <c r="BL72" s="236">
        <f t="shared" ref="BL72:BL76" si="286">BM72-BK72</f>
        <v>-120.69865943730025</v>
      </c>
      <c r="BM72" s="605">
        <f>BM8-BJ8</f>
        <v>-219.07211443530025</v>
      </c>
    </row>
    <row r="73" spans="1:65">
      <c r="A73" s="25" t="s">
        <v>290</v>
      </c>
      <c r="P73" s="40"/>
      <c r="Q73" s="40">
        <v>3</v>
      </c>
      <c r="R73" s="40">
        <v>5</v>
      </c>
      <c r="S73" s="630">
        <f t="shared" si="273"/>
        <v>0</v>
      </c>
      <c r="T73" s="653">
        <v>5</v>
      </c>
      <c r="U73" s="40">
        <v>7</v>
      </c>
      <c r="V73" s="630">
        <f t="shared" si="274"/>
        <v>4</v>
      </c>
      <c r="W73" s="653">
        <v>11</v>
      </c>
      <c r="X73" s="40"/>
      <c r="Y73" s="630"/>
      <c r="Z73" s="653"/>
      <c r="AA73" s="40">
        <f>-84*0%</f>
        <v>0</v>
      </c>
      <c r="AB73" s="630">
        <f t="shared" si="275"/>
        <v>-7</v>
      </c>
      <c r="AC73" s="653">
        <f>AC11-Z11</f>
        <v>-7</v>
      </c>
      <c r="AD73" s="40">
        <f>-86*0.1</f>
        <v>-8.6</v>
      </c>
      <c r="AE73" s="630">
        <f t="shared" si="276"/>
        <v>20.6</v>
      </c>
      <c r="AF73" s="653">
        <f>AF11-AC11</f>
        <v>12</v>
      </c>
      <c r="AG73" s="40"/>
      <c r="AH73" s="630"/>
      <c r="AI73" s="653">
        <f>AI11-AF11</f>
        <v>16</v>
      </c>
      <c r="AJ73" s="40">
        <v>12</v>
      </c>
      <c r="AK73" s="630">
        <f t="shared" si="277"/>
        <v>-13</v>
      </c>
      <c r="AL73" s="653">
        <v>-1</v>
      </c>
      <c r="AM73" s="40">
        <v>-12</v>
      </c>
      <c r="AN73" s="630">
        <f t="shared" si="278"/>
        <v>-37</v>
      </c>
      <c r="AO73" s="653">
        <v>-49</v>
      </c>
      <c r="AP73" s="40">
        <v>-13</v>
      </c>
      <c r="AQ73" s="630">
        <f t="shared" si="279"/>
        <v>34</v>
      </c>
      <c r="AR73" s="653">
        <v>21</v>
      </c>
      <c r="AS73" s="40">
        <v>11</v>
      </c>
      <c r="AT73" s="630">
        <f t="shared" si="280"/>
        <v>6</v>
      </c>
      <c r="AU73" s="653">
        <v>17</v>
      </c>
      <c r="AV73" s="40">
        <v>2</v>
      </c>
      <c r="AW73" s="630">
        <f t="shared" si="281"/>
        <v>-1</v>
      </c>
      <c r="AX73" s="653">
        <f>AX11-AU11</f>
        <v>1</v>
      </c>
      <c r="AY73" s="40">
        <v>-5</v>
      </c>
      <c r="AZ73" s="236">
        <f t="shared" si="282"/>
        <v>-6.2797801308258556</v>
      </c>
      <c r="BA73" s="605">
        <f>BA11-AX11</f>
        <v>-11.279780130825856</v>
      </c>
      <c r="BB73" s="56">
        <f>BB11-AY11</f>
        <v>-2.0608979999999946</v>
      </c>
      <c r="BC73" s="236">
        <f t="shared" si="283"/>
        <v>-15.607545955764508</v>
      </c>
      <c r="BD73" s="605">
        <f>BD11-BA11</f>
        <v>-17.668443955764502</v>
      </c>
      <c r="BE73" s="56">
        <f>BE11-BB11</f>
        <v>-8.3691258000000062</v>
      </c>
      <c r="BF73" s="236">
        <f t="shared" si="284"/>
        <v>-10.222328485764564</v>
      </c>
      <c r="BG73" s="605">
        <f>BG11-BD11</f>
        <v>-18.59145428576457</v>
      </c>
      <c r="BH73" s="56">
        <f>BH11-BE11</f>
        <v>-8.4818405910000081</v>
      </c>
      <c r="BI73" s="236">
        <f t="shared" si="285"/>
        <v>-10.312882348614437</v>
      </c>
      <c r="BJ73" s="605">
        <f>BJ11-BG11</f>
        <v>-18.794722939614445</v>
      </c>
      <c r="BK73" s="56">
        <f>BK11-BH11</f>
        <v>-8.2400394006000113</v>
      </c>
      <c r="BL73" s="236">
        <f t="shared" si="286"/>
        <v>-9.9816722295745421</v>
      </c>
      <c r="BM73" s="605">
        <f>BM11-BJ11</f>
        <v>-18.221711630174553</v>
      </c>
    </row>
    <row r="74" spans="1:65">
      <c r="A74" s="25" t="s">
        <v>385</v>
      </c>
      <c r="P74" s="40"/>
      <c r="Q74" s="40">
        <v>3</v>
      </c>
      <c r="R74" s="40">
        <v>2</v>
      </c>
      <c r="S74" s="630">
        <f t="shared" si="273"/>
        <v>2</v>
      </c>
      <c r="T74" s="653">
        <v>4</v>
      </c>
      <c r="U74" s="40">
        <f>U10-R10</f>
        <v>0</v>
      </c>
      <c r="V74" s="630">
        <f t="shared" si="274"/>
        <v>0</v>
      </c>
      <c r="W74" s="653"/>
      <c r="X74" s="40"/>
      <c r="Y74" s="630"/>
      <c r="Z74" s="653"/>
      <c r="AA74" s="40">
        <f>AA10-X10</f>
        <v>0</v>
      </c>
      <c r="AB74" s="630">
        <f t="shared" si="275"/>
        <v>0</v>
      </c>
      <c r="AC74" s="653">
        <f>AC10-Z10</f>
        <v>0</v>
      </c>
      <c r="AD74" s="40">
        <f>AD10-AA10</f>
        <v>0</v>
      </c>
      <c r="AE74" s="630">
        <f t="shared" si="276"/>
        <v>1</v>
      </c>
      <c r="AF74" s="653">
        <f>AF10-AC10</f>
        <v>1</v>
      </c>
      <c r="AG74" s="40"/>
      <c r="AH74" s="630"/>
      <c r="AI74" s="653">
        <f>AI10-AF10</f>
        <v>0</v>
      </c>
      <c r="AJ74" s="40">
        <f>AJ10-AG10</f>
        <v>0</v>
      </c>
      <c r="AK74" s="630">
        <f t="shared" si="277"/>
        <v>0</v>
      </c>
      <c r="AL74" s="653">
        <v>0</v>
      </c>
      <c r="AM74" s="40">
        <f>AM10-AJ10</f>
        <v>0</v>
      </c>
      <c r="AN74" s="630">
        <f t="shared" si="278"/>
        <v>0</v>
      </c>
      <c r="AO74" s="653">
        <f>AO10-AL10</f>
        <v>0</v>
      </c>
      <c r="AP74" s="40">
        <f>AP10-AM10</f>
        <v>0</v>
      </c>
      <c r="AQ74" s="630">
        <f t="shared" si="279"/>
        <v>0</v>
      </c>
      <c r="AR74" s="653">
        <f>AR10-AO10</f>
        <v>0</v>
      </c>
      <c r="AS74" s="40">
        <f>AS10-AP10</f>
        <v>0</v>
      </c>
      <c r="AT74" s="630">
        <f t="shared" si="280"/>
        <v>0</v>
      </c>
      <c r="AU74" s="653">
        <f>AU10-AR10</f>
        <v>0</v>
      </c>
      <c r="AV74" s="40">
        <f>AV10-AS10</f>
        <v>0</v>
      </c>
      <c r="AW74" s="630">
        <f t="shared" si="281"/>
        <v>0</v>
      </c>
      <c r="AX74" s="653">
        <f>AX10-AU10</f>
        <v>0</v>
      </c>
      <c r="AY74" s="40">
        <f>AY10-AV10</f>
        <v>0</v>
      </c>
      <c r="AZ74" s="236">
        <f t="shared" si="282"/>
        <v>0</v>
      </c>
      <c r="BA74" s="605">
        <f>BA10-AX10</f>
        <v>0</v>
      </c>
      <c r="BB74" s="56">
        <f>BB10-AY10</f>
        <v>0</v>
      </c>
      <c r="BC74" s="236">
        <f t="shared" si="283"/>
        <v>0</v>
      </c>
      <c r="BD74" s="605">
        <f>BD10-BA10</f>
        <v>0</v>
      </c>
      <c r="BE74" s="56">
        <f>BE10-BB10</f>
        <v>0</v>
      </c>
      <c r="BF74" s="236">
        <f t="shared" si="284"/>
        <v>0</v>
      </c>
      <c r="BG74" s="605">
        <f>BG10-BD10</f>
        <v>0</v>
      </c>
      <c r="BH74" s="56">
        <f>BH10-BE10</f>
        <v>0</v>
      </c>
      <c r="BI74" s="236">
        <f t="shared" si="285"/>
        <v>0</v>
      </c>
      <c r="BJ74" s="605">
        <f>BJ10-BG10</f>
        <v>0</v>
      </c>
      <c r="BK74" s="56">
        <f>BK10-BH10</f>
        <v>0</v>
      </c>
      <c r="BL74" s="236">
        <f t="shared" si="286"/>
        <v>0</v>
      </c>
      <c r="BM74" s="605">
        <f>BM10-BJ10</f>
        <v>0</v>
      </c>
    </row>
    <row r="75" spans="1:65">
      <c r="A75" s="25" t="s">
        <v>16</v>
      </c>
      <c r="P75" s="40"/>
      <c r="Q75" s="40">
        <v>3</v>
      </c>
      <c r="R75" s="40">
        <v>0</v>
      </c>
      <c r="S75" s="630">
        <f t="shared" si="273"/>
        <v>1</v>
      </c>
      <c r="T75" s="653">
        <v>1</v>
      </c>
      <c r="U75" s="40">
        <v>0</v>
      </c>
      <c r="V75" s="630">
        <f t="shared" si="274"/>
        <v>-4</v>
      </c>
      <c r="W75" s="653">
        <v>-4</v>
      </c>
      <c r="X75" s="40"/>
      <c r="Y75" s="630"/>
      <c r="Z75" s="653"/>
      <c r="AA75" s="40">
        <v>0</v>
      </c>
      <c r="AB75" s="630">
        <f t="shared" si="275"/>
        <v>0</v>
      </c>
      <c r="AC75" s="653">
        <v>0</v>
      </c>
      <c r="AD75" s="40">
        <v>0</v>
      </c>
      <c r="AE75" s="630">
        <f t="shared" si="276"/>
        <v>0</v>
      </c>
      <c r="AF75" s="653">
        <v>0</v>
      </c>
      <c r="AG75" s="40"/>
      <c r="AH75" s="630"/>
      <c r="AI75" s="653">
        <v>0</v>
      </c>
      <c r="AJ75" s="40">
        <v>0</v>
      </c>
      <c r="AK75" s="630">
        <f t="shared" si="277"/>
        <v>0</v>
      </c>
      <c r="AL75" s="653">
        <v>0</v>
      </c>
      <c r="AM75" s="40">
        <v>0</v>
      </c>
      <c r="AN75" s="630">
        <f t="shared" si="278"/>
        <v>0</v>
      </c>
      <c r="AO75" s="653">
        <v>0</v>
      </c>
      <c r="AP75" s="40">
        <v>0</v>
      </c>
      <c r="AQ75" s="630">
        <f t="shared" si="279"/>
        <v>0</v>
      </c>
      <c r="AR75" s="653">
        <v>0</v>
      </c>
      <c r="AS75" s="40">
        <v>0</v>
      </c>
      <c r="AT75" s="630">
        <f t="shared" si="280"/>
        <v>0</v>
      </c>
      <c r="AU75" s="653">
        <v>0</v>
      </c>
      <c r="AV75" s="40">
        <v>0</v>
      </c>
      <c r="AW75" s="630">
        <f t="shared" si="281"/>
        <v>0</v>
      </c>
      <c r="AX75" s="653">
        <v>0</v>
      </c>
      <c r="AY75" s="40">
        <v>0</v>
      </c>
      <c r="AZ75" s="236">
        <f t="shared" si="282"/>
        <v>0</v>
      </c>
      <c r="BA75" s="580">
        <v>0</v>
      </c>
      <c r="BB75" s="56">
        <f>BD75/2</f>
        <v>0</v>
      </c>
      <c r="BC75" s="236">
        <f t="shared" si="283"/>
        <v>0</v>
      </c>
      <c r="BD75" s="580">
        <v>0</v>
      </c>
      <c r="BE75" s="56">
        <f>BG75/2</f>
        <v>0</v>
      </c>
      <c r="BF75" s="236">
        <f t="shared" si="284"/>
        <v>0</v>
      </c>
      <c r="BG75" s="580">
        <v>0</v>
      </c>
      <c r="BH75" s="56">
        <f>BJ75/2</f>
        <v>0</v>
      </c>
      <c r="BI75" s="236">
        <f t="shared" si="285"/>
        <v>0</v>
      </c>
      <c r="BJ75" s="580">
        <v>0</v>
      </c>
      <c r="BK75" s="56">
        <f>BM75/2</f>
        <v>0</v>
      </c>
      <c r="BL75" s="236">
        <f t="shared" si="286"/>
        <v>0</v>
      </c>
      <c r="BM75" s="580">
        <v>0</v>
      </c>
    </row>
    <row r="76" spans="1:65">
      <c r="A76" s="25" t="s">
        <v>244</v>
      </c>
      <c r="P76" s="40"/>
      <c r="Q76" s="40">
        <v>-22</v>
      </c>
      <c r="R76" s="40">
        <f>-12-6</f>
        <v>-18</v>
      </c>
      <c r="S76" s="630">
        <f t="shared" si="273"/>
        <v>42</v>
      </c>
      <c r="T76" s="653">
        <v>24</v>
      </c>
      <c r="U76" s="40">
        <f>-16-8</f>
        <v>-24</v>
      </c>
      <c r="V76" s="630">
        <f t="shared" si="274"/>
        <v>47</v>
      </c>
      <c r="W76" s="653">
        <v>23</v>
      </c>
      <c r="X76" s="40"/>
      <c r="Y76" s="630"/>
      <c r="Z76" s="653"/>
      <c r="AA76" s="40">
        <f>AC76/2</f>
        <v>1.5</v>
      </c>
      <c r="AB76" s="630">
        <f t="shared" si="275"/>
        <v>1.5</v>
      </c>
      <c r="AC76" s="653">
        <v>3</v>
      </c>
      <c r="AD76" s="40">
        <f>AF76/2</f>
        <v>-1.5</v>
      </c>
      <c r="AE76" s="630">
        <f t="shared" si="276"/>
        <v>-1.5</v>
      </c>
      <c r="AF76" s="653">
        <v>-3</v>
      </c>
      <c r="AG76" s="40"/>
      <c r="AH76" s="630"/>
      <c r="AI76" s="653">
        <v>0</v>
      </c>
      <c r="AJ76" s="40">
        <f>3+1-1</f>
        <v>3</v>
      </c>
      <c r="AK76" s="630">
        <f t="shared" si="277"/>
        <v>-12</v>
      </c>
      <c r="AL76" s="653">
        <v>-9</v>
      </c>
      <c r="AM76" s="40">
        <f>5+2+1</f>
        <v>8</v>
      </c>
      <c r="AN76" s="630">
        <f t="shared" si="278"/>
        <v>-10</v>
      </c>
      <c r="AO76" s="653">
        <v>-2</v>
      </c>
      <c r="AP76" s="40">
        <f>-10-4+1</f>
        <v>-13</v>
      </c>
      <c r="AQ76" s="630">
        <f t="shared" si="279"/>
        <v>1</v>
      </c>
      <c r="AR76" s="653">
        <f>-8-4</f>
        <v>-12</v>
      </c>
      <c r="AS76" s="40">
        <f>7+2-1</f>
        <v>8</v>
      </c>
      <c r="AT76" s="630">
        <f t="shared" si="280"/>
        <v>8</v>
      </c>
      <c r="AU76" s="653">
        <f>12+5-1</f>
        <v>16</v>
      </c>
      <c r="AV76" s="40">
        <f>3+2+1</f>
        <v>6</v>
      </c>
      <c r="AW76" s="630">
        <f t="shared" si="281"/>
        <v>-3.2222222222221992</v>
      </c>
      <c r="AX76" s="653">
        <v>2.7777777777778008</v>
      </c>
      <c r="AY76" s="40">
        <f>3+2+1</f>
        <v>6</v>
      </c>
      <c r="AZ76" s="236">
        <f t="shared" si="282"/>
        <v>-0.44444444444439846</v>
      </c>
      <c r="BA76" s="605">
        <v>5.5555555555556015</v>
      </c>
      <c r="BB76" s="56">
        <f>BD76/2</f>
        <v>1.3888888888889004</v>
      </c>
      <c r="BC76" s="236">
        <f t="shared" si="283"/>
        <v>1.3888888888889004</v>
      </c>
      <c r="BD76" s="605">
        <v>2.7777777777778008</v>
      </c>
      <c r="BE76" s="56">
        <f>BG76/2</f>
        <v>2.7777777777777697</v>
      </c>
      <c r="BF76" s="236">
        <f t="shared" si="284"/>
        <v>2.7777777777777697</v>
      </c>
      <c r="BG76" s="605">
        <v>5.5555555555555394</v>
      </c>
      <c r="BH76" s="56">
        <f>BJ76/2</f>
        <v>2.7777777777778008</v>
      </c>
      <c r="BI76" s="236">
        <f t="shared" si="285"/>
        <v>2.7777777777778008</v>
      </c>
      <c r="BJ76" s="605">
        <v>5.5555555555556015</v>
      </c>
      <c r="BK76" s="56">
        <f>BM76/2</f>
        <v>0</v>
      </c>
      <c r="BL76" s="236">
        <f t="shared" si="286"/>
        <v>0</v>
      </c>
      <c r="BM76" s="605">
        <v>0</v>
      </c>
    </row>
    <row r="77" spans="1:65">
      <c r="A77" s="68" t="s">
        <v>386</v>
      </c>
      <c r="B77" s="78"/>
      <c r="C77" s="78"/>
      <c r="D77" s="78"/>
      <c r="E77" s="78"/>
      <c r="F77" s="78"/>
      <c r="G77" s="78"/>
      <c r="H77" s="78"/>
      <c r="I77" s="78"/>
      <c r="J77" s="78"/>
      <c r="K77" s="78"/>
      <c r="L77" s="78"/>
      <c r="M77" s="78"/>
      <c r="N77" s="78"/>
      <c r="O77" s="78"/>
      <c r="P77" s="267"/>
      <c r="Q77" s="46">
        <f>SUM(Q68:Q76)</f>
        <v>194</v>
      </c>
      <c r="R77" s="46">
        <f>+R14</f>
        <v>13</v>
      </c>
      <c r="S77" s="643">
        <f>+S14</f>
        <v>178</v>
      </c>
      <c r="T77" s="667">
        <f>SUM(T68:T76)</f>
        <v>191</v>
      </c>
      <c r="U77" s="46">
        <f>+U14</f>
        <v>66</v>
      </c>
      <c r="V77" s="643">
        <f>+V14</f>
        <v>264</v>
      </c>
      <c r="W77" s="667">
        <f>+W14</f>
        <v>330</v>
      </c>
      <c r="X77" s="46">
        <f>+X14</f>
        <v>26</v>
      </c>
      <c r="Y77" s="643">
        <f>+Y14</f>
        <v>235</v>
      </c>
      <c r="Z77" s="667">
        <f>Z14</f>
        <v>261</v>
      </c>
      <c r="AA77" s="46">
        <f>+AA14</f>
        <v>80</v>
      </c>
      <c r="AB77" s="643">
        <f>+AB14</f>
        <v>237</v>
      </c>
      <c r="AC77" s="667">
        <f>AC14</f>
        <v>317</v>
      </c>
      <c r="AD77" s="46">
        <f t="shared" ref="AD77:BM77" si="287">+AD14</f>
        <v>96</v>
      </c>
      <c r="AE77" s="643">
        <f t="shared" si="287"/>
        <v>261</v>
      </c>
      <c r="AF77" s="667">
        <f t="shared" si="287"/>
        <v>357</v>
      </c>
      <c r="AG77" s="46">
        <f t="shared" si="287"/>
        <v>33</v>
      </c>
      <c r="AH77" s="643">
        <f t="shared" si="287"/>
        <v>155</v>
      </c>
      <c r="AI77" s="667">
        <f t="shared" si="287"/>
        <v>188</v>
      </c>
      <c r="AJ77" s="46">
        <f t="shared" si="287"/>
        <v>41</v>
      </c>
      <c r="AK77" s="643">
        <f t="shared" si="287"/>
        <v>201</v>
      </c>
      <c r="AL77" s="667">
        <f t="shared" si="287"/>
        <v>242</v>
      </c>
      <c r="AM77" s="46">
        <f t="shared" si="287"/>
        <v>119</v>
      </c>
      <c r="AN77" s="643">
        <f t="shared" si="287"/>
        <v>162</v>
      </c>
      <c r="AO77" s="667">
        <f t="shared" si="287"/>
        <v>281</v>
      </c>
      <c r="AP77" s="46">
        <f t="shared" si="287"/>
        <v>125</v>
      </c>
      <c r="AQ77" s="643">
        <f t="shared" si="287"/>
        <v>288</v>
      </c>
      <c r="AR77" s="667">
        <f t="shared" si="287"/>
        <v>413</v>
      </c>
      <c r="AS77" s="46">
        <f t="shared" si="287"/>
        <v>189</v>
      </c>
      <c r="AT77" s="643">
        <f t="shared" ref="AT77:AV77" si="288">+AT14</f>
        <v>371</v>
      </c>
      <c r="AU77" s="667">
        <f t="shared" si="288"/>
        <v>560</v>
      </c>
      <c r="AV77" s="46">
        <f t="shared" si="288"/>
        <v>313</v>
      </c>
      <c r="AW77" s="643">
        <f t="shared" ref="AW77" si="289">+AW14</f>
        <v>539</v>
      </c>
      <c r="AX77" s="667">
        <f t="shared" si="287"/>
        <v>852</v>
      </c>
      <c r="AY77" s="46">
        <f t="shared" si="287"/>
        <v>528</v>
      </c>
      <c r="AZ77" s="250">
        <f t="shared" si="287"/>
        <v>710.95846091578107</v>
      </c>
      <c r="BA77" s="615">
        <f t="shared" si="287"/>
        <v>1238.9584609157812</v>
      </c>
      <c r="BB77" s="249">
        <f t="shared" si="287"/>
        <v>686.66346599999986</v>
      </c>
      <c r="BC77" s="250">
        <f t="shared" si="287"/>
        <v>851.38157904848708</v>
      </c>
      <c r="BD77" s="615">
        <f t="shared" si="287"/>
        <v>1538.0450450484868</v>
      </c>
      <c r="BE77" s="249">
        <f t="shared" si="287"/>
        <v>855.87021419999985</v>
      </c>
      <c r="BF77" s="250">
        <f t="shared" si="287"/>
        <v>1059.986891151194</v>
      </c>
      <c r="BG77" s="615">
        <f t="shared" si="287"/>
        <v>1915.8571053511937</v>
      </c>
      <c r="BH77" s="249">
        <f t="shared" si="287"/>
        <v>1069.4225987069999</v>
      </c>
      <c r="BI77" s="250">
        <f t="shared" si="287"/>
        <v>1322.6995481833499</v>
      </c>
      <c r="BJ77" s="615">
        <f t="shared" si="287"/>
        <v>2392.1221468903495</v>
      </c>
      <c r="BK77" s="249">
        <f t="shared" si="287"/>
        <v>1339.8228454992</v>
      </c>
      <c r="BL77" s="250">
        <f t="shared" si="287"/>
        <v>1654.8505098065266</v>
      </c>
      <c r="BM77" s="615">
        <f t="shared" si="287"/>
        <v>2994.6733553057265</v>
      </c>
    </row>
    <row r="78" spans="1:65">
      <c r="A78" s="31" t="s">
        <v>250</v>
      </c>
      <c r="P78" s="40"/>
      <c r="Q78" s="132">
        <f t="shared" ref="Q78:AS78" si="290">Q77/Q33</f>
        <v>8.1341719077568139E-2</v>
      </c>
      <c r="R78" s="345">
        <f t="shared" si="290"/>
        <v>1.1992619926199263E-2</v>
      </c>
      <c r="S78" s="646">
        <f t="shared" si="290"/>
        <v>0.11330362826225335</v>
      </c>
      <c r="T78" s="670">
        <f t="shared" si="290"/>
        <v>7.1939736346516014E-2</v>
      </c>
      <c r="U78" s="345">
        <f t="shared" si="290"/>
        <v>5.3527980535279802E-2</v>
      </c>
      <c r="V78" s="646">
        <f t="shared" si="290"/>
        <v>0.15621301775147928</v>
      </c>
      <c r="W78" s="670">
        <f t="shared" si="290"/>
        <v>0.11289770783441669</v>
      </c>
      <c r="X78" s="345">
        <f t="shared" si="290"/>
        <v>2.0392156862745099E-2</v>
      </c>
      <c r="Y78" s="646">
        <f t="shared" si="290"/>
        <v>0.13560300057703403</v>
      </c>
      <c r="Z78" s="670">
        <f t="shared" si="290"/>
        <v>8.6768617021276598E-2</v>
      </c>
      <c r="AA78" s="345">
        <f t="shared" si="290"/>
        <v>5.4384772263766146E-2</v>
      </c>
      <c r="AB78" s="646">
        <f t="shared" si="290"/>
        <v>0.11773472429210134</v>
      </c>
      <c r="AC78" s="670">
        <f t="shared" si="290"/>
        <v>9.0987370838117101E-2</v>
      </c>
      <c r="AD78" s="345">
        <f t="shared" si="290"/>
        <v>6.1815840309079204E-2</v>
      </c>
      <c r="AE78" s="646">
        <f t="shared" si="290"/>
        <v>0.13102409638554216</v>
      </c>
      <c r="AF78" s="670">
        <f t="shared" si="290"/>
        <v>0.10070521861777151</v>
      </c>
      <c r="AG78" s="345">
        <f t="shared" si="290"/>
        <v>2.7182866556836903E-2</v>
      </c>
      <c r="AH78" s="646">
        <f t="shared" si="290"/>
        <v>0.10190664036817883</v>
      </c>
      <c r="AI78" s="670">
        <f t="shared" si="290"/>
        <v>6.873857404021938E-2</v>
      </c>
      <c r="AJ78" s="345">
        <f t="shared" si="290"/>
        <v>3.4716342082980522E-2</v>
      </c>
      <c r="AK78" s="646">
        <f t="shared" si="290"/>
        <v>0.12818877551020408</v>
      </c>
      <c r="AL78" s="670">
        <f t="shared" si="290"/>
        <v>8.8032011640596583E-2</v>
      </c>
      <c r="AM78" s="345">
        <f t="shared" si="290"/>
        <v>8.6797957695113059E-2</v>
      </c>
      <c r="AN78" s="646">
        <f t="shared" si="290"/>
        <v>8.1983805668016191E-2</v>
      </c>
      <c r="AO78" s="670">
        <f t="shared" si="290"/>
        <v>8.3955781296683601E-2</v>
      </c>
      <c r="AP78" s="345">
        <f t="shared" si="290"/>
        <v>7.046223224351747E-2</v>
      </c>
      <c r="AQ78" s="646">
        <f t="shared" si="290"/>
        <v>0.13126709206927986</v>
      </c>
      <c r="AR78" s="670">
        <f t="shared" si="290"/>
        <v>0.10408266129032258</v>
      </c>
      <c r="AS78" s="345">
        <f t="shared" si="290"/>
        <v>0.10288513881328253</v>
      </c>
      <c r="AT78" s="646">
        <f t="shared" ref="AT78:AV78" si="291">AT77/AT33</f>
        <v>0.15242399342645852</v>
      </c>
      <c r="AU78" s="670">
        <f t="shared" si="291"/>
        <v>0.1311168344649965</v>
      </c>
      <c r="AV78" s="345">
        <f t="shared" si="291"/>
        <v>0.15328109696376102</v>
      </c>
      <c r="AW78" s="646">
        <f t="shared" ref="AW78" si="292">AW77/AW33</f>
        <v>0.18912280701754386</v>
      </c>
      <c r="AX78" s="670">
        <f t="shared" ref="AX78:BM78" si="293">AX77/AX33</f>
        <v>0.17416189697465248</v>
      </c>
      <c r="AY78" s="345">
        <f t="shared" si="293"/>
        <v>0.20276497695852536</v>
      </c>
      <c r="AZ78" s="958">
        <f t="shared" si="293"/>
        <v>0.21952245876590309</v>
      </c>
      <c r="BA78" s="582">
        <f t="shared" si="293"/>
        <v>0.2120538592627815</v>
      </c>
      <c r="BB78" s="205">
        <f t="shared" si="293"/>
        <v>0.21941724701733881</v>
      </c>
      <c r="BC78" s="958">
        <f t="shared" si="293"/>
        <v>0.21904368161353688</v>
      </c>
      <c r="BD78" s="582">
        <f t="shared" si="293"/>
        <v>0.21921030338093131</v>
      </c>
      <c r="BE78" s="205">
        <f t="shared" si="293"/>
        <v>0.22658847783749048</v>
      </c>
      <c r="BF78" s="958">
        <f t="shared" si="293"/>
        <v>0.22628085084485774</v>
      </c>
      <c r="BG78" s="582">
        <f t="shared" si="293"/>
        <v>0.22641817366041336</v>
      </c>
      <c r="BH78" s="205">
        <f t="shared" si="293"/>
        <v>0.23381180210171959</v>
      </c>
      <c r="BI78" s="958">
        <f t="shared" si="293"/>
        <v>0.23355946721248949</v>
      </c>
      <c r="BJ78" s="582">
        <f t="shared" si="293"/>
        <v>0.23367220874720443</v>
      </c>
      <c r="BK78" s="205">
        <f t="shared" si="293"/>
        <v>0.24107960364066264</v>
      </c>
      <c r="BL78" s="958">
        <f t="shared" si="293"/>
        <v>0.24087333569140174</v>
      </c>
      <c r="BM78" s="582">
        <f t="shared" si="293"/>
        <v>0.24096557673500413</v>
      </c>
    </row>
    <row r="79" spans="1:65">
      <c r="A79" s="25" t="s">
        <v>61</v>
      </c>
      <c r="C79" s="88"/>
      <c r="D79" s="88"/>
      <c r="E79" s="88"/>
      <c r="F79" s="88"/>
      <c r="G79" s="88"/>
      <c r="H79" s="88"/>
      <c r="I79" s="88"/>
      <c r="J79" s="88"/>
      <c r="K79" s="88"/>
      <c r="L79" s="88"/>
      <c r="M79" s="88"/>
      <c r="N79" s="88"/>
      <c r="O79" s="88"/>
      <c r="P79" s="58"/>
      <c r="Q79" s="58">
        <f t="shared" ref="Q79:BM79" si="294">Q77/Q68-1</f>
        <v>-0.23320158102766797</v>
      </c>
      <c r="R79" s="87">
        <f t="shared" ref="R79:S79" si="295">R77/R68-1</f>
        <v>-0.23529411764705888</v>
      </c>
      <c r="S79" s="644">
        <f t="shared" si="295"/>
        <v>5.6497175141243527E-3</v>
      </c>
      <c r="T79" s="668">
        <f t="shared" si="294"/>
        <v>-1.5463917525773141E-2</v>
      </c>
      <c r="U79" s="87">
        <f t="shared" si="294"/>
        <v>4.0769230769230766</v>
      </c>
      <c r="V79" s="644">
        <f t="shared" si="294"/>
        <v>0.48314606741573041</v>
      </c>
      <c r="W79" s="668">
        <f t="shared" si="294"/>
        <v>0.72774869109947637</v>
      </c>
      <c r="X79" s="58"/>
      <c r="Y79" s="644"/>
      <c r="Z79" s="668"/>
      <c r="AA79" s="87">
        <f t="shared" ref="AA79:AB79" si="296">AA77/AA68-1</f>
        <v>2.0769230769230771</v>
      </c>
      <c r="AB79" s="644">
        <f t="shared" si="296"/>
        <v>8.5106382978723527E-3</v>
      </c>
      <c r="AC79" s="668">
        <f t="shared" si="294"/>
        <v>0.21455938697318011</v>
      </c>
      <c r="AD79" s="87">
        <f t="shared" si="294"/>
        <v>0.19999999999999996</v>
      </c>
      <c r="AE79" s="644">
        <f t="shared" si="294"/>
        <v>0.10126582278481022</v>
      </c>
      <c r="AF79" s="668">
        <f t="shared" si="294"/>
        <v>0.12618296529968465</v>
      </c>
      <c r="AG79" s="58"/>
      <c r="AH79" s="644"/>
      <c r="AI79" s="668">
        <f>AI77/AI68-1</f>
        <v>-0.4733893557422969</v>
      </c>
      <c r="AJ79" s="87">
        <f t="shared" ref="AJ79:AK79" si="297">AJ77/AJ68-1</f>
        <v>0.24242424242424243</v>
      </c>
      <c r="AK79" s="644">
        <f t="shared" si="297"/>
        <v>0.29677419354838719</v>
      </c>
      <c r="AL79" s="668">
        <f t="shared" si="294"/>
        <v>0.2872340425531914</v>
      </c>
      <c r="AM79" s="87">
        <f t="shared" si="294"/>
        <v>1.9024390243902438</v>
      </c>
      <c r="AN79" s="644">
        <f t="shared" ref="AN79" si="298">AN77/AN68-1</f>
        <v>-0.19402985074626866</v>
      </c>
      <c r="AO79" s="668">
        <f t="shared" si="294"/>
        <v>0.16115702479338845</v>
      </c>
      <c r="AP79" s="87">
        <f t="shared" ref="AP79:AR79" si="299">AP77/AP68-1</f>
        <v>5.0420168067226934E-2</v>
      </c>
      <c r="AQ79" s="644">
        <f t="shared" si="299"/>
        <v>0.77777777777777768</v>
      </c>
      <c r="AR79" s="668">
        <f t="shared" si="299"/>
        <v>0.46975088967971534</v>
      </c>
      <c r="AS79" s="87">
        <f t="shared" ref="AS79:AU79" si="300">AS77/AS68-1</f>
        <v>0.51200000000000001</v>
      </c>
      <c r="AT79" s="644">
        <f t="shared" si="300"/>
        <v>0.28819444444444442</v>
      </c>
      <c r="AU79" s="668">
        <f t="shared" si="300"/>
        <v>0.35593220338983045</v>
      </c>
      <c r="AV79" s="87">
        <f t="shared" ref="AV79:AW79" si="301">AV77/AV68-1</f>
        <v>0.65608465608465605</v>
      </c>
      <c r="AW79" s="644">
        <f t="shared" si="301"/>
        <v>0.45283018867924518</v>
      </c>
      <c r="AX79" s="668">
        <f t="shared" si="294"/>
        <v>0.52142857142857135</v>
      </c>
      <c r="AY79" s="87">
        <f t="shared" si="294"/>
        <v>0.6869009584664536</v>
      </c>
      <c r="AZ79" s="603">
        <f t="shared" si="294"/>
        <v>0.31903239502000202</v>
      </c>
      <c r="BA79" s="583">
        <f t="shared" si="294"/>
        <v>0.45417659731899196</v>
      </c>
      <c r="BB79" s="245">
        <f t="shared" si="294"/>
        <v>0.30049898863636337</v>
      </c>
      <c r="BC79" s="603">
        <f t="shared" si="294"/>
        <v>0.19751240874442644</v>
      </c>
      <c r="BD79" s="583">
        <f t="shared" si="294"/>
        <v>0.24140162367641804</v>
      </c>
      <c r="BE79" s="245">
        <f t="shared" si="294"/>
        <v>0.24641874306445199</v>
      </c>
      <c r="BF79" s="603">
        <f t="shared" si="294"/>
        <v>0.245019762273746</v>
      </c>
      <c r="BG79" s="583">
        <f t="shared" si="294"/>
        <v>0.24564434020903225</v>
      </c>
      <c r="BH79" s="245">
        <f t="shared" si="294"/>
        <v>0.24951491588781605</v>
      </c>
      <c r="BI79" s="603">
        <f t="shared" si="294"/>
        <v>0.24784519433710916</v>
      </c>
      <c r="BJ79" s="583">
        <f t="shared" si="294"/>
        <v>0.24859110849598154</v>
      </c>
      <c r="BK79" s="245">
        <f t="shared" si="294"/>
        <v>0.25284695415931102</v>
      </c>
      <c r="BL79" s="603">
        <f t="shared" si="294"/>
        <v>0.25111595606074455</v>
      </c>
      <c r="BM79" s="583">
        <f t="shared" si="294"/>
        <v>0.25188981641203667</v>
      </c>
    </row>
    <row r="80" spans="1:65">
      <c r="C80" s="88"/>
      <c r="D80" s="88"/>
      <c r="E80" s="88"/>
      <c r="F80" s="88"/>
      <c r="G80" s="88"/>
      <c r="H80" s="88"/>
      <c r="I80" s="88"/>
      <c r="J80" s="88"/>
      <c r="K80" s="88"/>
      <c r="L80" s="88"/>
      <c r="M80" s="88"/>
      <c r="N80" s="88"/>
      <c r="O80" s="88"/>
      <c r="P80" s="58"/>
      <c r="Q80" s="58"/>
      <c r="R80" s="58"/>
      <c r="S80" s="644"/>
      <c r="T80" s="668"/>
      <c r="U80" s="58"/>
      <c r="V80" s="644"/>
      <c r="W80" s="668"/>
      <c r="X80" s="58"/>
      <c r="Y80" s="644"/>
      <c r="Z80" s="668"/>
      <c r="AA80" s="58"/>
      <c r="AB80" s="644"/>
      <c r="AC80" s="668"/>
      <c r="AD80" s="58"/>
      <c r="AE80" s="644"/>
      <c r="AF80" s="668"/>
      <c r="AG80" s="58"/>
      <c r="AH80" s="644"/>
      <c r="AI80" s="668"/>
      <c r="AJ80" s="58"/>
      <c r="AK80" s="644"/>
      <c r="AL80" s="668"/>
      <c r="AM80" s="58"/>
      <c r="AN80" s="644"/>
      <c r="AO80" s="668"/>
      <c r="AP80" s="58"/>
      <c r="AQ80" s="603"/>
      <c r="AR80" s="584"/>
      <c r="AS80" s="45"/>
      <c r="AT80" s="603"/>
      <c r="AU80" s="584"/>
      <c r="AV80" s="45"/>
      <c r="AW80" s="603"/>
      <c r="AX80" s="584"/>
      <c r="AY80" s="45"/>
      <c r="AZ80" s="603"/>
      <c r="BA80" s="584"/>
      <c r="BB80" s="45"/>
      <c r="BC80" s="603"/>
      <c r="BD80" s="584"/>
      <c r="BE80" s="45"/>
      <c r="BF80" s="603"/>
      <c r="BG80" s="584"/>
      <c r="BH80" s="45"/>
      <c r="BI80" s="603"/>
      <c r="BJ80" s="584"/>
      <c r="BK80" s="45"/>
      <c r="BL80" s="603"/>
      <c r="BM80" s="584"/>
    </row>
    <row r="81" spans="1:65">
      <c r="A81" s="25" t="s">
        <v>400</v>
      </c>
      <c r="P81" s="40"/>
      <c r="Q81" s="50">
        <f>Q69/(Q29+Q30)</f>
        <v>0.27777777777777779</v>
      </c>
      <c r="R81" s="50">
        <f>T81</f>
        <v>0.28000000000000003</v>
      </c>
      <c r="S81" s="647">
        <f>T81</f>
        <v>0.28000000000000003</v>
      </c>
      <c r="T81" s="671">
        <f>T69/(T29+T30)</f>
        <v>0.28000000000000003</v>
      </c>
      <c r="U81" s="50">
        <f>W81</f>
        <v>0.27142857142857141</v>
      </c>
      <c r="V81" s="647">
        <f>W81</f>
        <v>0.27142857142857141</v>
      </c>
      <c r="W81" s="671">
        <f>W69/(W29+W30)</f>
        <v>0.27142857142857141</v>
      </c>
      <c r="X81" s="50"/>
      <c r="Y81" s="647"/>
      <c r="Z81" s="671"/>
      <c r="AA81" s="50">
        <f>AC81</f>
        <v>0.25</v>
      </c>
      <c r="AB81" s="647">
        <f>AC81</f>
        <v>0.25</v>
      </c>
      <c r="AC81" s="671">
        <v>0.25</v>
      </c>
      <c r="AD81" s="50">
        <f>AF81</f>
        <v>0.25</v>
      </c>
      <c r="AE81" s="647">
        <f>AF81</f>
        <v>0.25</v>
      </c>
      <c r="AF81" s="671">
        <f t="shared" ref="AF81" si="302">AC81</f>
        <v>0.25</v>
      </c>
      <c r="AG81" s="50"/>
      <c r="AH81" s="647"/>
      <c r="AI81" s="671">
        <f>AF81</f>
        <v>0.25</v>
      </c>
      <c r="AJ81" s="50">
        <f>AL81</f>
        <v>0.25</v>
      </c>
      <c r="AK81" s="647">
        <f>AL81</f>
        <v>0.25</v>
      </c>
      <c r="AL81" s="671">
        <f>AI81</f>
        <v>0.25</v>
      </c>
      <c r="AM81" s="50">
        <f>AO81</f>
        <v>0.25</v>
      </c>
      <c r="AN81" s="647">
        <f>AO81</f>
        <v>0.25</v>
      </c>
      <c r="AO81" s="671">
        <f>AL81</f>
        <v>0.25</v>
      </c>
      <c r="AP81" s="50">
        <f>AR81</f>
        <v>0.25</v>
      </c>
      <c r="AQ81" s="647">
        <f>AR81</f>
        <v>0.25</v>
      </c>
      <c r="AR81" s="554">
        <f>AO81</f>
        <v>0.25</v>
      </c>
      <c r="AS81" s="211">
        <f>AU81</f>
        <v>0.25</v>
      </c>
      <c r="AT81" s="647">
        <f>AU81</f>
        <v>0.25</v>
      </c>
      <c r="AU81" s="554">
        <f>AR81</f>
        <v>0.25</v>
      </c>
      <c r="AV81" s="211">
        <f>AX81</f>
        <v>0.25</v>
      </c>
      <c r="AW81" s="647">
        <f>AX81</f>
        <v>0.25</v>
      </c>
      <c r="AX81" s="554">
        <f>AU81</f>
        <v>0.25</v>
      </c>
      <c r="AY81" s="211">
        <f>BA81</f>
        <v>0.25</v>
      </c>
      <c r="AZ81" s="599">
        <f>BA81</f>
        <v>0.25</v>
      </c>
      <c r="BA81" s="577">
        <f>AX81</f>
        <v>0.25</v>
      </c>
      <c r="BB81" s="251">
        <f>BD81</f>
        <v>0.25</v>
      </c>
      <c r="BC81" s="599">
        <f>BD81</f>
        <v>0.25</v>
      </c>
      <c r="BD81" s="577">
        <f>BA81</f>
        <v>0.25</v>
      </c>
      <c r="BE81" s="251">
        <f>BG81</f>
        <v>0.25</v>
      </c>
      <c r="BF81" s="599">
        <f>BG81</f>
        <v>0.25</v>
      </c>
      <c r="BG81" s="577">
        <f>BD81</f>
        <v>0.25</v>
      </c>
      <c r="BH81" s="251">
        <f>BJ81</f>
        <v>0.25</v>
      </c>
      <c r="BI81" s="599">
        <f>BJ81</f>
        <v>0.25</v>
      </c>
      <c r="BJ81" s="577">
        <f>BG81</f>
        <v>0.25</v>
      </c>
      <c r="BK81" s="251">
        <f>BM81</f>
        <v>0.25</v>
      </c>
      <c r="BL81" s="599">
        <f>BM81</f>
        <v>0.25</v>
      </c>
      <c r="BM81" s="577">
        <f>BJ81</f>
        <v>0.25</v>
      </c>
    </row>
    <row r="82" spans="1:65">
      <c r="S82" s="595"/>
      <c r="T82" s="619"/>
      <c r="V82" s="595"/>
      <c r="W82" s="619"/>
      <c r="Y82" s="595"/>
      <c r="Z82" s="619"/>
      <c r="AB82" s="595"/>
      <c r="AC82" s="619"/>
      <c r="AE82" s="595"/>
      <c r="AF82" s="619"/>
      <c r="AH82" s="595"/>
      <c r="AI82" s="619"/>
      <c r="AK82" s="595"/>
      <c r="AL82" s="619"/>
      <c r="AN82" s="595"/>
      <c r="AO82" s="619"/>
      <c r="AQ82" s="539"/>
      <c r="AR82" s="550"/>
      <c r="AS82"/>
      <c r="AT82" s="539"/>
      <c r="AU82" s="550"/>
      <c r="AV82"/>
      <c r="AW82" s="539"/>
      <c r="AX82" s="550"/>
      <c r="AY82"/>
      <c r="AZ82" s="539"/>
      <c r="BA82" s="550"/>
      <c r="BB82"/>
      <c r="BC82" s="539"/>
      <c r="BD82" s="550"/>
      <c r="BE82"/>
      <c r="BF82" s="539"/>
      <c r="BG82" s="550"/>
      <c r="BH82"/>
      <c r="BI82" s="539"/>
      <c r="BJ82" s="550"/>
      <c r="BK82"/>
      <c r="BL82" s="539"/>
      <c r="BM82" s="550"/>
    </row>
    <row r="83" spans="1:65">
      <c r="A83" s="310" t="s">
        <v>1026</v>
      </c>
      <c r="B83" s="311"/>
      <c r="C83" s="311"/>
      <c r="D83" s="311"/>
      <c r="E83" s="311"/>
      <c r="F83" s="311"/>
      <c r="G83" s="311"/>
      <c r="H83" s="311"/>
      <c r="I83" s="311"/>
      <c r="J83" s="311"/>
      <c r="K83" s="311"/>
      <c r="L83" s="311"/>
      <c r="M83" s="311"/>
      <c r="N83" s="311"/>
      <c r="O83" s="311"/>
      <c r="P83" s="311"/>
      <c r="Q83" s="311"/>
      <c r="R83" s="307"/>
      <c r="S83" s="316"/>
      <c r="T83" s="551"/>
      <c r="U83" s="307"/>
      <c r="V83" s="316"/>
      <c r="W83" s="551"/>
      <c r="X83" s="525"/>
      <c r="Y83" s="317"/>
      <c r="Z83" s="551"/>
      <c r="AA83" s="525"/>
      <c r="AB83" s="317"/>
      <c r="AC83" s="551"/>
      <c r="AD83" s="525"/>
      <c r="AE83" s="317"/>
      <c r="AF83" s="551"/>
      <c r="AG83" s="525"/>
      <c r="AH83" s="317"/>
      <c r="AI83" s="551"/>
      <c r="AJ83" s="525"/>
      <c r="AK83" s="317"/>
      <c r="AL83" s="551"/>
      <c r="AM83" s="525"/>
      <c r="AN83" s="317"/>
      <c r="AO83" s="551"/>
      <c r="AP83" s="525"/>
      <c r="AQ83" s="317"/>
      <c r="AR83" s="551"/>
      <c r="AS83" s="525"/>
      <c r="AT83" s="317"/>
      <c r="AU83" s="551"/>
      <c r="AV83" s="525"/>
      <c r="AW83" s="317"/>
      <c r="AX83" s="551"/>
      <c r="AY83" s="525"/>
      <c r="AZ83" s="215"/>
      <c r="BA83" s="574"/>
      <c r="BB83" s="179"/>
      <c r="BC83" s="215"/>
      <c r="BD83" s="574"/>
      <c r="BE83" s="179"/>
      <c r="BF83" s="215"/>
      <c r="BG83" s="574"/>
      <c r="BH83" s="179"/>
      <c r="BI83" s="215"/>
      <c r="BJ83" s="574"/>
      <c r="BK83" s="179"/>
      <c r="BL83" s="215"/>
      <c r="BM83" s="574"/>
    </row>
    <row r="84" spans="1:65">
      <c r="A84" s="31" t="s">
        <v>1030</v>
      </c>
      <c r="P84"/>
      <c r="Q84">
        <v>4067</v>
      </c>
      <c r="R84">
        <v>1729</v>
      </c>
      <c r="S84" s="539">
        <f>T84-R84</f>
        <v>1788</v>
      </c>
      <c r="T84" s="550">
        <v>3517</v>
      </c>
      <c r="U84">
        <v>1899</v>
      </c>
      <c r="V84" s="539">
        <f>W84-U84</f>
        <v>2159</v>
      </c>
      <c r="W84" s="550">
        <v>4058</v>
      </c>
      <c r="X84">
        <v>1899</v>
      </c>
      <c r="Y84" s="539">
        <f>Z84-X84</f>
        <v>2159</v>
      </c>
      <c r="Z84" s="550">
        <v>4058</v>
      </c>
      <c r="AA84">
        <v>2320</v>
      </c>
      <c r="AB84" s="539">
        <f>AC84-AA84</f>
        <v>2306</v>
      </c>
      <c r="AC84" s="550">
        <v>4626</v>
      </c>
      <c r="AD84">
        <v>2280</v>
      </c>
      <c r="AE84" s="539">
        <f>AF84-AD84</f>
        <v>2180</v>
      </c>
      <c r="AF84" s="550">
        <v>4460</v>
      </c>
      <c r="AG84">
        <v>1661</v>
      </c>
      <c r="AH84" s="539">
        <f>AI84-AG84</f>
        <v>1970</v>
      </c>
      <c r="AI84" s="550">
        <v>3631</v>
      </c>
      <c r="AJ84">
        <v>2165</v>
      </c>
      <c r="AK84" s="539">
        <f>AL84-AJ84</f>
        <v>2250</v>
      </c>
      <c r="AL84" s="550">
        <v>4415</v>
      </c>
      <c r="AM84">
        <v>2363</v>
      </c>
      <c r="AN84" s="539">
        <f>AO84-AM84</f>
        <v>2670</v>
      </c>
      <c r="AO84" s="550">
        <v>5033</v>
      </c>
      <c r="AP84">
        <v>2800</v>
      </c>
      <c r="AQ84" s="539">
        <f>AR84-AP84</f>
        <v>2873</v>
      </c>
      <c r="AR84" s="550">
        <v>5673</v>
      </c>
      <c r="AS84">
        <v>2978</v>
      </c>
      <c r="AT84" s="539">
        <f>AU84-AS84</f>
        <v>3430</v>
      </c>
      <c r="AU84" s="550">
        <v>6408</v>
      </c>
      <c r="AV84">
        <v>3538</v>
      </c>
      <c r="AW84" s="539">
        <f>AX84-AV84</f>
        <v>3925</v>
      </c>
      <c r="AX84" s="550">
        <v>7463</v>
      </c>
      <c r="AY84">
        <v>4211</v>
      </c>
      <c r="AZ84" s="539"/>
      <c r="BA84" s="550"/>
      <c r="BB84"/>
      <c r="BC84" s="539"/>
      <c r="BD84" s="550"/>
      <c r="BE84"/>
      <c r="BF84" s="539"/>
      <c r="BG84" s="550"/>
      <c r="BH84"/>
      <c r="BI84" s="539"/>
      <c r="BJ84" s="550"/>
      <c r="BK84"/>
      <c r="BL84" s="539"/>
      <c r="BM84" s="550"/>
    </row>
    <row r="85" spans="1:65">
      <c r="A85" s="25" t="s">
        <v>1027</v>
      </c>
      <c r="P85" s="56"/>
      <c r="Q85" s="56"/>
      <c r="R85" s="986"/>
      <c r="S85" s="987"/>
      <c r="T85" s="565">
        <f>T84/Q84-1</f>
        <v>-0.13523481681829363</v>
      </c>
      <c r="U85" s="986">
        <f t="shared" ref="U85" si="303">U84/R84-1</f>
        <v>9.8322729901677342E-2</v>
      </c>
      <c r="V85" s="987">
        <f t="shared" ref="V85" si="304">V84/S84-1</f>
        <v>0.20749440715883671</v>
      </c>
      <c r="W85" s="565">
        <f>W84/T84-1</f>
        <v>0.15382428205857268</v>
      </c>
      <c r="X85" s="986">
        <f>X84/R84-1</f>
        <v>9.8322729901677342E-2</v>
      </c>
      <c r="Y85" s="987">
        <f t="shared" ref="Y85:Z85" si="305">Y84/S84-1</f>
        <v>0.20749440715883671</v>
      </c>
      <c r="Z85" s="565">
        <f t="shared" si="305"/>
        <v>0.15382428205857268</v>
      </c>
      <c r="AA85" s="986">
        <f t="shared" ref="AA85" si="306">AA84/X84-1</f>
        <v>0.22169562927856767</v>
      </c>
      <c r="AB85" s="987">
        <f t="shared" ref="AB85" si="307">AB84/Y84-1</f>
        <v>6.8087077350625247E-2</v>
      </c>
      <c r="AC85" s="565">
        <f>AC84/Z84-1</f>
        <v>0.13997042878265153</v>
      </c>
      <c r="AD85" s="986">
        <f t="shared" ref="AD85" si="308">AD84/AA84-1</f>
        <v>-1.7241379310344862E-2</v>
      </c>
      <c r="AE85" s="987">
        <f t="shared" ref="AE85" si="309">AE84/AB84-1</f>
        <v>-5.4640069384215062E-2</v>
      </c>
      <c r="AF85" s="565">
        <f>AF84/AC84-1</f>
        <v>-3.5884133160397735E-2</v>
      </c>
      <c r="AG85" s="986">
        <f t="shared" ref="AG85" si="310">AG84/AD84-1</f>
        <v>-0.27149122807017545</v>
      </c>
      <c r="AH85" s="987">
        <f t="shared" ref="AH85" si="311">AH84/AE84-1</f>
        <v>-9.6330275229357776E-2</v>
      </c>
      <c r="AI85" s="565">
        <f>AI84/AF84-1</f>
        <v>-0.18587443946188342</v>
      </c>
      <c r="AJ85" s="986">
        <f t="shared" ref="AJ85" si="312">AJ84/AG84-1</f>
        <v>0.30343166767007834</v>
      </c>
      <c r="AK85" s="987">
        <f t="shared" ref="AK85" si="313">AK84/AH84-1</f>
        <v>0.14213197969543145</v>
      </c>
      <c r="AL85" s="565">
        <f>AL84/AI84-1</f>
        <v>0.21591847975764256</v>
      </c>
      <c r="AM85" s="986">
        <f t="shared" ref="AM85" si="314">AM84/AJ84-1</f>
        <v>9.145496535796771E-2</v>
      </c>
      <c r="AN85" s="987">
        <f t="shared" ref="AN85" si="315">AN84/AK84-1</f>
        <v>0.18666666666666676</v>
      </c>
      <c r="AO85" s="565">
        <f>AO84/AL84-1</f>
        <v>0.13997734994337496</v>
      </c>
      <c r="AP85" s="986">
        <f t="shared" ref="AP85" si="316">AP84/AM84-1</f>
        <v>0.18493440541684292</v>
      </c>
      <c r="AQ85" s="987">
        <f t="shared" ref="AQ85" si="317">AQ84/AN84-1</f>
        <v>7.6029962546816376E-2</v>
      </c>
      <c r="AR85" s="565">
        <f>AR84/AO84-1</f>
        <v>0.12716073912179615</v>
      </c>
      <c r="AS85" s="986">
        <f t="shared" ref="AS85:AY85" si="318">AS84/AP84-1</f>
        <v>6.3571428571428612E-2</v>
      </c>
      <c r="AT85" s="987">
        <f t="shared" si="318"/>
        <v>0.19387399930386362</v>
      </c>
      <c r="AU85" s="565">
        <f>AU84/AR84-1</f>
        <v>0.12956107879428869</v>
      </c>
      <c r="AV85" s="986">
        <f t="shared" si="318"/>
        <v>0.18804566823371394</v>
      </c>
      <c r="AW85" s="987">
        <f t="shared" si="318"/>
        <v>0.14431486880466471</v>
      </c>
      <c r="AX85" s="565">
        <f>AX84/AU84-1</f>
        <v>0.16463795255930092</v>
      </c>
      <c r="AY85" s="986">
        <f t="shared" si="318"/>
        <v>0.19022046353872235</v>
      </c>
      <c r="AZ85" s="236"/>
      <c r="BA85" s="605"/>
      <c r="BB85" s="56"/>
      <c r="BC85" s="236"/>
      <c r="BD85" s="605"/>
      <c r="BE85" s="56"/>
      <c r="BF85" s="236"/>
      <c r="BG85" s="605"/>
      <c r="BH85" s="56"/>
      <c r="BI85" s="236"/>
      <c r="BJ85" s="605"/>
      <c r="BK85" s="56"/>
      <c r="BL85" s="236"/>
      <c r="BM85" s="605"/>
    </row>
    <row r="86" spans="1:65">
      <c r="A86" s="25" t="s">
        <v>824</v>
      </c>
      <c r="P86"/>
      <c r="Q86">
        <f>Q89+Q88</f>
        <v>445</v>
      </c>
      <c r="R86">
        <f>R89+R88</f>
        <v>194</v>
      </c>
      <c r="S86" s="539">
        <f>T86-R86</f>
        <v>184</v>
      </c>
      <c r="T86" s="550">
        <f>T89+T88</f>
        <v>378</v>
      </c>
      <c r="U86">
        <v>175</v>
      </c>
      <c r="V86" s="539">
        <f>W86-U86</f>
        <v>236</v>
      </c>
      <c r="W86" s="550">
        <v>411</v>
      </c>
      <c r="X86">
        <v>175</v>
      </c>
      <c r="Y86" s="539">
        <f>Z86-X86</f>
        <v>236</v>
      </c>
      <c r="Z86" s="550">
        <v>411</v>
      </c>
      <c r="AA86">
        <v>328</v>
      </c>
      <c r="AB86" s="539">
        <f>AC86-AA86</f>
        <v>286</v>
      </c>
      <c r="AC86" s="550">
        <v>614</v>
      </c>
      <c r="AD86">
        <v>311</v>
      </c>
      <c r="AE86" s="539">
        <f>AF86-AD86</f>
        <v>201</v>
      </c>
      <c r="AF86" s="550">
        <v>512</v>
      </c>
      <c r="AG86">
        <v>168</v>
      </c>
      <c r="AH86" s="539">
        <f>AI86-AG86</f>
        <v>175</v>
      </c>
      <c r="AI86" s="550">
        <v>343</v>
      </c>
      <c r="AJ86">
        <v>265</v>
      </c>
      <c r="AK86" s="539">
        <f>AL86-AJ86</f>
        <v>231</v>
      </c>
      <c r="AL86" s="550">
        <v>496</v>
      </c>
      <c r="AM86">
        <v>218</v>
      </c>
      <c r="AN86" s="539">
        <f>AO86-AM86</f>
        <v>378</v>
      </c>
      <c r="AO86" s="550">
        <v>596</v>
      </c>
      <c r="AP86">
        <v>420</v>
      </c>
      <c r="AQ86" s="539">
        <f>AR86-AP86</f>
        <v>416</v>
      </c>
      <c r="AR86" s="550">
        <v>836</v>
      </c>
      <c r="AS86">
        <v>538</v>
      </c>
      <c r="AT86" s="539">
        <f>AU86-AS86</f>
        <v>642</v>
      </c>
      <c r="AU86" s="550">
        <v>1180</v>
      </c>
      <c r="AV86">
        <v>819</v>
      </c>
      <c r="AW86" s="539">
        <f>AX86-AV86</f>
        <v>875</v>
      </c>
      <c r="AX86" s="550">
        <v>1694</v>
      </c>
      <c r="AY86">
        <v>1129</v>
      </c>
      <c r="AZ86" s="539"/>
      <c r="BA86" s="550"/>
      <c r="BB86"/>
      <c r="BC86" s="539"/>
      <c r="BD86" s="550"/>
      <c r="BE86"/>
      <c r="BF86" s="539"/>
      <c r="BG86" s="550"/>
      <c r="BH86"/>
      <c r="BI86" s="539"/>
      <c r="BJ86" s="550"/>
      <c r="BK86"/>
      <c r="BL86" s="539"/>
      <c r="BM86" s="550"/>
    </row>
    <row r="87" spans="1:65">
      <c r="A87" s="25" t="s">
        <v>1028</v>
      </c>
      <c r="P87" s="1074"/>
      <c r="Q87" s="1074">
        <f t="shared" ref="Q87:AU87" si="319">Q86/Q84</f>
        <v>0.10941726088025572</v>
      </c>
      <c r="R87" s="1074">
        <f t="shared" si="319"/>
        <v>0.11220358588779641</v>
      </c>
      <c r="S87" s="1075">
        <f t="shared" si="319"/>
        <v>0.1029082774049217</v>
      </c>
      <c r="T87" s="1073">
        <f t="shared" si="319"/>
        <v>0.10747796417401194</v>
      </c>
      <c r="U87" s="1074">
        <f t="shared" si="319"/>
        <v>9.2153765139547136E-2</v>
      </c>
      <c r="V87" s="1075">
        <f t="shared" si="319"/>
        <v>0.10930986567855489</v>
      </c>
      <c r="W87" s="1073">
        <f t="shared" si="319"/>
        <v>0.10128141941843273</v>
      </c>
      <c r="X87" s="1074">
        <f t="shared" si="319"/>
        <v>9.2153765139547136E-2</v>
      </c>
      <c r="Y87" s="1075">
        <f t="shared" si="319"/>
        <v>0.10930986567855489</v>
      </c>
      <c r="Z87" s="1073">
        <f t="shared" si="319"/>
        <v>0.10128141941843273</v>
      </c>
      <c r="AA87" s="1074">
        <f t="shared" si="319"/>
        <v>0.14137931034482759</v>
      </c>
      <c r="AB87" s="1075">
        <f t="shared" si="319"/>
        <v>0.12402428447528187</v>
      </c>
      <c r="AC87" s="1073">
        <f t="shared" si="319"/>
        <v>0.13272805879809771</v>
      </c>
      <c r="AD87" s="1074">
        <f t="shared" si="319"/>
        <v>0.13640350877192983</v>
      </c>
      <c r="AE87" s="1075">
        <f t="shared" si="319"/>
        <v>9.2201834862385326E-2</v>
      </c>
      <c r="AF87" s="1073">
        <f t="shared" si="319"/>
        <v>0.11479820627802691</v>
      </c>
      <c r="AG87" s="1074">
        <f t="shared" si="319"/>
        <v>0.10114388922335943</v>
      </c>
      <c r="AH87" s="1075">
        <f t="shared" si="319"/>
        <v>8.8832487309644673E-2</v>
      </c>
      <c r="AI87" s="1073">
        <f t="shared" si="319"/>
        <v>9.4464334893968605E-2</v>
      </c>
      <c r="AJ87" s="1074">
        <f t="shared" si="319"/>
        <v>0.12240184757505773</v>
      </c>
      <c r="AK87" s="1075">
        <f t="shared" si="319"/>
        <v>0.10266666666666667</v>
      </c>
      <c r="AL87" s="1073">
        <f t="shared" si="319"/>
        <v>0.11234428086070215</v>
      </c>
      <c r="AM87" s="1074">
        <f t="shared" si="319"/>
        <v>9.2255607278882781E-2</v>
      </c>
      <c r="AN87" s="1075">
        <f t="shared" si="319"/>
        <v>0.14157303370786517</v>
      </c>
      <c r="AO87" s="1073">
        <f t="shared" si="319"/>
        <v>0.11841843830717266</v>
      </c>
      <c r="AP87" s="1074">
        <f t="shared" si="319"/>
        <v>0.15</v>
      </c>
      <c r="AQ87" s="1075">
        <f t="shared" si="319"/>
        <v>0.14479638009049775</v>
      </c>
      <c r="AR87" s="1073">
        <f t="shared" si="319"/>
        <v>0.14736471002996651</v>
      </c>
      <c r="AS87" s="1074">
        <f t="shared" si="319"/>
        <v>0.180658159838818</v>
      </c>
      <c r="AT87" s="1075">
        <f t="shared" si="319"/>
        <v>0.18717201166180758</v>
      </c>
      <c r="AU87" s="1073">
        <f t="shared" si="319"/>
        <v>0.18414481897627966</v>
      </c>
      <c r="AV87" s="1074">
        <f t="shared" ref="AV87:AW87" si="320">AV86/AV84</f>
        <v>0.23148671565856416</v>
      </c>
      <c r="AW87" s="1075">
        <f t="shared" si="320"/>
        <v>0.22292993630573249</v>
      </c>
      <c r="AX87" s="1073">
        <f t="shared" ref="AX87:AY87" si="321">AX86/AX84</f>
        <v>0.22698646656840413</v>
      </c>
      <c r="AY87" s="1074">
        <f t="shared" si="321"/>
        <v>0.26810733792448349</v>
      </c>
      <c r="AZ87" s="539"/>
      <c r="BA87" s="550"/>
      <c r="BB87"/>
      <c r="BC87" s="539"/>
      <c r="BD87" s="550"/>
      <c r="BE87"/>
      <c r="BF87" s="539"/>
      <c r="BG87" s="550"/>
      <c r="BH87"/>
      <c r="BI87" s="539"/>
      <c r="BJ87" s="550"/>
      <c r="BK87"/>
      <c r="BL87" s="539"/>
      <c r="BM87" s="550"/>
    </row>
    <row r="88" spans="1:65">
      <c r="A88" s="25" t="s">
        <v>1029</v>
      </c>
      <c r="P88"/>
      <c r="Q88">
        <v>110</v>
      </c>
      <c r="R88">
        <v>58</v>
      </c>
      <c r="S88" s="539">
        <f>T88-R88</f>
        <v>57</v>
      </c>
      <c r="T88" s="550">
        <v>115</v>
      </c>
      <c r="U88">
        <v>57</v>
      </c>
      <c r="V88" s="539">
        <f>W88-U88</f>
        <v>60</v>
      </c>
      <c r="W88" s="550">
        <v>117</v>
      </c>
      <c r="X88">
        <v>57</v>
      </c>
      <c r="Y88" s="539">
        <f>Z88-X88</f>
        <v>60</v>
      </c>
      <c r="Z88" s="550">
        <v>117</v>
      </c>
      <c r="AA88">
        <v>62</v>
      </c>
      <c r="AB88" s="539">
        <f>AC88-AA88</f>
        <v>57</v>
      </c>
      <c r="AC88" s="550">
        <v>119</v>
      </c>
      <c r="AD88">
        <v>59</v>
      </c>
      <c r="AE88" s="539">
        <f>AF88-AD88</f>
        <v>59</v>
      </c>
      <c r="AF88" s="550">
        <v>118</v>
      </c>
      <c r="AG88">
        <v>64</v>
      </c>
      <c r="AH88" s="539">
        <f>AI88-AG88</f>
        <v>66</v>
      </c>
      <c r="AI88" s="550">
        <v>130</v>
      </c>
      <c r="AJ88">
        <v>68</v>
      </c>
      <c r="AK88" s="539">
        <f>AL88-AJ88</f>
        <v>63</v>
      </c>
      <c r="AL88" s="550">
        <v>131</v>
      </c>
      <c r="AM88">
        <v>62</v>
      </c>
      <c r="AN88" s="539">
        <f>AO88-AM88</f>
        <v>58</v>
      </c>
      <c r="AO88" s="550">
        <v>120</v>
      </c>
      <c r="AP88">
        <v>61</v>
      </c>
      <c r="AQ88" s="539">
        <f>AR88-AP88</f>
        <v>61</v>
      </c>
      <c r="AR88" s="550">
        <v>122</v>
      </c>
      <c r="AS88">
        <v>66</v>
      </c>
      <c r="AT88" s="539">
        <f>AU88-AS88</f>
        <v>65</v>
      </c>
      <c r="AU88" s="550">
        <v>131</v>
      </c>
      <c r="AV88">
        <v>68</v>
      </c>
      <c r="AW88" s="539">
        <f>AX88-AV88</f>
        <v>72</v>
      </c>
      <c r="AX88" s="550">
        <v>140</v>
      </c>
      <c r="AY88">
        <v>71</v>
      </c>
      <c r="AZ88" s="539"/>
      <c r="BA88" s="550"/>
      <c r="BB88"/>
      <c r="BC88" s="539"/>
      <c r="BD88" s="550"/>
      <c r="BE88"/>
      <c r="BF88" s="539"/>
      <c r="BG88" s="550"/>
      <c r="BH88"/>
      <c r="BI88" s="539"/>
      <c r="BJ88" s="550"/>
      <c r="BK88"/>
      <c r="BL88" s="539"/>
      <c r="BM88" s="550"/>
    </row>
    <row r="89" spans="1:65">
      <c r="A89" s="25" t="s">
        <v>386</v>
      </c>
      <c r="P89"/>
      <c r="Q89">
        <v>335</v>
      </c>
      <c r="R89">
        <v>136</v>
      </c>
      <c r="S89" s="539">
        <f>S86-S88</f>
        <v>127</v>
      </c>
      <c r="T89" s="550">
        <v>263</v>
      </c>
      <c r="U89">
        <f t="shared" ref="U89:AU89" si="322">U86-U88</f>
        <v>118</v>
      </c>
      <c r="V89" s="539">
        <f t="shared" si="322"/>
        <v>176</v>
      </c>
      <c r="W89" s="550">
        <f t="shared" si="322"/>
        <v>294</v>
      </c>
      <c r="X89">
        <f t="shared" si="322"/>
        <v>118</v>
      </c>
      <c r="Y89" s="539">
        <f t="shared" si="322"/>
        <v>176</v>
      </c>
      <c r="Z89" s="550">
        <f t="shared" si="322"/>
        <v>294</v>
      </c>
      <c r="AA89">
        <f t="shared" si="322"/>
        <v>266</v>
      </c>
      <c r="AB89" s="539">
        <f t="shared" si="322"/>
        <v>229</v>
      </c>
      <c r="AC89" s="550">
        <f t="shared" si="322"/>
        <v>495</v>
      </c>
      <c r="AD89">
        <f t="shared" si="322"/>
        <v>252</v>
      </c>
      <c r="AE89" s="539">
        <f t="shared" si="322"/>
        <v>142</v>
      </c>
      <c r="AF89" s="550">
        <f t="shared" si="322"/>
        <v>394</v>
      </c>
      <c r="AG89">
        <f t="shared" si="322"/>
        <v>104</v>
      </c>
      <c r="AH89" s="539">
        <f t="shared" si="322"/>
        <v>109</v>
      </c>
      <c r="AI89" s="550">
        <f t="shared" si="322"/>
        <v>213</v>
      </c>
      <c r="AJ89">
        <f t="shared" si="322"/>
        <v>197</v>
      </c>
      <c r="AK89" s="539">
        <f t="shared" si="322"/>
        <v>168</v>
      </c>
      <c r="AL89" s="550">
        <f t="shared" si="322"/>
        <v>365</v>
      </c>
      <c r="AM89">
        <f t="shared" si="322"/>
        <v>156</v>
      </c>
      <c r="AN89" s="539">
        <f t="shared" si="322"/>
        <v>320</v>
      </c>
      <c r="AO89" s="550">
        <f t="shared" si="322"/>
        <v>476</v>
      </c>
      <c r="AP89">
        <f t="shared" si="322"/>
        <v>359</v>
      </c>
      <c r="AQ89" s="539">
        <f t="shared" si="322"/>
        <v>355</v>
      </c>
      <c r="AR89" s="550">
        <f t="shared" si="322"/>
        <v>714</v>
      </c>
      <c r="AS89">
        <f t="shared" si="322"/>
        <v>472</v>
      </c>
      <c r="AT89" s="539">
        <f t="shared" si="322"/>
        <v>577</v>
      </c>
      <c r="AU89" s="550">
        <f t="shared" si="322"/>
        <v>1049</v>
      </c>
      <c r="AV89">
        <f t="shared" ref="AV89:AW89" si="323">AV86-AV88</f>
        <v>751</v>
      </c>
      <c r="AW89" s="539">
        <f t="shared" si="323"/>
        <v>803</v>
      </c>
      <c r="AX89" s="550">
        <f t="shared" ref="AX89:AY89" si="324">AX86-AX88</f>
        <v>1554</v>
      </c>
      <c r="AY89">
        <f t="shared" si="324"/>
        <v>1058</v>
      </c>
      <c r="AZ89" s="539"/>
      <c r="BA89" s="550"/>
      <c r="BB89"/>
      <c r="BC89" s="539"/>
      <c r="BD89" s="550"/>
      <c r="BE89"/>
      <c r="BF89" s="539"/>
      <c r="BG89" s="550"/>
      <c r="BH89"/>
      <c r="BI89" s="539"/>
      <c r="BJ89" s="550"/>
      <c r="BK89"/>
      <c r="BL89" s="539"/>
      <c r="BM89" s="550"/>
    </row>
    <row r="90" spans="1:65">
      <c r="A90" s="25" t="s">
        <v>1028</v>
      </c>
      <c r="P90" s="1074"/>
      <c r="Q90" s="1074">
        <f t="shared" ref="Q90:AU90" si="325">Q89/Q84</f>
        <v>8.2370297516596996E-2</v>
      </c>
      <c r="R90" s="1074">
        <f t="shared" si="325"/>
        <v>7.8658183921341815E-2</v>
      </c>
      <c r="S90" s="1075">
        <f t="shared" si="325"/>
        <v>7.1029082774049221E-2</v>
      </c>
      <c r="T90" s="1073">
        <f t="shared" si="325"/>
        <v>7.4779641740119418E-2</v>
      </c>
      <c r="U90" s="1074">
        <f t="shared" si="325"/>
        <v>6.2137967351237493E-2</v>
      </c>
      <c r="V90" s="1075">
        <f t="shared" si="325"/>
        <v>8.1519221861973135E-2</v>
      </c>
      <c r="W90" s="1073">
        <f t="shared" si="325"/>
        <v>7.24494825036964E-2</v>
      </c>
      <c r="X90" s="1074">
        <f t="shared" si="325"/>
        <v>6.2137967351237493E-2</v>
      </c>
      <c r="Y90" s="1075">
        <f t="shared" si="325"/>
        <v>8.1519221861973135E-2</v>
      </c>
      <c r="Z90" s="1073">
        <f t="shared" si="325"/>
        <v>7.24494825036964E-2</v>
      </c>
      <c r="AA90" s="1074">
        <f t="shared" si="325"/>
        <v>0.1146551724137931</v>
      </c>
      <c r="AB90" s="1075">
        <f t="shared" si="325"/>
        <v>9.9306157849089333E-2</v>
      </c>
      <c r="AC90" s="1073">
        <f t="shared" si="325"/>
        <v>0.10700389105058365</v>
      </c>
      <c r="AD90" s="1074">
        <f t="shared" si="325"/>
        <v>0.11052631578947368</v>
      </c>
      <c r="AE90" s="1075">
        <f t="shared" si="325"/>
        <v>6.5137614678899086E-2</v>
      </c>
      <c r="AF90" s="1073">
        <f t="shared" si="325"/>
        <v>8.8340807174887889E-2</v>
      </c>
      <c r="AG90" s="1074">
        <f t="shared" si="325"/>
        <v>6.2612883804936792E-2</v>
      </c>
      <c r="AH90" s="1075">
        <f t="shared" si="325"/>
        <v>5.5329949238578681E-2</v>
      </c>
      <c r="AI90" s="1073">
        <f t="shared" si="325"/>
        <v>5.866152575048196E-2</v>
      </c>
      <c r="AJ90" s="1074">
        <f t="shared" si="325"/>
        <v>9.0993071593533481E-2</v>
      </c>
      <c r="AK90" s="1075">
        <f t="shared" si="325"/>
        <v>7.4666666666666673E-2</v>
      </c>
      <c r="AL90" s="1073">
        <f t="shared" si="325"/>
        <v>8.2672706681766711E-2</v>
      </c>
      <c r="AM90" s="1074">
        <f t="shared" si="325"/>
        <v>6.6017774016081249E-2</v>
      </c>
      <c r="AN90" s="1075">
        <f t="shared" si="325"/>
        <v>0.1198501872659176</v>
      </c>
      <c r="AO90" s="1073">
        <f t="shared" si="325"/>
        <v>9.4575799721835885E-2</v>
      </c>
      <c r="AP90" s="1074">
        <f t="shared" si="325"/>
        <v>0.12821428571428573</v>
      </c>
      <c r="AQ90" s="1075">
        <f t="shared" si="325"/>
        <v>0.12356421858684302</v>
      </c>
      <c r="AR90" s="1073">
        <f t="shared" si="325"/>
        <v>0.12585933368588048</v>
      </c>
      <c r="AS90" s="1074">
        <f t="shared" si="325"/>
        <v>0.1584956346541303</v>
      </c>
      <c r="AT90" s="1075">
        <f t="shared" si="325"/>
        <v>0.16822157434402332</v>
      </c>
      <c r="AU90" s="1073">
        <f t="shared" si="325"/>
        <v>0.1637016229712859</v>
      </c>
      <c r="AV90" s="1074">
        <f t="shared" ref="AV90:AX90" si="326">AV89/AV84</f>
        <v>0.21226681741096665</v>
      </c>
      <c r="AW90" s="1075">
        <f t="shared" si="326"/>
        <v>0.20458598726114649</v>
      </c>
      <c r="AX90" s="1073">
        <f t="shared" si="326"/>
        <v>0.20822725445531287</v>
      </c>
      <c r="AY90" s="1074">
        <f t="shared" ref="AY90" si="327">AY89/AY84</f>
        <v>0.25124673474234149</v>
      </c>
      <c r="AZ90" s="539"/>
      <c r="BA90" s="550"/>
      <c r="BB90"/>
      <c r="BC90" s="539"/>
      <c r="BD90" s="550"/>
      <c r="BE90"/>
      <c r="BF90" s="539"/>
      <c r="BG90" s="550"/>
      <c r="BH90"/>
      <c r="BI90" s="539"/>
      <c r="BJ90" s="550"/>
      <c r="BK90"/>
      <c r="BL90" s="539"/>
      <c r="BM90" s="550"/>
    </row>
    <row r="91" spans="1:65">
      <c r="S91" s="595"/>
      <c r="T91" s="619"/>
      <c r="V91" s="595"/>
      <c r="W91" s="619"/>
      <c r="Y91" s="595"/>
      <c r="Z91" s="619"/>
      <c r="AB91" s="595"/>
      <c r="AC91" s="619"/>
      <c r="AE91" s="595"/>
      <c r="AF91" s="619"/>
      <c r="AH91" s="595"/>
      <c r="AI91" s="619"/>
      <c r="AK91" s="595"/>
      <c r="AL91" s="619"/>
      <c r="AN91" s="595"/>
      <c r="AO91" s="619"/>
      <c r="AQ91" s="539"/>
      <c r="AR91" s="550"/>
      <c r="AS91"/>
      <c r="AT91" s="539"/>
      <c r="AU91" s="550"/>
      <c r="AV91"/>
      <c r="AW91" s="539"/>
      <c r="AX91" s="550"/>
      <c r="AY91"/>
      <c r="AZ91" s="539"/>
      <c r="BA91" s="550"/>
      <c r="BB91"/>
      <c r="BC91" s="539"/>
      <c r="BD91" s="550"/>
      <c r="BE91"/>
      <c r="BF91" s="539"/>
      <c r="BG91" s="550"/>
      <c r="BH91"/>
      <c r="BI91" s="539"/>
      <c r="BJ91" s="550"/>
      <c r="BK91"/>
      <c r="BL91" s="539"/>
      <c r="BM91" s="550"/>
    </row>
    <row r="92" spans="1:65">
      <c r="A92" s="25" t="s">
        <v>1031</v>
      </c>
      <c r="Q92" s="15">
        <v>1.5285063218390815</v>
      </c>
      <c r="R92" s="15">
        <v>1.4335734615384617</v>
      </c>
      <c r="S92" s="753">
        <f>T92*2-R92</f>
        <v>1.2772173430592395</v>
      </c>
      <c r="T92" s="766">
        <v>1.3553954022988506</v>
      </c>
      <c r="U92" s="15">
        <v>1.2596142307692306</v>
      </c>
      <c r="V92" s="753">
        <f>W92*2-U92</f>
        <v>1.3181519230769225</v>
      </c>
      <c r="W92" s="766">
        <v>1.2888830769230766</v>
      </c>
      <c r="X92" s="15">
        <v>1.2596142307692306</v>
      </c>
      <c r="Y92" s="753">
        <f>Z92*2-X92</f>
        <v>1.3181519230769225</v>
      </c>
      <c r="Z92" s="766">
        <v>1.2888830769230766</v>
      </c>
      <c r="AA92" s="15">
        <v>1.3758238461538463</v>
      </c>
      <c r="AB92" s="753">
        <f>AC92*2-AA92</f>
        <v>1.29437692012968</v>
      </c>
      <c r="AC92" s="766">
        <v>1.3351003831417632</v>
      </c>
      <c r="AD92" s="15">
        <v>1.2939441860465122</v>
      </c>
      <c r="AE92" s="753">
        <f>AF92*2-AD92</f>
        <v>1.2597370400071273</v>
      </c>
      <c r="AF92" s="766">
        <v>1.2768406130268197</v>
      </c>
      <c r="AG92" s="15">
        <v>1.2607269230769238</v>
      </c>
      <c r="AH92" s="753">
        <f>AI92*2-AG92</f>
        <v>1.3072746036406344</v>
      </c>
      <c r="AI92" s="766">
        <v>1.2840007633587791</v>
      </c>
      <c r="AJ92" s="15">
        <v>1.3887558139534888</v>
      </c>
      <c r="AK92" s="753">
        <f>AL92*2-AJ92</f>
        <v>1.3627779025216062</v>
      </c>
      <c r="AL92" s="766">
        <v>1.3757668582375475</v>
      </c>
      <c r="AM92" s="15">
        <v>1.2982720930232554</v>
      </c>
      <c r="AN92" s="753">
        <f>AO92*2-AM92</f>
        <v>1.1748698300536666</v>
      </c>
      <c r="AO92" s="766">
        <v>1.236570961538461</v>
      </c>
      <c r="AP92" s="15">
        <v>1.2339423076923082</v>
      </c>
      <c r="AQ92" s="753">
        <f>AR92*2-AP92</f>
        <v>1.2539465384615374</v>
      </c>
      <c r="AR92" s="766">
        <v>1.2439444230769228</v>
      </c>
      <c r="AS92" s="15">
        <v>1.2652376923076922</v>
      </c>
      <c r="AT92" s="753">
        <f>AU92*2-AS92</f>
        <v>1.2910699412800948</v>
      </c>
      <c r="AU92" s="766">
        <v>1.2781538167938935</v>
      </c>
      <c r="AV92" s="15">
        <v>1.3</v>
      </c>
      <c r="AW92" s="753">
        <f>AX92*2-AV92</f>
        <v>1.34</v>
      </c>
      <c r="AX92" s="766">
        <v>1.32</v>
      </c>
      <c r="AY92" s="15">
        <v>1.3448</v>
      </c>
      <c r="AZ92" s="539"/>
      <c r="BA92" s="550"/>
      <c r="BB92"/>
      <c r="BC92" s="539"/>
      <c r="BD92" s="550"/>
      <c r="BE92"/>
      <c r="BF92" s="539"/>
      <c r="BG92" s="550"/>
      <c r="BH92"/>
      <c r="BI92" s="539"/>
      <c r="BJ92" s="550"/>
      <c r="BK92"/>
      <c r="BL92" s="539"/>
      <c r="BM92" s="550"/>
    </row>
    <row r="93" spans="1:65">
      <c r="S93" s="595"/>
      <c r="T93" s="619"/>
      <c r="V93" s="595"/>
      <c r="W93" s="619"/>
      <c r="Y93" s="595"/>
      <c r="Z93" s="619"/>
      <c r="AB93" s="595"/>
      <c r="AC93" s="619"/>
      <c r="AE93" s="595"/>
      <c r="AF93" s="619"/>
      <c r="AH93" s="595"/>
      <c r="AI93" s="619"/>
      <c r="AK93" s="595"/>
      <c r="AL93" s="619"/>
      <c r="AN93" s="595"/>
      <c r="AO93" s="619"/>
      <c r="AQ93" s="539"/>
      <c r="AR93" s="550"/>
      <c r="AS93"/>
      <c r="AT93" s="539"/>
      <c r="AU93" s="550"/>
      <c r="AV93"/>
      <c r="AW93" s="539"/>
      <c r="AX93" s="550"/>
      <c r="AY93"/>
      <c r="AZ93" s="539"/>
      <c r="BA93" s="550"/>
      <c r="BB93"/>
      <c r="BC93" s="539"/>
      <c r="BD93" s="550"/>
      <c r="BE93"/>
      <c r="BF93" s="539"/>
      <c r="BG93" s="550"/>
      <c r="BH93"/>
      <c r="BI93" s="539"/>
      <c r="BJ93" s="550"/>
      <c r="BK93"/>
      <c r="BL93" s="539"/>
      <c r="BM93" s="550"/>
    </row>
    <row r="94" spans="1:65">
      <c r="A94" s="31" t="s">
        <v>1032</v>
      </c>
      <c r="P94"/>
      <c r="Q94">
        <f>Q84/Q$92</f>
        <v>2660.767536183057</v>
      </c>
      <c r="R94">
        <f>R84/R$92</f>
        <v>1206.0770141102478</v>
      </c>
      <c r="S94" s="539">
        <f>T94-R94</f>
        <v>1388.7377491941786</v>
      </c>
      <c r="T94" s="550">
        <f>T84/T$92</f>
        <v>2594.8147633044264</v>
      </c>
      <c r="U94">
        <f>U84/U$92</f>
        <v>1507.6044344468103</v>
      </c>
      <c r="V94" s="539">
        <f>W94-U94</f>
        <v>1640.8580387261466</v>
      </c>
      <c r="W94" s="550">
        <f>W84/W$92</f>
        <v>3148.4624731729568</v>
      </c>
      <c r="X94">
        <f>X84/X$92</f>
        <v>1507.6044344468103</v>
      </c>
      <c r="Y94" s="539">
        <f>Z94-X94</f>
        <v>1640.8580387261466</v>
      </c>
      <c r="Z94" s="550">
        <f>Z84/Z$92</f>
        <v>3148.4624731729568</v>
      </c>
      <c r="AA94">
        <f>AA84/AA$92</f>
        <v>1686.2623848871526</v>
      </c>
      <c r="AB94" s="539">
        <f>AC94-AA94</f>
        <v>1778.6456163479902</v>
      </c>
      <c r="AC94" s="550">
        <f>AC84/AC$92</f>
        <v>3464.9080012351428</v>
      </c>
      <c r="AD94">
        <f>AD84/AD$92</f>
        <v>1762.0543641579011</v>
      </c>
      <c r="AE94" s="539">
        <f>AF94-AD94</f>
        <v>1730.94229846182</v>
      </c>
      <c r="AF94" s="550">
        <f>AF84/AF$92</f>
        <v>3492.9966626197211</v>
      </c>
      <c r="AG94">
        <f>AG84/AG$92</f>
        <v>1317.4938756334097</v>
      </c>
      <c r="AH94" s="539">
        <f>AI94-AG94</f>
        <v>1510.3860630838974</v>
      </c>
      <c r="AI94" s="550">
        <f>AI84/AI$92</f>
        <v>2827.8799387173071</v>
      </c>
      <c r="AJ94">
        <f>AJ84/AJ$92</f>
        <v>1558.9493691023415</v>
      </c>
      <c r="AK94" s="539">
        <f>AL94-AJ94</f>
        <v>1650.1699475643793</v>
      </c>
      <c r="AL94" s="550">
        <f>AL84/AL$92</f>
        <v>3209.1193166667208</v>
      </c>
      <c r="AM94">
        <f>AM84/AM$92</f>
        <v>1820.1115256951553</v>
      </c>
      <c r="AN94" s="539">
        <f>AO94-AM94</f>
        <v>2250.0147804719163</v>
      </c>
      <c r="AO94" s="550">
        <f>AO84/AO$92</f>
        <v>4070.1263061670716</v>
      </c>
      <c r="AP94">
        <f>AP84/AP$92</f>
        <v>2269.1498480480004</v>
      </c>
      <c r="AQ94" s="539">
        <f>AR94-AP94</f>
        <v>2291.343285534057</v>
      </c>
      <c r="AR94" s="550">
        <f>AR84/AR$92</f>
        <v>4560.4931335820575</v>
      </c>
      <c r="AS94">
        <f>AS84/AS$92</f>
        <v>2353.7079381253388</v>
      </c>
      <c r="AT94" s="539">
        <f>AU94-AS94</f>
        <v>2659.773159223143</v>
      </c>
      <c r="AU94" s="550">
        <f>AU84/AU$92</f>
        <v>5013.4810973484819</v>
      </c>
      <c r="AV94">
        <f>AV84/AV$92</f>
        <v>2721.5384615384614</v>
      </c>
      <c r="AW94" s="539">
        <f>AX94-AV94</f>
        <v>2932.2494172494166</v>
      </c>
      <c r="AX94" s="550">
        <f>AX84/AX$92</f>
        <v>5653.7878787878781</v>
      </c>
      <c r="AY94">
        <f>AY84/AY$92</f>
        <v>3131.3206424747173</v>
      </c>
      <c r="AZ94" s="539"/>
      <c r="BA94" s="550"/>
      <c r="BB94"/>
      <c r="BC94" s="539"/>
      <c r="BD94" s="550"/>
      <c r="BE94"/>
      <c r="BF94" s="539"/>
      <c r="BG94" s="550"/>
      <c r="BH94"/>
      <c r="BI94" s="539"/>
      <c r="BJ94" s="550"/>
      <c r="BK94"/>
      <c r="BL94" s="539"/>
      <c r="BM94" s="550"/>
    </row>
    <row r="95" spans="1:65">
      <c r="A95" s="25" t="s">
        <v>1027</v>
      </c>
      <c r="P95" s="56"/>
      <c r="Q95" s="986"/>
      <c r="R95" s="986"/>
      <c r="S95" s="987"/>
      <c r="T95" s="565">
        <f>T94/Q94-1</f>
        <v>-2.4787123257389743E-2</v>
      </c>
      <c r="U95" s="986">
        <f t="shared" ref="U95" si="328">U94/R94-1</f>
        <v>0.25000677138267702</v>
      </c>
      <c r="V95" s="987">
        <f t="shared" ref="V95" si="329">V94/S94-1</f>
        <v>0.1815463644437274</v>
      </c>
      <c r="W95" s="565">
        <f t="shared" ref="W95" si="330">W94/T94-1</f>
        <v>0.21336694923204269</v>
      </c>
      <c r="X95" s="986">
        <f>X94/R94-1</f>
        <v>0.25000677138267702</v>
      </c>
      <c r="Y95" s="987">
        <f t="shared" ref="Y95" si="331">Y94/S94-1</f>
        <v>0.1815463644437274</v>
      </c>
      <c r="Z95" s="565">
        <f t="shared" ref="Z95" si="332">Z94/T94-1</f>
        <v>0.21336694923204269</v>
      </c>
      <c r="AA95" s="986">
        <f t="shared" ref="AA95" si="333">AA94/X94-1</f>
        <v>0.11850452702196912</v>
      </c>
      <c r="AB95" s="987">
        <f t="shared" ref="AB95" si="334">AB94/Y94-1</f>
        <v>8.3972881486330531E-2</v>
      </c>
      <c r="AC95" s="565">
        <f t="shared" ref="AC95" si="335">AC94/Z94-1</f>
        <v>0.10050795610826468</v>
      </c>
      <c r="AD95" s="986">
        <f t="shared" ref="AD95" si="336">AD94/AA94-1</f>
        <v>4.4946729494781845E-2</v>
      </c>
      <c r="AE95" s="987">
        <f t="shared" ref="AE95" si="337">AE94/AB94-1</f>
        <v>-2.6820023869688625E-2</v>
      </c>
      <c r="AF95" s="565">
        <f t="shared" ref="AF95" si="338">AF94/AC94-1</f>
        <v>8.1066110195611163E-3</v>
      </c>
      <c r="AG95" s="986">
        <f t="shared" ref="AG95" si="339">AG94/AD94-1</f>
        <v>-0.25229669275099242</v>
      </c>
      <c r="AH95" s="987">
        <f t="shared" ref="AH95" si="340">AH94/AE94-1</f>
        <v>-0.12741975025621421</v>
      </c>
      <c r="AI95" s="565">
        <f t="shared" ref="AI95" si="341">AI94/AF94-1</f>
        <v>-0.19041435997353096</v>
      </c>
      <c r="AJ95" s="986">
        <f t="shared" ref="AJ95" si="342">AJ94/AG94-1</f>
        <v>0.18326877865208102</v>
      </c>
      <c r="AK95" s="987">
        <f t="shared" ref="AK95" si="343">AK94/AH94-1</f>
        <v>9.2548446981212118E-2</v>
      </c>
      <c r="AL95" s="565">
        <f t="shared" ref="AL95" si="344">AL94/AI94-1</f>
        <v>0.13481455585499136</v>
      </c>
      <c r="AM95" s="986">
        <f t="shared" ref="AM95" si="345">AM94/AJ94-1</f>
        <v>0.16752446344244865</v>
      </c>
      <c r="AN95" s="987">
        <f t="shared" ref="AN95" si="346">AN94/AK94-1</f>
        <v>0.36350488250794832</v>
      </c>
      <c r="AO95" s="565">
        <f t="shared" ref="AO95" si="347">AO94/AL94-1</f>
        <v>0.26830008626624391</v>
      </c>
      <c r="AP95" s="986">
        <f t="shared" ref="AP95" si="348">AP94/AM94-1</f>
        <v>0.2467092351285145</v>
      </c>
      <c r="AQ95" s="987">
        <f t="shared" ref="AQ95" si="349">AQ94/AN94-1</f>
        <v>1.8368103810177061E-2</v>
      </c>
      <c r="AR95" s="565">
        <f t="shared" ref="AR95" si="350">AR94/AO94-1</f>
        <v>0.12047951108347177</v>
      </c>
      <c r="AS95" s="986">
        <f t="shared" ref="AS95:AV95" si="351">AS94/AP94-1</f>
        <v>3.7264216001458905E-2</v>
      </c>
      <c r="AT95" s="987">
        <f t="shared" si="351"/>
        <v>0.16079208908376819</v>
      </c>
      <c r="AU95" s="565">
        <f t="shared" si="351"/>
        <v>9.9328723999332791E-2</v>
      </c>
      <c r="AV95" s="986">
        <f t="shared" si="351"/>
        <v>0.1562770458709033</v>
      </c>
      <c r="AW95" s="987">
        <f t="shared" ref="AW95" si="352">AW94/AT94-1</f>
        <v>0.10244341968841342</v>
      </c>
      <c r="AX95" s="565">
        <f t="shared" ref="AX95:AY95" si="353">AX94/AU94-1</f>
        <v>0.1277170032171937</v>
      </c>
      <c r="AY95" s="986">
        <f t="shared" si="353"/>
        <v>0.15057004952434494</v>
      </c>
      <c r="AZ95" s="236"/>
      <c r="BA95" s="605"/>
      <c r="BB95" s="56"/>
      <c r="BC95" s="236"/>
      <c r="BD95" s="605"/>
      <c r="BE95" s="56"/>
      <c r="BF95" s="236"/>
      <c r="BG95" s="605"/>
      <c r="BH95" s="56"/>
      <c r="BI95" s="236"/>
      <c r="BJ95" s="605"/>
      <c r="BK95" s="56"/>
      <c r="BL95" s="236"/>
      <c r="BM95" s="605"/>
    </row>
    <row r="96" spans="1:65">
      <c r="A96" s="25" t="s">
        <v>1033</v>
      </c>
      <c r="P96"/>
      <c r="Q96">
        <f>Q86/Q$92</f>
        <v>291.13389564825678</v>
      </c>
      <c r="R96">
        <f>R86/R$92</f>
        <v>135.32616584001624</v>
      </c>
      <c r="S96" s="539">
        <f>T96-R96</f>
        <v>143.55924232861418</v>
      </c>
      <c r="T96" s="550">
        <f>T86/T$92</f>
        <v>278.88540816863042</v>
      </c>
      <c r="U96">
        <f>U86/U$92</f>
        <v>138.93142497535115</v>
      </c>
      <c r="V96" s="539">
        <f>W96-U96</f>
        <v>179.94932329327509</v>
      </c>
      <c r="W96" s="550">
        <f>W86/W$92</f>
        <v>318.88074826862623</v>
      </c>
      <c r="X96">
        <f>X86/X$92</f>
        <v>138.93142497535115</v>
      </c>
      <c r="Y96" s="539">
        <f>Z96-X96</f>
        <v>179.94932329327509</v>
      </c>
      <c r="Z96" s="550">
        <f>Z86/Z$92</f>
        <v>318.88074826862623</v>
      </c>
      <c r="AA96">
        <f>AA86/AA$92</f>
        <v>238.40261303576986</v>
      </c>
      <c r="AB96" s="539">
        <f>AC96-AA96</f>
        <v>221.4878998821674</v>
      </c>
      <c r="AC96" s="550">
        <f>AC86/AC$92</f>
        <v>459.89051291793726</v>
      </c>
      <c r="AD96">
        <f>AD86/AD$92</f>
        <v>240.3503979180295</v>
      </c>
      <c r="AE96" s="539">
        <f>AF96-AD96</f>
        <v>160.6393534858488</v>
      </c>
      <c r="AF96" s="550">
        <f>AF86/AF$92</f>
        <v>400.9897514038783</v>
      </c>
      <c r="AG96">
        <f>AG86/AG$92</f>
        <v>133.25645460952006</v>
      </c>
      <c r="AH96" s="539">
        <f>AI96-AG96</f>
        <v>133.87734296140707</v>
      </c>
      <c r="AI96" s="550">
        <f>AI86/AI$92</f>
        <v>267.13379757092713</v>
      </c>
      <c r="AJ96">
        <f>AJ86/AJ$92</f>
        <v>190.81828305409721</v>
      </c>
      <c r="AK96" s="539">
        <f>AL96-AJ96</f>
        <v>169.70791877301343</v>
      </c>
      <c r="AL96" s="550">
        <f>AL86/AL$92</f>
        <v>360.52620182711064</v>
      </c>
      <c r="AM96">
        <f>AM86/AM$92</f>
        <v>167.91549411830042</v>
      </c>
      <c r="AN96" s="539">
        <f>AO96-AM96</f>
        <v>314.06250677094545</v>
      </c>
      <c r="AO96" s="550">
        <f>AO86/AO$92</f>
        <v>481.97800088924589</v>
      </c>
      <c r="AP96">
        <f>AP86/AP$92</f>
        <v>340.37247720720006</v>
      </c>
      <c r="AQ96" s="539">
        <f>AR96-AP96</f>
        <v>331.68327101677312</v>
      </c>
      <c r="AR96" s="550">
        <f>AR86/AR$92</f>
        <v>672.05574822397318</v>
      </c>
      <c r="AS96">
        <f>AS86/AS$92</f>
        <v>425.21654489974219</v>
      </c>
      <c r="AT96" s="539">
        <f>AU96-AS96</f>
        <v>497.99002421249395</v>
      </c>
      <c r="AU96" s="550">
        <f>AU86/AU$92</f>
        <v>923.20656911223614</v>
      </c>
      <c r="AV96">
        <f>AV86/AV$92</f>
        <v>630</v>
      </c>
      <c r="AW96" s="539">
        <f>AX96-AV96</f>
        <v>653.33333333333326</v>
      </c>
      <c r="AX96" s="550">
        <f>AX86/AX$92</f>
        <v>1283.3333333333333</v>
      </c>
      <c r="AY96">
        <f>AY86/AY$92</f>
        <v>839.53004164187985</v>
      </c>
      <c r="AZ96" s="539"/>
      <c r="BA96" s="550"/>
      <c r="BB96"/>
      <c r="BC96" s="539"/>
      <c r="BD96" s="550"/>
      <c r="BE96"/>
      <c r="BF96" s="539"/>
      <c r="BG96" s="550"/>
      <c r="BH96"/>
      <c r="BI96" s="539"/>
      <c r="BJ96" s="550"/>
      <c r="BK96"/>
      <c r="BL96" s="539"/>
      <c r="BM96" s="550"/>
    </row>
    <row r="97" spans="1:65">
      <c r="A97" s="25" t="s">
        <v>1028</v>
      </c>
      <c r="P97" s="1074"/>
      <c r="Q97" s="1074">
        <f t="shared" ref="Q97:AU97" si="354">Q96/Q94</f>
        <v>0.10941726088025572</v>
      </c>
      <c r="R97" s="1074">
        <f t="shared" si="354"/>
        <v>0.11220358588779643</v>
      </c>
      <c r="S97" s="1075">
        <f t="shared" si="354"/>
        <v>0.10337390368477783</v>
      </c>
      <c r="T97" s="1073">
        <f t="shared" si="354"/>
        <v>0.10747796417401194</v>
      </c>
      <c r="U97" s="1074">
        <f t="shared" si="354"/>
        <v>9.2153765139547136E-2</v>
      </c>
      <c r="V97" s="1075">
        <f t="shared" si="354"/>
        <v>0.10966781954700713</v>
      </c>
      <c r="W97" s="1073">
        <f t="shared" si="354"/>
        <v>0.10128141941843273</v>
      </c>
      <c r="X97" s="1074">
        <f t="shared" si="354"/>
        <v>9.2153765139547136E-2</v>
      </c>
      <c r="Y97" s="1075">
        <f t="shared" si="354"/>
        <v>0.10966781954700713</v>
      </c>
      <c r="Z97" s="1073">
        <f t="shared" si="354"/>
        <v>0.10128141941843273</v>
      </c>
      <c r="AA97" s="1074">
        <f t="shared" si="354"/>
        <v>0.14137931034482759</v>
      </c>
      <c r="AB97" s="1075">
        <f t="shared" si="354"/>
        <v>0.12452615509599835</v>
      </c>
      <c r="AC97" s="1073">
        <f t="shared" si="354"/>
        <v>0.13272805879809771</v>
      </c>
      <c r="AD97" s="1074">
        <f t="shared" si="354"/>
        <v>0.13640350877192983</v>
      </c>
      <c r="AE97" s="1075">
        <f t="shared" si="354"/>
        <v>9.280456871878337E-2</v>
      </c>
      <c r="AF97" s="1073">
        <f t="shared" si="354"/>
        <v>0.11479820627802691</v>
      </c>
      <c r="AG97" s="1074">
        <f t="shared" si="354"/>
        <v>0.10114388922335942</v>
      </c>
      <c r="AH97" s="1075">
        <f t="shared" si="354"/>
        <v>8.8637829912212709E-2</v>
      </c>
      <c r="AI97" s="1073">
        <f t="shared" si="354"/>
        <v>9.4464334893968605E-2</v>
      </c>
      <c r="AJ97" s="1074">
        <f t="shared" si="354"/>
        <v>0.12240184757505772</v>
      </c>
      <c r="AK97" s="1075">
        <f t="shared" si="354"/>
        <v>0.10284269145944587</v>
      </c>
      <c r="AL97" s="1073">
        <f t="shared" si="354"/>
        <v>0.11234428086070215</v>
      </c>
      <c r="AM97" s="1074">
        <f t="shared" si="354"/>
        <v>9.2255607278882781E-2</v>
      </c>
      <c r="AN97" s="1075">
        <f t="shared" si="354"/>
        <v>0.13958241941196237</v>
      </c>
      <c r="AO97" s="1073">
        <f t="shared" si="354"/>
        <v>0.11841843830717266</v>
      </c>
      <c r="AP97" s="1074">
        <f t="shared" si="354"/>
        <v>0.15</v>
      </c>
      <c r="AQ97" s="1075">
        <f t="shared" si="354"/>
        <v>0.14475494488791352</v>
      </c>
      <c r="AR97" s="1073">
        <f t="shared" si="354"/>
        <v>0.14736471002996651</v>
      </c>
      <c r="AS97" s="1074">
        <f t="shared" si="354"/>
        <v>0.180658159838818</v>
      </c>
      <c r="AT97" s="1075">
        <f t="shared" si="354"/>
        <v>0.1872302615302521</v>
      </c>
      <c r="AU97" s="1073">
        <f t="shared" si="354"/>
        <v>0.18414481897627966</v>
      </c>
      <c r="AV97" s="1074">
        <f t="shared" ref="AV97:AX97" si="355">AV96/AV94</f>
        <v>0.23148671565856416</v>
      </c>
      <c r="AW97" s="1075">
        <f t="shared" si="355"/>
        <v>0.22280960462980998</v>
      </c>
      <c r="AX97" s="1073">
        <f t="shared" si="355"/>
        <v>0.22698646656840415</v>
      </c>
      <c r="AY97" s="1074">
        <f t="shared" ref="AY97" si="356">AY96/AY94</f>
        <v>0.26810733792448349</v>
      </c>
      <c r="AZ97" s="539"/>
      <c r="BA97" s="550"/>
      <c r="BB97"/>
      <c r="BC97" s="539"/>
      <c r="BD97" s="550"/>
      <c r="BE97"/>
      <c r="BF97" s="539"/>
      <c r="BG97" s="550"/>
      <c r="BH97"/>
      <c r="BI97" s="539"/>
      <c r="BJ97" s="550"/>
      <c r="BK97"/>
      <c r="BL97" s="539"/>
      <c r="BM97" s="550"/>
    </row>
    <row r="98" spans="1:65">
      <c r="A98" s="25" t="s">
        <v>1029</v>
      </c>
      <c r="P98"/>
      <c r="Q98">
        <f>Q88/Q$92</f>
        <v>71.965682070355612</v>
      </c>
      <c r="R98">
        <f>R88/R$92</f>
        <v>40.458338240829598</v>
      </c>
      <c r="S98" s="539">
        <f>T98-R98</f>
        <v>44.387751545923045</v>
      </c>
      <c r="T98" s="550">
        <f>T88/T$92</f>
        <v>84.846089786752643</v>
      </c>
      <c r="U98">
        <f>U88/U$92</f>
        <v>45.251949849114368</v>
      </c>
      <c r="V98" s="539">
        <f>W98-U98</f>
        <v>45.524321555823022</v>
      </c>
      <c r="W98" s="550">
        <f>W88/W$92</f>
        <v>90.77627140493739</v>
      </c>
      <c r="X98">
        <f>X88/X$92</f>
        <v>45.251949849114368</v>
      </c>
      <c r="Y98" s="539">
        <f>Z98-X98</f>
        <v>45.524321555823022</v>
      </c>
      <c r="Z98" s="550">
        <f>Z88/Z$92</f>
        <v>90.77627140493739</v>
      </c>
      <c r="AA98">
        <f>AA88/AA$92</f>
        <v>45.063908561639423</v>
      </c>
      <c r="AB98" s="539">
        <f>AC98-AA98</f>
        <v>44.067966091837022</v>
      </c>
      <c r="AC98" s="550">
        <f>AC88/AC$92</f>
        <v>89.131874653476444</v>
      </c>
      <c r="AD98">
        <f>AD88/AD$92</f>
        <v>45.597020826893058</v>
      </c>
      <c r="AE98" s="539">
        <f>AF98-AD98</f>
        <v>46.818585941969516</v>
      </c>
      <c r="AF98" s="550">
        <f>AF88/AF$92</f>
        <v>92.415606768862574</v>
      </c>
      <c r="AG98">
        <f>AG88/AG$92</f>
        <v>50.764363660769554</v>
      </c>
      <c r="AH98" s="539">
        <f>AI98-AG98</f>
        <v>50.481682065820898</v>
      </c>
      <c r="AI98" s="550">
        <f>AI88/AI$92</f>
        <v>101.24604572659045</v>
      </c>
      <c r="AJ98">
        <f>AJ88/AJ$92</f>
        <v>48.964691500674</v>
      </c>
      <c r="AK98" s="539">
        <f>AL98-AJ98</f>
        <v>46.254930352857237</v>
      </c>
      <c r="AL98" s="550">
        <f>AL88/AL$92</f>
        <v>95.219621853531237</v>
      </c>
      <c r="AM98">
        <f>AM88/AM$92</f>
        <v>47.755782730892776</v>
      </c>
      <c r="AN98" s="539">
        <f>AO98-AM98</f>
        <v>49.286767783720492</v>
      </c>
      <c r="AO98" s="550">
        <f>AO88/AO$92</f>
        <v>97.042550514613268</v>
      </c>
      <c r="AP98">
        <f>AP88/AP$92</f>
        <v>49.435050261045724</v>
      </c>
      <c r="AQ98" s="539">
        <f>AR98-AP98</f>
        <v>48.640070891256578</v>
      </c>
      <c r="AR98" s="550">
        <f>AR88/AR$92</f>
        <v>98.075121152302302</v>
      </c>
      <c r="AS98">
        <f>AS88/AS$92</f>
        <v>52.164111456102198</v>
      </c>
      <c r="AT98" s="539">
        <f>AU98-AS98</f>
        <v>50.327465284324013</v>
      </c>
      <c r="AU98" s="550">
        <f>AU88/AU$92</f>
        <v>102.49157674042621</v>
      </c>
      <c r="AV98">
        <f>AV88/AV$92</f>
        <v>52.307692307692307</v>
      </c>
      <c r="AW98" s="539">
        <f>AX98-AV98</f>
        <v>53.752913752913756</v>
      </c>
      <c r="AX98" s="550">
        <f>AX88/AX$92</f>
        <v>106.06060606060606</v>
      </c>
      <c r="AY98">
        <f>AY88/AY$92</f>
        <v>52.795954788816182</v>
      </c>
      <c r="AZ98" s="539"/>
      <c r="BA98" s="550"/>
      <c r="BB98"/>
      <c r="BC98" s="539"/>
      <c r="BD98" s="550"/>
      <c r="BE98"/>
      <c r="BF98" s="539"/>
      <c r="BG98" s="550"/>
      <c r="BH98"/>
      <c r="BI98" s="539"/>
      <c r="BJ98" s="550"/>
      <c r="BK98"/>
      <c r="BL98" s="539"/>
      <c r="BM98" s="550"/>
    </row>
    <row r="99" spans="1:65">
      <c r="A99" s="25" t="s">
        <v>1034</v>
      </c>
      <c r="P99"/>
      <c r="Q99">
        <f>Q89/Q$92</f>
        <v>219.16821357790118</v>
      </c>
      <c r="R99">
        <f>R89/R$92</f>
        <v>94.86782759918664</v>
      </c>
      <c r="S99" s="539">
        <f>S96-S98</f>
        <v>99.171490782691137</v>
      </c>
      <c r="T99" s="550">
        <f>T89/T$92</f>
        <v>194.03931838187779</v>
      </c>
      <c r="U99">
        <f>U89/U$92</f>
        <v>93.679475126236767</v>
      </c>
      <c r="V99" s="539">
        <f>V96-V98</f>
        <v>134.42500173745208</v>
      </c>
      <c r="W99" s="550">
        <f>W89/W$92</f>
        <v>228.10447686368883</v>
      </c>
      <c r="X99">
        <f>X89/X$92</f>
        <v>93.679475126236767</v>
      </c>
      <c r="Y99" s="539">
        <f>Y96-Y98</f>
        <v>134.42500173745208</v>
      </c>
      <c r="Z99" s="550">
        <f>Z89/Z$92</f>
        <v>228.10447686368883</v>
      </c>
      <c r="AA99">
        <f>AA89/AA$92</f>
        <v>193.33870447413045</v>
      </c>
      <c r="AB99" s="539">
        <f>AB96-AB98</f>
        <v>177.41993379033039</v>
      </c>
      <c r="AC99" s="550">
        <f>AC89/AC$92</f>
        <v>370.75863826446079</v>
      </c>
      <c r="AD99">
        <f>AD89/AD$92</f>
        <v>194.75337709113646</v>
      </c>
      <c r="AE99" s="539">
        <f>AE96-AE98</f>
        <v>113.82076754387928</v>
      </c>
      <c r="AF99" s="550">
        <f>AF89/AF$92</f>
        <v>308.57414463501573</v>
      </c>
      <c r="AG99">
        <f>AG89/AG$92</f>
        <v>82.492090948750516</v>
      </c>
      <c r="AH99" s="539">
        <f>AH96-AH98</f>
        <v>83.395660895586161</v>
      </c>
      <c r="AI99" s="550">
        <f>AI89/AI$92</f>
        <v>165.88775184433666</v>
      </c>
      <c r="AJ99">
        <f>AJ89/AJ$92</f>
        <v>141.85359155342323</v>
      </c>
      <c r="AK99" s="539">
        <f>AK96-AK98</f>
        <v>123.4529884201562</v>
      </c>
      <c r="AL99" s="550">
        <f>AL89/AL$92</f>
        <v>265.3065799735794</v>
      </c>
      <c r="AM99">
        <f>AM89/AM$92</f>
        <v>120.15971138740763</v>
      </c>
      <c r="AN99" s="539">
        <f>AN96-AN98</f>
        <v>264.77573898722494</v>
      </c>
      <c r="AO99" s="550">
        <f>AO89/AO$92</f>
        <v>384.93545037463264</v>
      </c>
      <c r="AP99">
        <f>AP89/AP$92</f>
        <v>290.93742694615435</v>
      </c>
      <c r="AQ99" s="539">
        <f>AQ96-AQ98</f>
        <v>283.04320012551653</v>
      </c>
      <c r="AR99" s="550">
        <f>AR89/AR$92</f>
        <v>573.98062707167094</v>
      </c>
      <c r="AS99">
        <f>AS89/AS$92</f>
        <v>373.05243344363998</v>
      </c>
      <c r="AT99" s="539">
        <f>AT96-AT98</f>
        <v>447.66255892816991</v>
      </c>
      <c r="AU99" s="550">
        <f>AU89/AU$92</f>
        <v>820.7149923718099</v>
      </c>
      <c r="AV99">
        <f>AV89/AV$92</f>
        <v>577.69230769230762</v>
      </c>
      <c r="AW99" s="539">
        <f>AW96-AW98</f>
        <v>599.58041958041952</v>
      </c>
      <c r="AX99" s="550">
        <f>AX89/AX$92</f>
        <v>1177.2727272727273</v>
      </c>
      <c r="AY99">
        <f>AY89/AY$92</f>
        <v>786.73408685306367</v>
      </c>
      <c r="AZ99" s="539"/>
      <c r="BA99" s="550"/>
      <c r="BB99"/>
      <c r="BC99" s="539"/>
      <c r="BD99" s="550"/>
      <c r="BE99"/>
      <c r="BF99" s="539"/>
      <c r="BG99" s="550"/>
      <c r="BH99"/>
      <c r="BI99" s="539"/>
      <c r="BJ99" s="550"/>
      <c r="BK99"/>
      <c r="BL99" s="539"/>
      <c r="BM99" s="550"/>
    </row>
    <row r="100" spans="1:65">
      <c r="A100" s="25" t="s">
        <v>1028</v>
      </c>
      <c r="P100" s="1074"/>
      <c r="Q100" s="1074">
        <f t="shared" ref="Q100:AU100" si="357">Q99/Q94</f>
        <v>8.2370297516596996E-2</v>
      </c>
      <c r="R100" s="1074">
        <f t="shared" si="357"/>
        <v>7.8658183921341815E-2</v>
      </c>
      <c r="S100" s="1075">
        <f t="shared" si="357"/>
        <v>7.1411244376582875E-2</v>
      </c>
      <c r="T100" s="1073">
        <f t="shared" si="357"/>
        <v>7.4779641740119432E-2</v>
      </c>
      <c r="U100" s="1074">
        <f t="shared" si="357"/>
        <v>6.2137967351237493E-2</v>
      </c>
      <c r="V100" s="1075">
        <f t="shared" si="357"/>
        <v>8.1923602508484364E-2</v>
      </c>
      <c r="W100" s="1073">
        <f t="shared" si="357"/>
        <v>7.24494825036964E-2</v>
      </c>
      <c r="X100" s="1074">
        <f t="shared" si="357"/>
        <v>6.2137967351237493E-2</v>
      </c>
      <c r="Y100" s="1075">
        <f t="shared" si="357"/>
        <v>8.1923602508484364E-2</v>
      </c>
      <c r="Z100" s="1073">
        <f t="shared" si="357"/>
        <v>7.24494825036964E-2</v>
      </c>
      <c r="AA100" s="1074">
        <f t="shared" si="357"/>
        <v>0.11465517241379311</v>
      </c>
      <c r="AB100" s="1075">
        <f t="shared" si="357"/>
        <v>9.9750018868074705E-2</v>
      </c>
      <c r="AC100" s="1073">
        <f t="shared" si="357"/>
        <v>0.10700389105058365</v>
      </c>
      <c r="AD100" s="1074">
        <f t="shared" si="357"/>
        <v>0.11052631578947369</v>
      </c>
      <c r="AE100" s="1075">
        <f t="shared" si="357"/>
        <v>6.575653483367104E-2</v>
      </c>
      <c r="AF100" s="1073">
        <f t="shared" si="357"/>
        <v>8.8340807174887889E-2</v>
      </c>
      <c r="AG100" s="1074">
        <f t="shared" si="357"/>
        <v>6.2612883804936778E-2</v>
      </c>
      <c r="AH100" s="1075">
        <f t="shared" si="357"/>
        <v>5.5214797682460993E-2</v>
      </c>
      <c r="AI100" s="1073">
        <f t="shared" si="357"/>
        <v>5.866152575048196E-2</v>
      </c>
      <c r="AJ100" s="1074">
        <f t="shared" si="357"/>
        <v>9.0993071593533495E-2</v>
      </c>
      <c r="AK100" s="1075">
        <f t="shared" si="357"/>
        <v>7.4812287426740842E-2</v>
      </c>
      <c r="AL100" s="1073">
        <f t="shared" si="357"/>
        <v>8.2672706681766697E-2</v>
      </c>
      <c r="AM100" s="1074">
        <f t="shared" si="357"/>
        <v>6.6017774016081249E-2</v>
      </c>
      <c r="AN100" s="1075">
        <f t="shared" si="357"/>
        <v>0.11767733318253629</v>
      </c>
      <c r="AO100" s="1073">
        <f t="shared" si="357"/>
        <v>9.4575799721835885E-2</v>
      </c>
      <c r="AP100" s="1074">
        <f t="shared" si="357"/>
        <v>0.12821428571428573</v>
      </c>
      <c r="AQ100" s="1075">
        <f t="shared" si="357"/>
        <v>0.1235271911949876</v>
      </c>
      <c r="AR100" s="1073">
        <f t="shared" si="357"/>
        <v>0.12585933368588048</v>
      </c>
      <c r="AS100" s="1074">
        <f t="shared" si="357"/>
        <v>0.15849563465413027</v>
      </c>
      <c r="AT100" s="1075">
        <f t="shared" si="357"/>
        <v>0.1683085481842074</v>
      </c>
      <c r="AU100" s="1073">
        <f t="shared" si="357"/>
        <v>0.1637016229712859</v>
      </c>
      <c r="AV100" s="1074">
        <f t="shared" ref="AV100:AX100" si="358">AV99/AV94</f>
        <v>0.21226681741096662</v>
      </c>
      <c r="AW100" s="1075">
        <f t="shared" si="358"/>
        <v>0.20447797382217683</v>
      </c>
      <c r="AX100" s="1073">
        <f t="shared" si="358"/>
        <v>0.2082272544553129</v>
      </c>
      <c r="AY100" s="1074">
        <f t="shared" ref="AY100" si="359">AY99/AY94</f>
        <v>0.25124673474234149</v>
      </c>
      <c r="AZ100" s="539"/>
      <c r="BA100" s="550"/>
      <c r="BB100"/>
      <c r="BC100" s="539"/>
      <c r="BD100" s="550"/>
      <c r="BE100"/>
      <c r="BF100" s="539"/>
      <c r="BG100" s="550"/>
      <c r="BH100"/>
      <c r="BI100" s="539"/>
      <c r="BJ100" s="550"/>
      <c r="BK100"/>
      <c r="BL100" s="539"/>
      <c r="BM100" s="550"/>
    </row>
  </sheetData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8AB129-B91F-486B-AF95-E4B3B8A234AD}">
  <sheetPr codeName="Sheet56"/>
  <dimension ref="A1:L52"/>
  <sheetViews>
    <sheetView showGridLines="0" zoomScale="90" zoomScaleNormal="90" workbookViewId="0">
      <pane xSplit="2" ySplit="3" topLeftCell="C4" activePane="bottomRight" state="frozen"/>
      <selection sqref="A1:XFD1048576"/>
      <selection pane="topRight" sqref="A1:XFD1048576"/>
      <selection pane="bottomLeft" sqref="A1:XFD1048576"/>
      <selection pane="bottomRight" sqref="A1:XFD1048576"/>
    </sheetView>
  </sheetViews>
  <sheetFormatPr defaultColWidth="9.140625" defaultRowHeight="13.2" outlineLevelRow="1"/>
  <cols>
    <col min="1" max="1" width="4" style="355" customWidth="1"/>
    <col min="2" max="2" width="40.7109375" style="355" customWidth="1"/>
    <col min="3" max="6" width="14.140625" style="355" customWidth="1"/>
    <col min="7" max="16384" width="9.140625" style="355"/>
  </cols>
  <sheetData>
    <row r="1" spans="1:12">
      <c r="A1" s="354"/>
      <c r="B1" s="354"/>
      <c r="C1" s="354"/>
      <c r="D1" s="354"/>
      <c r="E1" s="354"/>
      <c r="F1" s="354"/>
      <c r="G1" s="354"/>
    </row>
    <row r="2" spans="1:12" ht="15.6">
      <c r="A2" s="354"/>
      <c r="B2" s="356" t="s">
        <v>879</v>
      </c>
      <c r="C2" s="357"/>
      <c r="D2" s="358" t="s">
        <v>881</v>
      </c>
      <c r="E2" s="358" t="s">
        <v>882</v>
      </c>
      <c r="F2" s="359" t="s">
        <v>883</v>
      </c>
      <c r="G2" s="354"/>
    </row>
    <row r="3" spans="1:12" ht="15.6">
      <c r="A3" s="354"/>
      <c r="B3" s="360" t="s">
        <v>880</v>
      </c>
      <c r="C3" s="361">
        <v>2025</v>
      </c>
      <c r="D3" s="1166" t="s">
        <v>810</v>
      </c>
      <c r="E3" s="1166"/>
      <c r="F3" s="1167"/>
      <c r="G3" s="354"/>
    </row>
    <row r="4" spans="1:12" ht="15">
      <c r="A4" s="354"/>
      <c r="B4" s="362" t="s">
        <v>876</v>
      </c>
      <c r="C4" s="363">
        <f>Divisional!AX6</f>
        <v>10382</v>
      </c>
      <c r="D4" s="364">
        <f>C4*((1+D5)^3)</f>
        <v>14585.962496000004</v>
      </c>
      <c r="E4" s="363">
        <f>Divisional!BG6</f>
        <v>15243.59397138665</v>
      </c>
      <c r="F4" s="365">
        <f>C4*((1+F5)^3)</f>
        <v>16205.222271999999</v>
      </c>
      <c r="G4" s="354"/>
      <c r="L4" s="366"/>
    </row>
    <row r="5" spans="1:12" ht="15.6">
      <c r="A5" s="354"/>
      <c r="B5" s="367" t="s">
        <v>1043</v>
      </c>
      <c r="C5" s="363"/>
      <c r="D5" s="368">
        <v>0.12</v>
      </c>
      <c r="E5" s="369">
        <f>(E4/C4)^(1/3)-1</f>
        <v>0.13658551234565652</v>
      </c>
      <c r="F5" s="370">
        <v>0.16</v>
      </c>
      <c r="G5" s="354"/>
      <c r="L5" s="366"/>
    </row>
    <row r="6" spans="1:12" ht="15">
      <c r="A6" s="354"/>
      <c r="B6" s="371" t="s">
        <v>670</v>
      </c>
      <c r="C6" s="363">
        <f>Divisional!AX8</f>
        <v>4772</v>
      </c>
      <c r="D6" s="364">
        <f>C6*((1+D7)^3)</f>
        <v>5524.1865000000007</v>
      </c>
      <c r="E6" s="363">
        <f>Divisional!BG8</f>
        <v>5831.1128416195252</v>
      </c>
      <c r="F6" s="365">
        <f>C6*((1+F7)^3)</f>
        <v>6179.878388000001</v>
      </c>
      <c r="G6" s="354"/>
      <c r="L6" s="366"/>
    </row>
    <row r="7" spans="1:12" ht="15.6">
      <c r="A7" s="354"/>
      <c r="B7" s="367" t="str">
        <f>B5</f>
        <v>CAGR (2025-28)</v>
      </c>
      <c r="C7" s="363"/>
      <c r="D7" s="368">
        <v>0.05</v>
      </c>
      <c r="E7" s="369">
        <f>(E6/C6)^(1/3)-1</f>
        <v>6.9096735944179422E-2</v>
      </c>
      <c r="F7" s="370">
        <v>0.09</v>
      </c>
      <c r="G7" s="354"/>
      <c r="L7" s="366"/>
    </row>
    <row r="8" spans="1:12" ht="15">
      <c r="A8" s="354"/>
      <c r="B8" s="371" t="s">
        <v>10</v>
      </c>
      <c r="C8" s="363">
        <f>Divisional!AX10</f>
        <v>4892</v>
      </c>
      <c r="D8" s="364">
        <f>C8*((1+D9)^3)</f>
        <v>8037.7125439999991</v>
      </c>
      <c r="E8" s="363">
        <f>Divisional!BG10</f>
        <v>8461.5871348941964</v>
      </c>
      <c r="F8" s="365">
        <f>C8*((1+F9)^3)</f>
        <v>8883.1284159999996</v>
      </c>
      <c r="G8" s="354"/>
      <c r="L8" s="366"/>
    </row>
    <row r="9" spans="1:12" ht="15.6">
      <c r="A9" s="354"/>
      <c r="B9" s="367" t="str">
        <f>B7</f>
        <v>CAGR (2025-28)</v>
      </c>
      <c r="C9" s="363"/>
      <c r="D9" s="368">
        <v>0.18</v>
      </c>
      <c r="E9" s="369">
        <f>(E8/C8)^(1/3)-1</f>
        <v>0.20038841181161815</v>
      </c>
      <c r="F9" s="370">
        <v>0.22</v>
      </c>
      <c r="G9" s="354"/>
      <c r="L9" s="366"/>
    </row>
    <row r="10" spans="1:12" ht="15">
      <c r="A10" s="354"/>
      <c r="B10" s="371" t="s">
        <v>1039</v>
      </c>
      <c r="C10" s="363">
        <f>Divisional!AX12</f>
        <v>13</v>
      </c>
      <c r="D10" s="364">
        <f>C10*((1+D11)^3)</f>
        <v>0</v>
      </c>
      <c r="E10" s="363">
        <f>Divisional!BG12</f>
        <v>0</v>
      </c>
      <c r="F10" s="365">
        <f>C10*((1+F11)^3)</f>
        <v>0</v>
      </c>
      <c r="G10" s="354"/>
      <c r="L10" s="366"/>
    </row>
    <row r="11" spans="1:12" ht="15.6">
      <c r="A11" s="354"/>
      <c r="B11" s="367" t="str">
        <f>B9</f>
        <v>CAGR (2025-28)</v>
      </c>
      <c r="C11" s="363"/>
      <c r="D11" s="368">
        <v>-1</v>
      </c>
      <c r="E11" s="369">
        <f>(E10/C10)^(1/3)-1</f>
        <v>-1</v>
      </c>
      <c r="F11" s="370">
        <v>-1</v>
      </c>
      <c r="G11" s="354"/>
      <c r="L11" s="366"/>
    </row>
    <row r="12" spans="1:12" ht="15" hidden="1" outlineLevel="1">
      <c r="A12" s="354"/>
      <c r="B12" s="371" t="s">
        <v>247</v>
      </c>
      <c r="C12" s="363">
        <f>Divisional!AX20+Divisional!AX22</f>
        <v>0</v>
      </c>
      <c r="D12" s="364">
        <f>E12</f>
        <v>0</v>
      </c>
      <c r="E12" s="363">
        <f>Divisional!BG20+Divisional!BG22</f>
        <v>0</v>
      </c>
      <c r="F12" s="365">
        <f>E12</f>
        <v>0</v>
      </c>
      <c r="G12" s="354"/>
      <c r="L12" s="366"/>
    </row>
    <row r="13" spans="1:12" ht="15.6" hidden="1" outlineLevel="1">
      <c r="A13" s="354"/>
      <c r="B13" s="372" t="str">
        <f>B11</f>
        <v>CAGR (2025-28)</v>
      </c>
      <c r="C13" s="373"/>
      <c r="D13" s="476" t="e">
        <f>(D12/C12)^(1/4)-1</f>
        <v>#DIV/0!</v>
      </c>
      <c r="E13" s="477" t="e">
        <f>(E12/C12)^(1/4)-1</f>
        <v>#DIV/0!</v>
      </c>
      <c r="F13" s="478" t="e">
        <f>(F12/C12)^(1/4)-1</f>
        <v>#DIV/0!</v>
      </c>
      <c r="G13" s="354"/>
      <c r="L13" s="366"/>
    </row>
    <row r="14" spans="1:12" s="379" customFormat="1" ht="15.6" collapsed="1">
      <c r="A14" s="374"/>
      <c r="B14" s="375" t="s">
        <v>884</v>
      </c>
      <c r="C14" s="376">
        <f>C4+C6+C8+C10+C12</f>
        <v>20059</v>
      </c>
      <c r="D14" s="377">
        <f>D4+D6+D8+D10+D12</f>
        <v>28147.861540000002</v>
      </c>
      <c r="E14" s="376">
        <f>E4+E6+E8+E10+E12</f>
        <v>29536.293947900369</v>
      </c>
      <c r="F14" s="378">
        <f>F4+F6+F8+F10+F12</f>
        <v>31268.229076</v>
      </c>
      <c r="G14" s="374"/>
      <c r="L14" s="380"/>
    </row>
    <row r="15" spans="1:12" s="379" customFormat="1" ht="15.6">
      <c r="A15" s="374"/>
      <c r="B15" s="367" t="str">
        <f>B13</f>
        <v>CAGR (2025-28)</v>
      </c>
      <c r="C15" s="472"/>
      <c r="D15" s="473">
        <f>(D14/C14)^(1/3)-1</f>
        <v>0.11955485052971193</v>
      </c>
      <c r="E15" s="369">
        <f>(E14/C14)^(1/3)-1</f>
        <v>0.13766808338471215</v>
      </c>
      <c r="F15" s="474">
        <f>(F14/C14)^(1/3)-1</f>
        <v>0.15948375650838931</v>
      </c>
      <c r="G15" s="374"/>
      <c r="L15" s="380"/>
    </row>
    <row r="16" spans="1:12" ht="15">
      <c r="A16" s="354"/>
      <c r="B16" s="371"/>
      <c r="C16" s="381"/>
      <c r="D16" s="382"/>
      <c r="E16" s="381"/>
      <c r="F16" s="383"/>
      <c r="G16" s="354"/>
    </row>
    <row r="17" spans="1:12" ht="15">
      <c r="A17" s="354"/>
      <c r="B17" s="362" t="s">
        <v>876</v>
      </c>
      <c r="C17" s="381">
        <f>Divisional!AX53</f>
        <v>2130</v>
      </c>
      <c r="D17" s="382">
        <f>D4*D18</f>
        <v>3063.0521241600009</v>
      </c>
      <c r="E17" s="381">
        <f>Divisional!BG53</f>
        <v>3662.2433520535446</v>
      </c>
      <c r="F17" s="383">
        <f>F4*F18</f>
        <v>4213.3577907199997</v>
      </c>
      <c r="L17" s="384"/>
    </row>
    <row r="18" spans="1:12" ht="15">
      <c r="A18" s="354"/>
      <c r="B18" s="386" t="s">
        <v>512</v>
      </c>
      <c r="C18" s="387">
        <f>C17/C4</f>
        <v>0.20516278173762281</v>
      </c>
      <c r="D18" s="388">
        <v>0.21</v>
      </c>
      <c r="E18" s="387">
        <f>E17/E4</f>
        <v>0.24024802542811396</v>
      </c>
      <c r="F18" s="389">
        <v>0.26</v>
      </c>
      <c r="L18" s="384"/>
    </row>
    <row r="19" spans="1:12" ht="15">
      <c r="A19" s="354"/>
      <c r="B19" s="362" t="s">
        <v>670</v>
      </c>
      <c r="C19" s="381">
        <f>Divisional!AX55</f>
        <v>689</v>
      </c>
      <c r="D19" s="382">
        <f>D6*D20</f>
        <v>883.86984000000018</v>
      </c>
      <c r="E19" s="381">
        <f>Divisional!BG55</f>
        <v>1109.9114399077098</v>
      </c>
      <c r="F19" s="383">
        <f>F6*F20</f>
        <v>1235.9756776000004</v>
      </c>
      <c r="L19" s="384"/>
    </row>
    <row r="20" spans="1:12" s="391" customFormat="1" ht="15">
      <c r="A20" s="385"/>
      <c r="B20" s="386" t="s">
        <v>512</v>
      </c>
      <c r="C20" s="387">
        <f>C19/C6</f>
        <v>0.14438390611902766</v>
      </c>
      <c r="D20" s="388">
        <v>0.16</v>
      </c>
      <c r="E20" s="387">
        <f>E19/E6</f>
        <v>0.19034298770308902</v>
      </c>
      <c r="F20" s="389">
        <v>0.2</v>
      </c>
      <c r="G20" s="390"/>
    </row>
    <row r="21" spans="1:12" ht="15">
      <c r="A21" s="354"/>
      <c r="B21" s="362" t="s">
        <v>10</v>
      </c>
      <c r="C21" s="381">
        <f>Divisional!AX57</f>
        <v>852</v>
      </c>
      <c r="D21" s="382">
        <f>D8*D22</f>
        <v>1567.3539460799998</v>
      </c>
      <c r="E21" s="381">
        <f>Divisional!BG57</f>
        <v>1915.8571053511937</v>
      </c>
      <c r="F21" s="383">
        <f>F8*F22</f>
        <v>2176.3664619199999</v>
      </c>
    </row>
    <row r="22" spans="1:12" s="391" customFormat="1" ht="15">
      <c r="A22" s="385"/>
      <c r="B22" s="386" t="s">
        <v>512</v>
      </c>
      <c r="C22" s="387">
        <f>C21/C8</f>
        <v>0.17416189697465248</v>
      </c>
      <c r="D22" s="388">
        <v>0.19500000000000001</v>
      </c>
      <c r="E22" s="387">
        <f>E21/E8</f>
        <v>0.22641817366041336</v>
      </c>
      <c r="F22" s="389">
        <v>0.245</v>
      </c>
      <c r="G22" s="390"/>
    </row>
    <row r="23" spans="1:12" ht="15">
      <c r="A23" s="354"/>
      <c r="B23" s="362" t="s">
        <v>1039</v>
      </c>
      <c r="C23" s="381">
        <f>Divisional!AX59</f>
        <v>-140</v>
      </c>
      <c r="D23" s="1094">
        <v>-110</v>
      </c>
      <c r="E23" s="381">
        <f>Divisional!BG59</f>
        <v>-60</v>
      </c>
      <c r="F23" s="1093">
        <v>-10</v>
      </c>
    </row>
    <row r="24" spans="1:12" s="391" customFormat="1" ht="15">
      <c r="A24" s="385"/>
      <c r="B24" s="386" t="s">
        <v>512</v>
      </c>
      <c r="C24" s="387" t="s">
        <v>906</v>
      </c>
      <c r="D24" s="1096" t="s">
        <v>906</v>
      </c>
      <c r="E24" s="387" t="s">
        <v>906</v>
      </c>
      <c r="F24" s="1095" t="s">
        <v>906</v>
      </c>
      <c r="G24" s="390"/>
    </row>
    <row r="25" spans="1:12" s="391" customFormat="1" ht="15" hidden="1" outlineLevel="1">
      <c r="A25" s="385"/>
      <c r="B25" s="362" t="s">
        <v>247</v>
      </c>
      <c r="C25" s="381">
        <f>Divisional!AX67+Divisional!AX69</f>
        <v>-69</v>
      </c>
      <c r="D25" s="382">
        <f>E25</f>
        <v>-101.60049266688895</v>
      </c>
      <c r="E25" s="381">
        <f>Divisional!BG67+Divisional!BG69</f>
        <v>-101.60049266688895</v>
      </c>
      <c r="F25" s="383">
        <f>E25</f>
        <v>-101.60049266688895</v>
      </c>
      <c r="G25" s="390"/>
    </row>
    <row r="26" spans="1:12" s="391" customFormat="1" ht="15" hidden="1" outlineLevel="1">
      <c r="A26" s="385"/>
      <c r="B26" s="392" t="s">
        <v>512</v>
      </c>
      <c r="C26" s="393" t="e">
        <f>C25/C12</f>
        <v>#DIV/0!</v>
      </c>
      <c r="D26" s="479" t="e">
        <f>D25/D12</f>
        <v>#DIV/0!</v>
      </c>
      <c r="E26" s="393" t="e">
        <f>E25/E12</f>
        <v>#DIV/0!</v>
      </c>
      <c r="F26" s="480" t="e">
        <f>F25/F12</f>
        <v>#DIV/0!</v>
      </c>
      <c r="G26" s="390"/>
    </row>
    <row r="27" spans="1:12" ht="15.6" collapsed="1">
      <c r="A27" s="354"/>
      <c r="B27" s="375" t="s">
        <v>885</v>
      </c>
      <c r="C27" s="376">
        <f>C17+C19+C21+C23+C25</f>
        <v>3462</v>
      </c>
      <c r="D27" s="377">
        <f>D17+D19+D21+D23+D25</f>
        <v>5302.6754175731121</v>
      </c>
      <c r="E27" s="376">
        <f>E17+E19+E21+E23+E25</f>
        <v>6526.4114046455588</v>
      </c>
      <c r="F27" s="378">
        <f>F17+F19+F21+F23+F25</f>
        <v>7514.0994375731107</v>
      </c>
      <c r="L27" s="384"/>
    </row>
    <row r="28" spans="1:12" s="391" customFormat="1" ht="15">
      <c r="A28" s="385"/>
      <c r="B28" s="394" t="s">
        <v>512</v>
      </c>
      <c r="C28" s="387">
        <f>C27/C14</f>
        <v>0.1725908569719328</v>
      </c>
      <c r="D28" s="395">
        <f>D27/D14</f>
        <v>0.18838643958929718</v>
      </c>
      <c r="E28" s="387">
        <f>E27/E14</f>
        <v>0.22096243408728328</v>
      </c>
      <c r="F28" s="396">
        <f>F27/F14</f>
        <v>0.24031100128214727</v>
      </c>
      <c r="G28" s="481"/>
      <c r="H28" s="481"/>
      <c r="I28" s="481"/>
    </row>
    <row r="29" spans="1:12" s="391" customFormat="1" ht="15">
      <c r="A29" s="385"/>
      <c r="B29" s="394"/>
      <c r="C29" s="387"/>
      <c r="D29" s="395"/>
      <c r="E29" s="387"/>
      <c r="F29" s="396"/>
      <c r="G29" s="390"/>
    </row>
    <row r="30" spans="1:12" s="391" customFormat="1" ht="15.6">
      <c r="A30" s="385"/>
      <c r="B30" s="397" t="s">
        <v>886</v>
      </c>
      <c r="C30" s="387"/>
      <c r="D30" s="395"/>
      <c r="E30" s="387"/>
      <c r="F30" s="396"/>
      <c r="G30" s="390"/>
    </row>
    <row r="31" spans="1:12" s="391" customFormat="1" ht="15">
      <c r="A31" s="385"/>
      <c r="B31" s="394" t="s">
        <v>878</v>
      </c>
      <c r="C31" s="387"/>
      <c r="D31" s="382">
        <f>D27*D32</f>
        <v>95448.157516316016</v>
      </c>
      <c r="E31" s="381">
        <v>162931.26326825924</v>
      </c>
      <c r="F31" s="383">
        <f>F27*F32</f>
        <v>210394.7842520471</v>
      </c>
      <c r="G31" s="390"/>
    </row>
    <row r="32" spans="1:12" s="391" customFormat="1" ht="15">
      <c r="A32" s="385"/>
      <c r="B32" s="394" t="s">
        <v>343</v>
      </c>
      <c r="C32" s="387"/>
      <c r="D32" s="398">
        <v>18</v>
      </c>
      <c r="E32" s="399">
        <f>E31/(E27-E25)</f>
        <v>24.582222511448002</v>
      </c>
      <c r="F32" s="400">
        <v>28</v>
      </c>
      <c r="G32" s="390"/>
    </row>
    <row r="33" spans="1:11" s="391" customFormat="1" ht="15">
      <c r="A33" s="385"/>
      <c r="B33" s="401" t="s">
        <v>887</v>
      </c>
      <c r="C33" s="387"/>
      <c r="D33" s="382">
        <f>E33</f>
        <v>3064</v>
      </c>
      <c r="E33" s="381">
        <v>3064</v>
      </c>
      <c r="F33" s="383">
        <f>E33</f>
        <v>3064</v>
      </c>
      <c r="G33" s="390"/>
    </row>
    <row r="34" spans="1:11" s="391" customFormat="1" ht="15.6">
      <c r="A34" s="385"/>
      <c r="B34" s="402" t="s">
        <v>888</v>
      </c>
      <c r="C34" s="403"/>
      <c r="D34" s="404">
        <f>D31+D33</f>
        <v>98512.157516316016</v>
      </c>
      <c r="E34" s="405">
        <f>E31+E33</f>
        <v>165995.26326825924</v>
      </c>
      <c r="F34" s="406">
        <f>F31+F33</f>
        <v>213458.7842520471</v>
      </c>
      <c r="G34" s="390"/>
    </row>
    <row r="35" spans="1:11" s="391" customFormat="1" ht="15.6">
      <c r="A35" s="385"/>
      <c r="B35" s="407" t="s">
        <v>889</v>
      </c>
      <c r="C35" s="408"/>
      <c r="D35" s="409">
        <f>D34/D42*100</f>
        <v>1204.8225990027333</v>
      </c>
      <c r="E35" s="410">
        <f>E34/E42*100</f>
        <v>2030.1539379023654</v>
      </c>
      <c r="F35" s="411">
        <f>F34/F42*100</f>
        <v>2610.6419116840461</v>
      </c>
      <c r="G35" s="390"/>
    </row>
    <row r="36" spans="1:11" s="391" customFormat="1" ht="15.6">
      <c r="A36" s="385"/>
      <c r="B36" s="412"/>
      <c r="C36" s="387"/>
      <c r="D36" s="413"/>
      <c r="E36" s="414"/>
      <c r="F36" s="415"/>
      <c r="G36" s="390"/>
    </row>
    <row r="37" spans="1:11" ht="15">
      <c r="A37" s="354"/>
      <c r="B37" s="362" t="s">
        <v>890</v>
      </c>
      <c r="C37" s="381">
        <f>C38-C27</f>
        <v>-110</v>
      </c>
      <c r="D37" s="382">
        <f>E37</f>
        <v>-5.6193306691820908</v>
      </c>
      <c r="E37" s="381">
        <f>E38-E27</f>
        <v>-5.6193306691820908</v>
      </c>
      <c r="F37" s="383">
        <f>E37</f>
        <v>-5.6193306691820908</v>
      </c>
    </row>
    <row r="38" spans="1:11" ht="15.6">
      <c r="A38" s="354"/>
      <c r="B38" s="416" t="s">
        <v>891</v>
      </c>
      <c r="C38" s="414">
        <f>IS!AX33</f>
        <v>3352</v>
      </c>
      <c r="D38" s="413">
        <f>D27+D37</f>
        <v>5297.05608690393</v>
      </c>
      <c r="E38" s="414">
        <f>IS!BG33</f>
        <v>6520.7920739763767</v>
      </c>
      <c r="F38" s="415">
        <f>F27+F37</f>
        <v>7508.4801069039286</v>
      </c>
    </row>
    <row r="39" spans="1:11" ht="15">
      <c r="A39" s="354"/>
      <c r="B39" s="362" t="s">
        <v>892</v>
      </c>
      <c r="C39" s="381">
        <f>C41-C38</f>
        <v>-865</v>
      </c>
      <c r="D39" s="382">
        <f>-D38*D40</f>
        <v>-1377.2345825950219</v>
      </c>
      <c r="E39" s="381">
        <f>E41-E38</f>
        <v>-1630.198018494094</v>
      </c>
      <c r="F39" s="383">
        <f>-F38*F40</f>
        <v>-1802.0352256569429</v>
      </c>
    </row>
    <row r="40" spans="1:11" ht="15">
      <c r="A40" s="354"/>
      <c r="B40" s="362" t="s">
        <v>893</v>
      </c>
      <c r="C40" s="387">
        <f>-C39/C38</f>
        <v>0.258054892601432</v>
      </c>
      <c r="D40" s="388">
        <v>0.26</v>
      </c>
      <c r="E40" s="387">
        <f>-E39/E38</f>
        <v>0.24999999999999997</v>
      </c>
      <c r="F40" s="389">
        <v>0.24</v>
      </c>
    </row>
    <row r="41" spans="1:11" ht="15.6">
      <c r="A41" s="354"/>
      <c r="B41" s="416" t="s">
        <v>894</v>
      </c>
      <c r="C41" s="414">
        <f>IS!AX43</f>
        <v>2487</v>
      </c>
      <c r="D41" s="413">
        <f>D38+D39</f>
        <v>3919.8215043089081</v>
      </c>
      <c r="E41" s="414">
        <f>IS!BG43</f>
        <v>4890.5940554822828</v>
      </c>
      <c r="F41" s="415">
        <f>F38+F39</f>
        <v>5706.4448812469855</v>
      </c>
    </row>
    <row r="42" spans="1:11" ht="15">
      <c r="A42" s="354"/>
      <c r="B42" s="362" t="s">
        <v>895</v>
      </c>
      <c r="C42" s="381">
        <f>IS!AX62</f>
        <v>8448</v>
      </c>
      <c r="D42" s="382">
        <f>E42</f>
        <v>8176.4865298723134</v>
      </c>
      <c r="E42" s="381">
        <f>IS!BA60</f>
        <v>8176.4865298723134</v>
      </c>
      <c r="F42" s="383">
        <f>E42</f>
        <v>8176.4865298723134</v>
      </c>
    </row>
    <row r="43" spans="1:11" ht="15.6">
      <c r="A43" s="354"/>
      <c r="B43" s="416" t="s">
        <v>896</v>
      </c>
      <c r="C43" s="417">
        <f>C41/C42*100</f>
        <v>29.438920454545453</v>
      </c>
      <c r="D43" s="418">
        <f>D41/D42*100</f>
        <v>47.940169533552954</v>
      </c>
      <c r="E43" s="417">
        <f>E41/E42*100</f>
        <v>59.812904205428389</v>
      </c>
      <c r="F43" s="419">
        <f>F41/F42*100</f>
        <v>69.790916433346084</v>
      </c>
      <c r="H43" s="417"/>
      <c r="K43" s="420"/>
    </row>
    <row r="44" spans="1:11" ht="15">
      <c r="A44" s="354"/>
      <c r="B44" s="421" t="s">
        <v>897</v>
      </c>
      <c r="C44" s="422"/>
      <c r="D44" s="423">
        <v>22</v>
      </c>
      <c r="E44" s="424">
        <f>E45/E43</f>
        <v>30.495044774553261</v>
      </c>
      <c r="F44" s="425">
        <v>35</v>
      </c>
      <c r="G44" s="354"/>
    </row>
    <row r="45" spans="1:11" ht="15.6">
      <c r="A45" s="354"/>
      <c r="B45" s="407" t="s">
        <v>898</v>
      </c>
      <c r="C45" s="426"/>
      <c r="D45" s="376">
        <f>D43*D44</f>
        <v>1054.6837297381651</v>
      </c>
      <c r="E45" s="376">
        <v>1823.9971918406038</v>
      </c>
      <c r="F45" s="378">
        <f>F43*F44</f>
        <v>2442.682075167113</v>
      </c>
      <c r="G45" s="354"/>
    </row>
    <row r="46" spans="1:11" ht="15.6">
      <c r="A46" s="354"/>
      <c r="B46" s="375" t="s">
        <v>928</v>
      </c>
      <c r="C46" s="475"/>
      <c r="D46" s="376">
        <f>AVERAGE(D35,D45)</f>
        <v>1129.7531643704492</v>
      </c>
      <c r="E46" s="376">
        <f>AVERAGE(E35,E45)</f>
        <v>1927.0755648714846</v>
      </c>
      <c r="F46" s="378">
        <f>AVERAGE(F35,F45)</f>
        <v>2526.6619934255796</v>
      </c>
      <c r="G46" s="354"/>
    </row>
    <row r="47" spans="1:11" ht="15.6">
      <c r="A47" s="354"/>
      <c r="B47" s="375" t="s">
        <v>927</v>
      </c>
      <c r="C47" s="475"/>
      <c r="D47" s="524">
        <v>1528.275805138951</v>
      </c>
      <c r="E47" s="376">
        <v>2072.8018697620892</v>
      </c>
      <c r="F47" s="378">
        <v>2995.5576730519269</v>
      </c>
      <c r="G47" s="354"/>
    </row>
    <row r="48" spans="1:11" ht="15.6">
      <c r="A48" s="354"/>
      <c r="B48" s="427" t="s">
        <v>899</v>
      </c>
      <c r="C48" s="428"/>
      <c r="D48" s="429">
        <f>AVERAGE(D46:D47)</f>
        <v>1329.0144847547001</v>
      </c>
      <c r="E48" s="429">
        <f>AVERAGE(E46:E47)</f>
        <v>1999.938717316787</v>
      </c>
      <c r="F48" s="430">
        <f>AVERAGE(F46:F47)</f>
        <v>2761.1098332387533</v>
      </c>
      <c r="G48" s="354"/>
      <c r="I48" s="999" t="b">
        <v>1</v>
      </c>
    </row>
    <row r="49" spans="1:7">
      <c r="A49" s="354"/>
      <c r="B49" s="354"/>
      <c r="C49" s="354"/>
      <c r="D49" s="523"/>
      <c r="E49" s="523"/>
      <c r="F49" s="523"/>
      <c r="G49" s="354"/>
    </row>
    <row r="50" spans="1:7">
      <c r="A50" s="354"/>
      <c r="B50" s="354"/>
      <c r="C50" s="354"/>
      <c r="D50" s="354"/>
      <c r="E50" s="354"/>
      <c r="F50" s="354"/>
      <c r="G50" s="354"/>
    </row>
    <row r="51" spans="1:7">
      <c r="A51" s="354"/>
      <c r="G51" s="354"/>
    </row>
    <row r="52" spans="1:7">
      <c r="A52" s="354"/>
      <c r="B52" s="354"/>
      <c r="C52" s="354"/>
      <c r="D52" s="354"/>
      <c r="E52" s="1097"/>
      <c r="F52" s="354"/>
      <c r="G52" s="354"/>
    </row>
  </sheetData>
  <mergeCells count="1">
    <mergeCell ref="D3:F3"/>
  </mergeCells>
  <conditionalFormatting sqref="G28">
    <cfRule type="cellIs" dxfId="8" priority="7" operator="between">
      <formula>-0.01</formula>
      <formula>0.01</formula>
    </cfRule>
    <cfRule type="cellIs" dxfId="7" priority="8" operator="lessThanOrEqual">
      <formula>0.01</formula>
    </cfRule>
    <cfRule type="cellIs" dxfId="6" priority="9" operator="greaterThanOrEqual">
      <formula>0.01</formula>
    </cfRule>
  </conditionalFormatting>
  <conditionalFormatting sqref="H28">
    <cfRule type="cellIs" dxfId="5" priority="4" operator="between">
      <formula>-0.01</formula>
      <formula>0.01</formula>
    </cfRule>
    <cfRule type="cellIs" dxfId="4" priority="5" operator="lessThanOrEqual">
      <formula>0.01</formula>
    </cfRule>
    <cfRule type="cellIs" dxfId="3" priority="6" operator="greaterThanOrEqual">
      <formula>0.01</formula>
    </cfRule>
  </conditionalFormatting>
  <conditionalFormatting sqref="I28">
    <cfRule type="cellIs" dxfId="2" priority="1" operator="between">
      <formula>-0.01</formula>
      <formula>0.01</formula>
    </cfRule>
    <cfRule type="cellIs" dxfId="1" priority="2" operator="lessThanOrEqual">
      <formula>0.01</formula>
    </cfRule>
    <cfRule type="cellIs" dxfId="0" priority="3" operator="greaterThanOrEqual">
      <formula>0.01</formula>
    </cfRule>
  </conditionalFormatting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B09DB-639F-457E-AA9C-4740DCF8D7D6}">
  <dimension ref="A1:B44"/>
  <sheetViews>
    <sheetView workbookViewId="0"/>
  </sheetViews>
  <sheetFormatPr defaultRowHeight="10.199999999999999"/>
  <cols>
    <col min="1" max="1" width="29.140625" customWidth="1"/>
  </cols>
  <sheetData>
    <row r="1" spans="1:2" ht="13.2">
      <c r="A1" s="1156" t="s">
        <v>1402</v>
      </c>
      <c r="B1" s="1164" t="s">
        <v>1403</v>
      </c>
    </row>
    <row r="2" spans="1:2" ht="13.2">
      <c r="A2" s="1156" t="s">
        <v>1404</v>
      </c>
      <c r="B2" s="1156" t="s">
        <v>1405</v>
      </c>
    </row>
    <row r="3" spans="1:2" ht="13.2">
      <c r="A3" s="1156" t="s">
        <v>1406</v>
      </c>
      <c r="B3" s="1156" t="s">
        <v>1407</v>
      </c>
    </row>
    <row r="4" spans="1:2" ht="13.2">
      <c r="A4" s="1156" t="s">
        <v>1408</v>
      </c>
      <c r="B4" s="1156" t="s">
        <v>1409</v>
      </c>
    </row>
    <row r="5" spans="1:2" ht="13.2">
      <c r="A5" s="1156" t="s">
        <v>1410</v>
      </c>
      <c r="B5" s="1156" t="s">
        <v>1411</v>
      </c>
    </row>
    <row r="6" spans="1:2" ht="13.2">
      <c r="A6" s="1156" t="s">
        <v>1412</v>
      </c>
      <c r="B6" s="1156"/>
    </row>
    <row r="7" spans="1:2" ht="13.2">
      <c r="A7" s="1156" t="s">
        <v>1413</v>
      </c>
      <c r="B7" s="1156" t="s">
        <v>1</v>
      </c>
    </row>
    <row r="8" spans="1:2" ht="13.2">
      <c r="A8" s="1156" t="s">
        <v>1414</v>
      </c>
      <c r="B8" s="1156" t="s">
        <v>1415</v>
      </c>
    </row>
    <row r="9" spans="1:2" ht="13.2">
      <c r="A9" s="1156" t="s">
        <v>1416</v>
      </c>
      <c r="B9" s="1156" t="s">
        <v>1417</v>
      </c>
    </row>
    <row r="10" spans="1:2" ht="13.2">
      <c r="A10" s="1156" t="s">
        <v>1418</v>
      </c>
      <c r="B10" s="1156"/>
    </row>
    <row r="11" spans="1:2" ht="13.2">
      <c r="A11" s="1156" t="s">
        <v>1419</v>
      </c>
      <c r="B11" s="1156"/>
    </row>
    <row r="12" spans="1:2" ht="13.2">
      <c r="A12" s="1156" t="s">
        <v>1420</v>
      </c>
      <c r="B12" s="1156"/>
    </row>
    <row r="13" spans="1:2" ht="13.2">
      <c r="A13" s="1156" t="s">
        <v>1421</v>
      </c>
      <c r="B13" s="1156"/>
    </row>
    <row r="14" spans="1:2" ht="13.2">
      <c r="A14" s="1156" t="s">
        <v>1422</v>
      </c>
      <c r="B14" s="1156"/>
    </row>
    <row r="15" spans="1:2" ht="13.2">
      <c r="A15" s="1156" t="s">
        <v>1423</v>
      </c>
      <c r="B15" s="1156"/>
    </row>
    <row r="16" spans="1:2" ht="13.2">
      <c r="A16" s="1156" t="s">
        <v>1424</v>
      </c>
      <c r="B16" s="1156"/>
    </row>
    <row r="17" spans="1:2" ht="13.2">
      <c r="A17" s="1156" t="s">
        <v>1425</v>
      </c>
      <c r="B17" s="1156" t="s">
        <v>1426</v>
      </c>
    </row>
    <row r="18" spans="1:2" ht="13.2">
      <c r="A18" s="1156" t="s">
        <v>1427</v>
      </c>
      <c r="B18" s="1156" t="s">
        <v>1428</v>
      </c>
    </row>
    <row r="19" spans="1:2" ht="13.2">
      <c r="A19" s="1156" t="s">
        <v>1429</v>
      </c>
      <c r="B19" s="1156" t="s">
        <v>665</v>
      </c>
    </row>
    <row r="20" spans="1:2" ht="13.2">
      <c r="A20" s="1156" t="s">
        <v>1430</v>
      </c>
      <c r="B20" s="1156" t="s">
        <v>1431</v>
      </c>
    </row>
    <row r="21" spans="1:2" ht="13.2">
      <c r="A21" s="1156" t="s">
        <v>1432</v>
      </c>
      <c r="B21" s="1156" t="s">
        <v>665</v>
      </c>
    </row>
    <row r="22" spans="1:2" ht="13.2">
      <c r="A22" s="1156" t="s">
        <v>1433</v>
      </c>
      <c r="B22" s="1156" t="s">
        <v>698</v>
      </c>
    </row>
    <row r="23" spans="1:2" ht="13.2">
      <c r="A23" s="1156" t="s">
        <v>1434</v>
      </c>
      <c r="B23" s="1164" t="s">
        <v>1435</v>
      </c>
    </row>
    <row r="24" spans="1:2" ht="13.2">
      <c r="A24" s="1156" t="s">
        <v>877</v>
      </c>
      <c r="B24" s="1156" t="s">
        <v>666</v>
      </c>
    </row>
    <row r="25" spans="1:2" ht="13.2">
      <c r="A25" s="1156" t="s">
        <v>1436</v>
      </c>
      <c r="B25" s="1156" t="s">
        <v>1437</v>
      </c>
    </row>
    <row r="26" spans="1:2" ht="13.2">
      <c r="A26" s="1156" t="s">
        <v>1438</v>
      </c>
      <c r="B26" s="1156" t="s">
        <v>1439</v>
      </c>
    </row>
    <row r="27" spans="1:2" ht="13.2">
      <c r="A27" s="1156" t="s">
        <v>1440</v>
      </c>
      <c r="B27" s="1156" t="s">
        <v>1441</v>
      </c>
    </row>
    <row r="28" spans="1:2" ht="13.2">
      <c r="A28" s="1156" t="s">
        <v>1442</v>
      </c>
      <c r="B28" s="1156" t="s">
        <v>1443</v>
      </c>
    </row>
    <row r="29" spans="1:2" ht="13.2">
      <c r="A29" s="1156" t="s">
        <v>1444</v>
      </c>
      <c r="B29" s="1156"/>
    </row>
    <row r="30" spans="1:2" ht="13.2">
      <c r="A30" s="1156" t="s">
        <v>1445</v>
      </c>
      <c r="B30" s="1156"/>
    </row>
    <row r="31" spans="1:2" ht="13.2">
      <c r="A31" s="1156" t="s">
        <v>1446</v>
      </c>
      <c r="B31" s="1156"/>
    </row>
    <row r="32" spans="1:2" ht="13.2">
      <c r="A32" s="1156" t="s">
        <v>1447</v>
      </c>
      <c r="B32" s="1156"/>
    </row>
    <row r="33" spans="1:2" ht="13.2">
      <c r="A33" s="1156" t="s">
        <v>1448</v>
      </c>
      <c r="B33" s="1156"/>
    </row>
    <row r="34" spans="1:2" ht="13.2">
      <c r="A34" s="1156" t="s">
        <v>1449</v>
      </c>
      <c r="B34" s="1156"/>
    </row>
    <row r="35" spans="1:2" ht="13.2">
      <c r="A35" s="1156" t="s">
        <v>1450</v>
      </c>
      <c r="B35" s="1156" t="s">
        <v>1451</v>
      </c>
    </row>
    <row r="36" spans="1:2" ht="13.2">
      <c r="A36" s="1156" t="s">
        <v>1452</v>
      </c>
      <c r="B36" s="1156" t="s">
        <v>784</v>
      </c>
    </row>
    <row r="37" spans="1:2" ht="13.2">
      <c r="A37" s="1156" t="s">
        <v>1453</v>
      </c>
      <c r="B37" s="1156" t="s">
        <v>1454</v>
      </c>
    </row>
    <row r="38" spans="1:2" ht="13.2">
      <c r="A38" s="1156" t="s">
        <v>1455</v>
      </c>
      <c r="B38" s="1156" t="s">
        <v>1456</v>
      </c>
    </row>
    <row r="39" spans="1:2" ht="13.2">
      <c r="A39" s="1156" t="s">
        <v>1457</v>
      </c>
      <c r="B39" s="1156" t="s">
        <v>1458</v>
      </c>
    </row>
    <row r="40" spans="1:2" ht="13.2">
      <c r="A40" s="1156" t="s">
        <v>1459</v>
      </c>
      <c r="B40" s="1156" t="s">
        <v>1460</v>
      </c>
    </row>
    <row r="41" spans="1:2" ht="13.2">
      <c r="A41" s="1156" t="s">
        <v>1461</v>
      </c>
      <c r="B41" s="1156" t="s">
        <v>1462</v>
      </c>
    </row>
    <row r="42" spans="1:2" ht="13.2">
      <c r="A42" s="1156" t="s">
        <v>1463</v>
      </c>
      <c r="B42" s="1156"/>
    </row>
    <row r="43" spans="1:2" ht="13.2">
      <c r="A43" s="1156" t="s">
        <v>1464</v>
      </c>
      <c r="B43" s="1156"/>
    </row>
    <row r="44" spans="1:2" ht="13.2">
      <c r="A44" s="1156" t="s">
        <v>1465</v>
      </c>
      <c r="B44" s="1156" t="s">
        <v>1466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67F38E-3335-427E-9AD4-0A26BFF69686}">
  <dimension ref="A1:A13"/>
  <sheetViews>
    <sheetView workbookViewId="0">
      <selection activeCell="Z1" sqref="Z1"/>
    </sheetView>
  </sheetViews>
  <sheetFormatPr defaultRowHeight="10.199999999999999"/>
  <cols>
    <col min="1" max="1" width="28.28515625" bestFit="1" customWidth="1"/>
  </cols>
  <sheetData>
    <row r="1" spans="1:1" ht="13.2">
      <c r="A1" s="1156" t="s">
        <v>1467</v>
      </c>
    </row>
    <row r="2" spans="1:1" ht="13.2">
      <c r="A2" s="1156" t="s">
        <v>1468</v>
      </c>
    </row>
    <row r="3" spans="1:1" ht="13.2">
      <c r="A3" s="1156" t="s">
        <v>1469</v>
      </c>
    </row>
    <row r="4" spans="1:1" ht="13.2">
      <c r="A4" s="1156" t="s">
        <v>1470</v>
      </c>
    </row>
    <row r="5" spans="1:1" ht="13.2">
      <c r="A5" s="1156" t="s">
        <v>1471</v>
      </c>
    </row>
    <row r="6" spans="1:1" ht="13.2">
      <c r="A6" s="1156" t="s">
        <v>1472</v>
      </c>
    </row>
    <row r="7" spans="1:1" ht="13.2">
      <c r="A7" s="1156" t="s">
        <v>1473</v>
      </c>
    </row>
    <row r="8" spans="1:1" ht="13.2">
      <c r="A8" s="1156" t="s">
        <v>1474</v>
      </c>
    </row>
    <row r="9" spans="1:1" ht="13.2">
      <c r="A9" s="1156" t="s">
        <v>1475</v>
      </c>
    </row>
    <row r="10" spans="1:1" ht="13.2">
      <c r="A10" s="1156" t="s">
        <v>1476</v>
      </c>
    </row>
    <row r="11" spans="1:1" ht="13.2">
      <c r="A11" s="1156" t="s">
        <v>1477</v>
      </c>
    </row>
    <row r="12" spans="1:1" ht="13.2">
      <c r="A12" s="1156" t="s">
        <v>1478</v>
      </c>
    </row>
    <row r="13" spans="1:1" ht="13.2">
      <c r="A13" s="1156" t="s">
        <v>1479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8</vt:i4>
      </vt:variant>
    </vt:vector>
  </HeadingPairs>
  <TitlesOfParts>
    <vt:vector size="23" baseType="lpstr">
      <vt:lpstr>ImportantDisclosures</vt:lpstr>
      <vt:lpstr>Valuation Summary</vt:lpstr>
      <vt:lpstr>Divisional</vt:lpstr>
      <vt:lpstr>IS</vt:lpstr>
      <vt:lpstr>CFS</vt:lpstr>
      <vt:lpstr>BS</vt:lpstr>
      <vt:lpstr>Civil</vt:lpstr>
      <vt:lpstr>Civil OE</vt:lpstr>
      <vt:lpstr>Civil AM</vt:lpstr>
      <vt:lpstr>Civil AM bridge</vt:lpstr>
      <vt:lpstr>Defence</vt:lpstr>
      <vt:lpstr>Power Systems</vt:lpstr>
      <vt:lpstr>Bull Bear Base</vt:lpstr>
      <vt:lpstr>IndexInformation</vt:lpstr>
      <vt:lpstr>ModPubIndex</vt:lpstr>
      <vt:lpstr>Linking_Range_1</vt:lpstr>
      <vt:lpstr>BS!Print_Area</vt:lpstr>
      <vt:lpstr>CFS!Print_Area</vt:lpstr>
      <vt:lpstr>Civil!Print_Area</vt:lpstr>
      <vt:lpstr>'Civil AM'!Print_Area</vt:lpstr>
      <vt:lpstr>'Civil OE'!Print_Area</vt:lpstr>
      <vt:lpstr>Divisional!Print_Area</vt:lpstr>
      <vt:lpstr>IS!Print_Area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Humphrey, Andrew (Research)</dc:creator>
  <cp:lastModifiedBy>Perry, Dan (Research)</cp:lastModifiedBy>
  <cp:lastPrinted>2026-08-16T18:48:26Z</cp:lastPrinted>
  <dcterms:created xsi:type="dcterms:W3CDTF">2021-02-05T17:38:07Z</dcterms:created>
  <dcterms:modified xsi:type="dcterms:W3CDTF">2026-08-17T05:28:55Z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07f119e6-c6cd-44b0-a5ee-ac1aff68c56e_Enabled">
    <vt:lpwstr>true</vt:lpwstr>
  </property>
  <property fmtid="{D5CDD505-2E9C-101B-9397-08002B2CF9AE}" pid="3" name="MSIP_Label_07f119e6-c6cd-44b0-a5ee-ac1aff68c56e_SetDate">
    <vt:lpwstr>2022-06-13T05:45:36Z</vt:lpwstr>
  </property>
  <property fmtid="{D5CDD505-2E9C-101B-9397-08002B2CF9AE}" pid="4" name="MSIP_Label_07f119e6-c6cd-44b0-a5ee-ac1aff68c56e_Method">
    <vt:lpwstr>Standard</vt:lpwstr>
  </property>
  <property fmtid="{D5CDD505-2E9C-101B-9397-08002B2CF9AE}" pid="5" name="MSIP_Label_07f119e6-c6cd-44b0-a5ee-ac1aff68c56e_Name">
    <vt:lpwstr>Confidential v1</vt:lpwstr>
  </property>
  <property fmtid="{D5CDD505-2E9C-101B-9397-08002B2CF9AE}" pid="6" name="MSIP_Label_07f119e6-c6cd-44b0-a5ee-ac1aff68c56e_SiteId">
    <vt:lpwstr>e29b8111-49f8-418d-ac2a-935335a52614</vt:lpwstr>
  </property>
  <property fmtid="{D5CDD505-2E9C-101B-9397-08002B2CF9AE}" pid="7" name="MSIP_Label_07f119e6-c6cd-44b0-a5ee-ac1aff68c56e_ActionId">
    <vt:lpwstr>f48c29b1-4ed6-445b-b6f9-4354b82e7ee3</vt:lpwstr>
  </property>
  <property fmtid="{D5CDD505-2E9C-101B-9397-08002B2CF9AE}" pid="8" name="MSIP_Label_07f119e6-c6cd-44b0-a5ee-ac1aff68c56e_ContentBits">
    <vt:lpwstr>0</vt:lpwstr>
  </property>
  <property fmtid="{D5CDD505-2E9C-101B-9397-08002B2CF9AE}" pid="9" name="LinkingAutoNameNumberLinking_Range_">
    <vt:lpwstr>1</vt:lpwstr>
  </property>
  <property fmtid="{D5CDD505-2E9C-101B-9397-08002B2CF9AE}" pid="10" name="PowerlinkCOMAddIn.COMAddIn.WebAddinBridge.Options">
    <vt:lpwstr>{"port":50157,"version":"1.24.159"}</vt:lpwstr>
  </property>
  <property fmtid="{D5CDD505-2E9C-101B-9397-08002B2CF9AE}" pid="11" name="ERModPubTicket">
    <vt:lpwstr>NA</vt:lpwstr>
  </property>
  <property fmtid="{D5CDD505-2E9C-101B-9397-08002B2CF9AE}" pid="12" name="ERModPubConfirmEmail">
    <vt:bool>false</vt:bool>
  </property>
  <property fmtid="{D5CDD505-2E9C-101B-9397-08002B2CF9AE}" pid="13" name="ERModPubUserEmail">
    <vt:lpwstr>giridhak@ms.com</vt:lpwstr>
  </property>
  <property fmtid="{D5CDD505-2E9C-101B-9397-08002B2CF9AE}" pid="14" name="ERModPubGCIMTagged">
    <vt:bool>true</vt:bool>
  </property>
  <property fmtid="{D5CDD505-2E9C-101B-9397-08002B2CF9AE}" pid="15" name="ERCompanyUploadState">
    <vt:lpwstr>P</vt:lpwstr>
  </property>
  <property fmtid="{D5CDD505-2E9C-101B-9397-08002B2CF9AE}" pid="16" name="ERModPubCurrentYear">
    <vt:i4>2026</vt:i4>
  </property>
  <property fmtid="{D5CDD505-2E9C-101B-9397-08002B2CF9AE}" pid="17" name="ModelId">
    <vt:lpwstr>9856825</vt:lpwstr>
  </property>
  <property fmtid="{D5CDD505-2E9C-101B-9397-08002B2CF9AE}" pid="18" name="ERModPubCompanyName">
    <vt:lpwstr>Rolls-Royce Holdings PLC</vt:lpwstr>
  </property>
</Properties>
</file>